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llo\OneDrive\Development\1- Bienes Futuros\Formatos\Vr 0\"/>
    </mc:Choice>
  </mc:AlternateContent>
  <xr:revisionPtr revIDLastSave="0" documentId="13_ncr:1_{24E53E64-057C-4CFC-B8AE-474692575397}" xr6:coauthVersionLast="45" xr6:coauthVersionMax="45" xr10:uidLastSave="{00000000-0000-0000-0000-000000000000}"/>
  <bookViews>
    <workbookView xWindow="28680" yWindow="-120" windowWidth="29040" windowHeight="15990" tabRatio="663" firstSheet="2" activeTab="4" xr2:uid="{00000000-000D-0000-FFFF-FFFF00000000}"/>
  </bookViews>
  <sheets>
    <sheet name="Portada" sheetId="8" state="hidden" r:id="rId1"/>
    <sheet name="Memoria" sheetId="9" state="hidden" r:id="rId2"/>
    <sheet name="MATRIZ" sheetId="3" r:id="rId3"/>
    <sheet name="Tasaciones" sheetId="13" r:id="rId4"/>
    <sheet name="Informe" sheetId="5" r:id="rId5"/>
    <sheet name="Fotos" sheetId="11" r:id="rId6"/>
    <sheet name="Anexo C.04" sheetId="7" r:id="rId7"/>
    <sheet name="DATA" sheetId="4" state="hidden" r:id="rId8"/>
    <sheet name="Hoja1" sheetId="12" r:id="rId9"/>
  </sheets>
  <functionGroups builtInGroupCount="19"/>
  <definedNames>
    <definedName name="_xlnm._FilterDatabase" localSheetId="2" hidden="1">MATRIZ!$A$11:$AG$225</definedName>
    <definedName name="Moneda">DATA!$B$12:$B$13</definedName>
    <definedName name="_xlnm.Print_Area" localSheetId="6">'Anexo C.04'!$A$1:$Z$90</definedName>
    <definedName name="_xlnm.Print_Area" localSheetId="5">Fotos!$A$1:$AL$70</definedName>
    <definedName name="_xlnm.Print_Area" localSheetId="4">Informe!$A$1:$AL$321</definedName>
    <definedName name="_xlnm.Print_Area" localSheetId="2">MATRIZ!$A$1:$AA$247</definedName>
    <definedName name="_xlnm.Print_Area" localSheetId="1">Memoria!$A$1:$AL$210</definedName>
    <definedName name="Solicitante">DATA!$B$3:$B$5</definedName>
    <definedName name="Tipo">DATA!$B$16:$B$18</definedName>
    <definedName name="Vista">DATA!$H$4:$H$17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4" i="5" l="1"/>
  <c r="AD43" i="5"/>
  <c r="AD52" i="5" s="1"/>
  <c r="Z43" i="5"/>
  <c r="Z52" i="5" s="1"/>
  <c r="S43" i="5"/>
  <c r="S52" i="5" s="1"/>
  <c r="P43" i="5"/>
  <c r="P52" i="5" s="1"/>
  <c r="I43" i="5"/>
  <c r="I52" i="5" s="1"/>
  <c r="AB259" i="5"/>
  <c r="N259" i="5"/>
  <c r="N272" i="5" s="1"/>
  <c r="K259" i="5"/>
  <c r="K304" i="5"/>
  <c r="S304" i="5" s="1"/>
  <c r="AH43" i="5" s="1"/>
  <c r="AH52" i="5" s="1"/>
  <c r="K245" i="5"/>
  <c r="Q245" i="5" s="1"/>
  <c r="U245" i="5" s="1"/>
  <c r="D245" i="5"/>
  <c r="D283" i="5" s="1"/>
  <c r="D304" i="5" s="1"/>
  <c r="D135" i="5" s="1"/>
  <c r="D259" i="5" s="1"/>
  <c r="D272" i="5" s="1"/>
  <c r="B43" i="5" s="1"/>
  <c r="E163" i="5"/>
  <c r="AD42" i="5"/>
  <c r="Z42" i="5" s="1"/>
  <c r="Z51" i="5" s="1"/>
  <c r="S42" i="5"/>
  <c r="S51" i="5" s="1"/>
  <c r="P42" i="5"/>
  <c r="P51" i="5" s="1"/>
  <c r="I42" i="5"/>
  <c r="I51" i="5" s="1"/>
  <c r="AB258" i="5"/>
  <c r="N258" i="5"/>
  <c r="N271" i="5" s="1"/>
  <c r="K258" i="5"/>
  <c r="K271" i="5" s="1"/>
  <c r="T271" i="5" s="1"/>
  <c r="K303" i="5"/>
  <c r="S303" i="5" s="1"/>
  <c r="AH42" i="5" s="1"/>
  <c r="AH51" i="5" s="1"/>
  <c r="K244" i="5"/>
  <c r="Q244" i="5" s="1"/>
  <c r="U244" i="5" s="1"/>
  <c r="D244" i="5"/>
  <c r="D282" i="5" s="1"/>
  <c r="D303" i="5" s="1"/>
  <c r="D134" i="5" s="1"/>
  <c r="D258" i="5" s="1"/>
  <c r="D271" i="5" s="1"/>
  <c r="B42" i="5" s="1"/>
  <c r="D146" i="5" l="1"/>
  <c r="D92" i="5"/>
  <c r="B52" i="5"/>
  <c r="L43" i="5"/>
  <c r="L52" i="5" s="1"/>
  <c r="V52" i="5" s="1"/>
  <c r="K283" i="5"/>
  <c r="O283" i="5" s="1"/>
  <c r="AH259" i="5" s="1"/>
  <c r="K272" i="5"/>
  <c r="T272" i="5" s="1"/>
  <c r="X271" i="5"/>
  <c r="AB271" i="5" s="1"/>
  <c r="AF271" i="5" s="1"/>
  <c r="L42" i="5"/>
  <c r="L51" i="5" s="1"/>
  <c r="K282" i="5"/>
  <c r="O282" i="5" s="1"/>
  <c r="AH258" i="5" s="1"/>
  <c r="D145" i="5"/>
  <c r="D91" i="5"/>
  <c r="B51" i="5"/>
  <c r="AD51" i="5"/>
  <c r="V51" i="5" s="1"/>
  <c r="F108" i="3"/>
  <c r="E166" i="5"/>
  <c r="AD45" i="5"/>
  <c r="AD54" i="5" s="1"/>
  <c r="Z45" i="5"/>
  <c r="Z54" i="5" s="1"/>
  <c r="S45" i="5"/>
  <c r="S54" i="5" s="1"/>
  <c r="P45" i="5"/>
  <c r="P54" i="5" s="1"/>
  <c r="I45" i="5"/>
  <c r="I54" i="5" s="1"/>
  <c r="AB261" i="5"/>
  <c r="N261" i="5"/>
  <c r="N274" i="5" s="1"/>
  <c r="K261" i="5"/>
  <c r="K306" i="5"/>
  <c r="S306" i="5" s="1"/>
  <c r="AH45" i="5" s="1"/>
  <c r="AH54" i="5" s="1"/>
  <c r="K247" i="5"/>
  <c r="Q247" i="5" s="1"/>
  <c r="U247" i="5" s="1"/>
  <c r="D247" i="5"/>
  <c r="D285" i="5" s="1"/>
  <c r="D306" i="5" s="1"/>
  <c r="D137" i="5" s="1"/>
  <c r="D261" i="5" s="1"/>
  <c r="D274" i="5" s="1"/>
  <c r="B45" i="5" s="1"/>
  <c r="E165" i="5"/>
  <c r="AD44" i="5"/>
  <c r="AD53" i="5" s="1"/>
  <c r="S44" i="5"/>
  <c r="S53" i="5" s="1"/>
  <c r="P44" i="5"/>
  <c r="P53" i="5" s="1"/>
  <c r="I44" i="5"/>
  <c r="I53" i="5" s="1"/>
  <c r="AB260" i="5"/>
  <c r="N260" i="5"/>
  <c r="N273" i="5" s="1"/>
  <c r="K260" i="5"/>
  <c r="K305" i="5"/>
  <c r="S305" i="5" s="1"/>
  <c r="AH44" i="5" s="1"/>
  <c r="AH53" i="5" s="1"/>
  <c r="K246" i="5"/>
  <c r="Q246" i="5" s="1"/>
  <c r="U246" i="5" s="1"/>
  <c r="D246" i="5"/>
  <c r="D284" i="5" s="1"/>
  <c r="D305" i="5" s="1"/>
  <c r="D136" i="5" s="1"/>
  <c r="D260" i="5" s="1"/>
  <c r="D273" i="5" s="1"/>
  <c r="B44" i="5" s="1"/>
  <c r="X272" i="5" l="1"/>
  <c r="AB272" i="5" s="1"/>
  <c r="AF272" i="5" s="1"/>
  <c r="Q259" i="5"/>
  <c r="T259" i="5" s="1"/>
  <c r="V43" i="5"/>
  <c r="V42" i="5"/>
  <c r="Q258" i="5"/>
  <c r="T258" i="5" s="1"/>
  <c r="D148" i="5"/>
  <c r="D94" i="5"/>
  <c r="B54" i="5"/>
  <c r="K285" i="5"/>
  <c r="O285" i="5" s="1"/>
  <c r="AH261" i="5" s="1"/>
  <c r="L45" i="5"/>
  <c r="L54" i="5" s="1"/>
  <c r="V54" i="5" s="1"/>
  <c r="Z44" i="5"/>
  <c r="Z53" i="5" s="1"/>
  <c r="K274" i="5"/>
  <c r="T274" i="5" s="1"/>
  <c r="D147" i="5"/>
  <c r="B53" i="5"/>
  <c r="D93" i="5"/>
  <c r="K284" i="5"/>
  <c r="O284" i="5" s="1"/>
  <c r="AH260" i="5" s="1"/>
  <c r="L44" i="5"/>
  <c r="L53" i="5" s="1"/>
  <c r="V53" i="5" s="1"/>
  <c r="K273" i="5"/>
  <c r="T273" i="5" s="1"/>
  <c r="AG230" i="3"/>
  <c r="AF230" i="3"/>
  <c r="AE230" i="3"/>
  <c r="AC230" i="3"/>
  <c r="AB230" i="3"/>
  <c r="AG229" i="3"/>
  <c r="AF229" i="3"/>
  <c r="AE229" i="3"/>
  <c r="AC229" i="3"/>
  <c r="AB229" i="3"/>
  <c r="AF13" i="3"/>
  <c r="R13" i="3" s="1"/>
  <c r="U13" i="3"/>
  <c r="AE13" i="3" s="1"/>
  <c r="P13" i="3"/>
  <c r="V13" i="3" s="1"/>
  <c r="N13" i="3"/>
  <c r="O13" i="3" s="1"/>
  <c r="M13" i="3"/>
  <c r="L13" i="3"/>
  <c r="I13" i="3"/>
  <c r="F13" i="3"/>
  <c r="X259" i="5" l="1"/>
  <c r="AD259" i="5" s="1"/>
  <c r="X258" i="5"/>
  <c r="AD258" i="5"/>
  <c r="V45" i="5"/>
  <c r="Q261" i="5"/>
  <c r="T261" i="5" s="1"/>
  <c r="X274" i="5"/>
  <c r="AB274" i="5" s="1"/>
  <c r="AF274" i="5" s="1"/>
  <c r="X273" i="5"/>
  <c r="AB273" i="5"/>
  <c r="AF273" i="5" s="1"/>
  <c r="V44" i="5"/>
  <c r="Q260" i="5"/>
  <c r="T260" i="5" s="1"/>
  <c r="X13" i="3"/>
  <c r="AB13" i="3"/>
  <c r="S13" i="3"/>
  <c r="Y13" i="3" s="1"/>
  <c r="Q13" i="3"/>
  <c r="X261" i="5" l="1"/>
  <c r="AD261" i="5" s="1"/>
  <c r="X260" i="5"/>
  <c r="AD260" i="5" s="1"/>
  <c r="AG13" i="3"/>
  <c r="W13" i="3"/>
  <c r="AC13" i="3"/>
  <c r="I6" i="5"/>
  <c r="J60" i="5" s="1"/>
  <c r="AF12" i="3"/>
  <c r="N12" i="3"/>
  <c r="M12" i="3"/>
  <c r="R12" i="3"/>
  <c r="U12" i="3"/>
  <c r="AE12" i="3"/>
  <c r="L12" i="3"/>
  <c r="P12" i="3"/>
  <c r="V12" i="3"/>
  <c r="O12" i="3"/>
  <c r="I12" i="3"/>
  <c r="F12" i="3"/>
  <c r="Q12" i="3"/>
  <c r="AB12" i="3"/>
  <c r="S12" i="3"/>
  <c r="Y12" i="3"/>
  <c r="X12" i="3"/>
  <c r="AF237" i="3"/>
  <c r="AF236" i="3"/>
  <c r="AF235" i="3"/>
  <c r="AF234" i="3"/>
  <c r="AF233" i="3"/>
  <c r="AG228" i="3"/>
  <c r="AF228" i="3"/>
  <c r="AE228" i="3"/>
  <c r="AF227" i="3"/>
  <c r="AF226" i="3"/>
  <c r="AF225" i="3"/>
  <c r="AF224" i="3"/>
  <c r="AF223" i="3"/>
  <c r="AF222" i="3"/>
  <c r="AF221" i="3"/>
  <c r="AF220" i="3"/>
  <c r="AF219" i="3"/>
  <c r="AF218" i="3"/>
  <c r="AF217" i="3"/>
  <c r="AF216" i="3"/>
  <c r="AF215" i="3"/>
  <c r="AF214" i="3"/>
  <c r="AF213" i="3"/>
  <c r="AF212" i="3"/>
  <c r="AF211" i="3"/>
  <c r="AF210" i="3"/>
  <c r="AF209" i="3"/>
  <c r="AF208" i="3"/>
  <c r="AF207" i="3"/>
  <c r="AF206" i="3"/>
  <c r="AF205" i="3"/>
  <c r="AF204" i="3"/>
  <c r="AF203" i="3"/>
  <c r="AF202" i="3"/>
  <c r="AF201" i="3"/>
  <c r="AF200" i="3"/>
  <c r="AF199" i="3"/>
  <c r="AF198" i="3"/>
  <c r="AF197" i="3"/>
  <c r="AF196" i="3"/>
  <c r="AF195" i="3"/>
  <c r="AF194" i="3"/>
  <c r="AF193" i="3"/>
  <c r="AF192" i="3"/>
  <c r="AF191" i="3"/>
  <c r="AF190" i="3"/>
  <c r="AF189" i="3"/>
  <c r="AF188" i="3"/>
  <c r="AF187" i="3"/>
  <c r="AF186" i="3"/>
  <c r="AF185" i="3"/>
  <c r="AF184" i="3"/>
  <c r="AF183" i="3"/>
  <c r="AF182" i="3"/>
  <c r="AF181" i="3"/>
  <c r="AF180" i="3"/>
  <c r="AF179" i="3"/>
  <c r="AF178" i="3"/>
  <c r="AF175" i="3"/>
  <c r="AF174" i="3"/>
  <c r="AF173" i="3"/>
  <c r="AF172" i="3"/>
  <c r="AF171" i="3"/>
  <c r="AF170" i="3"/>
  <c r="AF169" i="3"/>
  <c r="AF168" i="3"/>
  <c r="AF167" i="3"/>
  <c r="AF166" i="3"/>
  <c r="AF165" i="3"/>
  <c r="AF164" i="3"/>
  <c r="AF163" i="3"/>
  <c r="AF162" i="3"/>
  <c r="AF161" i="3"/>
  <c r="AF160" i="3"/>
  <c r="AF159" i="3"/>
  <c r="AF158" i="3"/>
  <c r="AF157" i="3"/>
  <c r="AF156" i="3"/>
  <c r="AF155" i="3"/>
  <c r="AF154" i="3"/>
  <c r="AF153" i="3"/>
  <c r="AF152" i="3"/>
  <c r="AF151" i="3"/>
  <c r="AF150" i="3"/>
  <c r="AF149" i="3"/>
  <c r="AF148" i="3"/>
  <c r="AF147" i="3"/>
  <c r="AF146" i="3"/>
  <c r="AF145" i="3"/>
  <c r="AF144" i="3"/>
  <c r="AF143" i="3"/>
  <c r="AF142" i="3"/>
  <c r="AF141" i="3"/>
  <c r="AF140" i="3"/>
  <c r="AF139" i="3"/>
  <c r="AF138" i="3"/>
  <c r="AF137" i="3"/>
  <c r="AF136" i="3"/>
  <c r="AF135" i="3"/>
  <c r="AF134" i="3"/>
  <c r="AF133" i="3"/>
  <c r="AF132" i="3"/>
  <c r="AF131" i="3"/>
  <c r="AF130" i="3"/>
  <c r="AF129" i="3"/>
  <c r="AF128" i="3"/>
  <c r="AF127" i="3"/>
  <c r="AF126" i="3"/>
  <c r="AF125" i="3"/>
  <c r="AF124" i="3"/>
  <c r="AF123" i="3"/>
  <c r="AF122" i="3"/>
  <c r="AF121" i="3"/>
  <c r="AF120" i="3"/>
  <c r="AF119" i="3"/>
  <c r="AF118" i="3"/>
  <c r="AF117" i="3"/>
  <c r="AF116" i="3"/>
  <c r="AF115" i="3"/>
  <c r="AF114" i="3"/>
  <c r="AF113" i="3"/>
  <c r="AF112" i="3"/>
  <c r="AF111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C228" i="3"/>
  <c r="AB228" i="3"/>
  <c r="U175" i="3"/>
  <c r="AE175" i="3"/>
  <c r="R175" i="3"/>
  <c r="N175" i="3"/>
  <c r="AB175" i="3"/>
  <c r="O175" i="3"/>
  <c r="M175" i="3"/>
  <c r="L175" i="3"/>
  <c r="P175" i="3"/>
  <c r="V175" i="3"/>
  <c r="I175" i="3"/>
  <c r="F175" i="3"/>
  <c r="W12" i="3"/>
  <c r="AG12" i="3"/>
  <c r="AC12" i="3"/>
  <c r="X175" i="3"/>
  <c r="Q175" i="3"/>
  <c r="S175" i="3"/>
  <c r="Y175" i="3"/>
  <c r="AG175" i="3"/>
  <c r="W175" i="3"/>
  <c r="AC175" i="3"/>
  <c r="X23" i="7"/>
  <c r="J58" i="5"/>
  <c r="B79" i="7" s="1"/>
  <c r="T7" i="7"/>
  <c r="I13" i="5"/>
  <c r="N16" i="3"/>
  <c r="M16" i="3"/>
  <c r="N178" i="3"/>
  <c r="M178" i="3"/>
  <c r="N17" i="3"/>
  <c r="M17" i="3"/>
  <c r="A2" i="13"/>
  <c r="R27" i="9"/>
  <c r="U237" i="3"/>
  <c r="AE237" i="3"/>
  <c r="N237" i="3"/>
  <c r="O237" i="3"/>
  <c r="M237" i="3"/>
  <c r="L237" i="3"/>
  <c r="P237" i="3"/>
  <c r="V237" i="3"/>
  <c r="U236" i="3"/>
  <c r="AE236" i="3"/>
  <c r="N236" i="3"/>
  <c r="O236" i="3"/>
  <c r="M236" i="3"/>
  <c r="L236" i="3"/>
  <c r="P236" i="3"/>
  <c r="U235" i="3"/>
  <c r="AE235" i="3"/>
  <c r="N235" i="3"/>
  <c r="O235" i="3"/>
  <c r="M235" i="3"/>
  <c r="L235" i="3"/>
  <c r="P235" i="3"/>
  <c r="V235" i="3"/>
  <c r="U234" i="3"/>
  <c r="AE234" i="3"/>
  <c r="N234" i="3"/>
  <c r="O234" i="3"/>
  <c r="M234" i="3"/>
  <c r="L234" i="3"/>
  <c r="P234" i="3"/>
  <c r="U233" i="3"/>
  <c r="AE233" i="3"/>
  <c r="N233" i="3"/>
  <c r="O233" i="3"/>
  <c r="M233" i="3"/>
  <c r="L233" i="3"/>
  <c r="P233" i="3"/>
  <c r="U227" i="3"/>
  <c r="AE227" i="3"/>
  <c r="N227" i="3"/>
  <c r="O227" i="3"/>
  <c r="M227" i="3"/>
  <c r="L227" i="3"/>
  <c r="P227" i="3"/>
  <c r="V227" i="3"/>
  <c r="U226" i="3"/>
  <c r="AE226" i="3"/>
  <c r="N226" i="3"/>
  <c r="O226" i="3"/>
  <c r="M226" i="3"/>
  <c r="L226" i="3"/>
  <c r="P226" i="3"/>
  <c r="V226" i="3"/>
  <c r="U225" i="3"/>
  <c r="AE225" i="3"/>
  <c r="N225" i="3"/>
  <c r="O225" i="3"/>
  <c r="M225" i="3"/>
  <c r="L225" i="3"/>
  <c r="P225" i="3"/>
  <c r="U224" i="3"/>
  <c r="AE224" i="3"/>
  <c r="N224" i="3"/>
  <c r="O224" i="3"/>
  <c r="M224" i="3"/>
  <c r="L224" i="3"/>
  <c r="P224" i="3"/>
  <c r="U223" i="3"/>
  <c r="AE223" i="3"/>
  <c r="N223" i="3"/>
  <c r="O223" i="3"/>
  <c r="M223" i="3"/>
  <c r="L223" i="3"/>
  <c r="P223" i="3"/>
  <c r="U222" i="3"/>
  <c r="AE222" i="3"/>
  <c r="N222" i="3"/>
  <c r="O222" i="3"/>
  <c r="M222" i="3"/>
  <c r="L222" i="3"/>
  <c r="P222" i="3"/>
  <c r="U221" i="3"/>
  <c r="AE221" i="3"/>
  <c r="N221" i="3"/>
  <c r="O221" i="3"/>
  <c r="M221" i="3"/>
  <c r="L221" i="3"/>
  <c r="P221" i="3"/>
  <c r="U220" i="3"/>
  <c r="AE220" i="3"/>
  <c r="N220" i="3"/>
  <c r="O220" i="3"/>
  <c r="M220" i="3"/>
  <c r="L220" i="3"/>
  <c r="P220" i="3"/>
  <c r="V220" i="3"/>
  <c r="U219" i="3"/>
  <c r="AE219" i="3"/>
  <c r="N219" i="3"/>
  <c r="O219" i="3"/>
  <c r="M219" i="3"/>
  <c r="L219" i="3"/>
  <c r="P219" i="3"/>
  <c r="V219" i="3"/>
  <c r="U218" i="3"/>
  <c r="AE218" i="3"/>
  <c r="N218" i="3"/>
  <c r="O218" i="3"/>
  <c r="M218" i="3"/>
  <c r="L218" i="3"/>
  <c r="P218" i="3"/>
  <c r="V218" i="3"/>
  <c r="U217" i="3"/>
  <c r="AE217" i="3"/>
  <c r="N217" i="3"/>
  <c r="O217" i="3"/>
  <c r="M217" i="3"/>
  <c r="L217" i="3"/>
  <c r="P217" i="3"/>
  <c r="U216" i="3"/>
  <c r="AE216" i="3"/>
  <c r="N216" i="3"/>
  <c r="O216" i="3"/>
  <c r="M216" i="3"/>
  <c r="L216" i="3"/>
  <c r="P216" i="3"/>
  <c r="V216" i="3"/>
  <c r="U215" i="3"/>
  <c r="AE215" i="3"/>
  <c r="N215" i="3"/>
  <c r="O215" i="3"/>
  <c r="M215" i="3"/>
  <c r="L215" i="3"/>
  <c r="P215" i="3"/>
  <c r="U214" i="3"/>
  <c r="AE214" i="3"/>
  <c r="N214" i="3"/>
  <c r="O214" i="3"/>
  <c r="M214" i="3"/>
  <c r="L214" i="3"/>
  <c r="P214" i="3"/>
  <c r="U213" i="3"/>
  <c r="AE213" i="3"/>
  <c r="N213" i="3"/>
  <c r="O213" i="3"/>
  <c r="M213" i="3"/>
  <c r="L213" i="3"/>
  <c r="P213" i="3"/>
  <c r="U212" i="3"/>
  <c r="AE212" i="3"/>
  <c r="N212" i="3"/>
  <c r="O212" i="3"/>
  <c r="M212" i="3"/>
  <c r="L212" i="3"/>
  <c r="P212" i="3"/>
  <c r="U211" i="3"/>
  <c r="AE211" i="3"/>
  <c r="N211" i="3"/>
  <c r="O211" i="3"/>
  <c r="M211" i="3"/>
  <c r="L211" i="3"/>
  <c r="P211" i="3"/>
  <c r="U210" i="3"/>
  <c r="AE210" i="3"/>
  <c r="N210" i="3"/>
  <c r="O210" i="3"/>
  <c r="M210" i="3"/>
  <c r="L210" i="3"/>
  <c r="P210" i="3"/>
  <c r="V210" i="3"/>
  <c r="U209" i="3"/>
  <c r="AE209" i="3"/>
  <c r="N209" i="3"/>
  <c r="O209" i="3"/>
  <c r="M209" i="3"/>
  <c r="L209" i="3"/>
  <c r="P209" i="3"/>
  <c r="V209" i="3"/>
  <c r="U208" i="3"/>
  <c r="AE208" i="3"/>
  <c r="N208" i="3"/>
  <c r="O208" i="3"/>
  <c r="M208" i="3"/>
  <c r="L208" i="3"/>
  <c r="P208" i="3"/>
  <c r="V208" i="3"/>
  <c r="U207" i="3"/>
  <c r="AE207" i="3"/>
  <c r="N207" i="3"/>
  <c r="O207" i="3"/>
  <c r="M207" i="3"/>
  <c r="L207" i="3"/>
  <c r="P207" i="3"/>
  <c r="U206" i="3"/>
  <c r="AE206" i="3"/>
  <c r="N206" i="3"/>
  <c r="O206" i="3"/>
  <c r="M206" i="3"/>
  <c r="L206" i="3"/>
  <c r="P206" i="3"/>
  <c r="U205" i="3"/>
  <c r="AE205" i="3"/>
  <c r="N205" i="3"/>
  <c r="O205" i="3"/>
  <c r="M205" i="3"/>
  <c r="L205" i="3"/>
  <c r="P205" i="3"/>
  <c r="U204" i="3"/>
  <c r="AE204" i="3"/>
  <c r="N204" i="3"/>
  <c r="O204" i="3"/>
  <c r="M204" i="3"/>
  <c r="L204" i="3"/>
  <c r="P204" i="3"/>
  <c r="U203" i="3"/>
  <c r="AE203" i="3"/>
  <c r="N203" i="3"/>
  <c r="O203" i="3"/>
  <c r="M203" i="3"/>
  <c r="L203" i="3"/>
  <c r="P203" i="3"/>
  <c r="U202" i="3"/>
  <c r="AE202" i="3"/>
  <c r="N202" i="3"/>
  <c r="O202" i="3"/>
  <c r="M202" i="3"/>
  <c r="L202" i="3"/>
  <c r="P202" i="3"/>
  <c r="V202" i="3"/>
  <c r="U201" i="3"/>
  <c r="AE201" i="3"/>
  <c r="N201" i="3"/>
  <c r="O201" i="3"/>
  <c r="M201" i="3"/>
  <c r="L201" i="3"/>
  <c r="P201" i="3"/>
  <c r="V201" i="3"/>
  <c r="U200" i="3"/>
  <c r="AE200" i="3"/>
  <c r="N200" i="3"/>
  <c r="O200" i="3"/>
  <c r="M200" i="3"/>
  <c r="L200" i="3"/>
  <c r="P200" i="3"/>
  <c r="V200" i="3"/>
  <c r="U199" i="3"/>
  <c r="AE199" i="3"/>
  <c r="N199" i="3"/>
  <c r="O199" i="3"/>
  <c r="M199" i="3"/>
  <c r="L199" i="3"/>
  <c r="P199" i="3"/>
  <c r="V199" i="3"/>
  <c r="U198" i="3"/>
  <c r="AE198" i="3"/>
  <c r="N198" i="3"/>
  <c r="O198" i="3"/>
  <c r="M198" i="3"/>
  <c r="L198" i="3"/>
  <c r="P198" i="3"/>
  <c r="U197" i="3"/>
  <c r="AE197" i="3"/>
  <c r="N197" i="3"/>
  <c r="O197" i="3"/>
  <c r="M197" i="3"/>
  <c r="L197" i="3"/>
  <c r="P197" i="3"/>
  <c r="U196" i="3"/>
  <c r="AE196" i="3"/>
  <c r="N196" i="3"/>
  <c r="O196" i="3"/>
  <c r="M196" i="3"/>
  <c r="L196" i="3"/>
  <c r="P196" i="3"/>
  <c r="U195" i="3"/>
  <c r="AE195" i="3"/>
  <c r="N195" i="3"/>
  <c r="O195" i="3"/>
  <c r="M195" i="3"/>
  <c r="L195" i="3"/>
  <c r="P195" i="3"/>
  <c r="U194" i="3"/>
  <c r="AE194" i="3"/>
  <c r="N194" i="3"/>
  <c r="O194" i="3"/>
  <c r="M194" i="3"/>
  <c r="L194" i="3"/>
  <c r="P194" i="3"/>
  <c r="U193" i="3"/>
  <c r="AE193" i="3"/>
  <c r="N193" i="3"/>
  <c r="O193" i="3"/>
  <c r="M193" i="3"/>
  <c r="L193" i="3"/>
  <c r="P193" i="3"/>
  <c r="U192" i="3"/>
  <c r="AE192" i="3"/>
  <c r="N192" i="3"/>
  <c r="O192" i="3"/>
  <c r="M192" i="3"/>
  <c r="L192" i="3"/>
  <c r="P192" i="3"/>
  <c r="U191" i="3"/>
  <c r="AE191" i="3"/>
  <c r="N191" i="3"/>
  <c r="O191" i="3"/>
  <c r="M191" i="3"/>
  <c r="L191" i="3"/>
  <c r="P191" i="3"/>
  <c r="V191" i="3"/>
  <c r="U190" i="3"/>
  <c r="AE190" i="3"/>
  <c r="N190" i="3"/>
  <c r="O190" i="3"/>
  <c r="M190" i="3"/>
  <c r="L190" i="3"/>
  <c r="P190" i="3"/>
  <c r="U189" i="3"/>
  <c r="AE189" i="3"/>
  <c r="N189" i="3"/>
  <c r="O189" i="3"/>
  <c r="M189" i="3"/>
  <c r="L189" i="3"/>
  <c r="P189" i="3"/>
  <c r="U188" i="3"/>
  <c r="AE188" i="3"/>
  <c r="N188" i="3"/>
  <c r="O188" i="3"/>
  <c r="M188" i="3"/>
  <c r="L188" i="3"/>
  <c r="P188" i="3"/>
  <c r="U187" i="3"/>
  <c r="AE187" i="3"/>
  <c r="N187" i="3"/>
  <c r="O187" i="3"/>
  <c r="M187" i="3"/>
  <c r="L187" i="3"/>
  <c r="P187" i="3"/>
  <c r="U186" i="3"/>
  <c r="AE186" i="3"/>
  <c r="N186" i="3"/>
  <c r="O186" i="3"/>
  <c r="M186" i="3"/>
  <c r="L186" i="3"/>
  <c r="P186" i="3"/>
  <c r="V186" i="3"/>
  <c r="U185" i="3"/>
  <c r="AE185" i="3"/>
  <c r="N185" i="3"/>
  <c r="O185" i="3"/>
  <c r="M185" i="3"/>
  <c r="L185" i="3"/>
  <c r="P185" i="3"/>
  <c r="U184" i="3"/>
  <c r="AE184" i="3"/>
  <c r="N184" i="3"/>
  <c r="O184" i="3"/>
  <c r="M184" i="3"/>
  <c r="L184" i="3"/>
  <c r="P184" i="3"/>
  <c r="U183" i="3"/>
  <c r="AE183" i="3"/>
  <c r="N183" i="3"/>
  <c r="O183" i="3"/>
  <c r="M183" i="3"/>
  <c r="L183" i="3"/>
  <c r="P183" i="3"/>
  <c r="U182" i="3"/>
  <c r="AE182" i="3"/>
  <c r="N182" i="3"/>
  <c r="O182" i="3"/>
  <c r="M182" i="3"/>
  <c r="L182" i="3"/>
  <c r="P182" i="3"/>
  <c r="U181" i="3"/>
  <c r="AE181" i="3"/>
  <c r="N181" i="3"/>
  <c r="O181" i="3"/>
  <c r="M181" i="3"/>
  <c r="L181" i="3"/>
  <c r="P181" i="3"/>
  <c r="U180" i="3"/>
  <c r="AE180" i="3"/>
  <c r="N180" i="3"/>
  <c r="O180" i="3"/>
  <c r="M180" i="3"/>
  <c r="L180" i="3"/>
  <c r="P180" i="3"/>
  <c r="U179" i="3"/>
  <c r="AE179" i="3"/>
  <c r="N179" i="3"/>
  <c r="O179" i="3"/>
  <c r="M179" i="3"/>
  <c r="L179" i="3"/>
  <c r="P179" i="3"/>
  <c r="U178" i="3"/>
  <c r="AE178" i="3"/>
  <c r="O178" i="3"/>
  <c r="L178" i="3"/>
  <c r="P178" i="3"/>
  <c r="U174" i="3"/>
  <c r="AE174" i="3"/>
  <c r="N174" i="3"/>
  <c r="O174" i="3"/>
  <c r="M174" i="3"/>
  <c r="L174" i="3"/>
  <c r="P174" i="3"/>
  <c r="U173" i="3"/>
  <c r="AE173" i="3"/>
  <c r="N173" i="3"/>
  <c r="O173" i="3"/>
  <c r="M173" i="3"/>
  <c r="L173" i="3"/>
  <c r="P173" i="3"/>
  <c r="V173" i="3"/>
  <c r="U172" i="3"/>
  <c r="AE172" i="3"/>
  <c r="N172" i="3"/>
  <c r="O172" i="3"/>
  <c r="M172" i="3"/>
  <c r="L172" i="3"/>
  <c r="P172" i="3"/>
  <c r="V172" i="3"/>
  <c r="U171" i="3"/>
  <c r="AE171" i="3"/>
  <c r="N171" i="3"/>
  <c r="O171" i="3"/>
  <c r="M171" i="3"/>
  <c r="L171" i="3"/>
  <c r="P171" i="3"/>
  <c r="V171" i="3"/>
  <c r="U170" i="3"/>
  <c r="AE170" i="3"/>
  <c r="N170" i="3"/>
  <c r="O170" i="3"/>
  <c r="M170" i="3"/>
  <c r="U169" i="3"/>
  <c r="AE169" i="3"/>
  <c r="N169" i="3"/>
  <c r="O169" i="3"/>
  <c r="M169" i="3"/>
  <c r="L169" i="3"/>
  <c r="P169" i="3"/>
  <c r="U168" i="3"/>
  <c r="AE168" i="3"/>
  <c r="N168" i="3"/>
  <c r="O168" i="3"/>
  <c r="M168" i="3"/>
  <c r="L168" i="3"/>
  <c r="P168" i="3"/>
  <c r="U167" i="3"/>
  <c r="AE167" i="3"/>
  <c r="N167" i="3"/>
  <c r="M167" i="3"/>
  <c r="L167" i="3"/>
  <c r="P167" i="3"/>
  <c r="U166" i="3"/>
  <c r="AE166" i="3"/>
  <c r="N166" i="3"/>
  <c r="O166" i="3"/>
  <c r="M166" i="3"/>
  <c r="L166" i="3"/>
  <c r="P166" i="3"/>
  <c r="U165" i="3"/>
  <c r="AE165" i="3"/>
  <c r="N165" i="3"/>
  <c r="M165" i="3"/>
  <c r="L165" i="3"/>
  <c r="P165" i="3"/>
  <c r="U164" i="3"/>
  <c r="AE164" i="3"/>
  <c r="N164" i="3"/>
  <c r="O164" i="3"/>
  <c r="M164" i="3"/>
  <c r="L164" i="3"/>
  <c r="P164" i="3"/>
  <c r="U163" i="3"/>
  <c r="AE163" i="3"/>
  <c r="N163" i="3"/>
  <c r="O163" i="3"/>
  <c r="M163" i="3"/>
  <c r="L163" i="3"/>
  <c r="P163" i="3"/>
  <c r="U162" i="3"/>
  <c r="AE162" i="3"/>
  <c r="N162" i="3"/>
  <c r="O162" i="3"/>
  <c r="M162" i="3"/>
  <c r="U161" i="3"/>
  <c r="AE161" i="3"/>
  <c r="N161" i="3"/>
  <c r="O161" i="3"/>
  <c r="M161" i="3"/>
  <c r="L161" i="3"/>
  <c r="P161" i="3"/>
  <c r="V161" i="3"/>
  <c r="U160" i="3"/>
  <c r="AE160" i="3"/>
  <c r="N160" i="3"/>
  <c r="O160" i="3"/>
  <c r="M160" i="3"/>
  <c r="L160" i="3"/>
  <c r="P160" i="3"/>
  <c r="V160" i="3"/>
  <c r="U159" i="3"/>
  <c r="AE159" i="3"/>
  <c r="N159" i="3"/>
  <c r="M159" i="3"/>
  <c r="L159" i="3"/>
  <c r="P159" i="3"/>
  <c r="U158" i="3"/>
  <c r="AE158" i="3"/>
  <c r="N158" i="3"/>
  <c r="O158" i="3"/>
  <c r="M158" i="3"/>
  <c r="L158" i="3"/>
  <c r="P158" i="3"/>
  <c r="U157" i="3"/>
  <c r="AE157" i="3"/>
  <c r="N157" i="3"/>
  <c r="M157" i="3"/>
  <c r="L157" i="3"/>
  <c r="P157" i="3"/>
  <c r="U156" i="3"/>
  <c r="AE156" i="3"/>
  <c r="N156" i="3"/>
  <c r="M156" i="3"/>
  <c r="L156" i="3"/>
  <c r="P156" i="3"/>
  <c r="U155" i="3"/>
  <c r="AE155" i="3"/>
  <c r="N155" i="3"/>
  <c r="O155" i="3"/>
  <c r="M155" i="3"/>
  <c r="L155" i="3"/>
  <c r="P155" i="3"/>
  <c r="U154" i="3"/>
  <c r="AE154" i="3"/>
  <c r="N154" i="3"/>
  <c r="O154" i="3"/>
  <c r="M154" i="3"/>
  <c r="L154" i="3"/>
  <c r="P154" i="3"/>
  <c r="U153" i="3"/>
  <c r="AE153" i="3"/>
  <c r="N153" i="3"/>
  <c r="O153" i="3"/>
  <c r="M153" i="3"/>
  <c r="L153" i="3"/>
  <c r="P153" i="3"/>
  <c r="V153" i="3"/>
  <c r="U152" i="3"/>
  <c r="AE152" i="3"/>
  <c r="N152" i="3"/>
  <c r="O152" i="3"/>
  <c r="M152" i="3"/>
  <c r="L152" i="3"/>
  <c r="P152" i="3"/>
  <c r="V152" i="3"/>
  <c r="U151" i="3"/>
  <c r="AE151" i="3"/>
  <c r="N151" i="3"/>
  <c r="M151" i="3"/>
  <c r="L151" i="3"/>
  <c r="P151" i="3"/>
  <c r="U150" i="3"/>
  <c r="AE150" i="3"/>
  <c r="N150" i="3"/>
  <c r="M150" i="3"/>
  <c r="L150" i="3"/>
  <c r="P150" i="3"/>
  <c r="U149" i="3"/>
  <c r="AE149" i="3"/>
  <c r="N149" i="3"/>
  <c r="M149" i="3"/>
  <c r="L149" i="3"/>
  <c r="P149" i="3"/>
  <c r="U148" i="3"/>
  <c r="AE148" i="3"/>
  <c r="N148" i="3"/>
  <c r="M148" i="3"/>
  <c r="L148" i="3"/>
  <c r="P148" i="3"/>
  <c r="U147" i="3"/>
  <c r="AE147" i="3"/>
  <c r="N147" i="3"/>
  <c r="M147" i="3"/>
  <c r="L147" i="3"/>
  <c r="P147" i="3"/>
  <c r="U146" i="3"/>
  <c r="AE146" i="3"/>
  <c r="N146" i="3"/>
  <c r="O146" i="3"/>
  <c r="M146" i="3"/>
  <c r="L146" i="3"/>
  <c r="P146" i="3"/>
  <c r="V146" i="3"/>
  <c r="U145" i="3"/>
  <c r="AE145" i="3"/>
  <c r="N145" i="3"/>
  <c r="O145" i="3"/>
  <c r="M145" i="3"/>
  <c r="L145" i="3"/>
  <c r="P145" i="3"/>
  <c r="V145" i="3"/>
  <c r="U144" i="3"/>
  <c r="AE144" i="3"/>
  <c r="N144" i="3"/>
  <c r="M144" i="3"/>
  <c r="L144" i="3"/>
  <c r="P144" i="3"/>
  <c r="V144" i="3"/>
  <c r="U143" i="3"/>
  <c r="AE143" i="3"/>
  <c r="N143" i="3"/>
  <c r="O143" i="3"/>
  <c r="M143" i="3"/>
  <c r="L143" i="3"/>
  <c r="P143" i="3"/>
  <c r="U142" i="3"/>
  <c r="AE142" i="3"/>
  <c r="N142" i="3"/>
  <c r="M142" i="3"/>
  <c r="L142" i="3"/>
  <c r="P142" i="3"/>
  <c r="U141" i="3"/>
  <c r="AE141" i="3"/>
  <c r="N141" i="3"/>
  <c r="O141" i="3"/>
  <c r="M141" i="3"/>
  <c r="L141" i="3"/>
  <c r="P141" i="3"/>
  <c r="U140" i="3"/>
  <c r="AE140" i="3"/>
  <c r="N140" i="3"/>
  <c r="O140" i="3"/>
  <c r="M140" i="3"/>
  <c r="L140" i="3"/>
  <c r="P140" i="3"/>
  <c r="U139" i="3"/>
  <c r="AE139" i="3"/>
  <c r="N139" i="3"/>
  <c r="O139" i="3"/>
  <c r="M139" i="3"/>
  <c r="L139" i="3"/>
  <c r="P139" i="3"/>
  <c r="U138" i="3"/>
  <c r="AE138" i="3"/>
  <c r="N138" i="3"/>
  <c r="O138" i="3"/>
  <c r="M138" i="3"/>
  <c r="L138" i="3"/>
  <c r="P138" i="3"/>
  <c r="U137" i="3"/>
  <c r="AE137" i="3"/>
  <c r="N137" i="3"/>
  <c r="O137" i="3"/>
  <c r="M137" i="3"/>
  <c r="L137" i="3"/>
  <c r="P137" i="3"/>
  <c r="V137" i="3"/>
  <c r="U136" i="3"/>
  <c r="AE136" i="3"/>
  <c r="N136" i="3"/>
  <c r="M136" i="3"/>
  <c r="L136" i="3"/>
  <c r="P136" i="3"/>
  <c r="U135" i="3"/>
  <c r="AE135" i="3"/>
  <c r="N135" i="3"/>
  <c r="O135" i="3"/>
  <c r="M135" i="3"/>
  <c r="U134" i="3"/>
  <c r="AE134" i="3"/>
  <c r="N134" i="3"/>
  <c r="M134" i="3"/>
  <c r="L134" i="3"/>
  <c r="P134" i="3"/>
  <c r="V134" i="3"/>
  <c r="U133" i="3"/>
  <c r="AE133" i="3"/>
  <c r="N133" i="3"/>
  <c r="O133" i="3"/>
  <c r="M133" i="3"/>
  <c r="L133" i="3"/>
  <c r="P133" i="3"/>
  <c r="U132" i="3"/>
  <c r="AE132" i="3"/>
  <c r="N132" i="3"/>
  <c r="M132" i="3"/>
  <c r="L132" i="3"/>
  <c r="P132" i="3"/>
  <c r="U131" i="3"/>
  <c r="AE131" i="3"/>
  <c r="N131" i="3"/>
  <c r="M131" i="3"/>
  <c r="L131" i="3"/>
  <c r="P131" i="3"/>
  <c r="V131" i="3"/>
  <c r="U130" i="3"/>
  <c r="AE130" i="3"/>
  <c r="N130" i="3"/>
  <c r="M130" i="3"/>
  <c r="L130" i="3"/>
  <c r="P130" i="3"/>
  <c r="U129" i="3"/>
  <c r="AE129" i="3"/>
  <c r="N129" i="3"/>
  <c r="O129" i="3"/>
  <c r="M129" i="3"/>
  <c r="L129" i="3"/>
  <c r="P129" i="3"/>
  <c r="V129" i="3"/>
  <c r="U128" i="3"/>
  <c r="AE128" i="3"/>
  <c r="N128" i="3"/>
  <c r="O128" i="3"/>
  <c r="M128" i="3"/>
  <c r="L128" i="3"/>
  <c r="P128" i="3"/>
  <c r="U127" i="3"/>
  <c r="AE127" i="3"/>
  <c r="N127" i="3"/>
  <c r="O127" i="3"/>
  <c r="M127" i="3"/>
  <c r="L127" i="3"/>
  <c r="P127" i="3"/>
  <c r="V127" i="3"/>
  <c r="U126" i="3"/>
  <c r="AE126" i="3"/>
  <c r="N126" i="3"/>
  <c r="O126" i="3"/>
  <c r="M126" i="3"/>
  <c r="L126" i="3"/>
  <c r="P126" i="3"/>
  <c r="U125" i="3"/>
  <c r="AE125" i="3"/>
  <c r="N125" i="3"/>
  <c r="O125" i="3"/>
  <c r="M125" i="3"/>
  <c r="L125" i="3"/>
  <c r="P125" i="3"/>
  <c r="V125" i="3"/>
  <c r="U124" i="3"/>
  <c r="AE124" i="3"/>
  <c r="N124" i="3"/>
  <c r="O124" i="3"/>
  <c r="M124" i="3"/>
  <c r="L124" i="3"/>
  <c r="P124" i="3"/>
  <c r="V124" i="3"/>
  <c r="U123" i="3"/>
  <c r="AE123" i="3"/>
  <c r="N123" i="3"/>
  <c r="M123" i="3"/>
  <c r="L123" i="3"/>
  <c r="P123" i="3"/>
  <c r="U122" i="3"/>
  <c r="AE122" i="3"/>
  <c r="N122" i="3"/>
  <c r="O122" i="3"/>
  <c r="M122" i="3"/>
  <c r="L122" i="3"/>
  <c r="P122" i="3"/>
  <c r="V122" i="3"/>
  <c r="U121" i="3"/>
  <c r="AE121" i="3"/>
  <c r="N121" i="3"/>
  <c r="O121" i="3"/>
  <c r="M121" i="3"/>
  <c r="L121" i="3"/>
  <c r="P121" i="3"/>
  <c r="U120" i="3"/>
  <c r="AE120" i="3"/>
  <c r="N120" i="3"/>
  <c r="O120" i="3"/>
  <c r="M120" i="3"/>
  <c r="L120" i="3"/>
  <c r="P120" i="3"/>
  <c r="U119" i="3"/>
  <c r="AE119" i="3"/>
  <c r="N119" i="3"/>
  <c r="O119" i="3"/>
  <c r="M119" i="3"/>
  <c r="L119" i="3"/>
  <c r="P119" i="3"/>
  <c r="U118" i="3"/>
  <c r="AE118" i="3"/>
  <c r="N118" i="3"/>
  <c r="O118" i="3"/>
  <c r="M118" i="3"/>
  <c r="L118" i="3"/>
  <c r="P118" i="3"/>
  <c r="U117" i="3"/>
  <c r="AE117" i="3"/>
  <c r="N117" i="3"/>
  <c r="O117" i="3"/>
  <c r="M117" i="3"/>
  <c r="L117" i="3"/>
  <c r="P117" i="3"/>
  <c r="U116" i="3"/>
  <c r="AE116" i="3"/>
  <c r="N116" i="3"/>
  <c r="M116" i="3"/>
  <c r="L116" i="3"/>
  <c r="P116" i="3"/>
  <c r="U115" i="3"/>
  <c r="AE115" i="3"/>
  <c r="N115" i="3"/>
  <c r="M115" i="3"/>
  <c r="L115" i="3"/>
  <c r="P115" i="3"/>
  <c r="V115" i="3"/>
  <c r="U114" i="3"/>
  <c r="AE114" i="3"/>
  <c r="N114" i="3"/>
  <c r="O114" i="3"/>
  <c r="M114" i="3"/>
  <c r="L114" i="3"/>
  <c r="P114" i="3"/>
  <c r="U113" i="3"/>
  <c r="AE113" i="3"/>
  <c r="N113" i="3"/>
  <c r="O113" i="3"/>
  <c r="M113" i="3"/>
  <c r="U112" i="3"/>
  <c r="AE112" i="3"/>
  <c r="N112" i="3"/>
  <c r="O112" i="3"/>
  <c r="M112" i="3"/>
  <c r="L112" i="3"/>
  <c r="P112" i="3"/>
  <c r="U111" i="3"/>
  <c r="AE111" i="3"/>
  <c r="N111" i="3"/>
  <c r="O111" i="3"/>
  <c r="M111" i="3"/>
  <c r="L111" i="3"/>
  <c r="P111" i="3"/>
  <c r="V111" i="3"/>
  <c r="U110" i="3"/>
  <c r="AE110" i="3"/>
  <c r="N110" i="3"/>
  <c r="O110" i="3"/>
  <c r="M110" i="3"/>
  <c r="L110" i="3"/>
  <c r="P110" i="3"/>
  <c r="U109" i="3"/>
  <c r="AE109" i="3"/>
  <c r="N109" i="3"/>
  <c r="O109" i="3"/>
  <c r="M109" i="3"/>
  <c r="L109" i="3"/>
  <c r="P109" i="3"/>
  <c r="U108" i="3"/>
  <c r="AE108" i="3"/>
  <c r="N108" i="3"/>
  <c r="M108" i="3"/>
  <c r="L108" i="3"/>
  <c r="P108" i="3"/>
  <c r="U107" i="3"/>
  <c r="AE107" i="3"/>
  <c r="N107" i="3"/>
  <c r="O107" i="3"/>
  <c r="M107" i="3"/>
  <c r="L107" i="3"/>
  <c r="P107" i="3"/>
  <c r="U106" i="3"/>
  <c r="AE106" i="3"/>
  <c r="N106" i="3"/>
  <c r="O106" i="3"/>
  <c r="M106" i="3"/>
  <c r="L106" i="3"/>
  <c r="P106" i="3"/>
  <c r="U105" i="3"/>
  <c r="AE105" i="3"/>
  <c r="N105" i="3"/>
  <c r="O105" i="3"/>
  <c r="M105" i="3"/>
  <c r="L105" i="3"/>
  <c r="P105" i="3"/>
  <c r="U104" i="3"/>
  <c r="AE104" i="3"/>
  <c r="N104" i="3"/>
  <c r="O104" i="3"/>
  <c r="M104" i="3"/>
  <c r="L104" i="3"/>
  <c r="P104" i="3"/>
  <c r="V104" i="3"/>
  <c r="U103" i="3"/>
  <c r="AE103" i="3"/>
  <c r="N103" i="3"/>
  <c r="O103" i="3"/>
  <c r="M103" i="3"/>
  <c r="L103" i="3"/>
  <c r="P103" i="3"/>
  <c r="V103" i="3"/>
  <c r="U102" i="3"/>
  <c r="AE102" i="3"/>
  <c r="N102" i="3"/>
  <c r="M102" i="3"/>
  <c r="L102" i="3"/>
  <c r="P102" i="3"/>
  <c r="U101" i="3"/>
  <c r="AE101" i="3"/>
  <c r="N101" i="3"/>
  <c r="O101" i="3"/>
  <c r="M101" i="3"/>
  <c r="L101" i="3"/>
  <c r="P101" i="3"/>
  <c r="U100" i="3"/>
  <c r="AE100" i="3"/>
  <c r="N100" i="3"/>
  <c r="M100" i="3"/>
  <c r="L100" i="3"/>
  <c r="P100" i="3"/>
  <c r="U99" i="3"/>
  <c r="AE99" i="3"/>
  <c r="N99" i="3"/>
  <c r="O99" i="3"/>
  <c r="M99" i="3"/>
  <c r="L99" i="3"/>
  <c r="P99" i="3"/>
  <c r="U98" i="3"/>
  <c r="AE98" i="3"/>
  <c r="N98" i="3"/>
  <c r="O98" i="3"/>
  <c r="M98" i="3"/>
  <c r="L98" i="3"/>
  <c r="P98" i="3"/>
  <c r="U97" i="3"/>
  <c r="AE97" i="3"/>
  <c r="N97" i="3"/>
  <c r="M97" i="3"/>
  <c r="L97" i="3"/>
  <c r="P97" i="3"/>
  <c r="U96" i="3"/>
  <c r="AE96" i="3"/>
  <c r="N96" i="3"/>
  <c r="O96" i="3"/>
  <c r="M96" i="3"/>
  <c r="U95" i="3"/>
  <c r="AE95" i="3"/>
  <c r="N95" i="3"/>
  <c r="O95" i="3"/>
  <c r="M95" i="3"/>
  <c r="U94" i="3"/>
  <c r="AE94" i="3"/>
  <c r="N94" i="3"/>
  <c r="O94" i="3"/>
  <c r="M94" i="3"/>
  <c r="L94" i="3"/>
  <c r="P94" i="3"/>
  <c r="U93" i="3"/>
  <c r="AE93" i="3"/>
  <c r="N93" i="3"/>
  <c r="O93" i="3"/>
  <c r="M93" i="3"/>
  <c r="L93" i="3"/>
  <c r="P93" i="3"/>
  <c r="U92" i="3"/>
  <c r="AE92" i="3"/>
  <c r="N92" i="3"/>
  <c r="M92" i="3"/>
  <c r="L92" i="3"/>
  <c r="P92" i="3"/>
  <c r="U91" i="3"/>
  <c r="AE91" i="3"/>
  <c r="N91" i="3"/>
  <c r="M91" i="3"/>
  <c r="L91" i="3"/>
  <c r="P91" i="3"/>
  <c r="U90" i="3"/>
  <c r="AE90" i="3"/>
  <c r="N90" i="3"/>
  <c r="M90" i="3"/>
  <c r="L90" i="3"/>
  <c r="P90" i="3"/>
  <c r="V90" i="3"/>
  <c r="U89" i="3"/>
  <c r="AE89" i="3"/>
  <c r="N89" i="3"/>
  <c r="M89" i="3"/>
  <c r="L89" i="3"/>
  <c r="P89" i="3"/>
  <c r="U88" i="3"/>
  <c r="AE88" i="3"/>
  <c r="N88" i="3"/>
  <c r="O88" i="3"/>
  <c r="M88" i="3"/>
  <c r="U87" i="3"/>
  <c r="AE87" i="3"/>
  <c r="N87" i="3"/>
  <c r="O87" i="3"/>
  <c r="M87" i="3"/>
  <c r="L87" i="3"/>
  <c r="P87" i="3"/>
  <c r="U86" i="3"/>
  <c r="AE86" i="3"/>
  <c r="N86" i="3"/>
  <c r="O86" i="3"/>
  <c r="M86" i="3"/>
  <c r="L86" i="3"/>
  <c r="P86" i="3"/>
  <c r="V86" i="3"/>
  <c r="U85" i="3"/>
  <c r="AE85" i="3"/>
  <c r="N85" i="3"/>
  <c r="O85" i="3"/>
  <c r="M85" i="3"/>
  <c r="L85" i="3"/>
  <c r="P85" i="3"/>
  <c r="U84" i="3"/>
  <c r="AE84" i="3"/>
  <c r="N84" i="3"/>
  <c r="M84" i="3"/>
  <c r="L84" i="3"/>
  <c r="P84" i="3"/>
  <c r="U83" i="3"/>
  <c r="AE83" i="3"/>
  <c r="N83" i="3"/>
  <c r="O83" i="3"/>
  <c r="M83" i="3"/>
  <c r="L83" i="3"/>
  <c r="P83" i="3"/>
  <c r="U82" i="3"/>
  <c r="AE82" i="3"/>
  <c r="N82" i="3"/>
  <c r="M82" i="3"/>
  <c r="L82" i="3"/>
  <c r="P82" i="3"/>
  <c r="U81" i="3"/>
  <c r="AE81" i="3"/>
  <c r="N81" i="3"/>
  <c r="M81" i="3"/>
  <c r="L81" i="3"/>
  <c r="P81" i="3"/>
  <c r="V81" i="3"/>
  <c r="U80" i="3"/>
  <c r="AE80" i="3"/>
  <c r="N80" i="3"/>
  <c r="O80" i="3"/>
  <c r="M80" i="3"/>
  <c r="L80" i="3"/>
  <c r="P80" i="3"/>
  <c r="U79" i="3"/>
  <c r="AE79" i="3"/>
  <c r="N79" i="3"/>
  <c r="O79" i="3"/>
  <c r="M79" i="3"/>
  <c r="L79" i="3"/>
  <c r="P79" i="3"/>
  <c r="U78" i="3"/>
  <c r="AE78" i="3"/>
  <c r="N78" i="3"/>
  <c r="O78" i="3"/>
  <c r="M78" i="3"/>
  <c r="L78" i="3"/>
  <c r="P78" i="3"/>
  <c r="V78" i="3"/>
  <c r="U77" i="3"/>
  <c r="AE77" i="3"/>
  <c r="N77" i="3"/>
  <c r="O77" i="3"/>
  <c r="M77" i="3"/>
  <c r="L77" i="3"/>
  <c r="P77" i="3"/>
  <c r="U76" i="3"/>
  <c r="AE76" i="3"/>
  <c r="N76" i="3"/>
  <c r="O76" i="3"/>
  <c r="M76" i="3"/>
  <c r="L76" i="3"/>
  <c r="P76" i="3"/>
  <c r="U75" i="3"/>
  <c r="AE75" i="3"/>
  <c r="N75" i="3"/>
  <c r="O75" i="3"/>
  <c r="M75" i="3"/>
  <c r="L75" i="3"/>
  <c r="P75" i="3"/>
  <c r="U74" i="3"/>
  <c r="AE74" i="3"/>
  <c r="N74" i="3"/>
  <c r="M74" i="3"/>
  <c r="L74" i="3"/>
  <c r="P74" i="3"/>
  <c r="U73" i="3"/>
  <c r="AE73" i="3"/>
  <c r="N73" i="3"/>
  <c r="M73" i="3"/>
  <c r="L73" i="3"/>
  <c r="P73" i="3"/>
  <c r="V73" i="3"/>
  <c r="U72" i="3"/>
  <c r="AE72" i="3"/>
  <c r="N72" i="3"/>
  <c r="O72" i="3"/>
  <c r="M72" i="3"/>
  <c r="L72" i="3"/>
  <c r="P72" i="3"/>
  <c r="U71" i="3"/>
  <c r="AE71" i="3"/>
  <c r="N71" i="3"/>
  <c r="O71" i="3"/>
  <c r="M71" i="3"/>
  <c r="L71" i="3"/>
  <c r="P71" i="3"/>
  <c r="U70" i="3"/>
  <c r="AE70" i="3"/>
  <c r="N70" i="3"/>
  <c r="O70" i="3"/>
  <c r="M70" i="3"/>
  <c r="L70" i="3"/>
  <c r="P70" i="3"/>
  <c r="U69" i="3"/>
  <c r="AE69" i="3"/>
  <c r="N69" i="3"/>
  <c r="O69" i="3"/>
  <c r="M69" i="3"/>
  <c r="L69" i="3"/>
  <c r="P69" i="3"/>
  <c r="U68" i="3"/>
  <c r="AE68" i="3"/>
  <c r="N68" i="3"/>
  <c r="M68" i="3"/>
  <c r="L68" i="3"/>
  <c r="P68" i="3"/>
  <c r="U67" i="3"/>
  <c r="AE67" i="3"/>
  <c r="N67" i="3"/>
  <c r="O67" i="3"/>
  <c r="M67" i="3"/>
  <c r="L67" i="3"/>
  <c r="P67" i="3"/>
  <c r="U66" i="3"/>
  <c r="AE66" i="3"/>
  <c r="N66" i="3"/>
  <c r="O66" i="3"/>
  <c r="M66" i="3"/>
  <c r="L66" i="3"/>
  <c r="P66" i="3"/>
  <c r="V66" i="3"/>
  <c r="U65" i="3"/>
  <c r="AE65" i="3"/>
  <c r="N65" i="3"/>
  <c r="M65" i="3"/>
  <c r="L65" i="3"/>
  <c r="P65" i="3"/>
  <c r="U64" i="3"/>
  <c r="AE64" i="3"/>
  <c r="N64" i="3"/>
  <c r="O64" i="3"/>
  <c r="M64" i="3"/>
  <c r="L64" i="3"/>
  <c r="P64" i="3"/>
  <c r="U63" i="3"/>
  <c r="AE63" i="3"/>
  <c r="N63" i="3"/>
  <c r="M63" i="3"/>
  <c r="L63" i="3"/>
  <c r="P63" i="3"/>
  <c r="U62" i="3"/>
  <c r="AE62" i="3"/>
  <c r="N62" i="3"/>
  <c r="M62" i="3"/>
  <c r="L62" i="3"/>
  <c r="P62" i="3"/>
  <c r="U61" i="3"/>
  <c r="AE61" i="3"/>
  <c r="N61" i="3"/>
  <c r="M61" i="3"/>
  <c r="L61" i="3"/>
  <c r="P61" i="3"/>
  <c r="U60" i="3"/>
  <c r="AE60" i="3"/>
  <c r="N60" i="3"/>
  <c r="M60" i="3"/>
  <c r="L60" i="3"/>
  <c r="P60" i="3"/>
  <c r="U59" i="3"/>
  <c r="AE59" i="3"/>
  <c r="N59" i="3"/>
  <c r="O59" i="3"/>
  <c r="M59" i="3"/>
  <c r="L59" i="3"/>
  <c r="P59" i="3"/>
  <c r="V59" i="3"/>
  <c r="U58" i="3"/>
  <c r="AE58" i="3"/>
  <c r="N58" i="3"/>
  <c r="O58" i="3"/>
  <c r="M58" i="3"/>
  <c r="L58" i="3"/>
  <c r="P58" i="3"/>
  <c r="U57" i="3"/>
  <c r="AE57" i="3"/>
  <c r="N57" i="3"/>
  <c r="O57" i="3"/>
  <c r="M57" i="3"/>
  <c r="L57" i="3"/>
  <c r="P57" i="3"/>
  <c r="V57" i="3"/>
  <c r="U56" i="3"/>
  <c r="AE56" i="3"/>
  <c r="N56" i="3"/>
  <c r="O56" i="3"/>
  <c r="M56" i="3"/>
  <c r="L56" i="3"/>
  <c r="P56" i="3"/>
  <c r="U55" i="3"/>
  <c r="AE55" i="3"/>
  <c r="N55" i="3"/>
  <c r="O55" i="3"/>
  <c r="M55" i="3"/>
  <c r="L55" i="3"/>
  <c r="P55" i="3"/>
  <c r="U54" i="3"/>
  <c r="AE54" i="3"/>
  <c r="N54" i="3"/>
  <c r="M54" i="3"/>
  <c r="L54" i="3"/>
  <c r="P54" i="3"/>
  <c r="U53" i="3"/>
  <c r="AE53" i="3"/>
  <c r="N53" i="3"/>
  <c r="M53" i="3"/>
  <c r="L53" i="3"/>
  <c r="P53" i="3"/>
  <c r="U52" i="3"/>
  <c r="AE52" i="3"/>
  <c r="N52" i="3"/>
  <c r="M52" i="3"/>
  <c r="L52" i="3"/>
  <c r="P52" i="3"/>
  <c r="V52" i="3"/>
  <c r="U51" i="3"/>
  <c r="AE51" i="3"/>
  <c r="N51" i="3"/>
  <c r="O51" i="3"/>
  <c r="M51" i="3"/>
  <c r="L51" i="3"/>
  <c r="P51" i="3"/>
  <c r="U50" i="3"/>
  <c r="AE50" i="3"/>
  <c r="N50" i="3"/>
  <c r="O50" i="3"/>
  <c r="M50" i="3"/>
  <c r="L50" i="3"/>
  <c r="P50" i="3"/>
  <c r="U49" i="3"/>
  <c r="AE49" i="3"/>
  <c r="N49" i="3"/>
  <c r="O49" i="3"/>
  <c r="M49" i="3"/>
  <c r="L49" i="3"/>
  <c r="P49" i="3"/>
  <c r="U48" i="3"/>
  <c r="AE48" i="3"/>
  <c r="N48" i="3"/>
  <c r="O48" i="3"/>
  <c r="M48" i="3"/>
  <c r="L48" i="3"/>
  <c r="P48" i="3"/>
  <c r="U47" i="3"/>
  <c r="AE47" i="3"/>
  <c r="N47" i="3"/>
  <c r="M47" i="3"/>
  <c r="L47" i="3"/>
  <c r="P47" i="3"/>
  <c r="V47" i="3"/>
  <c r="U46" i="3"/>
  <c r="AE46" i="3"/>
  <c r="N46" i="3"/>
  <c r="M46" i="3"/>
  <c r="L46" i="3"/>
  <c r="P46" i="3"/>
  <c r="U45" i="3"/>
  <c r="AE45" i="3"/>
  <c r="N45" i="3"/>
  <c r="M45" i="3"/>
  <c r="L45" i="3"/>
  <c r="P45" i="3"/>
  <c r="U44" i="3"/>
  <c r="AE44" i="3"/>
  <c r="N44" i="3"/>
  <c r="M44" i="3"/>
  <c r="L44" i="3"/>
  <c r="P44" i="3"/>
  <c r="U43" i="3"/>
  <c r="AE43" i="3"/>
  <c r="N43" i="3"/>
  <c r="O43" i="3"/>
  <c r="M43" i="3"/>
  <c r="U42" i="3"/>
  <c r="AE42" i="3"/>
  <c r="N42" i="3"/>
  <c r="O42" i="3"/>
  <c r="M42" i="3"/>
  <c r="L42" i="3"/>
  <c r="P42" i="3"/>
  <c r="V42" i="3"/>
  <c r="U41" i="3"/>
  <c r="AE41" i="3"/>
  <c r="N41" i="3"/>
  <c r="O41" i="3"/>
  <c r="M41" i="3"/>
  <c r="L41" i="3"/>
  <c r="P41" i="3"/>
  <c r="U40" i="3"/>
  <c r="AE40" i="3"/>
  <c r="N40" i="3"/>
  <c r="O40" i="3"/>
  <c r="M40" i="3"/>
  <c r="L40" i="3"/>
  <c r="P40" i="3"/>
  <c r="U39" i="3"/>
  <c r="AE39" i="3"/>
  <c r="N39" i="3"/>
  <c r="O39" i="3"/>
  <c r="M39" i="3"/>
  <c r="L39" i="3"/>
  <c r="P39" i="3"/>
  <c r="U38" i="3"/>
  <c r="AE38" i="3"/>
  <c r="N38" i="3"/>
  <c r="O38" i="3"/>
  <c r="M38" i="3"/>
  <c r="L38" i="3"/>
  <c r="P38" i="3"/>
  <c r="V38" i="3"/>
  <c r="U37" i="3"/>
  <c r="AE37" i="3"/>
  <c r="N37" i="3"/>
  <c r="O37" i="3"/>
  <c r="M37" i="3"/>
  <c r="L37" i="3"/>
  <c r="P37" i="3"/>
  <c r="U36" i="3"/>
  <c r="AE36" i="3"/>
  <c r="N36" i="3"/>
  <c r="M36" i="3"/>
  <c r="L36" i="3"/>
  <c r="P36" i="3"/>
  <c r="U35" i="3"/>
  <c r="AE35" i="3"/>
  <c r="N35" i="3"/>
  <c r="O35" i="3"/>
  <c r="M35" i="3"/>
  <c r="L35" i="3"/>
  <c r="P35" i="3"/>
  <c r="U34" i="3"/>
  <c r="AE34" i="3"/>
  <c r="N34" i="3"/>
  <c r="O34" i="3"/>
  <c r="M34" i="3"/>
  <c r="L34" i="3"/>
  <c r="P34" i="3"/>
  <c r="V34" i="3"/>
  <c r="U33" i="3"/>
  <c r="AE33" i="3"/>
  <c r="N33" i="3"/>
  <c r="O33" i="3"/>
  <c r="M33" i="3"/>
  <c r="L33" i="3"/>
  <c r="P33" i="3"/>
  <c r="V33" i="3"/>
  <c r="U32" i="3"/>
  <c r="AE32" i="3"/>
  <c r="N32" i="3"/>
  <c r="O32" i="3"/>
  <c r="M32" i="3"/>
  <c r="L32" i="3"/>
  <c r="P32" i="3"/>
  <c r="V32" i="3"/>
  <c r="U31" i="3"/>
  <c r="AE31" i="3"/>
  <c r="N31" i="3"/>
  <c r="O31" i="3"/>
  <c r="M31" i="3"/>
  <c r="L31" i="3"/>
  <c r="P31" i="3"/>
  <c r="U30" i="3"/>
  <c r="AE30" i="3"/>
  <c r="N30" i="3"/>
  <c r="M30" i="3"/>
  <c r="L30" i="3"/>
  <c r="P30" i="3"/>
  <c r="U29" i="3"/>
  <c r="AE29" i="3"/>
  <c r="N29" i="3"/>
  <c r="O29" i="3"/>
  <c r="M29" i="3"/>
  <c r="L29" i="3"/>
  <c r="P29" i="3"/>
  <c r="U28" i="3"/>
  <c r="AE28" i="3"/>
  <c r="N28" i="3"/>
  <c r="O28" i="3"/>
  <c r="M28" i="3"/>
  <c r="L28" i="3"/>
  <c r="P28" i="3"/>
  <c r="U27" i="3"/>
  <c r="AE27" i="3"/>
  <c r="N27" i="3"/>
  <c r="O27" i="3"/>
  <c r="M27" i="3"/>
  <c r="L27" i="3"/>
  <c r="P27" i="3"/>
  <c r="V27" i="3"/>
  <c r="U26" i="3"/>
  <c r="AE26" i="3"/>
  <c r="N26" i="3"/>
  <c r="O26" i="3"/>
  <c r="M26" i="3"/>
  <c r="L26" i="3"/>
  <c r="P26" i="3"/>
  <c r="V26" i="3"/>
  <c r="U25" i="3"/>
  <c r="AE25" i="3"/>
  <c r="N25" i="3"/>
  <c r="M25" i="3"/>
  <c r="L25" i="3"/>
  <c r="P25" i="3"/>
  <c r="U24" i="3"/>
  <c r="AE24" i="3"/>
  <c r="N24" i="3"/>
  <c r="O24" i="3"/>
  <c r="M24" i="3"/>
  <c r="L24" i="3"/>
  <c r="P24" i="3"/>
  <c r="V24" i="3"/>
  <c r="U23" i="3"/>
  <c r="AE23" i="3"/>
  <c r="N23" i="3"/>
  <c r="M23" i="3"/>
  <c r="L23" i="3"/>
  <c r="P23" i="3"/>
  <c r="U22" i="3"/>
  <c r="AE22" i="3"/>
  <c r="N22" i="3"/>
  <c r="O22" i="3"/>
  <c r="M22" i="3"/>
  <c r="L22" i="3"/>
  <c r="P22" i="3"/>
  <c r="U21" i="3"/>
  <c r="AE21" i="3"/>
  <c r="N21" i="3"/>
  <c r="O21" i="3"/>
  <c r="M21" i="3"/>
  <c r="L21" i="3"/>
  <c r="P21" i="3"/>
  <c r="U20" i="3"/>
  <c r="AE20" i="3"/>
  <c r="N20" i="3"/>
  <c r="O20" i="3"/>
  <c r="M20" i="3"/>
  <c r="L20" i="3"/>
  <c r="P20" i="3"/>
  <c r="U19" i="3"/>
  <c r="AE19" i="3"/>
  <c r="N19" i="3"/>
  <c r="M19" i="3"/>
  <c r="L19" i="3"/>
  <c r="P19" i="3"/>
  <c r="V19" i="3"/>
  <c r="U18" i="3"/>
  <c r="AE18" i="3"/>
  <c r="N18" i="3"/>
  <c r="O18" i="3"/>
  <c r="M18" i="3"/>
  <c r="L18" i="3"/>
  <c r="P18" i="3"/>
  <c r="U17" i="3"/>
  <c r="AE17" i="3"/>
  <c r="L17" i="3"/>
  <c r="P17" i="3"/>
  <c r="V17" i="3"/>
  <c r="U16" i="3"/>
  <c r="AE16" i="3"/>
  <c r="L16" i="3"/>
  <c r="P16" i="3"/>
  <c r="V16" i="3"/>
  <c r="V63" i="3"/>
  <c r="V138" i="3"/>
  <c r="V151" i="3"/>
  <c r="V159" i="3"/>
  <c r="V164" i="3"/>
  <c r="V46" i="3"/>
  <c r="V18" i="3"/>
  <c r="V70" i="3"/>
  <c r="V91" i="3"/>
  <c r="V99" i="3"/>
  <c r="V182" i="3"/>
  <c r="V195" i="3"/>
  <c r="V23" i="3"/>
  <c r="V41" i="3"/>
  <c r="V62" i="3"/>
  <c r="V67" i="3"/>
  <c r="V75" i="3"/>
  <c r="V80" i="3"/>
  <c r="V85" i="3"/>
  <c r="V93" i="3"/>
  <c r="V106" i="3"/>
  <c r="V116" i="3"/>
  <c r="V126" i="3"/>
  <c r="V136" i="3"/>
  <c r="V148" i="3"/>
  <c r="V169" i="3"/>
  <c r="V184" i="3"/>
  <c r="V223" i="3"/>
  <c r="V68" i="3"/>
  <c r="V180" i="3"/>
  <c r="V224" i="3"/>
  <c r="V58" i="3"/>
  <c r="V48" i="3"/>
  <c r="V74" i="3"/>
  <c r="V100" i="3"/>
  <c r="V105" i="3"/>
  <c r="V123" i="3"/>
  <c r="V130" i="3"/>
  <c r="V178" i="3"/>
  <c r="V183" i="3"/>
  <c r="V196" i="3"/>
  <c r="V51" i="3"/>
  <c r="V56" i="3"/>
  <c r="V64" i="3"/>
  <c r="V69" i="3"/>
  <c r="V77" i="3"/>
  <c r="V82" i="3"/>
  <c r="V87" i="3"/>
  <c r="V108" i="3"/>
  <c r="V21" i="3"/>
  <c r="V55" i="3"/>
  <c r="V30" i="3"/>
  <c r="V40" i="3"/>
  <c r="V45" i="3"/>
  <c r="V50" i="3"/>
  <c r="V65" i="3"/>
  <c r="V72" i="3"/>
  <c r="V94" i="3"/>
  <c r="V102" i="3"/>
  <c r="V107" i="3"/>
  <c r="V121" i="3"/>
  <c r="V147" i="3"/>
  <c r="V155" i="3"/>
  <c r="V165" i="3"/>
  <c r="V179" i="3"/>
  <c r="V236" i="3"/>
  <c r="V28" i="3"/>
  <c r="V53" i="3"/>
  <c r="V60" i="3"/>
  <c r="V79" i="3"/>
  <c r="V84" i="3"/>
  <c r="V89" i="3"/>
  <c r="V97" i="3"/>
  <c r="V110" i="3"/>
  <c r="V119" i="3"/>
  <c r="V133" i="3"/>
  <c r="V140" i="3"/>
  <c r="V142" i="3"/>
  <c r="V150" i="3"/>
  <c r="V158" i="3"/>
  <c r="V163" i="3"/>
  <c r="V168" i="3"/>
  <c r="V194" i="3"/>
  <c r="V204" i="3"/>
  <c r="V212" i="3"/>
  <c r="V187" i="3"/>
  <c r="V192" i="3"/>
  <c r="V207" i="3"/>
  <c r="V215" i="3"/>
  <c r="V234" i="3"/>
  <c r="V31" i="3"/>
  <c r="V20" i="3"/>
  <c r="V25" i="3"/>
  <c r="V54" i="3"/>
  <c r="V61" i="3"/>
  <c r="V98" i="3"/>
  <c r="V39" i="3"/>
  <c r="V44" i="3"/>
  <c r="V49" i="3"/>
  <c r="V71" i="3"/>
  <c r="V83" i="3"/>
  <c r="V139" i="3"/>
  <c r="V141" i="3"/>
  <c r="V188" i="3"/>
  <c r="V76" i="3"/>
  <c r="V118" i="3"/>
  <c r="V132" i="3"/>
  <c r="V149" i="3"/>
  <c r="V157" i="3"/>
  <c r="V167" i="3"/>
  <c r="V193" i="3"/>
  <c r="V203" i="3"/>
  <c r="V211" i="3"/>
  <c r="V37" i="3"/>
  <c r="O63" i="3"/>
  <c r="L95" i="3"/>
  <c r="P95" i="3"/>
  <c r="V95" i="3"/>
  <c r="O54" i="3"/>
  <c r="O148" i="3"/>
  <c r="O136" i="3"/>
  <c r="O82" i="3"/>
  <c r="O91" i="3"/>
  <c r="O123" i="3"/>
  <c r="O132" i="3"/>
  <c r="V29" i="3"/>
  <c r="V36" i="3"/>
  <c r="O116" i="3"/>
  <c r="O156" i="3"/>
  <c r="O30" i="3"/>
  <c r="O62" i="3"/>
  <c r="V101" i="3"/>
  <c r="O47" i="3"/>
  <c r="O90" i="3"/>
  <c r="O108" i="3"/>
  <c r="V22" i="3"/>
  <c r="O19" i="3"/>
  <c r="V35" i="3"/>
  <c r="V120" i="3"/>
  <c r="O73" i="3"/>
  <c r="V92" i="3"/>
  <c r="O17" i="3"/>
  <c r="O23" i="3"/>
  <c r="O25" i="3"/>
  <c r="O16" i="3"/>
  <c r="O45" i="3"/>
  <c r="O100" i="3"/>
  <c r="O52" i="3"/>
  <c r="O61" i="3"/>
  <c r="O68" i="3"/>
  <c r="O46" i="3"/>
  <c r="L43" i="3"/>
  <c r="P43" i="3"/>
  <c r="V43" i="3"/>
  <c r="O44" i="3"/>
  <c r="O53" i="3"/>
  <c r="O36" i="3"/>
  <c r="L88" i="3"/>
  <c r="P88" i="3"/>
  <c r="V88" i="3"/>
  <c r="V128" i="3"/>
  <c r="O60" i="3"/>
  <c r="O65" i="3"/>
  <c r="L113" i="3"/>
  <c r="P113" i="3"/>
  <c r="V113" i="3"/>
  <c r="O131" i="3"/>
  <c r="O74" i="3"/>
  <c r="O97" i="3"/>
  <c r="V112" i="3"/>
  <c r="O81" i="3"/>
  <c r="O89" i="3"/>
  <c r="L96" i="3"/>
  <c r="P96" i="3"/>
  <c r="V96" i="3"/>
  <c r="V114" i="3"/>
  <c r="O130" i="3"/>
  <c r="O84" i="3"/>
  <c r="O92" i="3"/>
  <c r="O102" i="3"/>
  <c r="O115" i="3"/>
  <c r="V117" i="3"/>
  <c r="O142" i="3"/>
  <c r="O151" i="3"/>
  <c r="O147" i="3"/>
  <c r="L135" i="3"/>
  <c r="P135" i="3"/>
  <c r="V135" i="3"/>
  <c r="O144" i="3"/>
  <c r="O159" i="3"/>
  <c r="V109" i="3"/>
  <c r="V143" i="3"/>
  <c r="O165" i="3"/>
  <c r="V174" i="3"/>
  <c r="V213" i="3"/>
  <c r="V214" i="3"/>
  <c r="V217" i="3"/>
  <c r="V154" i="3"/>
  <c r="O167" i="3"/>
  <c r="V156" i="3"/>
  <c r="O157" i="3"/>
  <c r="V166" i="3"/>
  <c r="V185" i="3"/>
  <c r="V189" i="3"/>
  <c r="V181" i="3"/>
  <c r="O134" i="3"/>
  <c r="O149" i="3"/>
  <c r="O150" i="3"/>
  <c r="V197" i="3"/>
  <c r="V205" i="3"/>
  <c r="L162" i="3"/>
  <c r="P162" i="3"/>
  <c r="L170" i="3"/>
  <c r="P170" i="3"/>
  <c r="V190" i="3"/>
  <c r="V221" i="3"/>
  <c r="V222" i="3"/>
  <c r="V225" i="3"/>
  <c r="V198" i="3"/>
  <c r="V206" i="3"/>
  <c r="V233" i="3"/>
  <c r="F237" i="3"/>
  <c r="F236" i="3"/>
  <c r="F235" i="3"/>
  <c r="F234" i="3"/>
  <c r="F233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I237" i="3"/>
  <c r="I236" i="3"/>
  <c r="I235" i="3"/>
  <c r="I234" i="3"/>
  <c r="I233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R237" i="3"/>
  <c r="AB237" i="3"/>
  <c r="R236" i="3"/>
  <c r="AB236" i="3"/>
  <c r="R235" i="3"/>
  <c r="R227" i="3"/>
  <c r="R224" i="3"/>
  <c r="AB224" i="3"/>
  <c r="R223" i="3"/>
  <c r="R222" i="3"/>
  <c r="R220" i="3"/>
  <c r="AB220" i="3"/>
  <c r="R219" i="3"/>
  <c r="R216" i="3"/>
  <c r="AB216" i="3"/>
  <c r="R215" i="3"/>
  <c r="R214" i="3"/>
  <c r="R212" i="3"/>
  <c r="AB212" i="3"/>
  <c r="R211" i="3"/>
  <c r="R208" i="3"/>
  <c r="AB208" i="3"/>
  <c r="R207" i="3"/>
  <c r="R206" i="3"/>
  <c r="R204" i="3"/>
  <c r="AB204" i="3"/>
  <c r="R203" i="3"/>
  <c r="R200" i="3"/>
  <c r="AB200" i="3"/>
  <c r="R199" i="3"/>
  <c r="R198" i="3"/>
  <c r="R197" i="3"/>
  <c r="R196" i="3"/>
  <c r="AB196" i="3"/>
  <c r="R195" i="3"/>
  <c r="R192" i="3"/>
  <c r="AB192" i="3"/>
  <c r="R191" i="3"/>
  <c r="R190" i="3"/>
  <c r="R188" i="3"/>
  <c r="AB188" i="3"/>
  <c r="R187" i="3"/>
  <c r="R183" i="3"/>
  <c r="R182" i="3"/>
  <c r="R181" i="3"/>
  <c r="R180" i="3"/>
  <c r="AB180" i="3"/>
  <c r="R179" i="3"/>
  <c r="R174" i="3"/>
  <c r="R173" i="3"/>
  <c r="AB173" i="3"/>
  <c r="R172" i="3"/>
  <c r="AB172" i="3"/>
  <c r="R171" i="3"/>
  <c r="R170" i="3"/>
  <c r="AB170" i="3"/>
  <c r="R169" i="3"/>
  <c r="R168" i="3"/>
  <c r="AB168" i="3"/>
  <c r="R167" i="3"/>
  <c r="AB167" i="3"/>
  <c r="R166" i="3"/>
  <c r="AB166" i="3"/>
  <c r="R165" i="3"/>
  <c r="AB165" i="3"/>
  <c r="R164" i="3"/>
  <c r="AB164" i="3"/>
  <c r="R163" i="3"/>
  <c r="R162" i="3"/>
  <c r="AB162" i="3"/>
  <c r="R161" i="3"/>
  <c r="R160" i="3"/>
  <c r="AB160" i="3"/>
  <c r="R159" i="3"/>
  <c r="AB159" i="3"/>
  <c r="R158" i="3"/>
  <c r="AB158" i="3"/>
  <c r="R157" i="3"/>
  <c r="AB157" i="3"/>
  <c r="R156" i="3"/>
  <c r="AB156" i="3"/>
  <c r="R155" i="3"/>
  <c r="AB155" i="3"/>
  <c r="R154" i="3"/>
  <c r="R153" i="3"/>
  <c r="R152" i="3"/>
  <c r="AB152" i="3"/>
  <c r="R151" i="3"/>
  <c r="AB151" i="3"/>
  <c r="R150" i="3"/>
  <c r="AB150" i="3"/>
  <c r="R149" i="3"/>
  <c r="AB149" i="3"/>
  <c r="R148" i="3"/>
  <c r="AB148" i="3"/>
  <c r="R147" i="3"/>
  <c r="AB147" i="3"/>
  <c r="R146" i="3"/>
  <c r="R145" i="3"/>
  <c r="AB145" i="3"/>
  <c r="R144" i="3"/>
  <c r="AB144" i="3"/>
  <c r="R143" i="3"/>
  <c r="R142" i="3"/>
  <c r="AB142" i="3"/>
  <c r="R141" i="3"/>
  <c r="AB141" i="3"/>
  <c r="R140" i="3"/>
  <c r="AB140" i="3"/>
  <c r="R139" i="3"/>
  <c r="AB139" i="3"/>
  <c r="R138" i="3"/>
  <c r="R137" i="3"/>
  <c r="R136" i="3"/>
  <c r="AB136" i="3"/>
  <c r="R135" i="3"/>
  <c r="AB135" i="3"/>
  <c r="R134" i="3"/>
  <c r="AB134" i="3"/>
  <c r="R133" i="3"/>
  <c r="AB133" i="3"/>
  <c r="R132" i="3"/>
  <c r="AB132" i="3"/>
  <c r="R131" i="3"/>
  <c r="AB131" i="3"/>
  <c r="R130" i="3"/>
  <c r="AB130" i="3"/>
  <c r="R129" i="3"/>
  <c r="AB129" i="3"/>
  <c r="R128" i="3"/>
  <c r="AB128" i="3"/>
  <c r="R127" i="3"/>
  <c r="R126" i="3"/>
  <c r="R124" i="3"/>
  <c r="AB124" i="3"/>
  <c r="R123" i="3"/>
  <c r="AB123" i="3"/>
  <c r="R122" i="3"/>
  <c r="R121" i="3"/>
  <c r="AB121" i="3"/>
  <c r="R120" i="3"/>
  <c r="AB120" i="3"/>
  <c r="R119" i="3"/>
  <c r="AB119" i="3"/>
  <c r="R118" i="3"/>
  <c r="R116" i="3"/>
  <c r="AB116" i="3"/>
  <c r="R115" i="3"/>
  <c r="AB115" i="3"/>
  <c r="R114" i="3"/>
  <c r="R113" i="3"/>
  <c r="AB113" i="3"/>
  <c r="R112" i="3"/>
  <c r="AB112" i="3"/>
  <c r="R111" i="3"/>
  <c r="AB111" i="3"/>
  <c r="R110" i="3"/>
  <c r="R109" i="3"/>
  <c r="AB109" i="3"/>
  <c r="R108" i="3"/>
  <c r="R106" i="3"/>
  <c r="AB106" i="3"/>
  <c r="R105" i="3"/>
  <c r="AB105" i="3"/>
  <c r="R104" i="3"/>
  <c r="AB104" i="3"/>
  <c r="R103" i="3"/>
  <c r="AB103" i="3"/>
  <c r="R102" i="3"/>
  <c r="AB102" i="3"/>
  <c r="R101" i="3"/>
  <c r="AB101" i="3"/>
  <c r="R100" i="3"/>
  <c r="AB100" i="3"/>
  <c r="R99" i="3"/>
  <c r="AB99" i="3"/>
  <c r="R98" i="3"/>
  <c r="AB98" i="3"/>
  <c r="R97" i="3"/>
  <c r="AB97" i="3"/>
  <c r="R95" i="3"/>
  <c r="AB95" i="3"/>
  <c r="R94" i="3"/>
  <c r="R93" i="3"/>
  <c r="R92" i="3"/>
  <c r="AB92" i="3"/>
  <c r="R91" i="3"/>
  <c r="AB91" i="3"/>
  <c r="R90" i="3"/>
  <c r="AB90" i="3"/>
  <c r="R89" i="3"/>
  <c r="AB89" i="3"/>
  <c r="R88" i="3"/>
  <c r="AB88" i="3"/>
  <c r="R87" i="3"/>
  <c r="AB87" i="3"/>
  <c r="R86" i="3"/>
  <c r="R85" i="3"/>
  <c r="R84" i="3"/>
  <c r="AB84" i="3"/>
  <c r="R83" i="3"/>
  <c r="AB83" i="3"/>
  <c r="R82" i="3"/>
  <c r="AB82" i="3"/>
  <c r="R81" i="3"/>
  <c r="AB81" i="3"/>
  <c r="R80" i="3"/>
  <c r="R78" i="3"/>
  <c r="R77" i="3"/>
  <c r="R76" i="3"/>
  <c r="AB76" i="3"/>
  <c r="R75" i="3"/>
  <c r="AB75" i="3"/>
  <c r="R74" i="3"/>
  <c r="AB74" i="3"/>
  <c r="R73" i="3"/>
  <c r="AB73" i="3"/>
  <c r="R72" i="3"/>
  <c r="AB72" i="3"/>
  <c r="R70" i="3"/>
  <c r="AB70" i="3"/>
  <c r="R69" i="3"/>
  <c r="R68" i="3"/>
  <c r="AB68" i="3"/>
  <c r="R67" i="3"/>
  <c r="AB67" i="3"/>
  <c r="R66" i="3"/>
  <c r="R65" i="3"/>
  <c r="AB65" i="3"/>
  <c r="R64" i="3"/>
  <c r="R62" i="3"/>
  <c r="AB62" i="3"/>
  <c r="R61" i="3"/>
  <c r="AB61" i="3"/>
  <c r="R60" i="3"/>
  <c r="AB60" i="3"/>
  <c r="R59" i="3"/>
  <c r="AB59" i="3"/>
  <c r="R58" i="3"/>
  <c r="R57" i="3"/>
  <c r="R56" i="3"/>
  <c r="R54" i="3"/>
  <c r="AB54" i="3"/>
  <c r="R53" i="3"/>
  <c r="R52" i="3"/>
  <c r="AB52" i="3"/>
  <c r="R51" i="3"/>
  <c r="AB51" i="3"/>
  <c r="R50" i="3"/>
  <c r="R49" i="3"/>
  <c r="R48" i="3"/>
  <c r="R47" i="3"/>
  <c r="AB47" i="3"/>
  <c r="R46" i="3"/>
  <c r="AB46" i="3"/>
  <c r="R45" i="3"/>
  <c r="AB45" i="3"/>
  <c r="R44" i="3"/>
  <c r="AB44" i="3"/>
  <c r="R43" i="3"/>
  <c r="AB43" i="3"/>
  <c r="R42" i="3"/>
  <c r="R41" i="3"/>
  <c r="R40" i="3"/>
  <c r="R39" i="3"/>
  <c r="AB39" i="3"/>
  <c r="R38" i="3"/>
  <c r="AB38" i="3"/>
  <c r="R37" i="3"/>
  <c r="R36" i="3"/>
  <c r="AB36" i="3"/>
  <c r="R35" i="3"/>
  <c r="AB35" i="3"/>
  <c r="R34" i="3"/>
  <c r="AB34" i="3"/>
  <c r="R33" i="3"/>
  <c r="R32" i="3"/>
  <c r="AB32" i="3"/>
  <c r="R31" i="3"/>
  <c r="AB31" i="3"/>
  <c r="R30" i="3"/>
  <c r="AB30" i="3"/>
  <c r="R29" i="3"/>
  <c r="R28" i="3"/>
  <c r="AB28" i="3"/>
  <c r="R27" i="3"/>
  <c r="R26" i="3"/>
  <c r="AB26" i="3"/>
  <c r="R25" i="3"/>
  <c r="AB25" i="3"/>
  <c r="R24" i="3"/>
  <c r="R23" i="3"/>
  <c r="AB23" i="3"/>
  <c r="R22" i="3"/>
  <c r="AB22" i="3"/>
  <c r="R21" i="3"/>
  <c r="AB21" i="3"/>
  <c r="R20" i="3"/>
  <c r="R19" i="3"/>
  <c r="AB19" i="3"/>
  <c r="R18" i="3"/>
  <c r="AB18" i="3"/>
  <c r="R17" i="3"/>
  <c r="AB17" i="3"/>
  <c r="R16" i="3"/>
  <c r="AB16" i="3"/>
  <c r="K302" i="5"/>
  <c r="S302" i="5" s="1"/>
  <c r="X48" i="3"/>
  <c r="AB48" i="3"/>
  <c r="Q110" i="3"/>
  <c r="AB110" i="3"/>
  <c r="Q56" i="3"/>
  <c r="AB56" i="3"/>
  <c r="Q118" i="3"/>
  <c r="AB118" i="3"/>
  <c r="S127" i="3"/>
  <c r="Y127" i="3"/>
  <c r="AB127" i="3"/>
  <c r="Q143" i="3"/>
  <c r="AB143" i="3"/>
  <c r="S190" i="3"/>
  <c r="Y190" i="3"/>
  <c r="AB190" i="3"/>
  <c r="S214" i="3"/>
  <c r="Y214" i="3"/>
  <c r="AB214" i="3"/>
  <c r="X227" i="3"/>
  <c r="AB227" i="3"/>
  <c r="X40" i="3"/>
  <c r="AB40" i="3"/>
  <c r="X215" i="3"/>
  <c r="AB215" i="3"/>
  <c r="Q33" i="3"/>
  <c r="AB33" i="3"/>
  <c r="Q49" i="3"/>
  <c r="AB49" i="3"/>
  <c r="Q85" i="3"/>
  <c r="AB85" i="3"/>
  <c r="Q93" i="3"/>
  <c r="AB93" i="3"/>
  <c r="Q137" i="3"/>
  <c r="AB137" i="3"/>
  <c r="S153" i="3"/>
  <c r="Y153" i="3"/>
  <c r="AB153" i="3"/>
  <c r="X161" i="3"/>
  <c r="AB161" i="3"/>
  <c r="X169" i="3"/>
  <c r="AB169" i="3"/>
  <c r="X24" i="3"/>
  <c r="AB24" i="3"/>
  <c r="X203" i="3"/>
  <c r="AB203" i="3"/>
  <c r="Q41" i="3"/>
  <c r="AB41" i="3"/>
  <c r="S58" i="3"/>
  <c r="Y58" i="3"/>
  <c r="AB58" i="3"/>
  <c r="S42" i="3"/>
  <c r="Y42" i="3"/>
  <c r="AB42" i="3"/>
  <c r="S50" i="3"/>
  <c r="Y50" i="3"/>
  <c r="AB50" i="3"/>
  <c r="Q77" i="3"/>
  <c r="AB77" i="3"/>
  <c r="X86" i="3"/>
  <c r="AB86" i="3"/>
  <c r="S94" i="3"/>
  <c r="Y94" i="3"/>
  <c r="AB94" i="3"/>
  <c r="S138" i="3"/>
  <c r="Y138" i="3"/>
  <c r="AB138" i="3"/>
  <c r="S146" i="3"/>
  <c r="Y146" i="3"/>
  <c r="AB146" i="3"/>
  <c r="Q154" i="3"/>
  <c r="AB154" i="3"/>
  <c r="S181" i="3"/>
  <c r="Y181" i="3"/>
  <c r="AB181" i="3"/>
  <c r="X195" i="3"/>
  <c r="AB195" i="3"/>
  <c r="S206" i="3"/>
  <c r="Y206" i="3"/>
  <c r="AB206" i="3"/>
  <c r="X219" i="3"/>
  <c r="AB219" i="3"/>
  <c r="S27" i="3"/>
  <c r="Y27" i="3"/>
  <c r="AB27" i="3"/>
  <c r="S69" i="3"/>
  <c r="Y69" i="3"/>
  <c r="AB69" i="3"/>
  <c r="S78" i="3"/>
  <c r="Y78" i="3"/>
  <c r="AB78" i="3"/>
  <c r="Q122" i="3"/>
  <c r="AB122" i="3"/>
  <c r="Q163" i="3"/>
  <c r="AB163" i="3"/>
  <c r="S171" i="3"/>
  <c r="Y171" i="3"/>
  <c r="AB171" i="3"/>
  <c r="X182" i="3"/>
  <c r="AB182" i="3"/>
  <c r="Q207" i="3"/>
  <c r="AB207" i="3"/>
  <c r="X66" i="3"/>
  <c r="AB66" i="3"/>
  <c r="X191" i="3"/>
  <c r="AB191" i="3"/>
  <c r="S80" i="3"/>
  <c r="Y80" i="3"/>
  <c r="AB80" i="3"/>
  <c r="S114" i="3"/>
  <c r="Y114" i="3"/>
  <c r="AB114" i="3"/>
  <c r="X183" i="3"/>
  <c r="AB183" i="3"/>
  <c r="S197" i="3"/>
  <c r="Y197" i="3"/>
  <c r="AB197" i="3"/>
  <c r="S222" i="3"/>
  <c r="Y222" i="3"/>
  <c r="AB222" i="3"/>
  <c r="X57" i="3"/>
  <c r="AB57" i="3"/>
  <c r="Q179" i="3"/>
  <c r="AB179" i="3"/>
  <c r="S37" i="3"/>
  <c r="Y37" i="3"/>
  <c r="AB37" i="3"/>
  <c r="S53" i="3"/>
  <c r="Y53" i="3"/>
  <c r="AB53" i="3"/>
  <c r="X187" i="3"/>
  <c r="AB187" i="3"/>
  <c r="S198" i="3"/>
  <c r="Y198" i="3"/>
  <c r="AB198" i="3"/>
  <c r="S211" i="3"/>
  <c r="Y211" i="3"/>
  <c r="AB211" i="3"/>
  <c r="S223" i="3"/>
  <c r="Y223" i="3"/>
  <c r="AB223" i="3"/>
  <c r="S235" i="3"/>
  <c r="Y235" i="3"/>
  <c r="AB235" i="3"/>
  <c r="Q20" i="3"/>
  <c r="AB20" i="3"/>
  <c r="S29" i="3"/>
  <c r="Y29" i="3"/>
  <c r="AB29" i="3"/>
  <c r="S64" i="3"/>
  <c r="Y64" i="3"/>
  <c r="AB64" i="3"/>
  <c r="X108" i="3"/>
  <c r="AB108" i="3"/>
  <c r="X126" i="3"/>
  <c r="AB126" i="3"/>
  <c r="S174" i="3"/>
  <c r="Y174" i="3"/>
  <c r="AB174" i="3"/>
  <c r="X199" i="3"/>
  <c r="AB199" i="3"/>
  <c r="R178" i="3"/>
  <c r="W215" i="3"/>
  <c r="X56" i="3"/>
  <c r="X198" i="3"/>
  <c r="Q182" i="3"/>
  <c r="S169" i="3"/>
  <c r="Y169" i="3"/>
  <c r="Q40" i="3"/>
  <c r="Q203" i="3"/>
  <c r="Q80" i="3"/>
  <c r="S77" i="3"/>
  <c r="Y77" i="3"/>
  <c r="X223" i="3"/>
  <c r="Q94" i="3"/>
  <c r="X235" i="3"/>
  <c r="S179" i="3"/>
  <c r="Y179" i="3"/>
  <c r="S182" i="3"/>
  <c r="Y182" i="3"/>
  <c r="X94" i="3"/>
  <c r="Q42" i="3"/>
  <c r="Q181" i="3"/>
  <c r="X29" i="3"/>
  <c r="S215" i="3"/>
  <c r="Y215" i="3"/>
  <c r="X85" i="3"/>
  <c r="X146" i="3"/>
  <c r="S85" i="3"/>
  <c r="Y85" i="3"/>
  <c r="X179" i="3"/>
  <c r="S118" i="3"/>
  <c r="Y118" i="3"/>
  <c r="Q48" i="3"/>
  <c r="Q199" i="3"/>
  <c r="X114" i="3"/>
  <c r="X80" i="3"/>
  <c r="S25" i="3"/>
  <c r="Y25" i="3"/>
  <c r="Q25" i="3"/>
  <c r="X25" i="3"/>
  <c r="S123" i="3"/>
  <c r="Y123" i="3"/>
  <c r="Q123" i="3"/>
  <c r="X123" i="3"/>
  <c r="S139" i="3"/>
  <c r="Y139" i="3"/>
  <c r="Q139" i="3"/>
  <c r="X139" i="3"/>
  <c r="S17" i="3"/>
  <c r="Y17" i="3"/>
  <c r="Q17" i="3"/>
  <c r="X17" i="3"/>
  <c r="Q51" i="3"/>
  <c r="X51" i="3"/>
  <c r="S51" i="3"/>
  <c r="Y51" i="3"/>
  <c r="R71" i="3"/>
  <c r="AB71" i="3"/>
  <c r="Q87" i="3"/>
  <c r="X87" i="3"/>
  <c r="S87" i="3"/>
  <c r="Y87" i="3"/>
  <c r="S35" i="3"/>
  <c r="Y35" i="3"/>
  <c r="X35" i="3"/>
  <c r="Q35" i="3"/>
  <c r="S124" i="3"/>
  <c r="Y124" i="3"/>
  <c r="Q124" i="3"/>
  <c r="X124" i="3"/>
  <c r="S140" i="3"/>
  <c r="Y140" i="3"/>
  <c r="X140" i="3"/>
  <c r="Q140" i="3"/>
  <c r="R184" i="3"/>
  <c r="AB184" i="3"/>
  <c r="Q200" i="3"/>
  <c r="S200" i="3"/>
  <c r="Y200" i="3"/>
  <c r="X200" i="3"/>
  <c r="S208" i="3"/>
  <c r="Y208" i="3"/>
  <c r="X208" i="3"/>
  <c r="Q208" i="3"/>
  <c r="S212" i="3"/>
  <c r="Y212" i="3"/>
  <c r="Q212" i="3"/>
  <c r="X212" i="3"/>
  <c r="S224" i="3"/>
  <c r="Y224" i="3"/>
  <c r="X224" i="3"/>
  <c r="Q224" i="3"/>
  <c r="Q236" i="3"/>
  <c r="S236" i="3"/>
  <c r="Y236" i="3"/>
  <c r="X236" i="3"/>
  <c r="Q119" i="3"/>
  <c r="X119" i="3"/>
  <c r="S119" i="3"/>
  <c r="Y119" i="3"/>
  <c r="R63" i="3"/>
  <c r="AB63" i="3"/>
  <c r="S95" i="3"/>
  <c r="Y95" i="3"/>
  <c r="Q95" i="3"/>
  <c r="X95" i="3"/>
  <c r="X26" i="3"/>
  <c r="S26" i="3"/>
  <c r="Y26" i="3"/>
  <c r="Q26" i="3"/>
  <c r="X120" i="3"/>
  <c r="S120" i="3"/>
  <c r="Y120" i="3"/>
  <c r="Q120" i="3"/>
  <c r="X152" i="3"/>
  <c r="S152" i="3"/>
  <c r="Y152" i="3"/>
  <c r="Q152" i="3"/>
  <c r="Q192" i="3"/>
  <c r="X192" i="3"/>
  <c r="S192" i="3"/>
  <c r="Y192" i="3"/>
  <c r="S220" i="3"/>
  <c r="Y220" i="3"/>
  <c r="Q220" i="3"/>
  <c r="X220" i="3"/>
  <c r="S31" i="3"/>
  <c r="Y31" i="3"/>
  <c r="Q31" i="3"/>
  <c r="X31" i="3"/>
  <c r="S84" i="3"/>
  <c r="Y84" i="3"/>
  <c r="X84" i="3"/>
  <c r="Q84" i="3"/>
  <c r="X92" i="3"/>
  <c r="Q92" i="3"/>
  <c r="S92" i="3"/>
  <c r="Y92" i="3"/>
  <c r="X47" i="3"/>
  <c r="S47" i="3"/>
  <c r="Y47" i="3"/>
  <c r="Q47" i="3"/>
  <c r="X83" i="3"/>
  <c r="S83" i="3"/>
  <c r="Y83" i="3"/>
  <c r="Q83" i="3"/>
  <c r="R107" i="3"/>
  <c r="AB107" i="3"/>
  <c r="X112" i="3"/>
  <c r="S112" i="3"/>
  <c r="Y112" i="3"/>
  <c r="Q112" i="3"/>
  <c r="S136" i="3"/>
  <c r="Y136" i="3"/>
  <c r="Q136" i="3"/>
  <c r="X136" i="3"/>
  <c r="S160" i="3"/>
  <c r="Y160" i="3"/>
  <c r="X160" i="3"/>
  <c r="Q160" i="3"/>
  <c r="Q180" i="3"/>
  <c r="S180" i="3"/>
  <c r="Y180" i="3"/>
  <c r="X180" i="3"/>
  <c r="Q196" i="3"/>
  <c r="S196" i="3"/>
  <c r="Y196" i="3"/>
  <c r="X196" i="3"/>
  <c r="X216" i="3"/>
  <c r="S216" i="3"/>
  <c r="Y216" i="3"/>
  <c r="Q216" i="3"/>
  <c r="S18" i="3"/>
  <c r="Y18" i="3"/>
  <c r="Q18" i="3"/>
  <c r="X18" i="3"/>
  <c r="S121" i="3"/>
  <c r="Y121" i="3"/>
  <c r="X121" i="3"/>
  <c r="Q121" i="3"/>
  <c r="X129" i="3"/>
  <c r="Q129" i="3"/>
  <c r="S129" i="3"/>
  <c r="Y129" i="3"/>
  <c r="Q141" i="3"/>
  <c r="X141" i="3"/>
  <c r="S141" i="3"/>
  <c r="Y141" i="3"/>
  <c r="S149" i="3"/>
  <c r="Y149" i="3"/>
  <c r="Q149" i="3"/>
  <c r="X149" i="3"/>
  <c r="S111" i="3"/>
  <c r="Y111" i="3"/>
  <c r="Q111" i="3"/>
  <c r="X111" i="3"/>
  <c r="S131" i="3"/>
  <c r="Y131" i="3"/>
  <c r="Q131" i="3"/>
  <c r="X131" i="3"/>
  <c r="X30" i="3"/>
  <c r="S30" i="3"/>
  <c r="Y30" i="3"/>
  <c r="Q30" i="3"/>
  <c r="Q59" i="3"/>
  <c r="X59" i="3"/>
  <c r="S59" i="3"/>
  <c r="Y59" i="3"/>
  <c r="R79" i="3"/>
  <c r="AB79" i="3"/>
  <c r="Q103" i="3"/>
  <c r="S103" i="3"/>
  <c r="Y103" i="3"/>
  <c r="X103" i="3"/>
  <c r="S132" i="3"/>
  <c r="Y132" i="3"/>
  <c r="Q132" i="3"/>
  <c r="X132" i="3"/>
  <c r="S148" i="3"/>
  <c r="Y148" i="3"/>
  <c r="X148" i="3"/>
  <c r="Q148" i="3"/>
  <c r="S172" i="3"/>
  <c r="Y172" i="3"/>
  <c r="Q172" i="3"/>
  <c r="X172" i="3"/>
  <c r="S204" i="3"/>
  <c r="Y204" i="3"/>
  <c r="X204" i="3"/>
  <c r="Q204" i="3"/>
  <c r="Q19" i="3"/>
  <c r="S19" i="3"/>
  <c r="Y19" i="3"/>
  <c r="X19" i="3"/>
  <c r="X34" i="3"/>
  <c r="S34" i="3"/>
  <c r="Y34" i="3"/>
  <c r="Q34" i="3"/>
  <c r="Q151" i="3"/>
  <c r="X151" i="3"/>
  <c r="S151" i="3"/>
  <c r="Y151" i="3"/>
  <c r="X21" i="3"/>
  <c r="Q21" i="3"/>
  <c r="S21" i="3"/>
  <c r="Y21" i="3"/>
  <c r="R55" i="3"/>
  <c r="AB55" i="3"/>
  <c r="S99" i="3"/>
  <c r="Y99" i="3"/>
  <c r="Q99" i="3"/>
  <c r="X99" i="3"/>
  <c r="Q39" i="3"/>
  <c r="S39" i="3"/>
  <c r="Y39" i="3"/>
  <c r="X39" i="3"/>
  <c r="X128" i="3"/>
  <c r="S128" i="3"/>
  <c r="Y128" i="3"/>
  <c r="Q128" i="3"/>
  <c r="X144" i="3"/>
  <c r="S144" i="3"/>
  <c r="Y144" i="3"/>
  <c r="Q144" i="3"/>
  <c r="X168" i="3"/>
  <c r="S168" i="3"/>
  <c r="Y168" i="3"/>
  <c r="Q168" i="3"/>
  <c r="X188" i="3"/>
  <c r="S188" i="3"/>
  <c r="Y188" i="3"/>
  <c r="Q188" i="3"/>
  <c r="S134" i="3"/>
  <c r="Y134" i="3"/>
  <c r="Q134" i="3"/>
  <c r="X134" i="3"/>
  <c r="S162" i="3"/>
  <c r="Y162" i="3"/>
  <c r="X162" i="3"/>
  <c r="S166" i="3"/>
  <c r="Y166" i="3"/>
  <c r="Q166" i="3"/>
  <c r="X166" i="3"/>
  <c r="S170" i="3"/>
  <c r="Y170" i="3"/>
  <c r="X170" i="3"/>
  <c r="S38" i="3"/>
  <c r="Y38" i="3"/>
  <c r="X38" i="3"/>
  <c r="Q38" i="3"/>
  <c r="S115" i="3"/>
  <c r="Y115" i="3"/>
  <c r="Q115" i="3"/>
  <c r="X115" i="3"/>
  <c r="S135" i="3"/>
  <c r="Y135" i="3"/>
  <c r="X135" i="3"/>
  <c r="S43" i="3"/>
  <c r="Y43" i="3"/>
  <c r="X43" i="3"/>
  <c r="S91" i="3"/>
  <c r="Y91" i="3"/>
  <c r="Q91" i="3"/>
  <c r="X91" i="3"/>
  <c r="X116" i="3"/>
  <c r="S116" i="3"/>
  <c r="Y116" i="3"/>
  <c r="Q116" i="3"/>
  <c r="S156" i="3"/>
  <c r="Y156" i="3"/>
  <c r="X156" i="3"/>
  <c r="Q156" i="3"/>
  <c r="Q16" i="3"/>
  <c r="X16" i="3"/>
  <c r="S16" i="3"/>
  <c r="Y16" i="3"/>
  <c r="S46" i="3"/>
  <c r="Y46" i="3"/>
  <c r="X46" i="3"/>
  <c r="Q46" i="3"/>
  <c r="X54" i="3"/>
  <c r="S54" i="3"/>
  <c r="Y54" i="3"/>
  <c r="Q54" i="3"/>
  <c r="S62" i="3"/>
  <c r="Y62" i="3"/>
  <c r="Q62" i="3"/>
  <c r="X62" i="3"/>
  <c r="S74" i="3"/>
  <c r="Y74" i="3"/>
  <c r="Q74" i="3"/>
  <c r="X74" i="3"/>
  <c r="S82" i="3"/>
  <c r="Y82" i="3"/>
  <c r="Q82" i="3"/>
  <c r="X82" i="3"/>
  <c r="S90" i="3"/>
  <c r="Y90" i="3"/>
  <c r="Q90" i="3"/>
  <c r="X90" i="3"/>
  <c r="S102" i="3"/>
  <c r="Y102" i="3"/>
  <c r="X102" i="3"/>
  <c r="Q102" i="3"/>
  <c r="S106" i="3"/>
  <c r="Y106" i="3"/>
  <c r="X106" i="3"/>
  <c r="Q106" i="3"/>
  <c r="S163" i="3"/>
  <c r="Y163" i="3"/>
  <c r="S143" i="3"/>
  <c r="Y143" i="3"/>
  <c r="S122" i="3"/>
  <c r="Y122" i="3"/>
  <c r="X69" i="3"/>
  <c r="X42" i="3"/>
  <c r="Q190" i="3"/>
  <c r="X22" i="3"/>
  <c r="S22" i="3"/>
  <c r="Y22" i="3"/>
  <c r="X72" i="3"/>
  <c r="S72" i="3"/>
  <c r="Y72" i="3"/>
  <c r="Q104" i="3"/>
  <c r="X104" i="3"/>
  <c r="S104" i="3"/>
  <c r="Y104" i="3"/>
  <c r="Q223" i="3"/>
  <c r="Q191" i="3"/>
  <c r="Q219" i="3"/>
  <c r="S203" i="3"/>
  <c r="Y203" i="3"/>
  <c r="Q222" i="3"/>
  <c r="Q169" i="3"/>
  <c r="Q174" i="3"/>
  <c r="Q146" i="3"/>
  <c r="Q108" i="3"/>
  <c r="Q127" i="3"/>
  <c r="X118" i="3"/>
  <c r="Q126" i="3"/>
  <c r="X93" i="3"/>
  <c r="Q114" i="3"/>
  <c r="S48" i="3"/>
  <c r="Y48" i="3"/>
  <c r="Q29" i="3"/>
  <c r="Q27" i="3"/>
  <c r="Q198" i="3"/>
  <c r="X127" i="3"/>
  <c r="S145" i="3"/>
  <c r="Y145" i="3"/>
  <c r="X145" i="3"/>
  <c r="Q145" i="3"/>
  <c r="X173" i="3"/>
  <c r="S173" i="3"/>
  <c r="Y173" i="3"/>
  <c r="R185" i="3"/>
  <c r="AB185" i="3"/>
  <c r="R189" i="3"/>
  <c r="AB189" i="3"/>
  <c r="R193" i="3"/>
  <c r="AB193" i="3"/>
  <c r="R201" i="3"/>
  <c r="AB201" i="3"/>
  <c r="R205" i="3"/>
  <c r="AB205" i="3"/>
  <c r="R209" i="3"/>
  <c r="AB209" i="3"/>
  <c r="R213" i="3"/>
  <c r="AB213" i="3"/>
  <c r="R217" i="3"/>
  <c r="AB217" i="3"/>
  <c r="R221" i="3"/>
  <c r="AB221" i="3"/>
  <c r="R225" i="3"/>
  <c r="AB225" i="3"/>
  <c r="R233" i="3"/>
  <c r="AB233" i="3"/>
  <c r="S237" i="3"/>
  <c r="Y237" i="3"/>
  <c r="X237" i="3"/>
  <c r="S207" i="3"/>
  <c r="Y207" i="3"/>
  <c r="X222" i="3"/>
  <c r="X190" i="3"/>
  <c r="S219" i="3"/>
  <c r="Y219" i="3"/>
  <c r="S161" i="3"/>
  <c r="Y161" i="3"/>
  <c r="X171" i="3"/>
  <c r="Q153" i="3"/>
  <c r="S110" i="3"/>
  <c r="Y110" i="3"/>
  <c r="S108" i="3"/>
  <c r="Y108" i="3"/>
  <c r="S126" i="3"/>
  <c r="Y126" i="3"/>
  <c r="X58" i="3"/>
  <c r="Q86" i="3"/>
  <c r="S66" i="3"/>
  <c r="Y66" i="3"/>
  <c r="S93" i="3"/>
  <c r="Y93" i="3"/>
  <c r="Q50" i="3"/>
  <c r="S20" i="3"/>
  <c r="Y20" i="3"/>
  <c r="S41" i="3"/>
  <c r="Y41" i="3"/>
  <c r="Q24" i="3"/>
  <c r="Q22" i="3"/>
  <c r="X181" i="3"/>
  <c r="Q215" i="3"/>
  <c r="Q227" i="3"/>
  <c r="Q161" i="3"/>
  <c r="X154" i="3"/>
  <c r="Q171" i="3"/>
  <c r="Q214" i="3"/>
  <c r="X138" i="3"/>
  <c r="X110" i="3"/>
  <c r="S86" i="3"/>
  <c r="Y86" i="3"/>
  <c r="X50" i="3"/>
  <c r="S24" i="3"/>
  <c r="Y24" i="3"/>
  <c r="S40" i="3"/>
  <c r="Y40" i="3"/>
  <c r="Q58" i="3"/>
  <c r="X197" i="3"/>
  <c r="Q206" i="3"/>
  <c r="R186" i="3"/>
  <c r="AB186" i="3"/>
  <c r="R194" i="3"/>
  <c r="AB194" i="3"/>
  <c r="R202" i="3"/>
  <c r="AB202" i="3"/>
  <c r="R210" i="3"/>
  <c r="AB210" i="3"/>
  <c r="R218" i="3"/>
  <c r="AB218" i="3"/>
  <c r="R226" i="3"/>
  <c r="AB226" i="3"/>
  <c r="R234" i="3"/>
  <c r="AB234" i="3"/>
  <c r="S199" i="3"/>
  <c r="Y199" i="3"/>
  <c r="X214" i="3"/>
  <c r="X207" i="3"/>
  <c r="Q211" i="3"/>
  <c r="S227" i="3"/>
  <c r="Y227" i="3"/>
  <c r="Q195" i="3"/>
  <c r="S154" i="3"/>
  <c r="Y154" i="3"/>
  <c r="S187" i="3"/>
  <c r="Y187" i="3"/>
  <c r="Q173" i="3"/>
  <c r="Q138" i="3"/>
  <c r="X77" i="3"/>
  <c r="X41" i="3"/>
  <c r="X33" i="3"/>
  <c r="S49" i="3"/>
  <c r="Y49" i="3"/>
  <c r="X53" i="3"/>
  <c r="Q57" i="3"/>
  <c r="X37" i="3"/>
  <c r="X20" i="3"/>
  <c r="R96" i="3"/>
  <c r="AB96" i="3"/>
  <c r="Q70" i="3"/>
  <c r="S70" i="3"/>
  <c r="Y70" i="3"/>
  <c r="Q235" i="3"/>
  <c r="X211" i="3"/>
  <c r="S195" i="3"/>
  <c r="Y195" i="3"/>
  <c r="X153" i="3"/>
  <c r="X163" i="3"/>
  <c r="Q187" i="3"/>
  <c r="R125" i="3"/>
  <c r="AB125" i="3"/>
  <c r="S137" i="3"/>
  <c r="Y137" i="3"/>
  <c r="X143" i="3"/>
  <c r="Q72" i="3"/>
  <c r="S56" i="3"/>
  <c r="Y56" i="3"/>
  <c r="X122" i="3"/>
  <c r="Q64" i="3"/>
  <c r="X27" i="3"/>
  <c r="Q69" i="3"/>
  <c r="S33" i="3"/>
  <c r="Y33" i="3"/>
  <c r="Q53" i="3"/>
  <c r="S57" i="3"/>
  <c r="Y57" i="3"/>
  <c r="Q37" i="3"/>
  <c r="Q183" i="3"/>
  <c r="S183" i="3"/>
  <c r="Y183" i="3"/>
  <c r="S191" i="3"/>
  <c r="Y191" i="3"/>
  <c r="X206" i="3"/>
  <c r="Q237" i="3"/>
  <c r="Q197" i="3"/>
  <c r="R117" i="3"/>
  <c r="X137" i="3"/>
  <c r="X64" i="3"/>
  <c r="X70" i="3"/>
  <c r="X78" i="3"/>
  <c r="Q66" i="3"/>
  <c r="Q78" i="3"/>
  <c r="X49" i="3"/>
  <c r="X174" i="3"/>
  <c r="V170" i="3"/>
  <c r="Q170" i="3"/>
  <c r="V162" i="3"/>
  <c r="Q162" i="3"/>
  <c r="S150" i="3"/>
  <c r="Y150" i="3"/>
  <c r="X150" i="3"/>
  <c r="Q150" i="3"/>
  <c r="S117" i="3"/>
  <c r="Y117" i="3"/>
  <c r="S130" i="3"/>
  <c r="Y130" i="3"/>
  <c r="Q130" i="3"/>
  <c r="X130" i="3"/>
  <c r="W114" i="3"/>
  <c r="S32" i="3"/>
  <c r="Y32" i="3"/>
  <c r="Q32" i="3"/>
  <c r="X32" i="3"/>
  <c r="S44" i="3"/>
  <c r="Y44" i="3"/>
  <c r="Q44" i="3"/>
  <c r="X44" i="3"/>
  <c r="S45" i="3"/>
  <c r="Y45" i="3"/>
  <c r="Q45" i="3"/>
  <c r="X45" i="3"/>
  <c r="S109" i="3"/>
  <c r="Y109" i="3"/>
  <c r="Q109" i="3"/>
  <c r="X109" i="3"/>
  <c r="S76" i="3"/>
  <c r="Y76" i="3"/>
  <c r="X76" i="3"/>
  <c r="Q76" i="3"/>
  <c r="S68" i="3"/>
  <c r="Y68" i="3"/>
  <c r="Q68" i="3"/>
  <c r="X68" i="3"/>
  <c r="X28" i="3"/>
  <c r="S28" i="3"/>
  <c r="Y28" i="3"/>
  <c r="Q28" i="3"/>
  <c r="Q73" i="3"/>
  <c r="X73" i="3"/>
  <c r="S73" i="3"/>
  <c r="Y73" i="3"/>
  <c r="Q164" i="3"/>
  <c r="X164" i="3"/>
  <c r="S164" i="3"/>
  <c r="Y164" i="3"/>
  <c r="X105" i="3"/>
  <c r="S105" i="3"/>
  <c r="Y105" i="3"/>
  <c r="Q105" i="3"/>
  <c r="S142" i="3"/>
  <c r="Y142" i="3"/>
  <c r="Q142" i="3"/>
  <c r="X142" i="3"/>
  <c r="Q81" i="3"/>
  <c r="X81" i="3"/>
  <c r="S81" i="3"/>
  <c r="Y81" i="3"/>
  <c r="Q67" i="3"/>
  <c r="X67" i="3"/>
  <c r="S67" i="3"/>
  <c r="Y67" i="3"/>
  <c r="S113" i="3"/>
  <c r="Y113" i="3"/>
  <c r="X113" i="3"/>
  <c r="Q113" i="3"/>
  <c r="Q43" i="3"/>
  <c r="S60" i="3"/>
  <c r="Y60" i="3"/>
  <c r="Q60" i="3"/>
  <c r="X60" i="3"/>
  <c r="S167" i="3"/>
  <c r="Y167" i="3"/>
  <c r="Q167" i="3"/>
  <c r="X167" i="3"/>
  <c r="S158" i="3"/>
  <c r="Y158" i="3"/>
  <c r="X158" i="3"/>
  <c r="Q158" i="3"/>
  <c r="Q135" i="3"/>
  <c r="S101" i="3"/>
  <c r="Y101" i="3"/>
  <c r="Q101" i="3"/>
  <c r="X101" i="3"/>
  <c r="X98" i="3"/>
  <c r="S98" i="3"/>
  <c r="Y98" i="3"/>
  <c r="Q98" i="3"/>
  <c r="S61" i="3"/>
  <c r="Y61" i="3"/>
  <c r="Q61" i="3"/>
  <c r="X61" i="3"/>
  <c r="S155" i="3"/>
  <c r="Y155" i="3"/>
  <c r="Q155" i="3"/>
  <c r="X155" i="3"/>
  <c r="X147" i="3"/>
  <c r="S147" i="3"/>
  <c r="Y147" i="3"/>
  <c r="Q147" i="3"/>
  <c r="S89" i="3"/>
  <c r="Y89" i="3"/>
  <c r="Q89" i="3"/>
  <c r="X89" i="3"/>
  <c r="Q88" i="3"/>
  <c r="X88" i="3"/>
  <c r="S88" i="3"/>
  <c r="Y88" i="3"/>
  <c r="S23" i="3"/>
  <c r="Y23" i="3"/>
  <c r="X23" i="3"/>
  <c r="Q23" i="3"/>
  <c r="S157" i="3"/>
  <c r="Y157" i="3"/>
  <c r="Q157" i="3"/>
  <c r="X157" i="3"/>
  <c r="W166" i="3"/>
  <c r="S133" i="3"/>
  <c r="Y133" i="3"/>
  <c r="X133" i="3"/>
  <c r="Q133" i="3"/>
  <c r="S159" i="3"/>
  <c r="Y159" i="3"/>
  <c r="Q159" i="3"/>
  <c r="X159" i="3"/>
  <c r="S75" i="3"/>
  <c r="Y75" i="3"/>
  <c r="X75" i="3"/>
  <c r="Q75" i="3"/>
  <c r="S52" i="3"/>
  <c r="Y52" i="3"/>
  <c r="Q52" i="3"/>
  <c r="X52" i="3"/>
  <c r="X65" i="3"/>
  <c r="S65" i="3"/>
  <c r="Y65" i="3"/>
  <c r="Q65" i="3"/>
  <c r="S165" i="3"/>
  <c r="Y165" i="3"/>
  <c r="Q165" i="3"/>
  <c r="X165" i="3"/>
  <c r="S97" i="3"/>
  <c r="Y97" i="3"/>
  <c r="Q97" i="3"/>
  <c r="X97" i="3"/>
  <c r="S36" i="3"/>
  <c r="Y36" i="3"/>
  <c r="X36" i="3"/>
  <c r="Q36" i="3"/>
  <c r="Q100" i="3"/>
  <c r="S100" i="3"/>
  <c r="Y100" i="3"/>
  <c r="X100" i="3"/>
  <c r="S287" i="5"/>
  <c r="S139" i="5"/>
  <c r="P139" i="5"/>
  <c r="N139" i="5"/>
  <c r="K139" i="5"/>
  <c r="S128" i="5"/>
  <c r="P128" i="5"/>
  <c r="W204" i="3"/>
  <c r="AG204" i="3"/>
  <c r="AC204" i="3"/>
  <c r="Q178" i="3"/>
  <c r="AB178" i="3"/>
  <c r="W100" i="3"/>
  <c r="AG100" i="3"/>
  <c r="AC100" i="3"/>
  <c r="W23" i="3"/>
  <c r="AG23" i="3"/>
  <c r="AC23" i="3"/>
  <c r="W105" i="3"/>
  <c r="AG105" i="3"/>
  <c r="AC105" i="3"/>
  <c r="W109" i="3"/>
  <c r="AG109" i="3"/>
  <c r="AC109" i="3"/>
  <c r="W174" i="3"/>
  <c r="AG174" i="3"/>
  <c r="AC174" i="3"/>
  <c r="X117" i="3"/>
  <c r="AB117" i="3"/>
  <c r="W211" i="3"/>
  <c r="AC211" i="3"/>
  <c r="AG211" i="3"/>
  <c r="W53" i="3"/>
  <c r="AG53" i="3"/>
  <c r="AC53" i="3"/>
  <c r="W173" i="3"/>
  <c r="AG173" i="3"/>
  <c r="AC173" i="3"/>
  <c r="W104" i="3"/>
  <c r="AG104" i="3"/>
  <c r="AC104" i="3"/>
  <c r="W69" i="3"/>
  <c r="AG69" i="3"/>
  <c r="AC69" i="3"/>
  <c r="W102" i="3"/>
  <c r="AG102" i="3"/>
  <c r="AC102" i="3"/>
  <c r="W74" i="3"/>
  <c r="AG74" i="3"/>
  <c r="AC74" i="3"/>
  <c r="W54" i="3"/>
  <c r="AG54" i="3"/>
  <c r="AC54" i="3"/>
  <c r="W156" i="3"/>
  <c r="AG156" i="3"/>
  <c r="AC156" i="3"/>
  <c r="W43" i="3"/>
  <c r="AG43" i="3"/>
  <c r="AC43" i="3"/>
  <c r="W38" i="3"/>
  <c r="AG38" i="3"/>
  <c r="AC38" i="3"/>
  <c r="W31" i="3"/>
  <c r="AG31" i="3"/>
  <c r="AC31" i="3"/>
  <c r="W140" i="3"/>
  <c r="AG140" i="3"/>
  <c r="AC140" i="3"/>
  <c r="W25" i="3"/>
  <c r="AG25" i="3"/>
  <c r="AC25" i="3"/>
  <c r="W179" i="3"/>
  <c r="AG179" i="3"/>
  <c r="AC179" i="3"/>
  <c r="W94" i="3"/>
  <c r="AG94" i="3"/>
  <c r="AC94" i="3"/>
  <c r="W126" i="3"/>
  <c r="AG126" i="3"/>
  <c r="AC126" i="3"/>
  <c r="W183" i="3"/>
  <c r="AG183" i="3"/>
  <c r="AC183" i="3"/>
  <c r="W66" i="3"/>
  <c r="AG66" i="3"/>
  <c r="AC66" i="3"/>
  <c r="W24" i="3"/>
  <c r="AG24" i="3"/>
  <c r="AC24" i="3"/>
  <c r="W137" i="3"/>
  <c r="AG137" i="3"/>
  <c r="AC137" i="3"/>
  <c r="W197" i="3"/>
  <c r="AG197" i="3"/>
  <c r="AC197" i="3"/>
  <c r="AG162" i="3"/>
  <c r="AC162" i="3"/>
  <c r="W17" i="3"/>
  <c r="AG17" i="3"/>
  <c r="AC17" i="3"/>
  <c r="W165" i="3"/>
  <c r="AG165" i="3"/>
  <c r="AC165" i="3"/>
  <c r="W158" i="3"/>
  <c r="AG158" i="3"/>
  <c r="AC158" i="3"/>
  <c r="W81" i="3"/>
  <c r="AG81" i="3"/>
  <c r="AC81" i="3"/>
  <c r="W28" i="3"/>
  <c r="AG28" i="3"/>
  <c r="AC28" i="3"/>
  <c r="W32" i="3"/>
  <c r="AC32" i="3"/>
  <c r="AG32" i="3"/>
  <c r="W49" i="3"/>
  <c r="AG49" i="3"/>
  <c r="AC49" i="3"/>
  <c r="W143" i="3"/>
  <c r="AG143" i="3"/>
  <c r="AC143" i="3"/>
  <c r="W154" i="3"/>
  <c r="AG154" i="3"/>
  <c r="AC154" i="3"/>
  <c r="W237" i="3"/>
  <c r="AG237" i="3"/>
  <c r="AC237" i="3"/>
  <c r="W134" i="3"/>
  <c r="AG134" i="3"/>
  <c r="AC134" i="3"/>
  <c r="W188" i="3"/>
  <c r="AG188" i="3"/>
  <c r="AC188" i="3"/>
  <c r="W172" i="3"/>
  <c r="AG172" i="3"/>
  <c r="AC172" i="3"/>
  <c r="W47" i="3"/>
  <c r="AG47" i="3"/>
  <c r="AC47" i="3"/>
  <c r="W120" i="3"/>
  <c r="AG120" i="3"/>
  <c r="AC120" i="3"/>
  <c r="W208" i="3"/>
  <c r="AG208" i="3"/>
  <c r="AC208" i="3"/>
  <c r="W87" i="3"/>
  <c r="AG87" i="3"/>
  <c r="AC87" i="3"/>
  <c r="W222" i="3"/>
  <c r="AC222" i="3"/>
  <c r="AG222" i="3"/>
  <c r="W42" i="3"/>
  <c r="AG42" i="3"/>
  <c r="AC42" i="3"/>
  <c r="W111" i="3"/>
  <c r="AG111" i="3"/>
  <c r="AC111" i="3"/>
  <c r="W147" i="3"/>
  <c r="AG147" i="3"/>
  <c r="AC147" i="3"/>
  <c r="W164" i="3"/>
  <c r="AG164" i="3"/>
  <c r="AC164" i="3"/>
  <c r="W68" i="3"/>
  <c r="AG68" i="3"/>
  <c r="AC68" i="3"/>
  <c r="W150" i="3"/>
  <c r="AG150" i="3"/>
  <c r="AC150" i="3"/>
  <c r="W33" i="3"/>
  <c r="AG33" i="3"/>
  <c r="AC33" i="3"/>
  <c r="W145" i="3"/>
  <c r="AG145" i="3"/>
  <c r="AC145" i="3"/>
  <c r="W93" i="3"/>
  <c r="AG93" i="3"/>
  <c r="AC93" i="3"/>
  <c r="W90" i="3"/>
  <c r="AG90" i="3"/>
  <c r="AC90" i="3"/>
  <c r="W46" i="3"/>
  <c r="AG46" i="3"/>
  <c r="AC46" i="3"/>
  <c r="W135" i="3"/>
  <c r="AG135" i="3"/>
  <c r="AC135" i="3"/>
  <c r="AG170" i="3"/>
  <c r="AC170" i="3"/>
  <c r="W128" i="3"/>
  <c r="AC128" i="3"/>
  <c r="AG128" i="3"/>
  <c r="W34" i="3"/>
  <c r="AG34" i="3"/>
  <c r="AC34" i="3"/>
  <c r="W103" i="3"/>
  <c r="AG103" i="3"/>
  <c r="AC103" i="3"/>
  <c r="W149" i="3"/>
  <c r="AG149" i="3"/>
  <c r="AC149" i="3"/>
  <c r="W129" i="3"/>
  <c r="AG129" i="3"/>
  <c r="AC129" i="3"/>
  <c r="W112" i="3"/>
  <c r="AG112" i="3"/>
  <c r="AC112" i="3"/>
  <c r="W124" i="3"/>
  <c r="AG124" i="3"/>
  <c r="AC124" i="3"/>
  <c r="W139" i="3"/>
  <c r="AG139" i="3"/>
  <c r="AC139" i="3"/>
  <c r="W146" i="3"/>
  <c r="AG146" i="3"/>
  <c r="AC146" i="3"/>
  <c r="W108" i="3"/>
  <c r="AG108" i="3"/>
  <c r="AC108" i="3"/>
  <c r="W187" i="3"/>
  <c r="AG187" i="3"/>
  <c r="AC187" i="3"/>
  <c r="W57" i="3"/>
  <c r="AG57" i="3"/>
  <c r="AC57" i="3"/>
  <c r="W219" i="3"/>
  <c r="AC219" i="3"/>
  <c r="AG219" i="3"/>
  <c r="W86" i="3"/>
  <c r="AG86" i="3"/>
  <c r="AC86" i="3"/>
  <c r="W169" i="3"/>
  <c r="AG169" i="3"/>
  <c r="AC169" i="3"/>
  <c r="AC215" i="3"/>
  <c r="AG215" i="3"/>
  <c r="W52" i="3"/>
  <c r="AG52" i="3"/>
  <c r="AC52" i="3"/>
  <c r="W59" i="3"/>
  <c r="AG59" i="3"/>
  <c r="AC59" i="3"/>
  <c r="W236" i="3"/>
  <c r="AG236" i="3"/>
  <c r="AC236" i="3"/>
  <c r="W133" i="3"/>
  <c r="AG133" i="3"/>
  <c r="AC133" i="3"/>
  <c r="W75" i="3"/>
  <c r="AG75" i="3"/>
  <c r="AC75" i="3"/>
  <c r="W88" i="3"/>
  <c r="AG88" i="3"/>
  <c r="AC88" i="3"/>
  <c r="W155" i="3"/>
  <c r="AG155" i="3"/>
  <c r="AC155" i="3"/>
  <c r="W98" i="3"/>
  <c r="AG98" i="3"/>
  <c r="AC98" i="3"/>
  <c r="W167" i="3"/>
  <c r="AG167" i="3"/>
  <c r="AC167" i="3"/>
  <c r="W113" i="3"/>
  <c r="AG113" i="3"/>
  <c r="AC113" i="3"/>
  <c r="W142" i="3"/>
  <c r="AG142" i="3"/>
  <c r="AC142" i="3"/>
  <c r="W45" i="3"/>
  <c r="AG45" i="3"/>
  <c r="AC45" i="3"/>
  <c r="W206" i="3"/>
  <c r="AC206" i="3"/>
  <c r="AG206" i="3"/>
  <c r="W41" i="3"/>
  <c r="AG41" i="3"/>
  <c r="AC41" i="3"/>
  <c r="W50" i="3"/>
  <c r="AG50" i="3"/>
  <c r="AC50" i="3"/>
  <c r="W171" i="3"/>
  <c r="AG171" i="3"/>
  <c r="AC171" i="3"/>
  <c r="W72" i="3"/>
  <c r="AG72" i="3"/>
  <c r="AC72" i="3"/>
  <c r="W62" i="3"/>
  <c r="AG62" i="3"/>
  <c r="AC62" i="3"/>
  <c r="W39" i="3"/>
  <c r="AG39" i="3"/>
  <c r="AC39" i="3"/>
  <c r="W19" i="3"/>
  <c r="AG19" i="3"/>
  <c r="AC19" i="3"/>
  <c r="W30" i="3"/>
  <c r="AG30" i="3"/>
  <c r="AC30" i="3"/>
  <c r="W216" i="3"/>
  <c r="AC216" i="3"/>
  <c r="AG216" i="3"/>
  <c r="W160" i="3"/>
  <c r="AC160" i="3"/>
  <c r="AG160" i="3"/>
  <c r="W220" i="3"/>
  <c r="AG220" i="3"/>
  <c r="AC220" i="3"/>
  <c r="W224" i="3"/>
  <c r="AC224" i="3"/>
  <c r="AG224" i="3"/>
  <c r="W200" i="3"/>
  <c r="AG200" i="3"/>
  <c r="AC200" i="3"/>
  <c r="W80" i="3"/>
  <c r="AG80" i="3"/>
  <c r="AC80" i="3"/>
  <c r="W85" i="3"/>
  <c r="AG85" i="3"/>
  <c r="AC85" i="3"/>
  <c r="W235" i="3"/>
  <c r="AC235" i="3"/>
  <c r="AG235" i="3"/>
  <c r="W144" i="3"/>
  <c r="AG144" i="3"/>
  <c r="AC144" i="3"/>
  <c r="W36" i="3"/>
  <c r="AG36" i="3"/>
  <c r="AC36" i="3"/>
  <c r="W157" i="3"/>
  <c r="AG157" i="3"/>
  <c r="AC157" i="3"/>
  <c r="W101" i="3"/>
  <c r="AG101" i="3"/>
  <c r="AC101" i="3"/>
  <c r="W78" i="3"/>
  <c r="AG78" i="3"/>
  <c r="AC78" i="3"/>
  <c r="W27" i="3"/>
  <c r="AG27" i="3"/>
  <c r="AC27" i="3"/>
  <c r="W77" i="3"/>
  <c r="AG77" i="3"/>
  <c r="AC77" i="3"/>
  <c r="W207" i="3"/>
  <c r="AC207" i="3"/>
  <c r="AG207" i="3"/>
  <c r="W127" i="3"/>
  <c r="AG127" i="3"/>
  <c r="AC127" i="3"/>
  <c r="W118" i="3"/>
  <c r="AG118" i="3"/>
  <c r="AC118" i="3"/>
  <c r="W116" i="3"/>
  <c r="AG116" i="3"/>
  <c r="AC116" i="3"/>
  <c r="W115" i="3"/>
  <c r="AG115" i="3"/>
  <c r="AC115" i="3"/>
  <c r="AG166" i="3"/>
  <c r="AC166" i="3"/>
  <c r="W168" i="3"/>
  <c r="AC168" i="3"/>
  <c r="AG168" i="3"/>
  <c r="W21" i="3"/>
  <c r="AG21" i="3"/>
  <c r="AC21" i="3"/>
  <c r="W131" i="3"/>
  <c r="AG131" i="3"/>
  <c r="AC131" i="3"/>
  <c r="W121" i="3"/>
  <c r="AG121" i="3"/>
  <c r="AC121" i="3"/>
  <c r="W196" i="3"/>
  <c r="AG196" i="3"/>
  <c r="AC196" i="3"/>
  <c r="W92" i="3"/>
  <c r="AG92" i="3"/>
  <c r="AC92" i="3"/>
  <c r="W26" i="3"/>
  <c r="AG26" i="3"/>
  <c r="AC26" i="3"/>
  <c r="AG114" i="3"/>
  <c r="AC114" i="3"/>
  <c r="W198" i="3"/>
  <c r="AC198" i="3"/>
  <c r="AG198" i="3"/>
  <c r="W199" i="3"/>
  <c r="AC199" i="3"/>
  <c r="AG199" i="3"/>
  <c r="W182" i="3"/>
  <c r="AG182" i="3"/>
  <c r="AC182" i="3"/>
  <c r="W161" i="3"/>
  <c r="AG161" i="3"/>
  <c r="AC161" i="3"/>
  <c r="W40" i="3"/>
  <c r="AG40" i="3"/>
  <c r="AC40" i="3"/>
  <c r="W132" i="3"/>
  <c r="AG132" i="3"/>
  <c r="AC132" i="3"/>
  <c r="W180" i="3"/>
  <c r="AG180" i="3"/>
  <c r="AC180" i="3"/>
  <c r="W192" i="3"/>
  <c r="AC192" i="3"/>
  <c r="AG192" i="3"/>
  <c r="W159" i="3"/>
  <c r="AG159" i="3"/>
  <c r="AC159" i="3"/>
  <c r="W89" i="3"/>
  <c r="AG89" i="3"/>
  <c r="AC89" i="3"/>
  <c r="W73" i="3"/>
  <c r="AG73" i="3"/>
  <c r="AC73" i="3"/>
  <c r="W130" i="3"/>
  <c r="AG130" i="3"/>
  <c r="AC130" i="3"/>
  <c r="W70" i="3"/>
  <c r="AG70" i="3"/>
  <c r="AC70" i="3"/>
  <c r="W163" i="3"/>
  <c r="AG163" i="3"/>
  <c r="AC163" i="3"/>
  <c r="W20" i="3"/>
  <c r="AG20" i="3"/>
  <c r="AC20" i="3"/>
  <c r="W214" i="3"/>
  <c r="AC214" i="3"/>
  <c r="AG214" i="3"/>
  <c r="W110" i="3"/>
  <c r="AG110" i="3"/>
  <c r="AC110" i="3"/>
  <c r="W181" i="3"/>
  <c r="AG181" i="3"/>
  <c r="AC181" i="3"/>
  <c r="W22" i="3"/>
  <c r="AG22" i="3"/>
  <c r="AC22" i="3"/>
  <c r="W106" i="3"/>
  <c r="AG106" i="3"/>
  <c r="AC106" i="3"/>
  <c r="W82" i="3"/>
  <c r="AG82" i="3"/>
  <c r="AC82" i="3"/>
  <c r="W16" i="3"/>
  <c r="AG16" i="3"/>
  <c r="AC16" i="3"/>
  <c r="W91" i="3"/>
  <c r="AG91" i="3"/>
  <c r="AC91" i="3"/>
  <c r="W148" i="3"/>
  <c r="AG148" i="3"/>
  <c r="AC148" i="3"/>
  <c r="W136" i="3"/>
  <c r="AC136" i="3"/>
  <c r="AG136" i="3"/>
  <c r="W95" i="3"/>
  <c r="AG95" i="3"/>
  <c r="AC95" i="3"/>
  <c r="W119" i="3"/>
  <c r="AG119" i="3"/>
  <c r="AC119" i="3"/>
  <c r="W212" i="3"/>
  <c r="AG212" i="3"/>
  <c r="AC212" i="3"/>
  <c r="W51" i="3"/>
  <c r="AG51" i="3"/>
  <c r="AC51" i="3"/>
  <c r="W123" i="3"/>
  <c r="AG123" i="3"/>
  <c r="AC123" i="3"/>
  <c r="W29" i="3"/>
  <c r="AG29" i="3"/>
  <c r="AC29" i="3"/>
  <c r="W223" i="3"/>
  <c r="AC223" i="3"/>
  <c r="AG223" i="3"/>
  <c r="W56" i="3"/>
  <c r="AG56" i="3"/>
  <c r="AC56" i="3"/>
  <c r="W97" i="3"/>
  <c r="AG97" i="3"/>
  <c r="AC97" i="3"/>
  <c r="W65" i="3"/>
  <c r="AG65" i="3"/>
  <c r="AC65" i="3"/>
  <c r="W61" i="3"/>
  <c r="AG61" i="3"/>
  <c r="AC61" i="3"/>
  <c r="W60" i="3"/>
  <c r="AG60" i="3"/>
  <c r="AC60" i="3"/>
  <c r="W67" i="3"/>
  <c r="AG67" i="3"/>
  <c r="AC67" i="3"/>
  <c r="W76" i="3"/>
  <c r="AG76" i="3"/>
  <c r="AC76" i="3"/>
  <c r="W44" i="3"/>
  <c r="AG44" i="3"/>
  <c r="AC44" i="3"/>
  <c r="W64" i="3"/>
  <c r="AC64" i="3"/>
  <c r="AG64" i="3"/>
  <c r="W122" i="3"/>
  <c r="AG122" i="3"/>
  <c r="AC122" i="3"/>
  <c r="W153" i="3"/>
  <c r="AG153" i="3"/>
  <c r="AC153" i="3"/>
  <c r="W37" i="3"/>
  <c r="AG37" i="3"/>
  <c r="AC37" i="3"/>
  <c r="W138" i="3"/>
  <c r="AG138" i="3"/>
  <c r="AC138" i="3"/>
  <c r="W58" i="3"/>
  <c r="AG58" i="3"/>
  <c r="AC58" i="3"/>
  <c r="W190" i="3"/>
  <c r="AG190" i="3"/>
  <c r="AC190" i="3"/>
  <c r="W99" i="3"/>
  <c r="AG99" i="3"/>
  <c r="AC99" i="3"/>
  <c r="W151" i="3"/>
  <c r="AG151" i="3"/>
  <c r="AC151" i="3"/>
  <c r="W141" i="3"/>
  <c r="AG141" i="3"/>
  <c r="AC141" i="3"/>
  <c r="W18" i="3"/>
  <c r="AG18" i="3"/>
  <c r="AC18" i="3"/>
  <c r="W83" i="3"/>
  <c r="AG83" i="3"/>
  <c r="AC83" i="3"/>
  <c r="W84" i="3"/>
  <c r="AG84" i="3"/>
  <c r="AC84" i="3"/>
  <c r="W152" i="3"/>
  <c r="AG152" i="3"/>
  <c r="AC152" i="3"/>
  <c r="W35" i="3"/>
  <c r="AG35" i="3"/>
  <c r="AC35" i="3"/>
  <c r="W191" i="3"/>
  <c r="AG191" i="3"/>
  <c r="AC191" i="3"/>
  <c r="W195" i="3"/>
  <c r="AC195" i="3"/>
  <c r="AG195" i="3"/>
  <c r="W203" i="3"/>
  <c r="AC203" i="3"/>
  <c r="AG203" i="3"/>
  <c r="W227" i="3"/>
  <c r="AC227" i="3"/>
  <c r="AG227" i="3"/>
  <c r="W48" i="3"/>
  <c r="AG48" i="3"/>
  <c r="AC48" i="3"/>
  <c r="X178" i="3"/>
  <c r="S178" i="3"/>
  <c r="Y178" i="3"/>
  <c r="W170" i="3"/>
  <c r="S125" i="3"/>
  <c r="Y125" i="3"/>
  <c r="X71" i="3"/>
  <c r="Q71" i="3"/>
  <c r="W162" i="3"/>
  <c r="S71" i="3"/>
  <c r="Y71" i="3"/>
  <c r="Q125" i="3"/>
  <c r="X125" i="3"/>
  <c r="X234" i="3"/>
  <c r="Q234" i="3"/>
  <c r="S234" i="3"/>
  <c r="Y234" i="3"/>
  <c r="Q202" i="3"/>
  <c r="S202" i="3"/>
  <c r="Y202" i="3"/>
  <c r="X202" i="3"/>
  <c r="S221" i="3"/>
  <c r="Y221" i="3"/>
  <c r="Q221" i="3"/>
  <c r="X221" i="3"/>
  <c r="S205" i="3"/>
  <c r="Y205" i="3"/>
  <c r="X205" i="3"/>
  <c r="Q205" i="3"/>
  <c r="S185" i="3"/>
  <c r="Y185" i="3"/>
  <c r="X185" i="3"/>
  <c r="Q185" i="3"/>
  <c r="Q184" i="3"/>
  <c r="X184" i="3"/>
  <c r="S184" i="3"/>
  <c r="Y184" i="3"/>
  <c r="X55" i="3"/>
  <c r="S55" i="3"/>
  <c r="Y55" i="3"/>
  <c r="Q55" i="3"/>
  <c r="Q226" i="3"/>
  <c r="X226" i="3"/>
  <c r="S226" i="3"/>
  <c r="Y226" i="3"/>
  <c r="Q194" i="3"/>
  <c r="S194" i="3"/>
  <c r="Y194" i="3"/>
  <c r="X194" i="3"/>
  <c r="S233" i="3"/>
  <c r="Y233" i="3"/>
  <c r="X233" i="3"/>
  <c r="Q233" i="3"/>
  <c r="S217" i="3"/>
  <c r="Y217" i="3"/>
  <c r="X217" i="3"/>
  <c r="Q217" i="3"/>
  <c r="X201" i="3"/>
  <c r="S201" i="3"/>
  <c r="Y201" i="3"/>
  <c r="Q201" i="3"/>
  <c r="Q96" i="3"/>
  <c r="X96" i="3"/>
  <c r="S96" i="3"/>
  <c r="Y96" i="3"/>
  <c r="S63" i="3"/>
  <c r="Y63" i="3"/>
  <c r="Q63" i="3"/>
  <c r="X63" i="3"/>
  <c r="Q117" i="3"/>
  <c r="Q218" i="3"/>
  <c r="S218" i="3"/>
  <c r="Y218" i="3"/>
  <c r="X218" i="3"/>
  <c r="Q186" i="3"/>
  <c r="X186" i="3"/>
  <c r="S186" i="3"/>
  <c r="Y186" i="3"/>
  <c r="S213" i="3"/>
  <c r="Y213" i="3"/>
  <c r="X213" i="3"/>
  <c r="Q213" i="3"/>
  <c r="S193" i="3"/>
  <c r="Y193" i="3"/>
  <c r="Q193" i="3"/>
  <c r="X193" i="3"/>
  <c r="S107" i="3"/>
  <c r="Y107" i="3"/>
  <c r="Q107" i="3"/>
  <c r="X107" i="3"/>
  <c r="Q210" i="3"/>
  <c r="S210" i="3"/>
  <c r="Y210" i="3"/>
  <c r="X210" i="3"/>
  <c r="S225" i="3"/>
  <c r="Y225" i="3"/>
  <c r="X225" i="3"/>
  <c r="Q225" i="3"/>
  <c r="X209" i="3"/>
  <c r="S209" i="3"/>
  <c r="Y209" i="3"/>
  <c r="Q209" i="3"/>
  <c r="S189" i="3"/>
  <c r="Y189" i="3"/>
  <c r="X189" i="3"/>
  <c r="Q189" i="3"/>
  <c r="X79" i="3"/>
  <c r="S79" i="3"/>
  <c r="Y79" i="3"/>
  <c r="Q79" i="3"/>
  <c r="D112" i="5"/>
  <c r="L312" i="5"/>
  <c r="K301" i="5"/>
  <c r="P298" i="5"/>
  <c r="O280" i="5"/>
  <c r="K280" i="5"/>
  <c r="AB257" i="5"/>
  <c r="N257" i="5"/>
  <c r="K257" i="5"/>
  <c r="K270" i="5" s="1"/>
  <c r="N256" i="5"/>
  <c r="N269" i="5" s="1"/>
  <c r="K256" i="5"/>
  <c r="K269" i="5" s="1"/>
  <c r="K243" i="5"/>
  <c r="K249" i="5" s="1"/>
  <c r="D243" i="5"/>
  <c r="D281" i="5" s="1"/>
  <c r="D302" i="5" s="1"/>
  <c r="D133" i="5" s="1"/>
  <c r="D257" i="5" s="1"/>
  <c r="D270" i="5" s="1"/>
  <c r="B41" i="5" s="1"/>
  <c r="AG234" i="5"/>
  <c r="U234" i="5"/>
  <c r="Q234" i="5"/>
  <c r="M234" i="5"/>
  <c r="D234" i="5"/>
  <c r="AG233" i="5"/>
  <c r="U233" i="5"/>
  <c r="Q233" i="5"/>
  <c r="M233" i="5"/>
  <c r="D233" i="5"/>
  <c r="AG232" i="5"/>
  <c r="V62" i="7" s="1"/>
  <c r="U232" i="5"/>
  <c r="R62" i="7" s="1"/>
  <c r="Q232" i="5"/>
  <c r="M232" i="5"/>
  <c r="O62" i="7" s="1"/>
  <c r="D232" i="5"/>
  <c r="C62" i="7" s="1"/>
  <c r="AG231" i="5"/>
  <c r="V61" i="7" s="1"/>
  <c r="U231" i="5"/>
  <c r="R61" i="7" s="1"/>
  <c r="Q231" i="5"/>
  <c r="M231" i="5"/>
  <c r="O61" i="7" s="1"/>
  <c r="D231" i="5"/>
  <c r="C61" i="7" s="1"/>
  <c r="AG230" i="5"/>
  <c r="V60" i="7" s="1"/>
  <c r="U230" i="5"/>
  <c r="R60" i="7" s="1"/>
  <c r="Q230" i="5"/>
  <c r="M230" i="5"/>
  <c r="O60" i="7" s="1"/>
  <c r="D230" i="5"/>
  <c r="C60" i="7" s="1"/>
  <c r="E217" i="5"/>
  <c r="E216" i="5"/>
  <c r="E215" i="5"/>
  <c r="E214" i="5"/>
  <c r="D209" i="5"/>
  <c r="D205" i="5"/>
  <c r="D201" i="5"/>
  <c r="P192" i="5"/>
  <c r="P190" i="5"/>
  <c r="P188" i="5"/>
  <c r="P186" i="5"/>
  <c r="P185" i="5"/>
  <c r="P184" i="5"/>
  <c r="P182" i="5"/>
  <c r="P181" i="5"/>
  <c r="P180" i="5"/>
  <c r="P178" i="5"/>
  <c r="P176" i="5"/>
  <c r="P174" i="5"/>
  <c r="P172" i="5"/>
  <c r="E162" i="5"/>
  <c r="D153" i="5"/>
  <c r="D152" i="5"/>
  <c r="B78" i="7" s="1"/>
  <c r="P119" i="5"/>
  <c r="K124" i="5" s="1"/>
  <c r="I117" i="5"/>
  <c r="J66" i="5" s="1"/>
  <c r="I116" i="5"/>
  <c r="J65" i="5" s="1"/>
  <c r="R104" i="5"/>
  <c r="S89" i="5"/>
  <c r="P89" i="5"/>
  <c r="S143" i="5" s="1"/>
  <c r="J73" i="5"/>
  <c r="Y320" i="5" s="1"/>
  <c r="J68" i="5"/>
  <c r="J67" i="5"/>
  <c r="J63" i="5"/>
  <c r="S49" i="5"/>
  <c r="I49" i="5"/>
  <c r="AD41" i="5"/>
  <c r="Z41" i="5" s="1"/>
  <c r="S41" i="5"/>
  <c r="P41" i="5"/>
  <c r="P47" i="5" s="1"/>
  <c r="I41" i="5"/>
  <c r="I47" i="5" s="1"/>
  <c r="I10" i="5"/>
  <c r="D111" i="5" s="1"/>
  <c r="I9" i="5"/>
  <c r="D110" i="5" s="1"/>
  <c r="W233" i="3"/>
  <c r="AG233" i="3"/>
  <c r="AC233" i="3"/>
  <c r="W194" i="3"/>
  <c r="AG194" i="3"/>
  <c r="AC194" i="3"/>
  <c r="W55" i="3"/>
  <c r="AG55" i="3"/>
  <c r="AC55" i="3"/>
  <c r="W205" i="3"/>
  <c r="AG205" i="3"/>
  <c r="AC205" i="3"/>
  <c r="W71" i="3"/>
  <c r="AG71" i="3"/>
  <c r="AC71" i="3"/>
  <c r="W79" i="3"/>
  <c r="AG79" i="3"/>
  <c r="AC79" i="3"/>
  <c r="W225" i="3"/>
  <c r="AG225" i="3"/>
  <c r="AC225" i="3"/>
  <c r="W193" i="3"/>
  <c r="AG193" i="3"/>
  <c r="AC193" i="3"/>
  <c r="W63" i="3"/>
  <c r="AG63" i="3"/>
  <c r="AC63" i="3"/>
  <c r="W201" i="3"/>
  <c r="AG201" i="3"/>
  <c r="AC201" i="3"/>
  <c r="W117" i="3"/>
  <c r="AG117" i="3"/>
  <c r="AC117" i="3"/>
  <c r="AC184" i="3"/>
  <c r="AG184" i="3"/>
  <c r="W221" i="3"/>
  <c r="AG221" i="3"/>
  <c r="AC221" i="3"/>
  <c r="W234" i="3"/>
  <c r="AG234" i="3"/>
  <c r="AC234" i="3"/>
  <c r="W189" i="3"/>
  <c r="AG189" i="3"/>
  <c r="AC189" i="3"/>
  <c r="W210" i="3"/>
  <c r="AG210" i="3"/>
  <c r="AC210" i="3"/>
  <c r="W186" i="3"/>
  <c r="AG186" i="3"/>
  <c r="AC186" i="3"/>
  <c r="W217" i="3"/>
  <c r="AG217" i="3"/>
  <c r="AC217" i="3"/>
  <c r="W125" i="3"/>
  <c r="AG125" i="3"/>
  <c r="AC125" i="3"/>
  <c r="W209" i="3"/>
  <c r="AG209" i="3"/>
  <c r="AC209" i="3"/>
  <c r="W226" i="3"/>
  <c r="AG226" i="3"/>
  <c r="AC226" i="3"/>
  <c r="W178" i="3"/>
  <c r="AG178" i="3"/>
  <c r="AC178" i="3"/>
  <c r="W107" i="3"/>
  <c r="AG107" i="3"/>
  <c r="AC107" i="3"/>
  <c r="W213" i="3"/>
  <c r="AG213" i="3"/>
  <c r="AC213" i="3"/>
  <c r="W218" i="3"/>
  <c r="AG218" i="3"/>
  <c r="AC218" i="3"/>
  <c r="W96" i="3"/>
  <c r="AC96" i="3"/>
  <c r="AG96" i="3"/>
  <c r="W185" i="3"/>
  <c r="AG185" i="3"/>
  <c r="AC185" i="3"/>
  <c r="W202" i="3"/>
  <c r="AG202" i="3"/>
  <c r="AC202" i="3"/>
  <c r="T20" i="3"/>
  <c r="Z20" i="3" s="1"/>
  <c r="T36" i="3"/>
  <c r="Z36" i="3" s="1"/>
  <c r="T116" i="3"/>
  <c r="Z116" i="3" s="1"/>
  <c r="T132" i="3"/>
  <c r="Z132" i="3" s="1"/>
  <c r="T197" i="3"/>
  <c r="Z197" i="3" s="1"/>
  <c r="T22" i="3"/>
  <c r="Z22" i="3" s="1"/>
  <c r="T78" i="3"/>
  <c r="Z78" i="3" s="1"/>
  <c r="T86" i="3"/>
  <c r="Z86" i="3" s="1"/>
  <c r="T142" i="3"/>
  <c r="Z142" i="3" s="1"/>
  <c r="T150" i="3"/>
  <c r="Z150" i="3" s="1"/>
  <c r="T206" i="3"/>
  <c r="Z206" i="3" s="1"/>
  <c r="T214" i="3"/>
  <c r="Z214" i="3" s="1"/>
  <c r="T120" i="3"/>
  <c r="Z120" i="3" s="1"/>
  <c r="T144" i="3"/>
  <c r="Z144" i="3" s="1"/>
  <c r="T97" i="3"/>
  <c r="Z97" i="3" s="1"/>
  <c r="T121" i="3"/>
  <c r="Z121" i="3" s="1"/>
  <c r="T220" i="3"/>
  <c r="Z220" i="3" s="1"/>
  <c r="T45" i="3"/>
  <c r="Z45" i="3" s="1"/>
  <c r="T47" i="3"/>
  <c r="Z47" i="3" s="1"/>
  <c r="T55" i="3"/>
  <c r="Z55" i="3" s="1"/>
  <c r="T111" i="3"/>
  <c r="Z111" i="3" s="1"/>
  <c r="T119" i="3"/>
  <c r="Z119" i="3" s="1"/>
  <c r="T183" i="3"/>
  <c r="Z183" i="3" s="1"/>
  <c r="T191" i="3"/>
  <c r="Z191" i="3" s="1"/>
  <c r="T40" i="3"/>
  <c r="Z40" i="3" s="1"/>
  <c r="T56" i="3"/>
  <c r="Z56" i="3" s="1"/>
  <c r="T152" i="3"/>
  <c r="Z152" i="3" s="1"/>
  <c r="T168" i="3"/>
  <c r="Z168" i="3" s="1"/>
  <c r="T57" i="3"/>
  <c r="Z57" i="3" s="1"/>
  <c r="T65" i="3"/>
  <c r="Z65" i="3" s="1"/>
  <c r="T156" i="3"/>
  <c r="Z156" i="3" s="1"/>
  <c r="T212" i="3"/>
  <c r="Z212" i="3" s="1"/>
  <c r="T213" i="3"/>
  <c r="Z213" i="3" s="1"/>
  <c r="T49" i="3"/>
  <c r="Z49" i="3" s="1"/>
  <c r="T148" i="3"/>
  <c r="Z148" i="3" s="1"/>
  <c r="T188" i="3"/>
  <c r="Z188" i="3" s="1"/>
  <c r="T18" i="3"/>
  <c r="Z18" i="3" s="1"/>
  <c r="T26" i="3"/>
  <c r="Z26" i="3" s="1"/>
  <c r="T82" i="3"/>
  <c r="Z82" i="3" s="1"/>
  <c r="T90" i="3"/>
  <c r="Z90" i="3" s="1"/>
  <c r="T146" i="3"/>
  <c r="Z146" i="3" s="1"/>
  <c r="T154" i="3"/>
  <c r="Z154" i="3" s="1"/>
  <c r="T210" i="3"/>
  <c r="Z210" i="3" s="1"/>
  <c r="T218" i="3"/>
  <c r="Z218" i="3" s="1"/>
  <c r="T51" i="3"/>
  <c r="Z51" i="3" s="1"/>
  <c r="T59" i="3"/>
  <c r="Z59" i="3" s="1"/>
  <c r="T115" i="3"/>
  <c r="Z115" i="3" s="1"/>
  <c r="T123" i="3"/>
  <c r="Z123" i="3" s="1"/>
  <c r="T179" i="3"/>
  <c r="Z179" i="3" s="1"/>
  <c r="T187" i="3"/>
  <c r="Z187" i="3" s="1"/>
  <c r="T28" i="3"/>
  <c r="Z28" i="3" s="1"/>
  <c r="T68" i="3"/>
  <c r="Z68" i="3" s="1"/>
  <c r="T236" i="3"/>
  <c r="Z236" i="3" s="1"/>
  <c r="T21" i="3"/>
  <c r="Z21" i="3" s="1"/>
  <c r="W184" i="3"/>
  <c r="D81" i="5"/>
  <c r="N270" i="5"/>
  <c r="N276" i="5" s="1"/>
  <c r="N263" i="5"/>
  <c r="S50" i="5"/>
  <c r="S56" i="5" s="1"/>
  <c r="S47" i="5"/>
  <c r="I50" i="5"/>
  <c r="I56" i="5" s="1"/>
  <c r="Q243" i="5"/>
  <c r="Q249" i="5" s="1"/>
  <c r="D11" i="9"/>
  <c r="I8" i="5"/>
  <c r="Q5" i="7" s="1"/>
  <c r="R25" i="9"/>
  <c r="B38" i="8"/>
  <c r="D7" i="3"/>
  <c r="H238" i="3"/>
  <c r="G238" i="3"/>
  <c r="B34" i="8"/>
  <c r="B33" i="8"/>
  <c r="P98" i="9"/>
  <c r="S98" i="9"/>
  <c r="D161" i="9"/>
  <c r="Y167" i="9"/>
  <c r="Y230" i="5"/>
  <c r="AC167" i="9"/>
  <c r="AC230" i="5"/>
  <c r="Y168" i="9"/>
  <c r="Y231" i="5"/>
  <c r="AC168" i="9"/>
  <c r="AC231" i="5"/>
  <c r="Y169" i="9"/>
  <c r="Y232" i="5"/>
  <c r="AC169" i="9"/>
  <c r="AC232" i="5"/>
  <c r="Y170" i="9"/>
  <c r="Y233" i="5"/>
  <c r="AC170" i="9"/>
  <c r="AC233" i="5"/>
  <c r="Y171" i="9"/>
  <c r="Y234" i="5"/>
  <c r="AC171" i="9"/>
  <c r="AC234" i="5"/>
  <c r="F7" i="7"/>
  <c r="I238" i="3"/>
  <c r="F289" i="5"/>
  <c r="B81" i="7" l="1"/>
  <c r="D224" i="5"/>
  <c r="T93" i="3"/>
  <c r="Z93" i="3" s="1"/>
  <c r="T92" i="3"/>
  <c r="Z92" i="3" s="1"/>
  <c r="T195" i="3"/>
  <c r="Z195" i="3" s="1"/>
  <c r="T131" i="3"/>
  <c r="Z131" i="3" s="1"/>
  <c r="T67" i="3"/>
  <c r="Z67" i="3" s="1"/>
  <c r="T226" i="3"/>
  <c r="Z226" i="3" s="1"/>
  <c r="T162" i="3"/>
  <c r="Z162" i="3" s="1"/>
  <c r="T98" i="3"/>
  <c r="Z98" i="3" s="1"/>
  <c r="T34" i="3"/>
  <c r="Z34" i="3" s="1"/>
  <c r="T29" i="3"/>
  <c r="Z29" i="3" s="1"/>
  <c r="T113" i="3"/>
  <c r="Z113" i="3" s="1"/>
  <c r="T37" i="3"/>
  <c r="Z37" i="3" s="1"/>
  <c r="T81" i="3"/>
  <c r="Z81" i="3" s="1"/>
  <c r="T184" i="3"/>
  <c r="Z184" i="3" s="1"/>
  <c r="T64" i="3"/>
  <c r="Z64" i="3" s="1"/>
  <c r="T199" i="3"/>
  <c r="Z199" i="3" s="1"/>
  <c r="T127" i="3"/>
  <c r="Z127" i="3" s="1"/>
  <c r="T63" i="3"/>
  <c r="Z63" i="3" s="1"/>
  <c r="T125" i="3"/>
  <c r="Z125" i="3" s="1"/>
  <c r="T137" i="3"/>
  <c r="Z137" i="3" s="1"/>
  <c r="T160" i="3"/>
  <c r="Z160" i="3" s="1"/>
  <c r="T222" i="3"/>
  <c r="Z222" i="3" s="1"/>
  <c r="T158" i="3"/>
  <c r="Z158" i="3" s="1"/>
  <c r="T94" i="3"/>
  <c r="Z94" i="3" s="1"/>
  <c r="T30" i="3"/>
  <c r="Z30" i="3" s="1"/>
  <c r="T172" i="3"/>
  <c r="Z172" i="3" s="1"/>
  <c r="T44" i="3"/>
  <c r="Z44" i="3" s="1"/>
  <c r="K25" i="7"/>
  <c r="T204" i="3"/>
  <c r="Z204" i="3" s="1"/>
  <c r="T235" i="3"/>
  <c r="Z235" i="3" s="1"/>
  <c r="T171" i="3"/>
  <c r="Z171" i="3" s="1"/>
  <c r="T107" i="3"/>
  <c r="Z107" i="3" s="1"/>
  <c r="T43" i="3"/>
  <c r="Z43" i="3" s="1"/>
  <c r="T202" i="3"/>
  <c r="Z202" i="3" s="1"/>
  <c r="T138" i="3"/>
  <c r="Z138" i="3" s="1"/>
  <c r="T74" i="3"/>
  <c r="Z74" i="3" s="1"/>
  <c r="T205" i="3"/>
  <c r="Z205" i="3" s="1"/>
  <c r="T225" i="3"/>
  <c r="Z225" i="3" s="1"/>
  <c r="T181" i="3"/>
  <c r="Z181" i="3" s="1"/>
  <c r="T201" i="3"/>
  <c r="Z201" i="3" s="1"/>
  <c r="T41" i="3"/>
  <c r="Z41" i="3" s="1"/>
  <c r="T136" i="3"/>
  <c r="Z136" i="3" s="1"/>
  <c r="T32" i="3"/>
  <c r="Z32" i="3" s="1"/>
  <c r="T167" i="3"/>
  <c r="Z167" i="3" s="1"/>
  <c r="T103" i="3"/>
  <c r="Z103" i="3" s="1"/>
  <c r="T39" i="3"/>
  <c r="Z39" i="3" s="1"/>
  <c r="T164" i="3"/>
  <c r="Z164" i="3" s="1"/>
  <c r="T73" i="3"/>
  <c r="Z73" i="3" s="1"/>
  <c r="T104" i="3"/>
  <c r="Z104" i="3" s="1"/>
  <c r="T198" i="3"/>
  <c r="Z198" i="3" s="1"/>
  <c r="T134" i="3"/>
  <c r="Z134" i="3" s="1"/>
  <c r="T70" i="3"/>
  <c r="Z70" i="3" s="1"/>
  <c r="T157" i="3"/>
  <c r="Z157" i="3" s="1"/>
  <c r="T100" i="3"/>
  <c r="Z100" i="3" s="1"/>
  <c r="T180" i="3"/>
  <c r="Z180" i="3" s="1"/>
  <c r="T227" i="3"/>
  <c r="Z227" i="3" s="1"/>
  <c r="T163" i="3"/>
  <c r="Z163" i="3" s="1"/>
  <c r="T99" i="3"/>
  <c r="Z99" i="3" s="1"/>
  <c r="T35" i="3"/>
  <c r="Z35" i="3" s="1"/>
  <c r="T194" i="3"/>
  <c r="Z194" i="3" s="1"/>
  <c r="T130" i="3"/>
  <c r="Z130" i="3" s="1"/>
  <c r="T66" i="3"/>
  <c r="Z66" i="3" s="1"/>
  <c r="T165" i="3"/>
  <c r="Z165" i="3" s="1"/>
  <c r="T209" i="3"/>
  <c r="Z209" i="3" s="1"/>
  <c r="T149" i="3"/>
  <c r="Z149" i="3" s="1"/>
  <c r="T153" i="3"/>
  <c r="Z153" i="3" s="1"/>
  <c r="T33" i="3"/>
  <c r="Z33" i="3" s="1"/>
  <c r="T128" i="3"/>
  <c r="Z128" i="3" s="1"/>
  <c r="T16" i="3"/>
  <c r="Z16" i="3" s="1"/>
  <c r="T159" i="3"/>
  <c r="Z159" i="3" s="1"/>
  <c r="T95" i="3"/>
  <c r="Z95" i="3" s="1"/>
  <c r="T31" i="3"/>
  <c r="Z31" i="3" s="1"/>
  <c r="T233" i="3"/>
  <c r="Z233" i="3" s="1"/>
  <c r="T25" i="3"/>
  <c r="Z25" i="3" s="1"/>
  <c r="T88" i="3"/>
  <c r="Z88" i="3" s="1"/>
  <c r="T190" i="3"/>
  <c r="Z190" i="3" s="1"/>
  <c r="T126" i="3"/>
  <c r="Z126" i="3" s="1"/>
  <c r="T62" i="3"/>
  <c r="Z62" i="3" s="1"/>
  <c r="T117" i="3"/>
  <c r="Z117" i="3" s="1"/>
  <c r="T84" i="3"/>
  <c r="Z84" i="3" s="1"/>
  <c r="T221" i="3"/>
  <c r="Z221" i="3" s="1"/>
  <c r="T140" i="3"/>
  <c r="Z140" i="3" s="1"/>
  <c r="T219" i="3"/>
  <c r="Z219" i="3" s="1"/>
  <c r="T155" i="3"/>
  <c r="Z155" i="3" s="1"/>
  <c r="T91" i="3"/>
  <c r="Z91" i="3" s="1"/>
  <c r="T27" i="3"/>
  <c r="Z27" i="3" s="1"/>
  <c r="T186" i="3"/>
  <c r="Z186" i="3" s="1"/>
  <c r="T122" i="3"/>
  <c r="Z122" i="3" s="1"/>
  <c r="T58" i="3"/>
  <c r="Z58" i="3" s="1"/>
  <c r="T109" i="3"/>
  <c r="Z109" i="3" s="1"/>
  <c r="T185" i="3"/>
  <c r="Z185" i="3" s="1"/>
  <c r="T133" i="3"/>
  <c r="Z133" i="3" s="1"/>
  <c r="T129" i="3"/>
  <c r="Z129" i="3" s="1"/>
  <c r="T17" i="3"/>
  <c r="Z17" i="3" s="1"/>
  <c r="T112" i="3"/>
  <c r="Z112" i="3" s="1"/>
  <c r="T223" i="3"/>
  <c r="Z223" i="3" s="1"/>
  <c r="T151" i="3"/>
  <c r="Z151" i="3" s="1"/>
  <c r="T87" i="3"/>
  <c r="Z87" i="3" s="1"/>
  <c r="T23" i="3"/>
  <c r="Z23" i="3" s="1"/>
  <c r="T217" i="3"/>
  <c r="Z217" i="3" s="1"/>
  <c r="T224" i="3"/>
  <c r="Z224" i="3" s="1"/>
  <c r="T72" i="3"/>
  <c r="Z72" i="3" s="1"/>
  <c r="T182" i="3"/>
  <c r="Z182" i="3" s="1"/>
  <c r="T118" i="3"/>
  <c r="Z118" i="3" s="1"/>
  <c r="T54" i="3"/>
  <c r="Z54" i="3" s="1"/>
  <c r="T85" i="3"/>
  <c r="Z85" i="3" s="1"/>
  <c r="T76" i="3"/>
  <c r="Z76" i="3" s="1"/>
  <c r="T124" i="3"/>
  <c r="Z124" i="3" s="1"/>
  <c r="T211" i="3"/>
  <c r="Z211" i="3" s="1"/>
  <c r="T147" i="3"/>
  <c r="Z147" i="3" s="1"/>
  <c r="T83" i="3"/>
  <c r="Z83" i="3" s="1"/>
  <c r="T19" i="3"/>
  <c r="Z19" i="3" s="1"/>
  <c r="T178" i="3"/>
  <c r="Z178" i="3" s="1"/>
  <c r="T114" i="3"/>
  <c r="Z114" i="3" s="1"/>
  <c r="T50" i="3"/>
  <c r="Z50" i="3" s="1"/>
  <c r="T77" i="3"/>
  <c r="Z77" i="3" s="1"/>
  <c r="T169" i="3"/>
  <c r="Z169" i="3" s="1"/>
  <c r="T101" i="3"/>
  <c r="Z101" i="3" s="1"/>
  <c r="T105" i="3"/>
  <c r="Z105" i="3" s="1"/>
  <c r="T216" i="3"/>
  <c r="Z216" i="3" s="1"/>
  <c r="T96" i="3"/>
  <c r="Z96" i="3" s="1"/>
  <c r="T215" i="3"/>
  <c r="Z215" i="3" s="1"/>
  <c r="T143" i="3"/>
  <c r="Z143" i="3" s="1"/>
  <c r="T79" i="3"/>
  <c r="Z79" i="3" s="1"/>
  <c r="T237" i="3"/>
  <c r="Z237" i="3" s="1"/>
  <c r="T193" i="3"/>
  <c r="Z193" i="3" s="1"/>
  <c r="T208" i="3"/>
  <c r="Z208" i="3" s="1"/>
  <c r="T48" i="3"/>
  <c r="Z48" i="3" s="1"/>
  <c r="T174" i="3"/>
  <c r="Z174" i="3" s="1"/>
  <c r="T110" i="3"/>
  <c r="Z110" i="3" s="1"/>
  <c r="T46" i="3"/>
  <c r="Z46" i="3" s="1"/>
  <c r="T61" i="3"/>
  <c r="Z61" i="3" s="1"/>
  <c r="T60" i="3"/>
  <c r="Z60" i="3" s="1"/>
  <c r="T175" i="3"/>
  <c r="Z175" i="3" s="1"/>
  <c r="T173" i="3"/>
  <c r="Z173" i="3" s="1"/>
  <c r="T141" i="3"/>
  <c r="Z141" i="3" s="1"/>
  <c r="T108" i="3"/>
  <c r="Z108" i="3" s="1"/>
  <c r="T203" i="3"/>
  <c r="Z203" i="3" s="1"/>
  <c r="T139" i="3"/>
  <c r="Z139" i="3" s="1"/>
  <c r="T75" i="3"/>
  <c r="Z75" i="3" s="1"/>
  <c r="T234" i="3"/>
  <c r="Z234" i="3" s="1"/>
  <c r="T170" i="3"/>
  <c r="Z170" i="3" s="1"/>
  <c r="T106" i="3"/>
  <c r="Z106" i="3" s="1"/>
  <c r="T42" i="3"/>
  <c r="Z42" i="3" s="1"/>
  <c r="T53" i="3"/>
  <c r="Z53" i="3" s="1"/>
  <c r="T145" i="3"/>
  <c r="Z145" i="3" s="1"/>
  <c r="T69" i="3"/>
  <c r="Z69" i="3" s="1"/>
  <c r="T89" i="3"/>
  <c r="Z89" i="3" s="1"/>
  <c r="T200" i="3"/>
  <c r="Z200" i="3" s="1"/>
  <c r="T80" i="3"/>
  <c r="Z80" i="3" s="1"/>
  <c r="T207" i="3"/>
  <c r="Z207" i="3" s="1"/>
  <c r="T135" i="3"/>
  <c r="Z135" i="3" s="1"/>
  <c r="T71" i="3"/>
  <c r="Z71" i="3" s="1"/>
  <c r="T189" i="3"/>
  <c r="Z189" i="3" s="1"/>
  <c r="T161" i="3"/>
  <c r="Z161" i="3" s="1"/>
  <c r="T192" i="3"/>
  <c r="Z192" i="3" s="1"/>
  <c r="T24" i="3"/>
  <c r="Z24" i="3" s="1"/>
  <c r="T166" i="3"/>
  <c r="Z166" i="3" s="1"/>
  <c r="T102" i="3"/>
  <c r="Z102" i="3" s="1"/>
  <c r="T38" i="3"/>
  <c r="Z38" i="3" s="1"/>
  <c r="T196" i="3"/>
  <c r="Z196" i="3" s="1"/>
  <c r="T52" i="3"/>
  <c r="Z52" i="3" s="1"/>
  <c r="P50" i="5"/>
  <c r="P56" i="5" s="1"/>
  <c r="K126" i="5"/>
  <c r="K123" i="5"/>
  <c r="K122" i="5"/>
  <c r="K125" i="5"/>
  <c r="T13" i="3"/>
  <c r="Z13" i="3" s="1"/>
  <c r="X25" i="7"/>
  <c r="K308" i="5"/>
  <c r="U243" i="5"/>
  <c r="D223" i="5"/>
  <c r="J59" i="5" s="1"/>
  <c r="B80" i="7" s="1"/>
  <c r="D85" i="5"/>
  <c r="B50" i="5"/>
  <c r="D90" i="5"/>
  <c r="L13" i="7"/>
  <c r="D144" i="5"/>
  <c r="K276" i="5"/>
  <c r="T270" i="5"/>
  <c r="Z47" i="5"/>
  <c r="Z50" i="5"/>
  <c r="Z56" i="5" s="1"/>
  <c r="S308" i="5"/>
  <c r="AH41" i="5"/>
  <c r="K263" i="5"/>
  <c r="AD47" i="5"/>
  <c r="AD50" i="5"/>
  <c r="T12" i="3"/>
  <c r="Z12" i="3" s="1"/>
  <c r="R106" i="5"/>
  <c r="O3" i="7"/>
  <c r="I3" i="7"/>
  <c r="J62" i="5"/>
  <c r="F3" i="7"/>
  <c r="AN73" i="5"/>
  <c r="F310" i="5"/>
  <c r="K281" i="5" l="1"/>
  <c r="L41" i="5"/>
  <c r="U249" i="5"/>
  <c r="T276" i="5"/>
  <c r="X270" i="5"/>
  <c r="X276" i="5" s="1"/>
  <c r="AH47" i="5"/>
  <c r="AH50" i="5"/>
  <c r="AD56" i="5"/>
  <c r="J72" i="7" s="1"/>
  <c r="D197" i="5"/>
  <c r="X27" i="7"/>
  <c r="L47" i="5" l="1"/>
  <c r="L50" i="5"/>
  <c r="O281" i="5"/>
  <c r="K287" i="5"/>
  <c r="AB270" i="5"/>
  <c r="AH56" i="5"/>
  <c r="J74" i="7" s="1"/>
  <c r="J70" i="7"/>
  <c r="O287" i="5" l="1"/>
  <c r="AH257" i="5"/>
  <c r="L56" i="5"/>
  <c r="J66" i="7" s="1"/>
  <c r="J68" i="7" s="1"/>
  <c r="V50" i="5"/>
  <c r="V56" i="5" s="1"/>
  <c r="AF270" i="5"/>
  <c r="AF276" i="5" s="1"/>
  <c r="AB276" i="5"/>
  <c r="Q257" i="5" l="1"/>
  <c r="T257" i="5" s="1"/>
  <c r="V41" i="5"/>
  <c r="V47" i="5" s="1"/>
  <c r="AH263" i="5"/>
  <c r="X257" i="5" l="1"/>
  <c r="X263" i="5" s="1"/>
  <c r="T263" i="5"/>
  <c r="AD257" i="5" l="1"/>
  <c r="AD263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tc={77CFE6F2-93CC-49EE-90C3-9D57815E3C2D}</author>
  </authors>
  <commentList>
    <comment ref="E1" authorId="0" shapeId="0" xr:uid="{77CFE6F2-93CC-49EE-90C3-9D57815E3C2D}">
      <text>
        <t>[Threaded comment]
Your version of Excel allows you to read this threaded comment; however, any edits to it will get removed if the file is opened in a newer version of Excel. Learn more: https://go.microsoft.com/fwlink/?linkid=870924
Comment:
    preguntar si genera o no C4</t>
      </text>
    </comment>
  </commentList>
</comments>
</file>

<file path=xl/sharedStrings.xml><?xml version="1.0" encoding="utf-8"?>
<sst xmlns="http://schemas.openxmlformats.org/spreadsheetml/2006/main" count="1588" uniqueCount="545">
  <si>
    <t>NOMBRE DEL TASADOR</t>
  </si>
  <si>
    <t xml:space="preserve">RUC </t>
  </si>
  <si>
    <t>Nombre del proyecto</t>
  </si>
  <si>
    <t>Dirección del proyecto</t>
  </si>
  <si>
    <t>Razón social</t>
  </si>
  <si>
    <t>Nombre del cliente</t>
  </si>
  <si>
    <t>DNI Cliente</t>
  </si>
  <si>
    <t>Ultima tasación</t>
  </si>
  <si>
    <t>Actualización</t>
  </si>
  <si>
    <t>Unidad Inmobiliaria</t>
  </si>
  <si>
    <t xml:space="preserve">Nivel </t>
  </si>
  <si>
    <t>Información reportada por el Promotor/Constructor</t>
  </si>
  <si>
    <t>Información reportada por el Supervisor/Tasador</t>
  </si>
  <si>
    <t>Tipo de Cambio</t>
  </si>
  <si>
    <t>Fecha de Tasación</t>
  </si>
  <si>
    <t>Áreas Comunes (m²)</t>
  </si>
  <si>
    <t>INGENIERIA MAXIMA E.I.R.L.</t>
  </si>
  <si>
    <t>REPEV: 15687-2009</t>
  </si>
  <si>
    <t>T.C.:</t>
  </si>
  <si>
    <t>VUT:</t>
  </si>
  <si>
    <t>VUE Dpto</t>
  </si>
  <si>
    <t>Leyenda:</t>
  </si>
  <si>
    <t>Tasaciones elaboradas</t>
  </si>
  <si>
    <t>Sin elaborar</t>
  </si>
  <si>
    <t>Notas importantes:</t>
  </si>
  <si>
    <t>El presente resumen se ha realizado en base a la información del proyecto proporcionada por el cliente. Se recomienda actualizar los valores cuando se efectúe la independización de las unidades inmobiliarias resultantes.</t>
  </si>
  <si>
    <t>Los datos y valores que corresponden a las unidades indicadas como "sin elaborar" son referenciales, pudiendo variar de acuerdo a las minutas de compra-venta respectivas.</t>
  </si>
  <si>
    <t>Por indicación del solicitante, se considera como importe asegurable el valor comercial.</t>
  </si>
  <si>
    <t>El presente resumen no constituye un dictamen estructural del inmueble; por lo tanto, no puede ser utilizado para fines relacionados con otras ramas de la ingeniería civil y/o arquitectura, ni se asume responsabilidad por las características del inmueble que no puedan ser apreciadas en una inspección ocular simple para efectos de tasación.</t>
  </si>
  <si>
    <t>La probable existencia de cargas y gravámenes, reservas de dominio u otros que pudieran afectar el bien que se tasa, que no estén inscritos y/o que no hayan sido declarados por el solicitante y/o propietario del inmueble, no serán de nuestra responsabilidad.</t>
  </si>
  <si>
    <t>Departamento</t>
  </si>
  <si>
    <t>Moneda</t>
  </si>
  <si>
    <t>Valor de Venta</t>
  </si>
  <si>
    <t>Soles</t>
  </si>
  <si>
    <t>VISTA</t>
  </si>
  <si>
    <t>Ratio de tasación</t>
  </si>
  <si>
    <t>BESCO S.A.C.</t>
  </si>
  <si>
    <t>20416162299</t>
  </si>
  <si>
    <t>Habilitación urbana con construcción simultánea - tipo 5 - por etapas Av Los Nogales num 251 sub lote B-1 y terreno a la altura del Km. 2.8 Carretera Central - El Agustino</t>
  </si>
  <si>
    <t>Estacionamiento</t>
  </si>
  <si>
    <t>Estac 30k</t>
  </si>
  <si>
    <t>Estac 28k</t>
  </si>
  <si>
    <t>Estac 25k</t>
  </si>
  <si>
    <t>Estac 32k</t>
  </si>
  <si>
    <t>Dpto 1250</t>
  </si>
  <si>
    <t>Dpto 1200</t>
  </si>
  <si>
    <t>Dpto 1150</t>
  </si>
  <si>
    <t>Dpto 1100</t>
  </si>
  <si>
    <t>Dpto 1050</t>
  </si>
  <si>
    <t>Dpto 1000</t>
  </si>
  <si>
    <t>Dpto 950</t>
  </si>
  <si>
    <t>Dpto 900</t>
  </si>
  <si>
    <t>Dpto 850</t>
  </si>
  <si>
    <t>NUEVO NOGALES  - ETAPA TORRE 13 (Módulo 2)</t>
  </si>
  <si>
    <t>NR/MC</t>
  </si>
  <si>
    <t>/dólar</t>
  </si>
  <si>
    <t>TIPO DE CAMBIO REFERENCIAL S/.</t>
  </si>
  <si>
    <t xml:space="preserve">SON: </t>
  </si>
  <si>
    <t>TOTALES</t>
  </si>
  <si>
    <t>VRI
(US$)</t>
  </si>
  <si>
    <t>Factor %</t>
  </si>
  <si>
    <t>Descripción</t>
  </si>
  <si>
    <t>NO INCLUYE LAS CONSIDERACIONES QUE LA ENTIDAD ESTIME CONVENIENTES PARA LLEGAR AL VALOR DE REALIZACIÓN ÓPTIMO.</t>
  </si>
  <si>
    <t>NOTA:</t>
  </si>
  <si>
    <t>%</t>
  </si>
  <si>
    <t>TOTAL DE DEDUCCIONES</t>
  </si>
  <si>
    <t>Reajuste por Realización en 180 días</t>
  </si>
  <si>
    <t>Gastos Publicidad y Ventas</t>
  </si>
  <si>
    <t>Pre-Realización y Valuación</t>
  </si>
  <si>
    <t>Mantenimiento</t>
  </si>
  <si>
    <t>DEDUCCIONES A CONSIDERAR</t>
  </si>
  <si>
    <r>
      <t>VALOR DE REALIZACIÓN INMEDIATA:</t>
    </r>
    <r>
      <rPr>
        <b/>
        <sz val="10"/>
        <rFont val="Verdana"/>
        <family val="2"/>
      </rPr>
      <t xml:space="preserve"> VRI </t>
    </r>
  </si>
  <si>
    <t>1.05.</t>
  </si>
  <si>
    <t>VC
(US$)</t>
  </si>
  <si>
    <r>
      <t>VALOR COMERCIAL:</t>
    </r>
    <r>
      <rPr>
        <b/>
        <sz val="10"/>
        <rFont val="Verdana"/>
        <family val="2"/>
      </rPr>
      <t xml:space="preserve"> VC = VT + VE</t>
    </r>
  </si>
  <si>
    <t>1.04.</t>
  </si>
  <si>
    <t>VRC aprox. (US$)</t>
  </si>
  <si>
    <t>VRC
(US$)</t>
  </si>
  <si>
    <t>Áreas Comunes (15%)</t>
  </si>
  <si>
    <t>Valor Parcial (US$)</t>
  </si>
  <si>
    <t>Valor por m² (US$)</t>
  </si>
  <si>
    <t>De acuerdo a los materiales predominantes detallados en el Ítem 1.11 del presente informe, se determina el valor promedio por metro cuadrado de área techada en US$:</t>
  </si>
  <si>
    <r>
      <t>VALOR DE RECONSTRUCCIÓN:</t>
    </r>
    <r>
      <rPr>
        <b/>
        <sz val="10"/>
        <rFont val="Verdana"/>
        <family val="2"/>
      </rPr>
      <t xml:space="preserve"> VRC</t>
    </r>
  </si>
  <si>
    <t>1.03.</t>
  </si>
  <si>
    <t>VE aprox. (US$)</t>
  </si>
  <si>
    <t>VE
(US$)</t>
  </si>
  <si>
    <t>Deprec (%)</t>
  </si>
  <si>
    <t>Incluyendo factores de comercialización:</t>
  </si>
  <si>
    <r>
      <t>VALOR DE LA EDIFICACIÓN:</t>
    </r>
    <r>
      <rPr>
        <b/>
        <sz val="10"/>
        <rFont val="Verdana"/>
        <family val="2"/>
      </rPr>
      <t xml:space="preserve"> VE</t>
    </r>
  </si>
  <si>
    <t>1.02.</t>
  </si>
  <si>
    <t>VT aprox. (US$)</t>
  </si>
  <si>
    <t>VT
(US$)</t>
  </si>
  <si>
    <t>Área del Terreno (m²)</t>
  </si>
  <si>
    <t>De acuerdo al Mercado Inmobiliario de la zona, zonificación, ubicación, entorno y dimensiones, se estima el valor promedio del metro cuadrado de terreno en US$:</t>
  </si>
  <si>
    <r>
      <t>VALOR DEL TERRENO:</t>
    </r>
    <r>
      <rPr>
        <b/>
        <sz val="10"/>
        <rFont val="Verdana"/>
        <family val="2"/>
      </rPr>
      <t xml:space="preserve"> VT</t>
    </r>
  </si>
  <si>
    <t>1.01.</t>
  </si>
  <si>
    <t>II.- VALUACIÓN DEL PREDIO</t>
  </si>
  <si>
    <t>Fuente</t>
  </si>
  <si>
    <t>Precio de Venta Área Ocupada US$/m²</t>
  </si>
  <si>
    <t xml:space="preserve">Precio de Venta Área Techada US$/m² </t>
  </si>
  <si>
    <t>Precio de Venta US$</t>
  </si>
  <si>
    <t>Área Ocupada (m²)</t>
  </si>
  <si>
    <t>Área Techada (m²)</t>
  </si>
  <si>
    <t>REFERENCIAS DE MERCADO</t>
  </si>
  <si>
    <t>1.18.</t>
  </si>
  <si>
    <t>La presente tasación no constituye un dictamen estructural del inmueble; por lo tanto, no puede ser utilizado para fines relacionados con otras ramas de la ingeniería civil y/o la arquitectura, ni se asume responsabilidad por las características del inmueble que no puedan ser apreciadas en una inspección ocular simple para efectos de tasación.</t>
  </si>
  <si>
    <t>El presente informe se ha realizado en base a la información del proyecto proporcionada por el cliente. Se recomienda actualizar los valores cuando se efectúe la independización de las unidades inmobiliarias.</t>
  </si>
  <si>
    <t>OBSERVACIONES</t>
  </si>
  <si>
    <t>1.17.</t>
  </si>
  <si>
    <t>►</t>
  </si>
  <si>
    <t>Para la elaboración del presente informe fueron proporcionados los siguientes documentos:</t>
  </si>
  <si>
    <t>FUENTE Y PROCEDENCIA DE LA INFORMACIÓN</t>
  </si>
  <si>
    <t>1.16.</t>
  </si>
  <si>
    <t>El inmueble matriz presenta una hipoteca a favor del Banco Internacional del Perú - Interbank hasta por US$ 248,424,744.00, de fecha 02/06/2014 (asiento D00006).</t>
  </si>
  <si>
    <t>GRAVÁMENES Y CARGAS</t>
  </si>
  <si>
    <t>1.15.</t>
  </si>
  <si>
    <t>El inmueble matriz tiene una servidumbre de paso trasladada del antecedente, que le permite un camino de control y vigilancia sobre una extensión superficial de 547.00 m2 (asiento D00009), y una correlación de servidumbre como predio sirviente a favor de Luz del Sur (asiento D00007).</t>
  </si>
  <si>
    <t>SERVIDUMBRES</t>
  </si>
  <si>
    <t>1.14.</t>
  </si>
  <si>
    <t>CARACTERÍSTICAS E INFRAESTRUCTURA DE SERVICIOS ENTORNOS DEL PREDIO</t>
  </si>
  <si>
    <t>1.13.</t>
  </si>
  <si>
    <t>En construcción.</t>
  </si>
  <si>
    <t>Muy bueno</t>
  </si>
  <si>
    <t>Observaciones</t>
  </si>
  <si>
    <t>Depreciación</t>
  </si>
  <si>
    <t>Estado</t>
  </si>
  <si>
    <t>Antigüedad</t>
  </si>
  <si>
    <t>ANTIGÜEDAD Y ESTADO DE CONSERVACIÓN</t>
  </si>
  <si>
    <t>1.12.</t>
  </si>
  <si>
    <t>:</t>
  </si>
  <si>
    <t>Sistema contra incendios</t>
  </si>
  <si>
    <t>I.</t>
  </si>
  <si>
    <t>Instalaciones eléctricas</t>
  </si>
  <si>
    <t>H.</t>
  </si>
  <si>
    <t>Instalaciones sanitarias</t>
  </si>
  <si>
    <t>G.</t>
  </si>
  <si>
    <t>Pisos: Cerámico.</t>
  </si>
  <si>
    <t>Baños</t>
  </si>
  <si>
    <t>F.</t>
  </si>
  <si>
    <t>Cocina - Lavandería</t>
  </si>
  <si>
    <t>E.</t>
  </si>
  <si>
    <t>Puertas, ventanas y carpintería</t>
  </si>
  <si>
    <t>D.</t>
  </si>
  <si>
    <t>Pisos</t>
  </si>
  <si>
    <t>C.</t>
  </si>
  <si>
    <t>Albañilería y revoques</t>
  </si>
  <si>
    <t>B.</t>
  </si>
  <si>
    <t xml:space="preserve">Muros de concreto armado, columnas, vigas y losas de concreto armado. </t>
  </si>
  <si>
    <t>Estructura portante</t>
  </si>
  <si>
    <t>A.</t>
  </si>
  <si>
    <t>Materiales Predominantes:</t>
  </si>
  <si>
    <t>CARACTERÍSTICAS DE LA EDIFICACIÓN</t>
  </si>
  <si>
    <t>Ingreso, sala comedor, cocina, lavanderia, hall, dormitorio 1, baño común y dormitorio principal con baño.</t>
  </si>
  <si>
    <t>DISTRIBUCIÓN</t>
  </si>
  <si>
    <t>DESCRIPCIÓN</t>
  </si>
  <si>
    <t>1.11.</t>
  </si>
  <si>
    <t>del Registro de Propiedad Inmueble de Lima.</t>
  </si>
  <si>
    <t xml:space="preserve">Descritos en la Partida N° </t>
  </si>
  <si>
    <t>Terreno matriz</t>
  </si>
  <si>
    <t>LINDEROS Y MEDIDAS PERIMÉTRICAS</t>
  </si>
  <si>
    <t>1.10.</t>
  </si>
  <si>
    <t>m²</t>
  </si>
  <si>
    <t>Área Total</t>
  </si>
  <si>
    <t>Las áreas techadas y ocupadas han sido obtenidas del contrato de compra venta de un bien futuro.</t>
  </si>
  <si>
    <t>Área Ocupada</t>
  </si>
  <si>
    <t>Área Techada</t>
  </si>
  <si>
    <t>ÁREA CONSTRUIDA</t>
  </si>
  <si>
    <t>El % de zonas comunes ha sido estimado. La alícuota de terreno fue estimada.</t>
  </si>
  <si>
    <r>
      <t>Área de Terreno</t>
    </r>
    <r>
      <rPr>
        <sz val="8"/>
        <rFont val="Verdana"/>
        <family val="2"/>
      </rPr>
      <t xml:space="preserve"> (b)</t>
    </r>
  </si>
  <si>
    <r>
      <t>% Zonas Comunes</t>
    </r>
    <r>
      <rPr>
        <sz val="8"/>
        <rFont val="Verdana"/>
        <family val="2"/>
      </rPr>
      <t xml:space="preserve"> (a)</t>
    </r>
  </si>
  <si>
    <t>Terreno matriz:</t>
  </si>
  <si>
    <t>ÁREA DEL TERRENO</t>
  </si>
  <si>
    <t>1.09.</t>
  </si>
  <si>
    <t>Uso</t>
  </si>
  <si>
    <t>Zonificación</t>
  </si>
  <si>
    <t>ZONIFICACIÓN Y USO ACTUAL DEL PREDIO</t>
  </si>
  <si>
    <t>1.08.</t>
  </si>
  <si>
    <t>UBICACIÓN</t>
  </si>
  <si>
    <t>1.07.</t>
  </si>
  <si>
    <t>FECHA A LA CUAL ESTA REFERIDA LA TASACIÓN</t>
  </si>
  <si>
    <t>FECHA DE LA INSPECCIÓN OCULAR</t>
  </si>
  <si>
    <t>1.06.</t>
  </si>
  <si>
    <t>En concordancia con el Reglamento Nacional de Tasaciones R.M. Nº 172-2016-VIVIENDA publicado el 23 de Julio de 2016 y su modificatoria según R.M. Nº 424-2017-VIVIENDA del 02 de Noviembre de 2017, método aplicado de Valuación Directa y la Resolución de la S.B.S. Nº 11356-2008.</t>
  </si>
  <si>
    <t>METODOLOGÍA</t>
  </si>
  <si>
    <t>Determinar el valor comercial y el valor de realización inmediata de la (s) unidad (es) inmobiliaria (s) descrita (s) en el presente informe con fines de constitución de garantía hipotecaria.</t>
  </si>
  <si>
    <t>OBJETO DE LA TASACIÓN</t>
  </si>
  <si>
    <t xml:space="preserve">Inscrito en la Partida N° </t>
  </si>
  <si>
    <t>SITUACIÓN REGISTRAL</t>
  </si>
  <si>
    <t>PROPIETARIO</t>
  </si>
  <si>
    <t>SOLICITANTE</t>
  </si>
  <si>
    <t>I.- MEMORIA DESCRIPTIVA</t>
  </si>
  <si>
    <t>VALUACIÓN COMERCIAL</t>
  </si>
  <si>
    <t>Fecha</t>
  </si>
  <si>
    <t>REPEV Nº 15687-2009</t>
  </si>
  <si>
    <t>INGENIERÍA MÁXIMA E.I.R.L.</t>
  </si>
  <si>
    <t xml:space="preserve">: </t>
  </si>
  <si>
    <t>Perito Responsable</t>
  </si>
  <si>
    <t>-</t>
  </si>
  <si>
    <t>Número de sótanos</t>
  </si>
  <si>
    <t>20 y Azotea</t>
  </si>
  <si>
    <t>Número de pisos</t>
  </si>
  <si>
    <t>Vivienda</t>
  </si>
  <si>
    <t>Tipo</t>
  </si>
  <si>
    <t>Concreto</t>
  </si>
  <si>
    <t>Material de Construcción</t>
  </si>
  <si>
    <t>Año de Construcción</t>
  </si>
  <si>
    <t>TC: S/.</t>
  </si>
  <si>
    <t>Valor de Realización (VRI) S/.</t>
  </si>
  <si>
    <t>Valor Comercial (VC) S/.</t>
  </si>
  <si>
    <t>Importe Asegurable S/.</t>
  </si>
  <si>
    <t>Valor de la Edificación (VE) S/.</t>
  </si>
  <si>
    <t>Área Techada m²</t>
  </si>
  <si>
    <t>Valor del Terreno (VT) S/.</t>
  </si>
  <si>
    <t>Valor de Realización (VRI) US$</t>
  </si>
  <si>
    <t>Valor Comercial (VC) US$</t>
  </si>
  <si>
    <t>Importe Asegurable US$</t>
  </si>
  <si>
    <t>Valor de la Edificación (VE) US$</t>
  </si>
  <si>
    <t>Área Ocupada m²</t>
  </si>
  <si>
    <t>Valor del Terreno (VT) US$</t>
  </si>
  <si>
    <t>Área del Terreno m²</t>
  </si>
  <si>
    <t>ÁREAS Y VALORES:</t>
  </si>
  <si>
    <t>TORRE:</t>
  </si>
  <si>
    <t>CÓDIGO DE UBIGEO:</t>
  </si>
  <si>
    <t>FECHA DE INSPECCIÓN:</t>
  </si>
  <si>
    <t xml:space="preserve">UBICACIÓN: </t>
  </si>
  <si>
    <t>PROPIETARIO:</t>
  </si>
  <si>
    <t>CLIENTE:</t>
  </si>
  <si>
    <t>BANCO INTERNACIONAL DEL PERÚ S.A.A. - INTERBANK</t>
  </si>
  <si>
    <t>SOLICITANTE:</t>
  </si>
  <si>
    <t>VALUACIÓN COMERCIAL DE INMUEBLE COMO BIEN FUTURO</t>
  </si>
  <si>
    <t>REFERENCIA:</t>
  </si>
  <si>
    <t>INMUEBLES - BIEN FUTURO</t>
  </si>
  <si>
    <t>HOJA RESUMEN</t>
  </si>
  <si>
    <t>ANEXO.- REGISTRO FOTOGRÁFICO</t>
  </si>
  <si>
    <t>C.I.P</t>
  </si>
  <si>
    <t>REPEV S.B.S.: 15687-2009</t>
  </si>
  <si>
    <t>2. En caso de Bien Futuro, firmará preliminamente, el ingeniero supervisor de la EF que financie el proyecto inmobiliario.</t>
  </si>
  <si>
    <t>NOMBRES Y APELLIDOS</t>
  </si>
  <si>
    <t>1. En caso los datos de la valorización se hayan obtenido en nuevos soles, se deberá utilizar el tipo de cambio promedio compra SBS, al cierre del día anterior, a la fecha de realizada la tasación.</t>
  </si>
  <si>
    <t>FIRMA DEL PERITO VALUADOR</t>
  </si>
  <si>
    <t>COMENTARIOS/ OBSERVACIONES</t>
  </si>
  <si>
    <t>VALOR DE REALIZACIÓN (En S/)</t>
  </si>
  <si>
    <t>VALOR COMERCIAL DEL INMUEBLE (En S/)</t>
  </si>
  <si>
    <t>VALOR DEL ESTACIONAMIENTO (En S/)</t>
  </si>
  <si>
    <t>VALOR DEL CASCO HABITABLE (En S/)</t>
  </si>
  <si>
    <t>VALOR DEL TERRENO (En S/)</t>
  </si>
  <si>
    <t>VALORIZACIONES</t>
  </si>
  <si>
    <t>FUENTE</t>
  </si>
  <si>
    <t>PRECIO (US$)</t>
  </si>
  <si>
    <t>AC (m2)</t>
  </si>
  <si>
    <t>AT(m2)</t>
  </si>
  <si>
    <t>N°</t>
  </si>
  <si>
    <t>PRECIOS REFERENCIALES</t>
  </si>
  <si>
    <t>Laminado</t>
  </si>
  <si>
    <t>a</t>
  </si>
  <si>
    <t>Dormitorios</t>
  </si>
  <si>
    <t>Sala-Comedor</t>
  </si>
  <si>
    <t>Otro</t>
  </si>
  <si>
    <t>Cerámica</t>
  </si>
  <si>
    <t>Cemento</t>
  </si>
  <si>
    <t>Machimbrao</t>
  </si>
  <si>
    <t>Parquet</t>
  </si>
  <si>
    <t>Vinílico</t>
  </si>
  <si>
    <t>AMBIENTE</t>
  </si>
  <si>
    <t>PISOS</t>
  </si>
  <si>
    <t>COLOR</t>
  </si>
  <si>
    <t>BLANCO</t>
  </si>
  <si>
    <t>NO AMOBLADA</t>
  </si>
  <si>
    <t>AMOBLADA</t>
  </si>
  <si>
    <t>APARATOS SANITARIOS</t>
  </si>
  <si>
    <t>MUEBLES DE COCINA</t>
  </si>
  <si>
    <t>Otros</t>
  </si>
  <si>
    <t>Fierro</t>
  </si>
  <si>
    <t>MDF</t>
  </si>
  <si>
    <t>d) Otros</t>
  </si>
  <si>
    <t>b) Madera</t>
  </si>
  <si>
    <t>b) Fierro</t>
  </si>
  <si>
    <t>MATERIA</t>
  </si>
  <si>
    <t>Aluminio</t>
  </si>
  <si>
    <t>Madera</t>
  </si>
  <si>
    <t>VENTANAS</t>
  </si>
  <si>
    <t>c) Contraplacada</t>
  </si>
  <si>
    <t>b) Macisa</t>
  </si>
  <si>
    <t>a) Apanelada</t>
  </si>
  <si>
    <t>TIPO</t>
  </si>
  <si>
    <t>PUERTAS</t>
  </si>
  <si>
    <t>ACABADOS</t>
  </si>
  <si>
    <t>Adobe</t>
  </si>
  <si>
    <t>Calcareo</t>
  </si>
  <si>
    <t>a) y b)</t>
  </si>
  <si>
    <t>Zapatas</t>
  </si>
  <si>
    <t>Arcilla</t>
  </si>
  <si>
    <t>Albañilería</t>
  </si>
  <si>
    <t>Maciso</t>
  </si>
  <si>
    <t>b) Acero</t>
  </si>
  <si>
    <t>Cimientos corridos</t>
  </si>
  <si>
    <t>Tipos de Albañilería:</t>
  </si>
  <si>
    <t>Aligerado</t>
  </si>
  <si>
    <t>a) Concreto</t>
  </si>
  <si>
    <t>Platea de cimentación</t>
  </si>
  <si>
    <t>MUROS</t>
  </si>
  <si>
    <t>TECHOS</t>
  </si>
  <si>
    <t>VIGAS</t>
  </si>
  <si>
    <t>COLUMNAS</t>
  </si>
  <si>
    <t>ESTRUCTURAS</t>
  </si>
  <si>
    <t>ESPECIFICACIONES TÉCNICAS</t>
  </si>
  <si>
    <t>Piscina común</t>
  </si>
  <si>
    <t>Canchas/ Gimnasios</t>
  </si>
  <si>
    <t>Sala común</t>
  </si>
  <si>
    <t>Instalaciones de gas natural</t>
  </si>
  <si>
    <t>Parque de uso común</t>
  </si>
  <si>
    <t>Lavandería</t>
  </si>
  <si>
    <t>Baño de servicio</t>
  </si>
  <si>
    <t>Terraza</t>
  </si>
  <si>
    <t>Cuarto de Estudio</t>
  </si>
  <si>
    <t>Baños (Cantidad)</t>
  </si>
  <si>
    <t>Jardín</t>
  </si>
  <si>
    <t>Dormitorio de Servicio</t>
  </si>
  <si>
    <t>Cocina</t>
  </si>
  <si>
    <t>Cochera (Cantidad)</t>
  </si>
  <si>
    <t>Dormitorios (Cantidad)</t>
  </si>
  <si>
    <t>Sala-comedor</t>
  </si>
  <si>
    <t>años</t>
  </si>
  <si>
    <t>ANTIGÜEDAD CONSTRUCCIÓN</t>
  </si>
  <si>
    <t>ESTADO DE CONSTRUCCIÓN</t>
  </si>
  <si>
    <t>ÁREAS</t>
  </si>
  <si>
    <t>Si vive en un departamento, indicar el piso</t>
  </si>
  <si>
    <t>TIPO DE INMUEBLE</t>
  </si>
  <si>
    <t>DESCRIPCIÓN DEL INMUEBLE</t>
  </si>
  <si>
    <t>*Bien terminado: inmueble con construcción terminada, con declaratoria de fábrica y de ser el caso independización inscritas en los RR.PP</t>
  </si>
  <si>
    <t>Partida</t>
  </si>
  <si>
    <t>Ficha</t>
  </si>
  <si>
    <t>Zona</t>
  </si>
  <si>
    <t xml:space="preserve">    RPU</t>
  </si>
  <si>
    <t>RPI</t>
  </si>
  <si>
    <t>Registro:</t>
  </si>
  <si>
    <t>BIEN TERMINADO</t>
  </si>
  <si>
    <t>*Bien futuro: Inmueble en proyecto, en construcción o en acabados sin declaratoria de fábrica inscrita en los RR.PP</t>
  </si>
  <si>
    <t>d) Culminado</t>
  </si>
  <si>
    <t>c) En Acabados</t>
  </si>
  <si>
    <t>b) En Construcción</t>
  </si>
  <si>
    <t>a) En Proyecto</t>
  </si>
  <si>
    <t>BIEN FUTURO</t>
  </si>
  <si>
    <t>CLASIFICACIÓN</t>
  </si>
  <si>
    <t>EL AGUSTINO</t>
  </si>
  <si>
    <t>Distrito</t>
  </si>
  <si>
    <t>LIMA</t>
  </si>
  <si>
    <t>Provincia</t>
  </si>
  <si>
    <t>---</t>
  </si>
  <si>
    <t>Urb./Loc</t>
  </si>
  <si>
    <t>Dpto./ Int.</t>
  </si>
  <si>
    <t>251. Sub Lt. B-1</t>
  </si>
  <si>
    <t>N°/Mza./Lte.</t>
  </si>
  <si>
    <t>LOS NOGALES</t>
  </si>
  <si>
    <t>UBICACIÓN DEL INMUEBLE</t>
  </si>
  <si>
    <t>15687-2009</t>
  </si>
  <si>
    <t>REPEV.SBS</t>
  </si>
  <si>
    <t>PERITO TASADOR</t>
  </si>
  <si>
    <t>DNI/LE/CIP/CE</t>
  </si>
  <si>
    <t>BENEFICIARIO</t>
  </si>
  <si>
    <t>ENTIDAD FINANCIERA</t>
  </si>
  <si>
    <t>DE</t>
  </si>
  <si>
    <t>FECHA DE VALUACIÓN</t>
  </si>
  <si>
    <t>HOJA RESUMEN TASACIÓN DE INMUEBLES - FONDO MIVIVIENDA S.A. - C.04</t>
  </si>
  <si>
    <t>FECHA:</t>
  </si>
  <si>
    <t>PERITO:</t>
  </si>
  <si>
    <t>PROMOTOR:</t>
  </si>
  <si>
    <t>PROYECTO:</t>
  </si>
  <si>
    <t>MATRIZ RESUMEN</t>
  </si>
  <si>
    <t>(Ver Cuadro Matriz).</t>
  </si>
  <si>
    <t>2.- VALUACIÓN DEL PREDIO</t>
  </si>
  <si>
    <t>Inmueble similar en entorno similar. Expectativa elevada.</t>
  </si>
  <si>
    <t>https://www.adondevivir.com/propiedades/vendo-impecable-departamento-surquillo-55560661.html</t>
  </si>
  <si>
    <t xml:space="preserve">Flor Ascoy
981474917 </t>
  </si>
  <si>
    <t>Oferta de departamento en Calle Alfa Aguila 144. 3 dormitorios 2 baños. 2 años de antigüedad.</t>
  </si>
  <si>
    <t>https://www.adondevivir.com/propiedades/super-iluminado-departamento-en-venta-surquillo-54282056.html</t>
  </si>
  <si>
    <t>CONSORCIO LE INMOBILIARIA
 4478291 
 933310172</t>
  </si>
  <si>
    <t>Oferta de departamento en Calle Alfa Leon. 3 dormitorios 1 estacionamiento. 7 años de antigüedad.</t>
  </si>
  <si>
    <t>https://www.adondevivir.com/propiedades/depa-de-estreno-52-m-sup2--la-calera-surquillo-56532193.html</t>
  </si>
  <si>
    <t>ELIAS SOTO
 997427590
 945016917</t>
  </si>
  <si>
    <t>Oferta de departamento en Calle Manuel Bonilla. 2 dormitorios 1 baño. A estrenar.</t>
  </si>
  <si>
    <t>https://www.adondevivir.com/propiedades/departamento-101-primer-piso-55218230.html</t>
  </si>
  <si>
    <t>Michael Salas
 255-6262
 996512278</t>
  </si>
  <si>
    <t>Oferta de departamento en Calle Alfa Centauro 178, Residencial Florencia, 1er piso. 3 dormitorios 3 baños. A estrenar.</t>
  </si>
  <si>
    <t>https://www.adondevivir.com/propiedades/edificio-dona-eva-preventa-surquillo-55549917.html</t>
  </si>
  <si>
    <t>William Hilario
 941309666</t>
  </si>
  <si>
    <t>Oferta de departamento en Av. Principal 727, Residencial Doña Eva, 5to piso. 2 dormitorios 1 baño. A estrenar.</t>
  </si>
  <si>
    <t>Observación</t>
  </si>
  <si>
    <t>Distancia</t>
  </si>
  <si>
    <t>La presente tasación no constituye un dictamen estructural del inmueble; por lo tanto, no puede ser utilizado para fines relacionados con otras ramas de la ingeniería civil y/o arquitectura, ni se asume responsabilidad por las características del inmueble que no puedan ser apreciadas en una inspección ocular simple para efectos de tasación.</t>
  </si>
  <si>
    <t>Copia de los planos arquitectónicos de distribución del proyecto.</t>
  </si>
  <si>
    <t>Cuadro de áreas de las unidades inmobiliarias a tasar.</t>
  </si>
  <si>
    <t>Copia de la declaración jurada de auto-avalúo (PU) del terreno matriz (2018).</t>
  </si>
  <si>
    <t>Copia de la partida registral del terreno matriz (26/07/2018).</t>
  </si>
  <si>
    <t>La zona es residencial consolidada y cuenta con todas las obras de infraestructura urbana y servicios públicos; sus principales vías de acceso son: Av. Manuel Villarán, Avenida Aviación, Avenida Principal, Av. Angamos Este, entre otras.</t>
  </si>
  <si>
    <t>CARACTERÍSTICAS E INFRAESTRUCTURA DE SERVICIOS URBANOS DEL ENTORNO DEL PREDIO</t>
  </si>
  <si>
    <t>Antigüedad estimada durante la inspección.</t>
  </si>
  <si>
    <t>Gabinetes en pisos superiores, sistema de aspersores en sótanos. Alarma con pulsador, detectores de humo y luces de emergencia.</t>
  </si>
  <si>
    <t>Redes empotradas. Corriente monofásica. Ascensor.</t>
  </si>
  <si>
    <t>Redes empotradas. Agua fría y agua caliente.</t>
  </si>
  <si>
    <t>Sanitarios: Aparatos sanitarios de losa vitrificada de color blanco. Lavatorio tipo pedestal, inodoro tipo one piece, ducha.</t>
  </si>
  <si>
    <t>Pared: Cerámico parcial, resto empastado y pintado.</t>
  </si>
  <si>
    <t>Muebles: Altos y bajos de melamine, lavadero de una poza en acero inoxidable empotrado en tablero de granito.</t>
  </si>
  <si>
    <t>Cocina y lavandería</t>
  </si>
  <si>
    <t>Puerta principal y puertas interiores de madera. Ventanas con perfiles de aluminio y vidrio templado.</t>
  </si>
  <si>
    <t>Laminado.</t>
  </si>
  <si>
    <t>Muros empastados y pintados con látex. Techos empastados y pintados.</t>
  </si>
  <si>
    <t>Materiales predominantes:</t>
  </si>
  <si>
    <t>Sobre el terreno matriz se proyecta la construcción del edificio multifamiliar denominado "Rua", formado por doce pisos, azotea y tres sótanos para un total de 42 departamentos, 33 estacionamientos y 13 depósitos.</t>
  </si>
  <si>
    <t xml:space="preserve">Descritos en la partida N° </t>
  </si>
  <si>
    <t>CV - Comercio Vecinal / RDM - Residencial de Densidad Media (según licencia de edificación)</t>
  </si>
  <si>
    <t>DIRECCIÓN IN-SITU: Proyecto multifamiliar "Rua" con frente a la Calle Roentgen Nº 110-160 esquina con la Avenida Principal y la Calle Octavio Paz, Urbanización La Calera de la Merced - Distrito de Surquillo, provincia y departamento de Lima.</t>
  </si>
  <si>
    <t>DIRECCIÓN DE AUTO-AVALÚO: (Matriz) Cl. Roentgen s/n Mz Q Lt 19-20 Asoc. Prov. Trabajadores de Educación (Copervide) - Distrito de Surquillo, provincia y departamento de Lima.</t>
  </si>
  <si>
    <t>DIRECCIÓN REGISTRAL: (Matriz) Calle Roetgen número 110-160 Fundo La Calera de La Merced - Distrito de Surquillo, provincia y departamento de Lima.</t>
  </si>
  <si>
    <t>FECHA A LA CUAL ESTÁ REFERIDA LA TASACIÓN</t>
  </si>
  <si>
    <t>FECHA DE INSPECCIÓN OCULAR</t>
  </si>
  <si>
    <t>En concordancia con el Reglamento Nacional de Tasaciones R.M. Nº 172-2016-VIVIENDA publicado el 23 de Julio de 2016, su modificación según R.M. Nº 424-2017-VIVIENDA del 02 de Noviembre de 2017, método aplicado de Valuación Directa y la Resolución de la S.B.S. Nº 11356-2008.</t>
  </si>
  <si>
    <t>Determinar el valor comercial y el valor de realización inmediata de la(s) unidad(es) inmobiliaria(s) descrita(s) en el presente informe, con fines de constitución de garantía hipotecaria.</t>
  </si>
  <si>
    <t>del Registro de Propiedad Inmueble, Zona Registral IX Sede Lima.</t>
  </si>
  <si>
    <t xml:space="preserve">Inscrito en la partida N° </t>
  </si>
  <si>
    <t>SCOTIABANK PERÚ S.A.A.</t>
  </si>
  <si>
    <t>1.- MEMORIA DESCRIPTIVA</t>
  </si>
  <si>
    <t>Dep</t>
  </si>
  <si>
    <t>13</t>
  </si>
  <si>
    <t>Depósito</t>
  </si>
  <si>
    <t>11</t>
  </si>
  <si>
    <t>10</t>
  </si>
  <si>
    <t>09</t>
  </si>
  <si>
    <t>08</t>
  </si>
  <si>
    <t>07</t>
  </si>
  <si>
    <t>06</t>
  </si>
  <si>
    <t>05</t>
  </si>
  <si>
    <t>04</t>
  </si>
  <si>
    <t>03</t>
  </si>
  <si>
    <t>02</t>
  </si>
  <si>
    <t>01</t>
  </si>
  <si>
    <t>Baño típico</t>
  </si>
  <si>
    <t>Dormitorio típico</t>
  </si>
  <si>
    <t>Cocina típica</t>
  </si>
  <si>
    <t>Sala comedor típìcos</t>
  </si>
  <si>
    <t>Sótano</t>
  </si>
  <si>
    <t>Fachada</t>
  </si>
  <si>
    <t>Vista de edificio</t>
  </si>
  <si>
    <t>Entorno</t>
  </si>
  <si>
    <t>Áreas Comunes (m²)5</t>
  </si>
  <si>
    <t>No</t>
  </si>
  <si>
    <t>El presente informe se ha realizado con base en la información del proyecto proporcionada por el cliente. Se recomienda actualizar los valores cuando se efectúe la independización de las unidades inmobiliarias.</t>
  </si>
  <si>
    <t>Solicitante</t>
  </si>
  <si>
    <t>Dólares</t>
  </si>
  <si>
    <t>REV1</t>
  </si>
  <si>
    <t>Rev2</t>
  </si>
  <si>
    <t>Rev3</t>
  </si>
  <si>
    <t>Área del terreno (m²)</t>
  </si>
  <si>
    <t>Área ocupada (m²)</t>
  </si>
  <si>
    <t>Área techada (m²)</t>
  </si>
  <si>
    <t>Área del terreno (m²)2</t>
  </si>
  <si>
    <t>Área ocupada (m²)3</t>
  </si>
  <si>
    <t>Área techada (m²)4</t>
  </si>
  <si>
    <t>Valor del terreno (US$)</t>
  </si>
  <si>
    <t>Valor de la edificación (US$)</t>
  </si>
  <si>
    <t>Valor Comercial (US$)</t>
  </si>
  <si>
    <t>Valor Realización (US$)</t>
  </si>
  <si>
    <t>Importe Asegurable (US$)</t>
  </si>
  <si>
    <t>Valor del terreno (S/.)</t>
  </si>
  <si>
    <t>Valor de la edificación (S/.)</t>
  </si>
  <si>
    <t>Valor Comercial (S/.)</t>
  </si>
  <si>
    <t>Valor Realización (S/.)</t>
  </si>
  <si>
    <t>Importe Asegurable (S/.)</t>
  </si>
  <si>
    <t>Ratio de precio de venta USD</t>
  </si>
  <si>
    <t>USD</t>
  </si>
  <si>
    <t>Flat</t>
  </si>
  <si>
    <t>VRC:</t>
  </si>
  <si>
    <t>Dúplex</t>
  </si>
  <si>
    <t>Tríplex</t>
  </si>
  <si>
    <t>Techado</t>
  </si>
  <si>
    <t>Sin Techar</t>
  </si>
  <si>
    <t>NO BORRAR NI MOVER</t>
  </si>
  <si>
    <t>La presente corresponde a la Torre 13, conformada por un edificio de veinte (20) pisos y azotea, con 160 departamentos (158 de 2 dormitorios y 2 de 3 dormitorios).</t>
  </si>
  <si>
    <t>SCB</t>
  </si>
  <si>
    <t>IBK</t>
  </si>
  <si>
    <t>File</t>
  </si>
  <si>
    <t>Bien futuro por independizar</t>
  </si>
  <si>
    <t>Copia minuta de compraventa de la(s) Unidad(es) Inmobiliaria(s)</t>
  </si>
  <si>
    <t>BANCO PINCHINCHA</t>
  </si>
  <si>
    <t>BP</t>
  </si>
  <si>
    <t>T</t>
  </si>
  <si>
    <t/>
  </si>
  <si>
    <t>Tasaciones Realizadas</t>
  </si>
  <si>
    <t>File Fotos</t>
  </si>
  <si>
    <t xml:space="preserve"> </t>
  </si>
  <si>
    <t>Fotof</t>
  </si>
  <si>
    <t>1ff</t>
  </si>
  <si>
    <t>2ff</t>
  </si>
  <si>
    <t>3ff</t>
  </si>
  <si>
    <t>4ff</t>
  </si>
  <si>
    <t>5ff</t>
  </si>
  <si>
    <t>6ff</t>
  </si>
  <si>
    <t>10ff</t>
  </si>
  <si>
    <t>11ff</t>
  </si>
  <si>
    <t>12ff</t>
  </si>
  <si>
    <t>13ff</t>
  </si>
  <si>
    <t>14ff</t>
  </si>
  <si>
    <t>25ff</t>
  </si>
  <si>
    <t>15ff</t>
  </si>
  <si>
    <t>16ff</t>
  </si>
  <si>
    <t>26ff</t>
  </si>
  <si>
    <t>17ff</t>
  </si>
  <si>
    <t>18ff</t>
  </si>
  <si>
    <t>19ff</t>
  </si>
  <si>
    <t>20ff</t>
  </si>
  <si>
    <t>21ff</t>
  </si>
  <si>
    <t>22ff</t>
  </si>
  <si>
    <t>23ff</t>
  </si>
  <si>
    <t>24ff</t>
  </si>
  <si>
    <t>File Firmas</t>
  </si>
  <si>
    <t>Perito</t>
  </si>
  <si>
    <t>Max Alfaro</t>
  </si>
  <si>
    <t>Maurice Calmet</t>
  </si>
  <si>
    <t>Maria Angela Ventura</t>
  </si>
  <si>
    <t>Pfirma</t>
  </si>
  <si>
    <t>Pfirma2</t>
  </si>
  <si>
    <t>Tipo-UI</t>
  </si>
  <si>
    <t>C:\Users\pollo\OneDrive\IMAX\Gestión\10- Automatización\1- Bienes Futuros\Fotos</t>
  </si>
  <si>
    <t>Obs but it by yervaciones</t>
  </si>
  <si>
    <t>Departamento, Estacionamiento, Depósito</t>
  </si>
  <si>
    <t>HHH</t>
  </si>
  <si>
    <t>OK</t>
  </si>
  <si>
    <t>Estacionamiento No 185</t>
  </si>
  <si>
    <t>Es materia de tasación el Estacionamiento No 185 ubicado en el º piso.</t>
  </si>
  <si>
    <t>51516</t>
  </si>
  <si>
    <t>Depósito No 07</t>
  </si>
  <si>
    <t>Es materia de tasación el Depósito No 07 ubicado en el -2º piso.</t>
  </si>
  <si>
    <t>Ing. Max Alfaro</t>
  </si>
  <si>
    <t>C:\Users\pollo\OneDrive\Development\1- Bienes Futuros\Formatos\Vr 0\Firmas</t>
  </si>
  <si>
    <t>Propietario</t>
  </si>
  <si>
    <t>Departamento No 104</t>
  </si>
  <si>
    <t>Es materia de tasación el Departamento No 104 del Edificio 13 ubicado en el 1º piso.</t>
  </si>
  <si>
    <t>Estacionamiento No 181</t>
  </si>
  <si>
    <t>Es materia de tasación el Estacionamiento No 181 ubicado en el 1º piso.</t>
  </si>
  <si>
    <t>625616</t>
  </si>
  <si>
    <t>Depósito No 06</t>
  </si>
  <si>
    <t>Es materia de tasación el Depósito No 06 ubicado en el -2º piso.</t>
  </si>
  <si>
    <t>DIRECCIÓN IN-SITU: Proyecto multifamiliar "Rua" con frente a la Calle Roentgen Nº 110-160 esquina con la Avenida Principal y la Calle Octavio Paz, Urbanización La Calera de la Merced - Distrito de Surquillo, provincia y departamento de Lima. Torre No 13, Departamento N° 104, Estacionamiento N° 181, Depósito N° 06.</t>
  </si>
  <si>
    <t>Informe de Valuación N° 651561-IBK-2020</t>
  </si>
  <si>
    <t>C:\Users\pollo\Desktop\OK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</si>
</sst>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1" formatCode="_-* #,##0_-;\-* #,##0_-;_-* &quot;-&quot;_-;_-@_-"/>
    <numFmt numFmtId="43" formatCode="_-* #,##0.00_-;\-* #,##0.00_-;_-* &quot;-&quot;??_-;_-@_-"/>
    <numFmt numFmtId="164" formatCode="_ * #,##0.00_ ;_ * \-#,##0.00_ ;_ * &quot;-&quot;??_ ;_ @_ "/>
    <numFmt numFmtId="165" formatCode="0.000"/>
    <numFmt numFmtId="166" formatCode="[$-280A]d&quot; de &quot;mmmm&quot; de &quot;yyyy;@"/>
    <numFmt numFmtId="167" formatCode="&quot;Santiago de Surco, &quot;[$-280A]d&quot; de &quot;mmmm&quot; de &quot;yyyy;@"/>
    <numFmt numFmtId="168" formatCode="_(* #,##0.00_);_(* \(#,##0.00\);_(* &quot;-&quot;??_);_(@_)"/>
    <numFmt numFmtId="169" formatCode="_-* #,##0.00\ _€_-;\-* #,##0.00\ _€_-;_-* &quot;-&quot;??\ _€_-;_-@_-"/>
    <numFmt numFmtId="170" formatCode="_(* #,##0_);_(* \(#,##0\);_(* &quot;-&quot;??_);_(@_)"/>
    <numFmt numFmtId="171" formatCode="0.000%"/>
    <numFmt numFmtId="172" formatCode="_ &quot;S/.&quot;\ * #,##0.00_ ;_ &quot;S/.&quot;\ * \-#,##0.00_ ;_ &quot;S/.&quot;\ * &quot;-&quot;??_ ;_ @_ "/>
    <numFmt numFmtId="173" formatCode="&quot;N°    &quot;######"/>
    <numFmt numFmtId="174" formatCode="0#"/>
    <numFmt numFmtId="175" formatCode="_ * #,##0_ ;_ * \-#,##0_ ;_ * &quot;-&quot;??_ ;_ @_ "/>
  </numFmts>
  <fonts count="38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0"/>
      <name val="Verdana"/>
      <family val="2"/>
    </font>
    <font>
      <sz val="10"/>
      <color rgb="FF000000"/>
      <name val="Verdana"/>
      <family val="2"/>
    </font>
    <font>
      <b/>
      <sz val="10"/>
      <name val="Verdan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Verdana"/>
      <family val="2"/>
    </font>
    <font>
      <sz val="9"/>
      <name val="Verdana"/>
      <family val="2"/>
    </font>
    <font>
      <i/>
      <sz val="10"/>
      <name val="Verdana"/>
      <family val="2"/>
    </font>
    <font>
      <u/>
      <sz val="10"/>
      <color theme="10"/>
      <name val="Arial"/>
      <family val="2"/>
    </font>
    <font>
      <i/>
      <u/>
      <sz val="10"/>
      <color theme="10"/>
      <name val="Verdana"/>
      <family val="2"/>
    </font>
    <font>
      <i/>
      <sz val="8"/>
      <name val="Verdana"/>
      <family val="2"/>
    </font>
    <font>
      <b/>
      <sz val="8"/>
      <name val="Verdana"/>
      <family val="2"/>
    </font>
    <font>
      <u/>
      <sz val="10"/>
      <color theme="10"/>
      <name val="Verdana"/>
      <family val="2"/>
    </font>
    <font>
      <b/>
      <u/>
      <sz val="10"/>
      <name val="Verdana"/>
      <family val="2"/>
    </font>
    <font>
      <sz val="10"/>
      <color rgb="FFFF0000"/>
      <name val="Verdana"/>
      <family val="2"/>
    </font>
    <font>
      <b/>
      <sz val="10"/>
      <name val="Arial"/>
      <family val="2"/>
    </font>
    <font>
      <sz val="10"/>
      <color indexed="10"/>
      <name val="Verdana"/>
      <family val="2"/>
    </font>
    <font>
      <b/>
      <u/>
      <sz val="12"/>
      <name val="Verdana"/>
      <family val="2"/>
    </font>
    <font>
      <sz val="9"/>
      <color theme="1"/>
      <name val="Verdana"/>
      <family val="2"/>
    </font>
    <font>
      <u/>
      <sz val="10"/>
      <name val="Verdana"/>
      <family val="2"/>
    </font>
    <font>
      <b/>
      <i/>
      <u/>
      <sz val="10"/>
      <name val="Verdana"/>
      <family val="2"/>
    </font>
    <font>
      <b/>
      <sz val="11"/>
      <name val="Verdana"/>
      <family val="2"/>
    </font>
    <font>
      <b/>
      <i/>
      <u/>
      <sz val="12"/>
      <name val="Verdana"/>
      <family val="2"/>
    </font>
    <font>
      <b/>
      <u/>
      <sz val="11"/>
      <name val="Verdana"/>
      <family val="2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Webdings"/>
      <family val="1"/>
      <charset val="2"/>
    </font>
    <font>
      <u/>
      <sz val="10"/>
      <name val="Arial"/>
      <family val="2"/>
    </font>
    <font>
      <sz val="8"/>
      <name val="Calibri"/>
      <family val="2"/>
      <scheme val="minor"/>
    </font>
    <font>
      <sz val="10"/>
      <color rgb="FFFF0000"/>
      <name val="Arial"/>
      <family val="2"/>
    </font>
    <font>
      <sz val="10"/>
      <color rgb="FFFF0000"/>
      <name val="Calibri"/>
      <family val="2"/>
      <scheme val="minor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4" tint="-0.499984740745262"/>
      </bottom>
      <diagonal/>
    </border>
    <border>
      <left/>
      <right/>
      <top style="thin">
        <color indexed="64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indexed="64"/>
      </top>
      <bottom style="thin">
        <color theme="4" tint="-0.49998474074526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3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8" fillId="0" borderId="0"/>
    <xf numFmtId="168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0" fontId="3" fillId="0" borderId="0"/>
    <xf numFmtId="0" fontId="8" fillId="0" borderId="0"/>
    <xf numFmtId="41" fontId="3" fillId="0" borderId="0" applyFont="0" applyFill="0" applyBorder="0" applyAlignment="0" applyProtection="0"/>
  </cellStyleXfs>
  <cellXfs count="693">
    <xf numFmtId="0" fontId="0" fillId="0" borderId="0" xfId="0"/>
    <xf numFmtId="0" fontId="1" fillId="0" borderId="0" xfId="0" applyFont="1" applyAlignment="1">
      <alignment vertical="top"/>
    </xf>
    <xf numFmtId="164" fontId="1" fillId="0" borderId="0" xfId="1" applyFont="1" applyAlignment="1">
      <alignment vertical="top"/>
    </xf>
    <xf numFmtId="49" fontId="1" fillId="0" borderId="0" xfId="0" applyNumberFormat="1" applyFont="1" applyFill="1" applyAlignment="1">
      <alignment vertical="top"/>
    </xf>
    <xf numFmtId="0" fontId="1" fillId="0" borderId="0" xfId="0" applyFont="1" applyFill="1" applyAlignment="1">
      <alignment vertical="top"/>
    </xf>
    <xf numFmtId="164" fontId="1" fillId="0" borderId="0" xfId="1" applyFont="1" applyFill="1" applyAlignment="1">
      <alignment vertical="top"/>
    </xf>
    <xf numFmtId="164" fontId="1" fillId="0" borderId="1" xfId="1" applyFont="1" applyBorder="1" applyAlignment="1">
      <alignment vertical="top"/>
    </xf>
    <xf numFmtId="164" fontId="1" fillId="0" borderId="1" xfId="0" applyNumberFormat="1" applyFont="1" applyBorder="1" applyAlignment="1">
      <alignment vertical="top"/>
    </xf>
    <xf numFmtId="165" fontId="1" fillId="0" borderId="1" xfId="0" applyNumberFormat="1" applyFont="1" applyBorder="1" applyAlignment="1">
      <alignment vertical="top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right" vertical="top" wrapText="1"/>
    </xf>
    <xf numFmtId="0" fontId="1" fillId="0" borderId="0" xfId="0" applyFont="1" applyFill="1" applyAlignment="1">
      <alignment vertical="top" wrapText="1"/>
    </xf>
    <xf numFmtId="164" fontId="1" fillId="0" borderId="4" xfId="1" applyFont="1" applyBorder="1" applyAlignment="1">
      <alignment vertical="top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/>
    </xf>
    <xf numFmtId="0" fontId="1" fillId="0" borderId="1" xfId="0" applyFont="1" applyFill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Fill="1" applyAlignment="1">
      <alignment horizontal="center" vertical="top"/>
    </xf>
    <xf numFmtId="164" fontId="1" fillId="0" borderId="4" xfId="1" applyFont="1" applyBorder="1" applyAlignment="1">
      <alignment horizontal="center" vertical="top"/>
    </xf>
    <xf numFmtId="0" fontId="2" fillId="0" borderId="0" xfId="0" applyFont="1" applyFill="1" applyAlignment="1">
      <alignment vertical="top"/>
    </xf>
    <xf numFmtId="0" fontId="1" fillId="0" borderId="1" xfId="0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/>
    </xf>
    <xf numFmtId="0" fontId="4" fillId="0" borderId="1" xfId="0" applyFont="1" applyFill="1" applyBorder="1" applyAlignment="1">
      <alignment horizontal="center" vertical="top"/>
    </xf>
    <xf numFmtId="164" fontId="4" fillId="0" borderId="4" xfId="1" applyFont="1" applyBorder="1" applyAlignment="1">
      <alignment vertical="top"/>
    </xf>
    <xf numFmtId="164" fontId="4" fillId="0" borderId="4" xfId="1" applyFont="1" applyBorder="1" applyAlignment="1">
      <alignment horizontal="center" vertical="top"/>
    </xf>
    <xf numFmtId="164" fontId="4" fillId="0" borderId="1" xfId="0" applyNumberFormat="1" applyFont="1" applyBorder="1" applyAlignment="1">
      <alignment vertical="top"/>
    </xf>
    <xf numFmtId="0" fontId="4" fillId="0" borderId="0" xfId="0" applyFont="1" applyAlignment="1">
      <alignment vertical="top"/>
    </xf>
    <xf numFmtId="0" fontId="1" fillId="0" borderId="1" xfId="0" applyFont="1" applyBorder="1" applyAlignment="1">
      <alignment horizontal="center" vertical="top" wrapText="1"/>
    </xf>
    <xf numFmtId="2" fontId="4" fillId="0" borderId="1" xfId="0" applyNumberFormat="1" applyFont="1" applyFill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Fill="1" applyBorder="1" applyAlignment="1">
      <alignment horizontal="center" vertical="top" wrapText="1"/>
    </xf>
    <xf numFmtId="2" fontId="4" fillId="5" borderId="1" xfId="0" applyNumberFormat="1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vertical="top" wrapText="1"/>
    </xf>
    <xf numFmtId="0" fontId="4" fillId="0" borderId="1" xfId="0" applyNumberFormat="1" applyFont="1" applyFill="1" applyBorder="1" applyAlignment="1">
      <alignment horizontal="center" vertical="top" wrapText="1"/>
    </xf>
    <xf numFmtId="49" fontId="5" fillId="0" borderId="1" xfId="0" applyNumberFormat="1" applyFont="1" applyFill="1" applyBorder="1" applyAlignment="1">
      <alignment horizontal="center" vertical="top" wrapText="1"/>
    </xf>
    <xf numFmtId="49" fontId="5" fillId="0" borderId="1" xfId="0" quotePrefix="1" applyNumberFormat="1" applyFont="1" applyFill="1" applyBorder="1" applyAlignment="1">
      <alignment horizontal="center" vertical="top" wrapText="1"/>
    </xf>
    <xf numFmtId="0" fontId="4" fillId="5" borderId="1" xfId="0" applyNumberFormat="1" applyFont="1" applyFill="1" applyBorder="1" applyAlignment="1">
      <alignment horizontal="center" vertical="top" wrapText="1"/>
    </xf>
    <xf numFmtId="0" fontId="1" fillId="0" borderId="1" xfId="0" quotePrefix="1" applyFont="1" applyBorder="1" applyAlignment="1">
      <alignment horizontal="center" vertical="top" wrapText="1"/>
    </xf>
    <xf numFmtId="0" fontId="4" fillId="5" borderId="1" xfId="0" quotePrefix="1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1" fillId="0" borderId="0" xfId="0" applyFont="1" applyAlignment="1"/>
    <xf numFmtId="0" fontId="1" fillId="0" borderId="0" xfId="0" applyFont="1" applyAlignment="1">
      <alignment wrapText="1"/>
    </xf>
    <xf numFmtId="0" fontId="1" fillId="0" borderId="0" xfId="0" applyFont="1" applyFill="1" applyAlignment="1"/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/>
    <xf numFmtId="164" fontId="1" fillId="0" borderId="0" xfId="1" applyFont="1" applyBorder="1" applyAlignment="1"/>
    <xf numFmtId="164" fontId="1" fillId="0" borderId="0" xfId="1" applyFont="1" applyBorder="1" applyAlignment="1">
      <alignment horizontal="center"/>
    </xf>
    <xf numFmtId="0" fontId="1" fillId="0" borderId="0" xfId="0" applyFont="1" applyFill="1" applyAlignment="1">
      <alignment horizontal="right"/>
    </xf>
    <xf numFmtId="0" fontId="1" fillId="3" borderId="1" xfId="0" applyFont="1" applyFill="1" applyBorder="1" applyAlignment="1"/>
    <xf numFmtId="0" fontId="2" fillId="0" borderId="0" xfId="0" applyFont="1" applyAlignment="1">
      <alignment horizontal="left" wrapText="1"/>
    </xf>
    <xf numFmtId="0" fontId="1" fillId="0" borderId="1" xfId="0" applyFont="1" applyBorder="1" applyAlignment="1"/>
    <xf numFmtId="0" fontId="1" fillId="0" borderId="0" xfId="0" applyFont="1" applyAlignment="1">
      <alignment horizontal="left" wrapText="1"/>
    </xf>
    <xf numFmtId="164" fontId="1" fillId="0" borderId="0" xfId="1" applyFont="1" applyAlignment="1"/>
    <xf numFmtId="0" fontId="1" fillId="0" borderId="0" xfId="0" applyFont="1" applyBorder="1" applyAlignment="1"/>
    <xf numFmtId="164" fontId="1" fillId="0" borderId="8" xfId="1" applyFont="1" applyBorder="1" applyAlignment="1">
      <alignment horizontal="center"/>
    </xf>
    <xf numFmtId="164" fontId="1" fillId="0" borderId="4" xfId="1" applyFont="1" applyBorder="1" applyAlignment="1">
      <alignment vertical="top" wrapText="1"/>
    </xf>
    <xf numFmtId="164" fontId="1" fillId="0" borderId="4" xfId="1" applyFont="1" applyBorder="1" applyAlignment="1">
      <alignment horizontal="center" vertical="top" wrapText="1"/>
    </xf>
    <xf numFmtId="164" fontId="1" fillId="0" borderId="1" xfId="0" applyNumberFormat="1" applyFont="1" applyBorder="1" applyAlignment="1">
      <alignment vertical="top" wrapText="1"/>
    </xf>
    <xf numFmtId="164" fontId="1" fillId="0" borderId="0" xfId="0" applyNumberFormat="1" applyFont="1" applyAlignment="1">
      <alignment vertical="top"/>
    </xf>
    <xf numFmtId="0" fontId="4" fillId="0" borderId="0" xfId="4" applyFont="1" applyAlignment="1">
      <alignment vertical="top"/>
    </xf>
    <xf numFmtId="0" fontId="9" fillId="0" borderId="0" xfId="4" applyFont="1" applyAlignment="1">
      <alignment vertical="top"/>
    </xf>
    <xf numFmtId="49" fontId="4" fillId="0" borderId="0" xfId="4" applyNumberFormat="1" applyFont="1" applyAlignment="1">
      <alignment horizontal="right" vertical="top"/>
    </xf>
    <xf numFmtId="0" fontId="10" fillId="0" borderId="0" xfId="4" applyFont="1" applyAlignment="1">
      <alignment vertical="top"/>
    </xf>
    <xf numFmtId="168" fontId="4" fillId="0" borderId="0" xfId="5" applyFont="1" applyAlignment="1">
      <alignment vertical="top"/>
    </xf>
    <xf numFmtId="168" fontId="4" fillId="0" borderId="0" xfId="5" applyFont="1" applyAlignment="1">
      <alignment horizontal="center" vertical="top"/>
    </xf>
    <xf numFmtId="49" fontId="4" fillId="0" borderId="0" xfId="4" applyNumberFormat="1" applyFont="1" applyAlignment="1">
      <alignment horizontal="center" vertical="top"/>
    </xf>
    <xf numFmtId="0" fontId="4" fillId="0" borderId="0" xfId="4" applyFont="1" applyAlignment="1">
      <alignment vertical="center"/>
    </xf>
    <xf numFmtId="0" fontId="9" fillId="0" borderId="0" xfId="4" applyFont="1" applyAlignment="1">
      <alignment vertical="center"/>
    </xf>
    <xf numFmtId="0" fontId="11" fillId="0" borderId="0" xfId="4" applyFont="1" applyAlignment="1">
      <alignment vertical="top"/>
    </xf>
    <xf numFmtId="0" fontId="13" fillId="0" borderId="0" xfId="7" applyFont="1" applyAlignment="1">
      <alignment vertical="top"/>
    </xf>
    <xf numFmtId="0" fontId="14" fillId="0" borderId="0" xfId="4" applyFont="1" applyAlignment="1">
      <alignment horizontal="justify" vertical="top" wrapText="1"/>
    </xf>
    <xf numFmtId="0" fontId="16" fillId="0" borderId="0" xfId="7" applyFont="1" applyAlignment="1">
      <alignment vertical="top"/>
    </xf>
    <xf numFmtId="164" fontId="4" fillId="0" borderId="0" xfId="4" applyNumberFormat="1" applyFont="1" applyAlignment="1">
      <alignment vertical="top"/>
    </xf>
    <xf numFmtId="168" fontId="4" fillId="0" borderId="0" xfId="5" applyFont="1" applyAlignment="1">
      <alignment horizontal="right" vertical="top"/>
    </xf>
    <xf numFmtId="0" fontId="17" fillId="0" borderId="0" xfId="4" applyFont="1" applyAlignment="1">
      <alignment vertical="top"/>
    </xf>
    <xf numFmtId="49" fontId="6" fillId="0" borderId="0" xfId="4" applyNumberFormat="1" applyFont="1" applyAlignment="1">
      <alignment vertical="top"/>
    </xf>
    <xf numFmtId="0" fontId="18" fillId="0" borderId="0" xfId="4" applyFont="1" applyAlignment="1">
      <alignment vertical="top" wrapText="1"/>
    </xf>
    <xf numFmtId="10" fontId="4" fillId="0" borderId="0" xfId="6" applyNumberFormat="1" applyFont="1" applyAlignment="1">
      <alignment vertical="top"/>
    </xf>
    <xf numFmtId="169" fontId="4" fillId="0" borderId="0" xfId="8" applyFont="1" applyAlignment="1">
      <alignment vertical="top"/>
    </xf>
    <xf numFmtId="0" fontId="4" fillId="0" borderId="0" xfId="4" applyFont="1" applyAlignment="1">
      <alignment horizontal="right" vertical="top"/>
    </xf>
    <xf numFmtId="169" fontId="15" fillId="0" borderId="0" xfId="8" applyFont="1" applyAlignment="1">
      <alignment vertical="top"/>
    </xf>
    <xf numFmtId="169" fontId="9" fillId="0" borderId="0" xfId="8" applyFont="1" applyAlignment="1">
      <alignment vertical="top"/>
    </xf>
    <xf numFmtId="0" fontId="18" fillId="0" borderId="0" xfId="4" applyFont="1" applyAlignment="1">
      <alignment vertical="center" wrapText="1"/>
    </xf>
    <xf numFmtId="169" fontId="18" fillId="0" borderId="0" xfId="8" applyFont="1" applyAlignment="1">
      <alignment vertical="center" wrapText="1"/>
    </xf>
    <xf numFmtId="169" fontId="4" fillId="0" borderId="0" xfId="8" applyFont="1" applyAlignment="1">
      <alignment vertical="center"/>
    </xf>
    <xf numFmtId="170" fontId="4" fillId="0" borderId="0" xfId="4" applyNumberFormat="1" applyFont="1" applyAlignment="1">
      <alignment vertical="top"/>
    </xf>
    <xf numFmtId="4" fontId="4" fillId="0" borderId="0" xfId="5" applyNumberFormat="1" applyFont="1" applyAlignment="1">
      <alignment horizontal="right" vertical="top" wrapText="1"/>
    </xf>
    <xf numFmtId="4" fontId="4" fillId="0" borderId="0" xfId="4" applyNumberFormat="1" applyFont="1" applyAlignment="1">
      <alignment horizontal="right" vertical="top" wrapText="1"/>
    </xf>
    <xf numFmtId="3" fontId="4" fillId="0" borderId="0" xfId="8" applyNumberFormat="1" applyFont="1" applyAlignment="1">
      <alignment horizontal="right" vertical="top"/>
    </xf>
    <xf numFmtId="4" fontId="4" fillId="0" borderId="0" xfId="5" applyNumberFormat="1" applyFont="1" applyAlignment="1">
      <alignment horizontal="center" vertical="top" wrapText="1"/>
    </xf>
    <xf numFmtId="43" fontId="4" fillId="0" borderId="0" xfId="4" applyNumberFormat="1" applyFont="1" applyAlignment="1">
      <alignment vertical="top"/>
    </xf>
    <xf numFmtId="1" fontId="6" fillId="0" borderId="0" xfId="4" applyNumberFormat="1" applyFont="1" applyAlignment="1">
      <alignment vertical="top"/>
    </xf>
    <xf numFmtId="2" fontId="4" fillId="0" borderId="0" xfId="4" applyNumberFormat="1" applyFont="1" applyAlignment="1">
      <alignment vertical="center"/>
    </xf>
    <xf numFmtId="1" fontId="6" fillId="0" borderId="0" xfId="4" applyNumberFormat="1" applyFont="1" applyAlignment="1">
      <alignment vertical="center"/>
    </xf>
    <xf numFmtId="2" fontId="4" fillId="0" borderId="0" xfId="4" applyNumberFormat="1" applyFont="1" applyAlignment="1">
      <alignment vertical="top"/>
    </xf>
    <xf numFmtId="0" fontId="19" fillId="0" borderId="0" xfId="4" applyFont="1" applyAlignment="1">
      <alignment vertical="top" wrapText="1"/>
    </xf>
    <xf numFmtId="0" fontId="20" fillId="0" borderId="0" xfId="4" applyFont="1" applyAlignment="1">
      <alignment vertical="top"/>
    </xf>
    <xf numFmtId="0" fontId="4" fillId="0" borderId="0" xfId="4" applyFont="1" applyAlignment="1">
      <alignment vertical="top" wrapText="1"/>
    </xf>
    <xf numFmtId="169" fontId="15" fillId="0" borderId="0" xfId="8" applyFont="1" applyAlignment="1">
      <alignment vertical="top" wrapText="1"/>
    </xf>
    <xf numFmtId="169" fontId="9" fillId="0" borderId="0" xfId="8" applyFont="1" applyAlignment="1">
      <alignment horizontal="center" vertical="top" wrapText="1"/>
    </xf>
    <xf numFmtId="0" fontId="19" fillId="0" borderId="0" xfId="4" applyFont="1" applyAlignment="1">
      <alignment vertical="center" wrapText="1"/>
    </xf>
    <xf numFmtId="0" fontId="15" fillId="0" borderId="0" xfId="4" applyFont="1" applyAlignment="1">
      <alignment horizontal="center" vertical="center" wrapText="1"/>
    </xf>
    <xf numFmtId="0" fontId="9" fillId="0" borderId="0" xfId="4" applyFont="1" applyAlignment="1">
      <alignment horizontal="center" vertical="center" wrapText="1"/>
    </xf>
    <xf numFmtId="0" fontId="4" fillId="0" borderId="0" xfId="4" applyFont="1" applyAlignment="1">
      <alignment horizontal="center" vertical="center" wrapText="1"/>
    </xf>
    <xf numFmtId="0" fontId="6" fillId="0" borderId="0" xfId="4" applyFont="1" applyAlignment="1">
      <alignment vertical="top" wrapText="1"/>
    </xf>
    <xf numFmtId="168" fontId="4" fillId="0" borderId="0" xfId="4" applyNumberFormat="1" applyFont="1" applyAlignment="1">
      <alignment vertical="top"/>
    </xf>
    <xf numFmtId="0" fontId="10" fillId="0" borderId="0" xfId="7" applyFont="1" applyAlignment="1">
      <alignment vertical="top"/>
    </xf>
    <xf numFmtId="0" fontId="12" fillId="0" borderId="0" xfId="7" applyAlignment="1">
      <alignment horizontal="center" vertical="top" wrapText="1"/>
    </xf>
    <xf numFmtId="0" fontId="10" fillId="0" borderId="0" xfId="4" applyFont="1" applyAlignment="1">
      <alignment horizontal="center" vertical="top" wrapText="1"/>
    </xf>
    <xf numFmtId="49" fontId="10" fillId="0" borderId="0" xfId="4" applyNumberFormat="1" applyFont="1" applyAlignment="1">
      <alignment horizontal="center" vertical="top" wrapText="1"/>
    </xf>
    <xf numFmtId="4" fontId="10" fillId="0" borderId="0" xfId="4" applyNumberFormat="1" applyFont="1" applyAlignment="1">
      <alignment horizontal="center" vertical="top" wrapText="1"/>
    </xf>
    <xf numFmtId="4" fontId="10" fillId="0" borderId="0" xfId="9" applyNumberFormat="1" applyFont="1" applyAlignment="1">
      <alignment horizontal="center" vertical="top" wrapText="1"/>
    </xf>
    <xf numFmtId="0" fontId="22" fillId="0" borderId="0" xfId="4" applyFont="1" applyAlignment="1">
      <alignment horizontal="center" vertical="top" wrapText="1"/>
    </xf>
    <xf numFmtId="0" fontId="10" fillId="0" borderId="0" xfId="4" applyFont="1" applyAlignment="1">
      <alignment horizontal="center" vertical="center"/>
    </xf>
    <xf numFmtId="0" fontId="10" fillId="0" borderId="0" xfId="7" applyFont="1" applyAlignment="1">
      <alignment horizontal="center" vertical="center"/>
    </xf>
    <xf numFmtId="0" fontId="16" fillId="0" borderId="0" xfId="7" applyFont="1" applyAlignment="1">
      <alignment horizontal="center" vertical="center"/>
    </xf>
    <xf numFmtId="0" fontId="12" fillId="0" borderId="0" xfId="7" applyAlignment="1">
      <alignment horizontal="center" vertical="center" wrapText="1"/>
    </xf>
    <xf numFmtId="0" fontId="10" fillId="0" borderId="0" xfId="4" applyFont="1" applyAlignment="1">
      <alignment vertical="center"/>
    </xf>
    <xf numFmtId="0" fontId="10" fillId="0" borderId="0" xfId="7" applyFont="1" applyAlignment="1">
      <alignment vertical="center"/>
    </xf>
    <xf numFmtId="0" fontId="6" fillId="0" borderId="0" xfId="4" applyFont="1" applyAlignment="1">
      <alignment horizontal="right" vertical="top"/>
    </xf>
    <xf numFmtId="0" fontId="6" fillId="0" borderId="0" xfId="4" applyFont="1" applyAlignment="1">
      <alignment horizontal="left" vertical="top"/>
    </xf>
    <xf numFmtId="0" fontId="4" fillId="0" borderId="0" xfId="4" applyFont="1" applyAlignment="1">
      <alignment horizontal="center" vertical="top" wrapText="1"/>
    </xf>
    <xf numFmtId="0" fontId="6" fillId="0" borderId="0" xfId="4" applyFont="1" applyAlignment="1">
      <alignment vertical="top"/>
    </xf>
    <xf numFmtId="168" fontId="9" fillId="0" borderId="0" xfId="5" applyFont="1" applyAlignment="1">
      <alignment vertical="top"/>
    </xf>
    <xf numFmtId="1" fontId="11" fillId="0" borderId="0" xfId="8" applyNumberFormat="1" applyFont="1" applyAlignment="1">
      <alignment vertical="top"/>
    </xf>
    <xf numFmtId="0" fontId="14" fillId="0" borderId="0" xfId="4" applyFont="1" applyAlignment="1">
      <alignment vertical="top"/>
    </xf>
    <xf numFmtId="0" fontId="11" fillId="0" borderId="0" xfId="4" applyFont="1" applyAlignment="1">
      <alignment horizontal="left" vertical="top"/>
    </xf>
    <xf numFmtId="1" fontId="4" fillId="0" borderId="0" xfId="8" applyNumberFormat="1" applyFont="1" applyAlignment="1">
      <alignment vertical="top"/>
    </xf>
    <xf numFmtId="0" fontId="4" fillId="0" borderId="0" xfId="4" applyFont="1" applyAlignment="1">
      <alignment horizontal="center" vertical="top"/>
    </xf>
    <xf numFmtId="0" fontId="9" fillId="7" borderId="4" xfId="4" applyFont="1" applyFill="1" applyBorder="1" applyAlignment="1">
      <alignment horizontal="left" vertical="center"/>
    </xf>
    <xf numFmtId="0" fontId="9" fillId="7" borderId="3" xfId="4" applyFont="1" applyFill="1" applyBorder="1" applyAlignment="1">
      <alignment horizontal="left" vertical="center"/>
    </xf>
    <xf numFmtId="168" fontId="9" fillId="0" borderId="0" xfId="4" applyNumberFormat="1" applyFont="1" applyAlignment="1">
      <alignment vertical="top"/>
    </xf>
    <xf numFmtId="49" fontId="6" fillId="0" borderId="0" xfId="4" applyNumberFormat="1" applyFont="1" applyAlignment="1">
      <alignment vertical="center"/>
    </xf>
    <xf numFmtId="0" fontId="9" fillId="0" borderId="0" xfId="4" applyFont="1" applyAlignment="1">
      <alignment horizontal="left" vertical="top"/>
    </xf>
    <xf numFmtId="0" fontId="23" fillId="0" borderId="0" xfId="4" applyFont="1" applyAlignment="1">
      <alignment vertical="top"/>
    </xf>
    <xf numFmtId="0" fontId="24" fillId="0" borderId="0" xfId="4" applyFont="1" applyAlignment="1">
      <alignment horizontal="center" vertical="top"/>
    </xf>
    <xf numFmtId="49" fontId="4" fillId="0" borderId="0" xfId="4" applyNumberFormat="1" applyFont="1" applyAlignment="1">
      <alignment horizontal="left" vertical="top"/>
    </xf>
    <xf numFmtId="49" fontId="4" fillId="0" borderId="0" xfId="4" applyNumberFormat="1" applyFont="1" applyAlignment="1">
      <alignment vertical="top"/>
    </xf>
    <xf numFmtId="4" fontId="9" fillId="0" borderId="0" xfId="5" applyNumberFormat="1" applyFont="1" applyAlignment="1">
      <alignment horizontal="right" vertical="top"/>
    </xf>
    <xf numFmtId="0" fontId="9" fillId="0" borderId="0" xfId="4" quotePrefix="1" applyFont="1" applyAlignment="1">
      <alignment horizontal="left" vertical="top"/>
    </xf>
    <xf numFmtId="0" fontId="9" fillId="0" borderId="0" xfId="4" applyFont="1" applyAlignment="1">
      <alignment horizontal="center" vertical="top"/>
    </xf>
    <xf numFmtId="4" fontId="4" fillId="0" borderId="0" xfId="5" applyNumberFormat="1" applyFont="1" applyAlignment="1">
      <alignment horizontal="right" vertical="top"/>
    </xf>
    <xf numFmtId="0" fontId="10" fillId="0" borderId="0" xfId="4" applyFont="1" applyAlignment="1">
      <alignment horizontal="justify" vertical="top" wrapText="1"/>
    </xf>
    <xf numFmtId="0" fontId="10" fillId="0" borderId="0" xfId="4" applyFont="1" applyAlignment="1">
      <alignment horizontal="center" vertical="center" wrapText="1"/>
    </xf>
    <xf numFmtId="169" fontId="10" fillId="0" borderId="0" xfId="8" applyFont="1" applyAlignment="1">
      <alignment vertical="center"/>
    </xf>
    <xf numFmtId="0" fontId="23" fillId="0" borderId="0" xfId="4" applyFont="1" applyAlignment="1">
      <alignment horizontal="right" vertical="top"/>
    </xf>
    <xf numFmtId="0" fontId="6" fillId="7" borderId="10" xfId="4" applyFont="1" applyFill="1" applyBorder="1" applyAlignment="1">
      <alignment vertical="top"/>
    </xf>
    <xf numFmtId="0" fontId="4" fillId="7" borderId="10" xfId="4" applyFont="1" applyFill="1" applyBorder="1" applyAlignment="1">
      <alignment vertical="top"/>
    </xf>
    <xf numFmtId="0" fontId="4" fillId="7" borderId="11" xfId="4" applyFont="1" applyFill="1" applyBorder="1" applyAlignment="1">
      <alignment vertical="top"/>
    </xf>
    <xf numFmtId="0" fontId="6" fillId="7" borderId="3" xfId="4" applyFont="1" applyFill="1" applyBorder="1" applyAlignment="1">
      <alignment vertical="top"/>
    </xf>
    <xf numFmtId="0" fontId="4" fillId="7" borderId="3" xfId="4" applyFont="1" applyFill="1" applyBorder="1" applyAlignment="1">
      <alignment vertical="top"/>
    </xf>
    <xf numFmtId="0" fontId="4" fillId="7" borderId="2" xfId="4" applyFont="1" applyFill="1" applyBorder="1" applyAlignment="1">
      <alignment vertical="top"/>
    </xf>
    <xf numFmtId="0" fontId="6" fillId="7" borderId="0" xfId="4" applyFont="1" applyFill="1" applyAlignment="1">
      <alignment vertical="top"/>
    </xf>
    <xf numFmtId="0" fontId="4" fillId="7" borderId="0" xfId="4" applyFont="1" applyFill="1" applyAlignment="1">
      <alignment vertical="top"/>
    </xf>
    <xf numFmtId="0" fontId="4" fillId="7" borderId="8" xfId="4" applyFont="1" applyFill="1" applyBorder="1" applyAlignment="1">
      <alignment vertical="top"/>
    </xf>
    <xf numFmtId="0" fontId="6" fillId="7" borderId="7" xfId="4" applyFont="1" applyFill="1" applyBorder="1" applyAlignment="1">
      <alignment vertical="top"/>
    </xf>
    <xf numFmtId="0" fontId="4" fillId="7" borderId="7" xfId="4" applyFont="1" applyFill="1" applyBorder="1" applyAlignment="1">
      <alignment vertical="top"/>
    </xf>
    <xf numFmtId="0" fontId="4" fillId="7" borderId="6" xfId="4" applyFont="1" applyFill="1" applyBorder="1" applyAlignment="1">
      <alignment vertical="top"/>
    </xf>
    <xf numFmtId="0" fontId="10" fillId="0" borderId="0" xfId="4" applyFont="1" applyAlignment="1">
      <alignment horizontal="center" vertical="top"/>
    </xf>
    <xf numFmtId="0" fontId="26" fillId="0" borderId="0" xfId="4" applyFont="1" applyAlignment="1">
      <alignment horizontal="center" vertical="top"/>
    </xf>
    <xf numFmtId="0" fontId="8" fillId="0" borderId="0" xfId="4" applyAlignment="1">
      <alignment vertical="top"/>
    </xf>
    <xf numFmtId="0" fontId="17" fillId="0" borderId="0" xfId="4" applyFont="1" applyAlignment="1">
      <alignment horizontal="center" vertical="top"/>
    </xf>
    <xf numFmtId="0" fontId="3" fillId="0" borderId="0" xfId="10"/>
    <xf numFmtId="0" fontId="28" fillId="0" borderId="0" xfId="10" applyFont="1"/>
    <xf numFmtId="0" fontId="29" fillId="0" borderId="0" xfId="10" applyFont="1"/>
    <xf numFmtId="0" fontId="28" fillId="0" borderId="10" xfId="10" applyFont="1" applyBorder="1"/>
    <xf numFmtId="0" fontId="28" fillId="0" borderId="0" xfId="10" applyFont="1" applyAlignment="1">
      <alignment vertical="center"/>
    </xf>
    <xf numFmtId="0" fontId="3" fillId="0" borderId="0" xfId="10" applyAlignment="1">
      <alignment vertical="center" wrapText="1"/>
    </xf>
    <xf numFmtId="0" fontId="28" fillId="0" borderId="1" xfId="10" applyFont="1" applyBorder="1" applyAlignment="1">
      <alignment vertical="center" wrapText="1"/>
    </xf>
    <xf numFmtId="0" fontId="28" fillId="0" borderId="0" xfId="10" applyFont="1" applyAlignment="1">
      <alignment vertical="center" wrapText="1"/>
    </xf>
    <xf numFmtId="0" fontId="28" fillId="0" borderId="1" xfId="10" applyFont="1" applyBorder="1"/>
    <xf numFmtId="0" fontId="28" fillId="0" borderId="9" xfId="10" applyFont="1" applyBorder="1"/>
    <xf numFmtId="0" fontId="28" fillId="0" borderId="11" xfId="10" applyFont="1" applyBorder="1"/>
    <xf numFmtId="0" fontId="30" fillId="0" borderId="0" xfId="10" applyFont="1"/>
    <xf numFmtId="0" fontId="28" fillId="0" borderId="0" xfId="10" applyFont="1" applyAlignment="1">
      <alignment horizontal="center" vertical="center"/>
    </xf>
    <xf numFmtId="0" fontId="7" fillId="0" borderId="0" xfId="0" applyFont="1"/>
    <xf numFmtId="0" fontId="4" fillId="0" borderId="0" xfId="11" applyFont="1" applyAlignment="1">
      <alignment vertical="top"/>
    </xf>
    <xf numFmtId="1" fontId="4" fillId="0" borderId="0" xfId="11" applyNumberFormat="1" applyFont="1" applyAlignment="1">
      <alignment vertical="top"/>
    </xf>
    <xf numFmtId="49" fontId="4" fillId="0" borderId="0" xfId="11" applyNumberFormat="1" applyFont="1" applyAlignment="1">
      <alignment horizontal="justify" vertical="top" wrapText="1"/>
    </xf>
    <xf numFmtId="168" fontId="4" fillId="0" borderId="0" xfId="11" applyNumberFormat="1" applyFont="1" applyAlignment="1">
      <alignment horizontal="center" vertical="top"/>
    </xf>
    <xf numFmtId="0" fontId="21" fillId="0" borderId="0" xfId="11" applyFont="1" applyAlignment="1">
      <alignment horizontal="center" vertical="top"/>
    </xf>
    <xf numFmtId="0" fontId="10" fillId="0" borderId="0" xfId="11" applyFont="1" applyAlignment="1">
      <alignment vertical="top"/>
    </xf>
    <xf numFmtId="0" fontId="10" fillId="0" borderId="0" xfId="11" applyFont="1" applyAlignment="1">
      <alignment horizontal="center" vertical="center" wrapText="1"/>
    </xf>
    <xf numFmtId="49" fontId="10" fillId="0" borderId="0" xfId="4" applyNumberFormat="1" applyFont="1" applyAlignment="1">
      <alignment horizontal="center" vertical="center" wrapText="1"/>
    </xf>
    <xf numFmtId="4" fontId="10" fillId="0" borderId="0" xfId="4" applyNumberFormat="1" applyFont="1" applyAlignment="1">
      <alignment horizontal="center" vertical="center" wrapText="1"/>
    </xf>
    <xf numFmtId="4" fontId="10" fillId="0" borderId="0" xfId="9" applyNumberFormat="1" applyFont="1" applyAlignment="1">
      <alignment horizontal="center" vertical="center" wrapText="1"/>
    </xf>
    <xf numFmtId="0" fontId="22" fillId="0" borderId="0" xfId="11" applyFont="1" applyAlignment="1">
      <alignment horizontal="center" vertical="center" wrapText="1"/>
    </xf>
    <xf numFmtId="0" fontId="4" fillId="0" borderId="0" xfId="11" applyFont="1" applyAlignment="1">
      <alignment horizontal="center" vertical="center"/>
    </xf>
    <xf numFmtId="0" fontId="4" fillId="0" borderId="1" xfId="11" applyFont="1" applyBorder="1" applyAlignment="1">
      <alignment horizontal="center" vertical="center" wrapText="1"/>
    </xf>
    <xf numFmtId="0" fontId="4" fillId="0" borderId="1" xfId="11" applyFont="1" applyBorder="1" applyAlignment="1">
      <alignment horizontal="center" vertical="center"/>
    </xf>
    <xf numFmtId="14" fontId="4" fillId="0" borderId="1" xfId="11" applyNumberFormat="1" applyFont="1" applyBorder="1" applyAlignment="1">
      <alignment horizontal="center" vertical="center"/>
    </xf>
    <xf numFmtId="0" fontId="4" fillId="0" borderId="0" xfId="7" applyFont="1" applyAlignment="1">
      <alignment horizontal="center" vertical="center"/>
    </xf>
    <xf numFmtId="4" fontId="4" fillId="0" borderId="0" xfId="7" applyNumberFormat="1" applyFont="1" applyAlignment="1">
      <alignment horizontal="center" vertical="center"/>
    </xf>
    <xf numFmtId="0" fontId="12" fillId="0" borderId="0" xfId="7" applyAlignment="1">
      <alignment horizontal="left" vertical="center"/>
    </xf>
    <xf numFmtId="0" fontId="4" fillId="0" borderId="0" xfId="11" applyFont="1" applyAlignment="1">
      <alignment horizontal="center" vertical="center" wrapText="1"/>
    </xf>
    <xf numFmtId="0" fontId="33" fillId="0" borderId="0" xfId="7" applyFont="1" applyAlignment="1">
      <alignment horizontal="left" vertical="center"/>
    </xf>
    <xf numFmtId="0" fontId="10" fillId="0" borderId="0" xfId="11" applyFont="1" applyAlignment="1">
      <alignment horizontal="center" vertical="center"/>
    </xf>
    <xf numFmtId="0" fontId="10" fillId="0" borderId="1" xfId="11" applyFont="1" applyBorder="1" applyAlignment="1">
      <alignment horizontal="center" vertical="center"/>
    </xf>
    <xf numFmtId="0" fontId="4" fillId="0" borderId="0" xfId="11" applyFont="1" applyAlignment="1">
      <alignment horizontal="left" vertical="center"/>
    </xf>
    <xf numFmtId="0" fontId="9" fillId="0" borderId="0" xfId="11" applyFont="1" applyAlignment="1">
      <alignment horizontal="justify" vertical="top" wrapText="1"/>
    </xf>
    <xf numFmtId="0" fontId="15" fillId="0" borderId="0" xfId="11" applyFont="1" applyAlignment="1">
      <alignment horizontal="center" vertical="top" wrapText="1"/>
    </xf>
    <xf numFmtId="0" fontId="17" fillId="0" borderId="0" xfId="11" applyFont="1" applyAlignment="1">
      <alignment vertical="top"/>
    </xf>
    <xf numFmtId="49" fontId="6" fillId="0" borderId="0" xfId="11" applyNumberFormat="1" applyFont="1" applyAlignment="1">
      <alignment vertical="top"/>
    </xf>
    <xf numFmtId="0" fontId="4" fillId="0" borderId="0" xfId="11" applyFont="1" applyAlignment="1">
      <alignment horizontal="justify" vertical="top" wrapText="1"/>
    </xf>
    <xf numFmtId="0" fontId="9" fillId="0" borderId="0" xfId="11" applyFont="1" applyAlignment="1">
      <alignment vertical="top"/>
    </xf>
    <xf numFmtId="0" fontId="4" fillId="0" borderId="0" xfId="11" applyFont="1" applyAlignment="1">
      <alignment horizontal="justify" vertical="top"/>
    </xf>
    <xf numFmtId="0" fontId="4" fillId="0" borderId="0" xfId="11" applyFont="1" applyAlignment="1">
      <alignment horizontal="right" vertical="top"/>
    </xf>
    <xf numFmtId="0" fontId="6" fillId="0" borderId="0" xfId="11" applyFont="1" applyAlignment="1">
      <alignment horizontal="right" vertical="top"/>
    </xf>
    <xf numFmtId="0" fontId="6" fillId="0" borderId="0" xfId="11" applyFont="1" applyAlignment="1">
      <alignment horizontal="left" vertical="top"/>
    </xf>
    <xf numFmtId="0" fontId="20" fillId="0" borderId="0" xfId="11" applyFont="1" applyAlignment="1">
      <alignment vertical="top"/>
    </xf>
    <xf numFmtId="168" fontId="9" fillId="0" borderId="0" xfId="11" applyNumberFormat="1" applyFont="1" applyAlignment="1">
      <alignment vertical="top"/>
    </xf>
    <xf numFmtId="0" fontId="4" fillId="0" borderId="0" xfId="11" applyFont="1" applyAlignment="1">
      <alignment horizontal="center" vertical="top"/>
    </xf>
    <xf numFmtId="168" fontId="4" fillId="0" borderId="0" xfId="11" applyNumberFormat="1" applyFont="1" applyAlignment="1">
      <alignment vertical="top"/>
    </xf>
    <xf numFmtId="0" fontId="9" fillId="0" borderId="0" xfId="11" applyFont="1" applyAlignment="1">
      <alignment horizontal="left" vertical="top"/>
    </xf>
    <xf numFmtId="0" fontId="11" fillId="0" borderId="0" xfId="11" applyFont="1" applyAlignment="1">
      <alignment vertical="top"/>
    </xf>
    <xf numFmtId="0" fontId="14" fillId="0" borderId="0" xfId="11" applyFont="1" applyAlignment="1">
      <alignment vertical="top"/>
    </xf>
    <xf numFmtId="0" fontId="11" fillId="0" borderId="0" xfId="11" applyFont="1" applyAlignment="1">
      <alignment horizontal="left" vertical="top"/>
    </xf>
    <xf numFmtId="0" fontId="23" fillId="0" borderId="0" xfId="11" applyFont="1" applyAlignment="1">
      <alignment vertical="top"/>
    </xf>
    <xf numFmtId="0" fontId="24" fillId="0" borderId="0" xfId="11" applyFont="1" applyAlignment="1">
      <alignment horizontal="center" vertical="top"/>
    </xf>
    <xf numFmtId="10" fontId="1" fillId="2" borderId="0" xfId="3" applyNumberFormat="1" applyFont="1" applyFill="1" applyAlignment="1">
      <alignment vertical="top"/>
    </xf>
    <xf numFmtId="43" fontId="1" fillId="2" borderId="0" xfId="0" applyNumberFormat="1" applyFont="1" applyFill="1" applyAlignment="1">
      <alignment vertical="top"/>
    </xf>
    <xf numFmtId="0" fontId="4" fillId="0" borderId="0" xfId="4" applyFont="1" applyFill="1" applyAlignment="1">
      <alignment vertical="top"/>
    </xf>
    <xf numFmtId="0" fontId="25" fillId="6" borderId="1" xfId="4" applyFont="1" applyFill="1" applyBorder="1" applyAlignment="1">
      <alignment horizontal="center" vertical="top"/>
    </xf>
    <xf numFmtId="0" fontId="4" fillId="0" borderId="4" xfId="0" applyFont="1" applyFill="1" applyBorder="1" applyAlignment="1">
      <alignment vertical="top"/>
    </xf>
    <xf numFmtId="0" fontId="4" fillId="0" borderId="4" xfId="0" applyFont="1" applyFill="1" applyBorder="1" applyAlignment="1">
      <alignment vertical="top" wrapText="1"/>
    </xf>
    <xf numFmtId="0" fontId="6" fillId="4" borderId="7" xfId="0" applyFont="1" applyFill="1" applyBorder="1" applyAlignment="1">
      <alignment horizontal="centerContinuous" vertical="center"/>
    </xf>
    <xf numFmtId="0" fontId="6" fillId="4" borderId="1" xfId="0" applyFont="1" applyFill="1" applyBorder="1" applyAlignment="1">
      <alignment horizontal="centerContinuous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64" fontId="6" fillId="0" borderId="0" xfId="1" applyFont="1" applyAlignment="1">
      <alignment vertical="center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49" fontId="4" fillId="0" borderId="0" xfId="4" applyNumberFormat="1" applyFont="1" applyFill="1" applyAlignment="1">
      <alignment vertical="top"/>
    </xf>
    <xf numFmtId="49" fontId="6" fillId="0" borderId="0" xfId="4" applyNumberFormat="1" applyFont="1" applyFill="1" applyAlignment="1">
      <alignment vertical="top"/>
    </xf>
    <xf numFmtId="0" fontId="6" fillId="0" borderId="0" xfId="4" applyFont="1" applyFill="1" applyAlignment="1">
      <alignment vertical="top"/>
    </xf>
    <xf numFmtId="0" fontId="4" fillId="0" borderId="1" xfId="11" applyFont="1" applyBorder="1" applyAlignment="1">
      <alignment vertical="top"/>
    </xf>
    <xf numFmtId="164" fontId="1" fillId="0" borderId="4" xfId="1" applyFont="1" applyFill="1" applyBorder="1" applyAlignment="1">
      <alignment vertical="top"/>
    </xf>
    <xf numFmtId="165" fontId="1" fillId="0" borderId="0" xfId="0" applyNumberFormat="1" applyFont="1" applyAlignment="1">
      <alignment vertical="top"/>
    </xf>
    <xf numFmtId="0" fontId="1" fillId="8" borderId="1" xfId="0" applyFont="1" applyFill="1" applyBorder="1" applyAlignment="1">
      <alignment horizontal="center"/>
    </xf>
    <xf numFmtId="164" fontId="1" fillId="0" borderId="1" xfId="1" applyFont="1" applyFill="1" applyBorder="1" applyAlignment="1">
      <alignment vertical="top"/>
    </xf>
    <xf numFmtId="164" fontId="1" fillId="0" borderId="1" xfId="0" applyNumberFormat="1" applyFont="1" applyFill="1" applyBorder="1" applyAlignment="1">
      <alignment vertical="top"/>
    </xf>
    <xf numFmtId="14" fontId="1" fillId="0" borderId="1" xfId="0" applyNumberFormat="1" applyFont="1" applyFill="1" applyBorder="1" applyAlignment="1">
      <alignment vertical="top"/>
    </xf>
    <xf numFmtId="0" fontId="2" fillId="0" borderId="0" xfId="0" applyFont="1" applyFill="1" applyBorder="1" applyAlignment="1">
      <alignment horizontal="center" vertical="top"/>
    </xf>
    <xf numFmtId="0" fontId="0" fillId="8" borderId="1" xfId="0" applyFill="1" applyBorder="1" applyAlignment="1">
      <alignment horizontal="center"/>
    </xf>
    <xf numFmtId="0" fontId="4" fillId="0" borderId="0" xfId="11" applyFont="1" applyAlignment="1">
      <alignment horizontal="justify" vertical="top" wrapText="1"/>
    </xf>
    <xf numFmtId="0" fontId="4" fillId="0" borderId="0" xfId="11" applyFont="1" applyAlignment="1">
      <alignment vertical="top"/>
    </xf>
    <xf numFmtId="0" fontId="4" fillId="0" borderId="0" xfId="4" applyFont="1" applyAlignment="1">
      <alignment horizontal="justify" vertical="center" wrapText="1"/>
    </xf>
    <xf numFmtId="0" fontId="21" fillId="0" borderId="0" xfId="4" applyFont="1" applyAlignment="1">
      <alignment horizontal="center" vertical="top"/>
    </xf>
    <xf numFmtId="0" fontId="4" fillId="0" borderId="0" xfId="4" applyFont="1" applyAlignment="1">
      <alignment horizontal="justify" vertical="top"/>
    </xf>
    <xf numFmtId="0" fontId="4" fillId="0" borderId="0" xfId="4" applyFont="1" applyAlignment="1">
      <alignment horizontal="justify" vertical="top" wrapText="1"/>
    </xf>
    <xf numFmtId="0" fontId="4" fillId="0" borderId="0" xfId="4" applyFont="1" applyAlignment="1">
      <alignment horizontal="left" vertical="top" wrapText="1"/>
    </xf>
    <xf numFmtId="0" fontId="4" fillId="0" borderId="2" xfId="4" applyFont="1" applyFill="1" applyBorder="1" applyAlignment="1">
      <alignment horizontal="justify" vertical="center" wrapText="1"/>
    </xf>
    <xf numFmtId="0" fontId="4" fillId="0" borderId="3" xfId="4" applyFont="1" applyFill="1" applyBorder="1" applyAlignment="1">
      <alignment horizontal="justify" vertical="center" wrapText="1"/>
    </xf>
    <xf numFmtId="0" fontId="4" fillId="0" borderId="4" xfId="4" applyFont="1" applyFill="1" applyBorder="1" applyAlignment="1">
      <alignment horizontal="justify" vertical="center" wrapText="1"/>
    </xf>
    <xf numFmtId="4" fontId="4" fillId="0" borderId="2" xfId="5" applyNumberFormat="1" applyFont="1" applyBorder="1" applyAlignment="1">
      <alignment horizontal="right" vertical="top"/>
    </xf>
    <xf numFmtId="4" fontId="4" fillId="0" borderId="3" xfId="5" applyNumberFormat="1" applyFont="1" applyBorder="1" applyAlignment="1">
      <alignment horizontal="right" vertical="top"/>
    </xf>
    <xf numFmtId="171" fontId="4" fillId="0" borderId="2" xfId="4" applyNumberFormat="1" applyFont="1" applyFill="1" applyBorder="1" applyAlignment="1">
      <alignment horizontal="center" vertical="center"/>
    </xf>
    <xf numFmtId="171" fontId="4" fillId="0" borderId="3" xfId="4" applyNumberFormat="1" applyFont="1" applyFill="1" applyBorder="1" applyAlignment="1">
      <alignment horizontal="center" vertical="center"/>
    </xf>
    <xf numFmtId="0" fontId="4" fillId="0" borderId="2" xfId="4" applyFont="1" applyBorder="1" applyAlignment="1">
      <alignment horizontal="justify" vertical="top" wrapText="1"/>
    </xf>
    <xf numFmtId="0" fontId="4" fillId="0" borderId="3" xfId="4" applyFont="1" applyBorder="1" applyAlignment="1">
      <alignment horizontal="justify" vertical="top" wrapText="1"/>
    </xf>
    <xf numFmtId="0" fontId="4" fillId="0" borderId="4" xfId="4" applyFont="1" applyBorder="1" applyAlignment="1">
      <alignment horizontal="justify" vertical="top" wrapText="1"/>
    </xf>
    <xf numFmtId="4" fontId="4" fillId="0" borderId="2" xfId="4" applyNumberFormat="1" applyFont="1" applyBorder="1" applyAlignment="1">
      <alignment horizontal="right" vertical="top"/>
    </xf>
    <xf numFmtId="4" fontId="4" fillId="0" borderId="3" xfId="4" applyNumberFormat="1" applyFont="1" applyBorder="1" applyAlignment="1">
      <alignment horizontal="right" vertical="top"/>
    </xf>
    <xf numFmtId="0" fontId="6" fillId="0" borderId="0" xfId="4" applyFont="1" applyAlignment="1">
      <alignment horizontal="center" vertical="top"/>
    </xf>
    <xf numFmtId="0" fontId="4" fillId="0" borderId="0" xfId="4" applyFont="1" applyFill="1" applyAlignment="1">
      <alignment horizontal="justify" vertical="top" wrapText="1"/>
    </xf>
    <xf numFmtId="9" fontId="4" fillId="0" borderId="2" xfId="6" applyFont="1" applyBorder="1" applyAlignment="1">
      <alignment horizontal="center" vertical="top"/>
    </xf>
    <xf numFmtId="9" fontId="4" fillId="0" borderId="3" xfId="6" applyFont="1" applyBorder="1" applyAlignment="1">
      <alignment horizontal="center" vertical="top"/>
    </xf>
    <xf numFmtId="9" fontId="4" fillId="0" borderId="4" xfId="6" applyFont="1" applyBorder="1" applyAlignment="1">
      <alignment horizontal="center" vertical="top"/>
    </xf>
    <xf numFmtId="0" fontId="4" fillId="0" borderId="0" xfId="4" applyFont="1" applyAlignment="1">
      <alignment horizontal="center" vertical="top"/>
    </xf>
    <xf numFmtId="0" fontId="15" fillId="0" borderId="0" xfId="4" applyFont="1" applyAlignment="1">
      <alignment horizontal="center" vertical="top" wrapText="1"/>
    </xf>
    <xf numFmtId="0" fontId="9" fillId="0" borderId="0" xfId="4" applyFont="1" applyAlignment="1">
      <alignment horizontal="justify" vertical="top" wrapText="1"/>
    </xf>
    <xf numFmtId="4" fontId="4" fillId="0" borderId="11" xfId="5" applyNumberFormat="1" applyFont="1" applyFill="1" applyBorder="1" applyAlignment="1">
      <alignment horizontal="right" vertical="top"/>
    </xf>
    <xf numFmtId="4" fontId="4" fillId="0" borderId="10" xfId="5" applyNumberFormat="1" applyFont="1" applyFill="1" applyBorder="1" applyAlignment="1">
      <alignment horizontal="right" vertical="top"/>
    </xf>
    <xf numFmtId="4" fontId="4" fillId="0" borderId="9" xfId="5" applyNumberFormat="1" applyFont="1" applyFill="1" applyBorder="1" applyAlignment="1">
      <alignment horizontal="right" vertical="top"/>
    </xf>
    <xf numFmtId="49" fontId="4" fillId="0" borderId="0" xfId="4" applyNumberFormat="1" applyFont="1" applyAlignment="1">
      <alignment horizontal="justify" vertical="top" wrapText="1"/>
    </xf>
    <xf numFmtId="0" fontId="4" fillId="0" borderId="11" xfId="4" applyFont="1" applyFill="1" applyBorder="1" applyAlignment="1">
      <alignment horizontal="justify" vertical="top" wrapText="1"/>
    </xf>
    <xf numFmtId="0" fontId="4" fillId="0" borderId="10" xfId="4" applyFont="1" applyFill="1" applyBorder="1" applyAlignment="1">
      <alignment horizontal="justify" vertical="top" wrapText="1"/>
    </xf>
    <xf numFmtId="0" fontId="4" fillId="0" borderId="9" xfId="4" applyFont="1" applyFill="1" applyBorder="1" applyAlignment="1">
      <alignment horizontal="justify" vertical="top" wrapText="1"/>
    </xf>
    <xf numFmtId="4" fontId="4" fillId="0" borderId="11" xfId="5" applyNumberFormat="1" applyFont="1" applyFill="1" applyBorder="1" applyAlignment="1">
      <alignment horizontal="right" vertical="top" wrapText="1"/>
    </xf>
    <xf numFmtId="4" fontId="4" fillId="0" borderId="10" xfId="5" applyNumberFormat="1" applyFont="1" applyFill="1" applyBorder="1" applyAlignment="1">
      <alignment horizontal="right" vertical="top" wrapText="1"/>
    </xf>
    <xf numFmtId="4" fontId="4" fillId="0" borderId="9" xfId="5" applyNumberFormat="1" applyFont="1" applyFill="1" applyBorder="1" applyAlignment="1">
      <alignment horizontal="right" vertical="top" wrapText="1"/>
    </xf>
    <xf numFmtId="0" fontId="1" fillId="0" borderId="0" xfId="0" applyFont="1"/>
    <xf numFmtId="164" fontId="1" fillId="6" borderId="0" xfId="1" applyFont="1" applyFill="1"/>
    <xf numFmtId="0" fontId="1" fillId="0" borderId="1" xfId="0" applyFont="1" applyBorder="1"/>
    <xf numFmtId="164" fontId="1" fillId="0" borderId="1" xfId="1" applyFont="1" applyBorder="1"/>
    <xf numFmtId="164" fontId="1" fillId="0" borderId="0" xfId="1" applyFont="1"/>
    <xf numFmtId="0" fontId="18" fillId="0" borderId="5" xfId="4" applyFont="1" applyBorder="1" applyAlignment="1">
      <alignment vertical="top"/>
    </xf>
    <xf numFmtId="0" fontId="4" fillId="0" borderId="29" xfId="4" applyFont="1" applyBorder="1" applyAlignment="1">
      <alignment vertical="top"/>
    </xf>
    <xf numFmtId="0" fontId="10" fillId="0" borderId="29" xfId="4" applyFont="1" applyBorder="1" applyAlignment="1">
      <alignment vertical="center"/>
    </xf>
    <xf numFmtId="0" fontId="4" fillId="0" borderId="29" xfId="4" applyFont="1" applyBorder="1" applyAlignment="1">
      <alignment vertical="center"/>
    </xf>
    <xf numFmtId="0" fontId="4" fillId="9" borderId="29" xfId="4" applyFont="1" applyFill="1" applyBorder="1" applyAlignment="1">
      <alignment vertical="top"/>
    </xf>
    <xf numFmtId="0" fontId="10" fillId="0" borderId="29" xfId="4" applyFont="1" applyBorder="1" applyAlignment="1">
      <alignment horizontal="center" vertical="center"/>
    </xf>
    <xf numFmtId="0" fontId="10" fillId="0" borderId="29" xfId="4" applyFont="1" applyBorder="1" applyAlignment="1">
      <alignment vertical="top"/>
    </xf>
    <xf numFmtId="1" fontId="4" fillId="0" borderId="29" xfId="4" applyNumberFormat="1" applyFont="1" applyBorder="1" applyAlignment="1">
      <alignment vertical="top"/>
    </xf>
    <xf numFmtId="0" fontId="19" fillId="0" borderId="29" xfId="4" applyFont="1" applyBorder="1" applyAlignment="1">
      <alignment vertical="top" wrapText="1"/>
    </xf>
    <xf numFmtId="0" fontId="19" fillId="0" borderId="29" xfId="4" applyFont="1" applyBorder="1" applyAlignment="1">
      <alignment vertical="center" wrapText="1"/>
    </xf>
    <xf numFmtId="168" fontId="4" fillId="0" borderId="29" xfId="5" applyFont="1" applyBorder="1" applyAlignment="1">
      <alignment horizontal="center" vertical="top"/>
    </xf>
    <xf numFmtId="0" fontId="18" fillId="0" borderId="29" xfId="4" applyFont="1" applyBorder="1" applyAlignment="1">
      <alignment vertical="center" wrapText="1"/>
    </xf>
    <xf numFmtId="164" fontId="4" fillId="0" borderId="29" xfId="4" applyNumberFormat="1" applyFont="1" applyBorder="1" applyAlignment="1">
      <alignment vertical="top" wrapText="1"/>
    </xf>
    <xf numFmtId="0" fontId="18" fillId="0" borderId="29" xfId="4" applyFont="1" applyBorder="1" applyAlignment="1">
      <alignment vertical="top" wrapText="1"/>
    </xf>
    <xf numFmtId="0" fontId="11" fillId="0" borderId="29" xfId="4" applyFont="1" applyBorder="1" applyAlignment="1">
      <alignment vertical="top"/>
    </xf>
    <xf numFmtId="0" fontId="9" fillId="0" borderId="29" xfId="4" applyFont="1" applyBorder="1" applyAlignment="1">
      <alignment vertical="top"/>
    </xf>
    <xf numFmtId="39" fontId="4" fillId="0" borderId="11" xfId="5" applyNumberFormat="1" applyFont="1" applyBorder="1" applyAlignment="1">
      <alignment horizontal="right" vertical="top" wrapText="1"/>
    </xf>
    <xf numFmtId="39" fontId="4" fillId="0" borderId="10" xfId="5" applyNumberFormat="1" applyFont="1" applyBorder="1" applyAlignment="1">
      <alignment horizontal="right" vertical="top" wrapText="1"/>
    </xf>
    <xf numFmtId="39" fontId="4" fillId="0" borderId="9" xfId="5" applyNumberFormat="1" applyFont="1" applyBorder="1" applyAlignment="1">
      <alignment horizontal="right" vertical="top" wrapText="1"/>
    </xf>
    <xf numFmtId="4" fontId="4" fillId="0" borderId="11" xfId="5" applyNumberFormat="1" applyFont="1" applyBorder="1" applyAlignment="1">
      <alignment horizontal="right" vertical="top"/>
    </xf>
    <xf numFmtId="4" fontId="4" fillId="0" borderId="10" xfId="5" applyNumberFormat="1" applyFont="1" applyBorder="1" applyAlignment="1">
      <alignment horizontal="right" vertical="top"/>
    </xf>
    <xf numFmtId="4" fontId="4" fillId="0" borderId="9" xfId="5" applyNumberFormat="1" applyFont="1" applyBorder="1" applyAlignment="1">
      <alignment horizontal="right" vertical="top"/>
    </xf>
    <xf numFmtId="4" fontId="4" fillId="0" borderId="11" xfId="5" applyNumberFormat="1" applyFont="1" applyBorder="1" applyAlignment="1">
      <alignment horizontal="right" vertical="top" wrapText="1"/>
    </xf>
    <xf numFmtId="4" fontId="4" fillId="0" borderId="10" xfId="5" applyNumberFormat="1" applyFont="1" applyBorder="1" applyAlignment="1">
      <alignment horizontal="right" vertical="top" wrapText="1"/>
    </xf>
    <xf numFmtId="4" fontId="4" fillId="0" borderId="9" xfId="5" applyNumberFormat="1" applyFont="1" applyBorder="1" applyAlignment="1">
      <alignment horizontal="right" vertical="top" wrapText="1"/>
    </xf>
    <xf numFmtId="4" fontId="4" fillId="0" borderId="11" xfId="5" applyNumberFormat="1" applyFont="1" applyBorder="1" applyAlignment="1">
      <alignment vertical="top" wrapText="1"/>
    </xf>
    <xf numFmtId="4" fontId="4" fillId="0" borderId="10" xfId="5" applyNumberFormat="1" applyFont="1" applyBorder="1" applyAlignment="1">
      <alignment vertical="top" wrapText="1"/>
    </xf>
    <xf numFmtId="4" fontId="4" fillId="0" borderId="9" xfId="5" applyNumberFormat="1" applyFont="1" applyBorder="1" applyAlignment="1">
      <alignment vertical="top" wrapText="1"/>
    </xf>
    <xf numFmtId="4" fontId="4" fillId="0" borderId="11" xfId="8" applyNumberFormat="1" applyFont="1" applyBorder="1" applyAlignment="1">
      <alignment horizontal="right" vertical="top" wrapText="1"/>
    </xf>
    <xf numFmtId="4" fontId="4" fillId="0" borderId="10" xfId="8" applyNumberFormat="1" applyFont="1" applyBorder="1" applyAlignment="1">
      <alignment horizontal="right" vertical="top" wrapText="1"/>
    </xf>
    <xf numFmtId="4" fontId="4" fillId="0" borderId="9" xfId="8" applyNumberFormat="1" applyFont="1" applyBorder="1" applyAlignment="1">
      <alignment horizontal="right" vertical="top" wrapText="1"/>
    </xf>
    <xf numFmtId="3" fontId="4" fillId="0" borderId="11" xfId="5" applyNumberFormat="1" applyFont="1" applyBorder="1" applyAlignment="1">
      <alignment horizontal="center" vertical="top"/>
    </xf>
    <xf numFmtId="3" fontId="4" fillId="0" borderId="9" xfId="5" applyNumberFormat="1" applyFont="1" applyBorder="1" applyAlignment="1">
      <alignment horizontal="center" vertical="top"/>
    </xf>
    <xf numFmtId="0" fontId="10" fillId="0" borderId="0" xfId="4" applyFont="1" applyFill="1" applyAlignment="1">
      <alignment horizontal="justify" vertical="top" wrapText="1"/>
    </xf>
    <xf numFmtId="4" fontId="4" fillId="0" borderId="0" xfId="5" applyNumberFormat="1" applyFont="1" applyFill="1" applyAlignment="1">
      <alignment horizontal="right" vertical="top"/>
    </xf>
    <xf numFmtId="169" fontId="4" fillId="0" borderId="0" xfId="8" applyFont="1" applyFill="1" applyAlignment="1">
      <alignment vertical="top"/>
    </xf>
    <xf numFmtId="0" fontId="4" fillId="0" borderId="29" xfId="4" applyFont="1" applyFill="1" applyBorder="1" applyAlignment="1">
      <alignment vertical="top"/>
    </xf>
    <xf numFmtId="0" fontId="4" fillId="0" borderId="2" xfId="4" applyFont="1" applyFill="1" applyBorder="1" applyAlignment="1">
      <alignment horizontal="justify" vertical="top" wrapText="1"/>
    </xf>
    <xf numFmtId="0" fontId="4" fillId="0" borderId="3" xfId="4" applyFont="1" applyFill="1" applyBorder="1" applyAlignment="1">
      <alignment horizontal="justify" vertical="top" wrapText="1"/>
    </xf>
    <xf numFmtId="0" fontId="4" fillId="0" borderId="4" xfId="4" applyFont="1" applyFill="1" applyBorder="1" applyAlignment="1">
      <alignment horizontal="justify" vertical="top" wrapText="1"/>
    </xf>
    <xf numFmtId="4" fontId="4" fillId="0" borderId="2" xfId="4" applyNumberFormat="1" applyFont="1" applyFill="1" applyBorder="1" applyAlignment="1">
      <alignment horizontal="right" vertical="top"/>
    </xf>
    <xf numFmtId="4" fontId="4" fillId="0" borderId="3" xfId="4" applyNumberFormat="1" applyFont="1" applyFill="1" applyBorder="1" applyAlignment="1">
      <alignment horizontal="right" vertical="top"/>
    </xf>
    <xf numFmtId="4" fontId="4" fillId="0" borderId="2" xfId="5" applyNumberFormat="1" applyFont="1" applyFill="1" applyBorder="1" applyAlignment="1">
      <alignment horizontal="right" vertical="top"/>
    </xf>
    <xf numFmtId="4" fontId="4" fillId="0" borderId="3" xfId="5" applyNumberFormat="1" applyFont="1" applyFill="1" applyBorder="1" applyAlignment="1">
      <alignment horizontal="right" vertical="top"/>
    </xf>
    <xf numFmtId="0" fontId="9" fillId="0" borderId="3" xfId="4" applyFont="1" applyFill="1" applyBorder="1" applyAlignment="1">
      <alignment horizontal="left" vertical="center"/>
    </xf>
    <xf numFmtId="4" fontId="4" fillId="0" borderId="2" xfId="8" applyNumberFormat="1" applyFont="1" applyFill="1" applyBorder="1" applyAlignment="1">
      <alignment vertical="center"/>
    </xf>
    <xf numFmtId="4" fontId="4" fillId="0" borderId="3" xfId="8" applyNumberFormat="1" applyFont="1" applyFill="1" applyBorder="1" applyAlignment="1">
      <alignment vertical="center"/>
    </xf>
    <xf numFmtId="0" fontId="9" fillId="0" borderId="4" xfId="4" applyFont="1" applyFill="1" applyBorder="1" applyAlignment="1">
      <alignment horizontal="left" vertical="center"/>
    </xf>
    <xf numFmtId="0" fontId="9" fillId="0" borderId="12" xfId="4" applyFont="1" applyFill="1" applyBorder="1" applyAlignment="1">
      <alignment horizontal="left" vertical="center"/>
    </xf>
    <xf numFmtId="4" fontId="4" fillId="0" borderId="6" xfId="8" applyNumberFormat="1" applyFont="1" applyFill="1" applyBorder="1" applyAlignment="1">
      <alignment vertical="center"/>
    </xf>
    <xf numFmtId="4" fontId="4" fillId="0" borderId="7" xfId="8" applyNumberFormat="1" applyFont="1" applyFill="1" applyBorder="1" applyAlignment="1">
      <alignment vertical="center"/>
    </xf>
    <xf numFmtId="0" fontId="17" fillId="0" borderId="0" xfId="4" applyFont="1" applyFill="1" applyAlignment="1">
      <alignment vertical="top"/>
    </xf>
    <xf numFmtId="4" fontId="4" fillId="0" borderId="13" xfId="5" applyNumberFormat="1" applyFont="1" applyFill="1" applyBorder="1" applyAlignment="1">
      <alignment horizontal="right" vertical="top" wrapText="1"/>
    </xf>
    <xf numFmtId="0" fontId="0" fillId="0" borderId="29" xfId="0" applyBorder="1"/>
    <xf numFmtId="41" fontId="1" fillId="0" borderId="0" xfId="12" applyFont="1" applyAlignment="1">
      <alignment vertical="top"/>
    </xf>
    <xf numFmtId="41" fontId="1" fillId="0" borderId="0" xfId="12" applyFont="1" applyFill="1" applyAlignment="1">
      <alignment vertical="top"/>
    </xf>
    <xf numFmtId="41" fontId="6" fillId="0" borderId="0" xfId="12" applyFont="1" applyAlignment="1">
      <alignment vertical="center"/>
    </xf>
    <xf numFmtId="41" fontId="1" fillId="2" borderId="0" xfId="12" applyFont="1" applyFill="1" applyAlignment="1">
      <alignment vertical="top"/>
    </xf>
    <xf numFmtId="41" fontId="1" fillId="0" borderId="0" xfId="12" applyFont="1" applyAlignment="1"/>
    <xf numFmtId="0" fontId="4" fillId="0" borderId="0" xfId="0" applyFont="1" applyFill="1" applyAlignment="1">
      <alignment vertical="top"/>
    </xf>
    <xf numFmtId="0" fontId="4" fillId="0" borderId="0" xfId="4" applyFont="1" applyFill="1" applyAlignment="1">
      <alignment horizontal="center" vertical="top"/>
    </xf>
    <xf numFmtId="0" fontId="35" fillId="0" borderId="0" xfId="4" applyFont="1" applyAlignment="1">
      <alignment vertical="top"/>
    </xf>
    <xf numFmtId="0" fontId="4" fillId="0" borderId="0" xfId="4" applyFont="1" applyFill="1" applyAlignment="1">
      <alignment vertical="top" wrapText="1"/>
    </xf>
    <xf numFmtId="0" fontId="0" fillId="0" borderId="29" xfId="0" applyFill="1" applyBorder="1"/>
    <xf numFmtId="0" fontId="4" fillId="0" borderId="29" xfId="4" applyFont="1" applyFill="1" applyBorder="1" applyAlignment="1">
      <alignment vertical="center"/>
    </xf>
    <xf numFmtId="0" fontId="4" fillId="0" borderId="0" xfId="4" applyFont="1" applyFill="1" applyAlignment="1">
      <alignment horizontal="right" vertical="top"/>
    </xf>
    <xf numFmtId="0" fontId="9" fillId="0" borderId="0" xfId="4" applyFont="1" applyFill="1" applyAlignment="1">
      <alignment vertical="top"/>
    </xf>
    <xf numFmtId="1" fontId="4" fillId="0" borderId="0" xfId="8" applyNumberFormat="1" applyFont="1" applyFill="1" applyAlignment="1">
      <alignment vertical="top"/>
    </xf>
    <xf numFmtId="0" fontId="1" fillId="0" borderId="0" xfId="0" applyFont="1" applyAlignment="1">
      <alignment horizontal="right"/>
    </xf>
    <xf numFmtId="0" fontId="6" fillId="4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4" fillId="0" borderId="0" xfId="11" applyFont="1" applyAlignment="1">
      <alignment vertical="top"/>
    </xf>
    <xf numFmtId="0" fontId="4" fillId="0" borderId="0" xfId="11" applyFont="1" applyFill="1" applyBorder="1" applyAlignment="1">
      <alignment vertical="top"/>
    </xf>
    <xf numFmtId="0" fontId="4" fillId="0" borderId="0" xfId="11" applyFont="1" applyFill="1" applyBorder="1" applyAlignment="1">
      <alignment horizontal="justify" vertical="top" wrapText="1"/>
    </xf>
    <xf numFmtId="0" fontId="4" fillId="0" borderId="0" xfId="11" applyFont="1" applyAlignment="1">
      <alignment vertical="top"/>
    </xf>
    <xf numFmtId="0" fontId="28" fillId="0" borderId="0" xfId="10" applyFont="1" applyFill="1"/>
    <xf numFmtId="0" fontId="3" fillId="0" borderId="0" xfId="10" applyFill="1"/>
    <xf numFmtId="0" fontId="0" fillId="0" borderId="1" xfId="0" applyBorder="1"/>
    <xf numFmtId="0" fontId="0" fillId="0" borderId="0" xfId="10" applyFont="1"/>
    <xf numFmtId="0" fontId="4" fillId="0" borderId="0" xfId="4" applyFont="1" applyAlignment="1">
      <alignment horizontal="left" vertical="top" wrapText="1"/>
    </xf>
    <xf numFmtId="0" fontId="4" fillId="0" borderId="0" xfId="4" applyFont="1" applyFill="1" applyAlignment="1">
      <alignment vertical="top"/>
    </xf>
    <xf numFmtId="0" fontId="4" fillId="0" borderId="0" xfId="4" applyFont="1" applyAlignment="1">
      <alignment horizontal="justify" vertical="center" wrapText="1"/>
    </xf>
    <xf numFmtId="0" fontId="3" fillId="0" borderId="1" xfId="10" applyFill="1" applyBorder="1"/>
    <xf numFmtId="0" fontId="32" fillId="0" borderId="1" xfId="10" applyFont="1" applyFill="1" applyBorder="1" applyAlignment="1">
      <alignment horizontal="center" vertical="center"/>
    </xf>
    <xf numFmtId="0" fontId="30" fillId="0" borderId="0" xfId="10" applyFont="1" applyFill="1"/>
    <xf numFmtId="0" fontId="28" fillId="0" borderId="1" xfId="10" applyFont="1" applyFill="1" applyBorder="1" applyAlignment="1">
      <alignment horizontal="center" vertical="center"/>
    </xf>
    <xf numFmtId="0" fontId="28" fillId="0" borderId="2" xfId="10" applyFont="1" applyFill="1" applyBorder="1" applyAlignment="1">
      <alignment horizontal="center" vertical="center"/>
    </xf>
    <xf numFmtId="0" fontId="31" fillId="0" borderId="0" xfId="10" applyFont="1" applyFill="1"/>
    <xf numFmtId="0" fontId="28" fillId="0" borderId="1" xfId="10" applyFont="1" applyFill="1" applyBorder="1"/>
    <xf numFmtId="0" fontId="32" fillId="0" borderId="0" xfId="10" applyFont="1" applyFill="1"/>
    <xf numFmtId="164" fontId="28" fillId="0" borderId="1" xfId="10" applyNumberFormat="1" applyFont="1" applyFill="1" applyBorder="1"/>
    <xf numFmtId="0" fontId="28" fillId="0" borderId="2" xfId="10" applyFont="1" applyFill="1" applyBorder="1"/>
    <xf numFmtId="0" fontId="28" fillId="0" borderId="3" xfId="10" applyFont="1" applyFill="1" applyBorder="1"/>
    <xf numFmtId="0" fontId="32" fillId="0" borderId="3" xfId="10" applyFont="1" applyFill="1" applyBorder="1"/>
    <xf numFmtId="0" fontId="28" fillId="0" borderId="4" xfId="10" applyFont="1" applyFill="1" applyBorder="1"/>
    <xf numFmtId="0" fontId="28" fillId="0" borderId="0" xfId="10" applyFont="1" applyFill="1" applyAlignment="1">
      <alignment horizontal="right"/>
    </xf>
    <xf numFmtId="0" fontId="36" fillId="0" borderId="0" xfId="10" applyFont="1" applyFill="1"/>
    <xf numFmtId="0" fontId="28" fillId="0" borderId="6" xfId="10" applyFont="1" applyFill="1" applyBorder="1" applyAlignment="1">
      <alignment vertical="center"/>
    </xf>
    <xf numFmtId="0" fontId="28" fillId="0" borderId="7" xfId="10" applyFont="1" applyFill="1" applyBorder="1" applyAlignment="1">
      <alignment vertical="center"/>
    </xf>
    <xf numFmtId="0" fontId="28" fillId="0" borderId="7" xfId="10" applyFont="1" applyFill="1" applyBorder="1"/>
    <xf numFmtId="0" fontId="28" fillId="0" borderId="12" xfId="10" applyFont="1" applyFill="1" applyBorder="1"/>
    <xf numFmtId="0" fontId="28" fillId="0" borderId="8" xfId="10" applyFont="1" applyFill="1" applyBorder="1"/>
    <xf numFmtId="0" fontId="28" fillId="0" borderId="28" xfId="10" applyFont="1" applyFill="1" applyBorder="1"/>
    <xf numFmtId="0" fontId="28" fillId="0" borderId="11" xfId="10" applyFont="1" applyFill="1" applyBorder="1"/>
    <xf numFmtId="0" fontId="28" fillId="0" borderId="10" xfId="10" applyFont="1" applyFill="1" applyBorder="1"/>
    <xf numFmtId="0" fontId="28" fillId="0" borderId="9" xfId="10" applyFont="1" applyFill="1" applyBorder="1"/>
    <xf numFmtId="0" fontId="28" fillId="0" borderId="2" xfId="10" applyFont="1" applyFill="1" applyBorder="1" applyAlignment="1">
      <alignment horizontal="left"/>
    </xf>
    <xf numFmtId="0" fontId="32" fillId="0" borderId="13" xfId="10" applyFont="1" applyFill="1" applyBorder="1" applyAlignment="1">
      <alignment horizontal="center" vertical="center"/>
    </xf>
    <xf numFmtId="0" fontId="28" fillId="0" borderId="6" xfId="10" applyFont="1" applyFill="1" applyBorder="1"/>
    <xf numFmtId="0" fontId="4" fillId="0" borderId="0" xfId="4" applyFont="1" applyAlignment="1">
      <alignment horizontal="left" vertical="top" wrapText="1"/>
    </xf>
    <xf numFmtId="0" fontId="4" fillId="0" borderId="0" xfId="4" applyFont="1" applyAlignment="1">
      <alignment horizontal="justify" vertical="center" wrapText="1"/>
    </xf>
    <xf numFmtId="0" fontId="4" fillId="0" borderId="0" xfId="4" applyFont="1" applyFill="1" applyAlignment="1">
      <alignment vertical="top"/>
    </xf>
    <xf numFmtId="166" fontId="0" fillId="0" borderId="0" xfId="0" applyNumberFormat="1" applyAlignment="1">
      <alignment horizontal="left"/>
    </xf>
    <xf numFmtId="0" fontId="7" fillId="0" borderId="0" xfId="0" applyFont="1" applyFill="1" applyAlignment="1"/>
    <xf numFmtId="0" fontId="0" fillId="0" borderId="0" xfId="0" applyFont="1" applyFill="1" applyAlignment="1"/>
    <xf numFmtId="166" fontId="4" fillId="0" borderId="0" xfId="11" applyNumberFormat="1" applyFont="1" applyAlignment="1">
      <alignment horizontal="left" vertical="top"/>
    </xf>
    <xf numFmtId="166" fontId="4" fillId="0" borderId="0" xfId="11" applyNumberFormat="1" applyFont="1" applyFill="1" applyAlignment="1">
      <alignment horizontal="left" vertical="top"/>
    </xf>
    <xf numFmtId="0" fontId="4" fillId="0" borderId="0" xfId="11" applyFont="1" applyAlignment="1">
      <alignment horizontal="justify" vertical="top" wrapText="1"/>
    </xf>
    <xf numFmtId="0" fontId="21" fillId="0" borderId="0" xfId="11" applyFont="1" applyAlignment="1">
      <alignment horizontal="center" vertical="top"/>
    </xf>
    <xf numFmtId="0" fontId="4" fillId="0" borderId="0" xfId="11" applyFont="1" applyAlignment="1">
      <alignment horizontal="left" vertical="top"/>
    </xf>
    <xf numFmtId="0" fontId="4" fillId="0" borderId="0" xfId="11" applyFont="1" applyAlignment="1">
      <alignment horizontal="justify" vertical="top"/>
    </xf>
    <xf numFmtId="0" fontId="4" fillId="0" borderId="0" xfId="11" applyFont="1" applyAlignment="1">
      <alignment vertical="top"/>
    </xf>
    <xf numFmtId="0" fontId="4" fillId="0" borderId="0" xfId="11" quotePrefix="1" applyFont="1" applyAlignment="1">
      <alignment horizontal="center" vertical="top"/>
    </xf>
    <xf numFmtId="0" fontId="4" fillId="0" borderId="0" xfId="11" applyFont="1" applyAlignment="1">
      <alignment horizontal="center" vertical="top"/>
    </xf>
    <xf numFmtId="4" fontId="4" fillId="0" borderId="0" xfId="8" applyNumberFormat="1" applyFont="1" applyAlignment="1">
      <alignment vertical="top"/>
    </xf>
    <xf numFmtId="0" fontId="4" fillId="0" borderId="0" xfId="4" applyFont="1" applyFill="1" applyBorder="1" applyAlignment="1">
      <alignment vertical="top"/>
    </xf>
    <xf numFmtId="0" fontId="4" fillId="0" borderId="0" xfId="4" applyFont="1" applyFill="1" applyBorder="1" applyAlignment="1">
      <alignment horizontal="left" vertical="top"/>
    </xf>
    <xf numFmtId="0" fontId="9" fillId="0" borderId="6" xfId="4" applyFont="1" applyBorder="1" applyAlignment="1">
      <alignment horizontal="center" vertical="top"/>
    </xf>
    <xf numFmtId="0" fontId="9" fillId="0" borderId="7" xfId="4" applyFont="1" applyBorder="1" applyAlignment="1">
      <alignment horizontal="center" vertical="top"/>
    </xf>
    <xf numFmtId="0" fontId="9" fillId="0" borderId="12" xfId="4" applyFont="1" applyBorder="1" applyAlignment="1">
      <alignment horizontal="center" vertical="top"/>
    </xf>
    <xf numFmtId="0" fontId="9" fillId="0" borderId="8" xfId="4" applyFont="1" applyBorder="1" applyAlignment="1">
      <alignment horizontal="center" vertical="top"/>
    </xf>
    <xf numFmtId="0" fontId="9" fillId="0" borderId="0" xfId="4" applyFont="1" applyBorder="1" applyAlignment="1">
      <alignment horizontal="center" vertical="top"/>
    </xf>
    <xf numFmtId="0" fontId="9" fillId="0" borderId="28" xfId="4" applyFont="1" applyBorder="1" applyAlignment="1">
      <alignment horizontal="center" vertical="top"/>
    </xf>
    <xf numFmtId="0" fontId="9" fillId="0" borderId="11" xfId="4" applyFont="1" applyBorder="1" applyAlignment="1">
      <alignment horizontal="center" vertical="top"/>
    </xf>
    <xf numFmtId="0" fontId="9" fillId="0" borderId="10" xfId="4" applyFont="1" applyBorder="1" applyAlignment="1">
      <alignment horizontal="center" vertical="top"/>
    </xf>
    <xf numFmtId="0" fontId="9" fillId="0" borderId="9" xfId="4" applyFont="1" applyBorder="1" applyAlignment="1">
      <alignment horizontal="center" vertical="top"/>
    </xf>
    <xf numFmtId="4" fontId="10" fillId="0" borderId="2" xfId="4" applyNumberFormat="1" applyFont="1" applyBorder="1" applyAlignment="1">
      <alignment horizontal="center" vertical="center" wrapText="1"/>
    </xf>
    <xf numFmtId="4" fontId="10" fillId="0" borderId="3" xfId="4" applyNumberFormat="1" applyFont="1" applyBorder="1" applyAlignment="1">
      <alignment horizontal="center" vertical="center" wrapText="1"/>
    </xf>
    <xf numFmtId="4" fontId="10" fillId="0" borderId="4" xfId="4" applyNumberFormat="1" applyFont="1" applyBorder="1" applyAlignment="1">
      <alignment horizontal="center" vertical="center" wrapText="1"/>
    </xf>
    <xf numFmtId="0" fontId="4" fillId="0" borderId="1" xfId="11" applyFont="1" applyBorder="1" applyAlignment="1">
      <alignment horizontal="center" vertical="top"/>
    </xf>
    <xf numFmtId="0" fontId="4" fillId="0" borderId="4" xfId="11" applyFont="1" applyBorder="1" applyAlignment="1">
      <alignment horizontal="center" vertical="top"/>
    </xf>
    <xf numFmtId="0" fontId="4" fillId="0" borderId="2" xfId="11" applyFont="1" applyBorder="1" applyAlignment="1">
      <alignment horizontal="center" vertical="top"/>
    </xf>
    <xf numFmtId="0" fontId="4" fillId="0" borderId="3" xfId="11" applyFont="1" applyBorder="1" applyAlignment="1">
      <alignment horizontal="center" vertical="top"/>
    </xf>
    <xf numFmtId="0" fontId="11" fillId="0" borderId="2" xfId="11" applyFont="1" applyBorder="1" applyAlignment="1">
      <alignment horizontal="center" vertical="top"/>
    </xf>
    <xf numFmtId="0" fontId="11" fillId="0" borderId="3" xfId="11" applyFont="1" applyBorder="1" applyAlignment="1">
      <alignment horizontal="center" vertical="top"/>
    </xf>
    <xf numFmtId="0" fontId="11" fillId="0" borderId="4" xfId="11" applyFont="1" applyBorder="1" applyAlignment="1">
      <alignment horizontal="center" vertical="top"/>
    </xf>
    <xf numFmtId="0" fontId="4" fillId="3" borderId="1" xfId="11" applyFont="1" applyFill="1" applyBorder="1" applyAlignment="1">
      <alignment horizontal="center" vertical="top"/>
    </xf>
    <xf numFmtId="0" fontId="4" fillId="3" borderId="4" xfId="11" applyFont="1" applyFill="1" applyBorder="1" applyAlignment="1">
      <alignment horizontal="center" vertical="top"/>
    </xf>
    <xf numFmtId="0" fontId="4" fillId="3" borderId="2" xfId="11" applyFont="1" applyFill="1" applyBorder="1" applyAlignment="1">
      <alignment horizontal="center" vertical="top"/>
    </xf>
    <xf numFmtId="0" fontId="4" fillId="3" borderId="3" xfId="11" applyFont="1" applyFill="1" applyBorder="1" applyAlignment="1">
      <alignment horizontal="center" vertical="top"/>
    </xf>
    <xf numFmtId="4" fontId="10" fillId="0" borderId="2" xfId="9" applyNumberFormat="1" applyFont="1" applyBorder="1" applyAlignment="1">
      <alignment horizontal="center" vertical="center" wrapText="1"/>
    </xf>
    <xf numFmtId="4" fontId="10" fillId="0" borderId="3" xfId="9" applyNumberFormat="1" applyFont="1" applyBorder="1" applyAlignment="1">
      <alignment horizontal="center" vertical="center" wrapText="1"/>
    </xf>
    <xf numFmtId="4" fontId="10" fillId="0" borderId="4" xfId="9" applyNumberFormat="1" applyFont="1" applyBorder="1" applyAlignment="1">
      <alignment horizontal="center" vertical="center" wrapText="1"/>
    </xf>
    <xf numFmtId="0" fontId="10" fillId="3" borderId="2" xfId="4" applyFont="1" applyFill="1" applyBorder="1" applyAlignment="1">
      <alignment horizontal="center" vertical="center" wrapText="1"/>
    </xf>
    <xf numFmtId="0" fontId="10" fillId="3" borderId="3" xfId="4" applyFont="1" applyFill="1" applyBorder="1" applyAlignment="1">
      <alignment horizontal="center" vertical="center" wrapText="1"/>
    </xf>
    <xf numFmtId="0" fontId="10" fillId="3" borderId="4" xfId="4" applyFont="1" applyFill="1" applyBorder="1" applyAlignment="1">
      <alignment horizontal="center" vertical="center" wrapText="1"/>
    </xf>
    <xf numFmtId="0" fontId="10" fillId="0" borderId="16" xfId="11" applyFont="1" applyBorder="1" applyAlignment="1">
      <alignment horizontal="center" vertical="center" wrapText="1"/>
    </xf>
    <xf numFmtId="0" fontId="10" fillId="0" borderId="15" xfId="11" applyFont="1" applyBorder="1" applyAlignment="1">
      <alignment horizontal="center" vertical="center" wrapText="1"/>
    </xf>
    <xf numFmtId="0" fontId="10" fillId="0" borderId="14" xfId="11" applyFont="1" applyBorder="1" applyAlignment="1">
      <alignment horizontal="center" vertical="center" wrapText="1"/>
    </xf>
    <xf numFmtId="49" fontId="10" fillId="0" borderId="1" xfId="4" applyNumberFormat="1" applyFont="1" applyBorder="1" applyAlignment="1">
      <alignment horizontal="center" vertical="center" wrapText="1"/>
    </xf>
    <xf numFmtId="168" fontId="4" fillId="0" borderId="0" xfId="11" applyNumberFormat="1" applyFont="1" applyAlignment="1">
      <alignment horizontal="center" vertical="top"/>
    </xf>
    <xf numFmtId="49" fontId="11" fillId="0" borderId="0" xfId="11" applyNumberFormat="1" applyFont="1" applyAlignment="1">
      <alignment horizontal="justify" vertical="top" wrapText="1"/>
    </xf>
    <xf numFmtId="0" fontId="22" fillId="0" borderId="16" xfId="11" applyFont="1" applyBorder="1" applyAlignment="1">
      <alignment horizontal="center" vertical="center" wrapText="1"/>
    </xf>
    <xf numFmtId="0" fontId="22" fillId="0" borderId="15" xfId="11" applyFont="1" applyBorder="1" applyAlignment="1">
      <alignment horizontal="center" vertical="center" wrapText="1"/>
    </xf>
    <xf numFmtId="0" fontId="22" fillId="0" borderId="14" xfId="1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4" xfId="0" applyFont="1" applyFill="1" applyBorder="1" applyAlignment="1">
      <alignment horizontal="center" vertical="top"/>
    </xf>
    <xf numFmtId="166" fontId="1" fillId="0" borderId="0" xfId="0" applyNumberFormat="1" applyFont="1" applyFill="1" applyAlignment="1">
      <alignment horizontal="left" vertical="top"/>
    </xf>
    <xf numFmtId="0" fontId="2" fillId="3" borderId="2" xfId="0" applyFont="1" applyFill="1" applyBorder="1" applyAlignment="1">
      <alignment horizontal="center" vertical="top"/>
    </xf>
    <xf numFmtId="0" fontId="2" fillId="3" borderId="3" xfId="0" applyFont="1" applyFill="1" applyBorder="1" applyAlignment="1">
      <alignment horizontal="center" vertical="top"/>
    </xf>
    <xf numFmtId="0" fontId="2" fillId="3" borderId="4" xfId="0" applyFont="1" applyFill="1" applyBorder="1" applyAlignment="1">
      <alignment horizontal="center" vertical="top"/>
    </xf>
    <xf numFmtId="4" fontId="4" fillId="0" borderId="13" xfId="5" applyNumberFormat="1" applyFont="1" applyBorder="1" applyAlignment="1">
      <alignment horizontal="right" vertical="top" wrapText="1"/>
    </xf>
    <xf numFmtId="0" fontId="4" fillId="0" borderId="2" xfId="4" applyFont="1" applyFill="1" applyBorder="1" applyAlignment="1">
      <alignment horizontal="justify" vertical="top" wrapText="1"/>
    </xf>
    <xf numFmtId="0" fontId="4" fillId="0" borderId="3" xfId="4" applyFont="1" applyFill="1" applyBorder="1" applyAlignment="1">
      <alignment horizontal="justify" vertical="top" wrapText="1"/>
    </xf>
    <xf numFmtId="0" fontId="4" fillId="0" borderId="4" xfId="4" applyFont="1" applyFill="1" applyBorder="1" applyAlignment="1">
      <alignment horizontal="justify" vertical="top" wrapText="1"/>
    </xf>
    <xf numFmtId="4" fontId="4" fillId="0" borderId="2" xfId="4" applyNumberFormat="1" applyFont="1" applyFill="1" applyBorder="1" applyAlignment="1">
      <alignment horizontal="right" vertical="top"/>
    </xf>
    <xf numFmtId="4" fontId="4" fillId="0" borderId="3" xfId="4" applyNumberFormat="1" applyFont="1" applyFill="1" applyBorder="1" applyAlignment="1">
      <alignment horizontal="right" vertical="top"/>
    </xf>
    <xf numFmtId="4" fontId="4" fillId="0" borderId="2" xfId="5" applyNumberFormat="1" applyFont="1" applyFill="1" applyBorder="1" applyAlignment="1">
      <alignment horizontal="right" vertical="top"/>
    </xf>
    <xf numFmtId="4" fontId="4" fillId="0" borderId="3" xfId="5" applyNumberFormat="1" applyFont="1" applyFill="1" applyBorder="1" applyAlignment="1">
      <alignment horizontal="right" vertical="top"/>
    </xf>
    <xf numFmtId="4" fontId="4" fillId="0" borderId="4" xfId="5" applyNumberFormat="1" applyFont="1" applyFill="1" applyBorder="1" applyAlignment="1">
      <alignment horizontal="right" vertical="top"/>
    </xf>
    <xf numFmtId="4" fontId="4" fillId="0" borderId="4" xfId="4" applyNumberFormat="1" applyFont="1" applyFill="1" applyBorder="1" applyAlignment="1">
      <alignment horizontal="right" vertical="top"/>
    </xf>
    <xf numFmtId="0" fontId="4" fillId="0" borderId="2" xfId="4" applyFont="1" applyBorder="1" applyAlignment="1">
      <alignment horizontal="justify" vertical="top" wrapText="1"/>
    </xf>
    <xf numFmtId="0" fontId="4" fillId="0" borderId="3" xfId="4" applyFont="1" applyBorder="1" applyAlignment="1">
      <alignment horizontal="justify" vertical="top" wrapText="1"/>
    </xf>
    <xf numFmtId="0" fontId="4" fillId="0" borderId="4" xfId="4" applyFont="1" applyBorder="1" applyAlignment="1">
      <alignment horizontal="justify" vertical="top" wrapText="1"/>
    </xf>
    <xf numFmtId="4" fontId="4" fillId="0" borderId="2" xfId="4" applyNumberFormat="1" applyFont="1" applyBorder="1" applyAlignment="1">
      <alignment horizontal="right" vertical="top"/>
    </xf>
    <xf numFmtId="4" fontId="4" fillId="0" borderId="3" xfId="4" applyNumberFormat="1" applyFont="1" applyBorder="1" applyAlignment="1">
      <alignment horizontal="right" vertical="top"/>
    </xf>
    <xf numFmtId="4" fontId="4" fillId="0" borderId="4" xfId="4" applyNumberFormat="1" applyFont="1" applyBorder="1" applyAlignment="1">
      <alignment horizontal="right" vertical="top"/>
    </xf>
    <xf numFmtId="4" fontId="4" fillId="0" borderId="2" xfId="5" applyNumberFormat="1" applyFont="1" applyBorder="1" applyAlignment="1">
      <alignment horizontal="right" vertical="top"/>
    </xf>
    <xf numFmtId="4" fontId="4" fillId="0" borderId="3" xfId="5" applyNumberFormat="1" applyFont="1" applyBorder="1" applyAlignment="1">
      <alignment horizontal="right" vertical="top"/>
    </xf>
    <xf numFmtId="4" fontId="4" fillId="0" borderId="4" xfId="5" applyNumberFormat="1" applyFont="1" applyBorder="1" applyAlignment="1">
      <alignment horizontal="right" vertical="top"/>
    </xf>
    <xf numFmtId="0" fontId="6" fillId="0" borderId="0" xfId="4" applyFont="1" applyFill="1" applyAlignment="1">
      <alignment horizontal="justify" vertical="center" wrapText="1"/>
    </xf>
    <xf numFmtId="0" fontId="4" fillId="0" borderId="0" xfId="4" applyFont="1" applyAlignment="1">
      <alignment horizontal="left" vertical="top" wrapText="1"/>
    </xf>
    <xf numFmtId="0" fontId="4" fillId="0" borderId="0" xfId="4" applyFont="1" applyFill="1" applyAlignment="1">
      <alignment horizontal="justify" vertical="top" wrapText="1"/>
    </xf>
    <xf numFmtId="0" fontId="4" fillId="0" borderId="0" xfId="4" applyFont="1" applyFill="1" applyAlignment="1">
      <alignment vertical="top"/>
    </xf>
    <xf numFmtId="0" fontId="4" fillId="0" borderId="1" xfId="4" applyFont="1" applyBorder="1" applyAlignment="1">
      <alignment horizontal="justify" vertical="top" wrapText="1"/>
    </xf>
    <xf numFmtId="39" fontId="4" fillId="0" borderId="2" xfId="5" applyNumberFormat="1" applyFont="1" applyBorder="1" applyAlignment="1">
      <alignment horizontal="right" vertical="top" wrapText="1"/>
    </xf>
    <xf numFmtId="39" fontId="4" fillId="0" borderId="3" xfId="5" applyNumberFormat="1" applyFont="1" applyBorder="1" applyAlignment="1">
      <alignment horizontal="right" vertical="top" wrapText="1"/>
    </xf>
    <xf numFmtId="39" fontId="4" fillId="0" borderId="4" xfId="5" applyNumberFormat="1" applyFont="1" applyBorder="1" applyAlignment="1">
      <alignment horizontal="right" vertical="top" wrapText="1"/>
    </xf>
    <xf numFmtId="9" fontId="4" fillId="0" borderId="2" xfId="6" applyFont="1" applyBorder="1" applyAlignment="1">
      <alignment horizontal="center" vertical="top"/>
    </xf>
    <xf numFmtId="9" fontId="4" fillId="0" borderId="3" xfId="6" applyFont="1" applyBorder="1" applyAlignment="1">
      <alignment horizontal="center" vertical="top"/>
    </xf>
    <xf numFmtId="9" fontId="4" fillId="0" borderId="4" xfId="6" applyFont="1" applyBorder="1" applyAlignment="1">
      <alignment horizontal="center" vertical="top"/>
    </xf>
    <xf numFmtId="0" fontId="4" fillId="0" borderId="2" xfId="4" applyFont="1" applyFill="1" applyBorder="1" applyAlignment="1">
      <alignment horizontal="justify" vertical="center" wrapText="1"/>
    </xf>
    <xf numFmtId="0" fontId="4" fillId="0" borderId="3" xfId="4" applyFont="1" applyFill="1" applyBorder="1" applyAlignment="1">
      <alignment horizontal="justify" vertical="center" wrapText="1"/>
    </xf>
    <xf numFmtId="0" fontId="4" fillId="0" borderId="4" xfId="4" applyFont="1" applyFill="1" applyBorder="1" applyAlignment="1">
      <alignment horizontal="justify" vertical="center" wrapText="1"/>
    </xf>
    <xf numFmtId="4" fontId="4" fillId="0" borderId="2" xfId="8" applyNumberFormat="1" applyFont="1" applyFill="1" applyBorder="1" applyAlignment="1">
      <alignment vertical="center"/>
    </xf>
    <xf numFmtId="4" fontId="4" fillId="0" borderId="3" xfId="8" applyNumberFormat="1" applyFont="1" applyFill="1" applyBorder="1" applyAlignment="1">
      <alignment vertical="center"/>
    </xf>
    <xf numFmtId="4" fontId="4" fillId="0" borderId="6" xfId="8" applyNumberFormat="1" applyFont="1" applyFill="1" applyBorder="1" applyAlignment="1">
      <alignment vertical="center"/>
    </xf>
    <xf numFmtId="4" fontId="4" fillId="0" borderId="7" xfId="8" applyNumberFormat="1" applyFont="1" applyFill="1" applyBorder="1" applyAlignment="1">
      <alignment vertical="center"/>
    </xf>
    <xf numFmtId="4" fontId="4" fillId="0" borderId="13" xfId="5" applyNumberFormat="1" applyFont="1" applyBorder="1" applyAlignment="1">
      <alignment vertical="top" wrapText="1"/>
    </xf>
    <xf numFmtId="4" fontId="4" fillId="0" borderId="13" xfId="5" applyNumberFormat="1" applyFont="1" applyFill="1" applyBorder="1" applyAlignment="1">
      <alignment horizontal="right" vertical="top" wrapText="1"/>
    </xf>
    <xf numFmtId="171" fontId="4" fillId="0" borderId="2" xfId="4" applyNumberFormat="1" applyFont="1" applyFill="1" applyBorder="1" applyAlignment="1">
      <alignment horizontal="center" vertical="center"/>
    </xf>
    <xf numFmtId="171" fontId="4" fillId="0" borderId="3" xfId="4" applyNumberFormat="1" applyFont="1" applyFill="1" applyBorder="1" applyAlignment="1">
      <alignment horizontal="center" vertical="center"/>
    </xf>
    <xf numFmtId="171" fontId="4" fillId="0" borderId="4" xfId="4" applyNumberFormat="1" applyFont="1" applyFill="1" applyBorder="1" applyAlignment="1">
      <alignment horizontal="center" vertical="center"/>
    </xf>
    <xf numFmtId="0" fontId="4" fillId="0" borderId="11" xfId="4" applyFont="1" applyFill="1" applyBorder="1" applyAlignment="1">
      <alignment horizontal="justify" vertical="top" wrapText="1"/>
    </xf>
    <xf numFmtId="0" fontId="4" fillId="0" borderId="10" xfId="4" applyFont="1" applyFill="1" applyBorder="1" applyAlignment="1">
      <alignment horizontal="justify" vertical="top" wrapText="1"/>
    </xf>
    <xf numFmtId="0" fontId="4" fillId="0" borderId="9" xfId="4" applyFont="1" applyFill="1" applyBorder="1" applyAlignment="1">
      <alignment horizontal="justify" vertical="top" wrapText="1"/>
    </xf>
    <xf numFmtId="4" fontId="4" fillId="0" borderId="11" xfId="5" applyNumberFormat="1" applyFont="1" applyFill="1" applyBorder="1" applyAlignment="1">
      <alignment horizontal="right" vertical="top"/>
    </xf>
    <xf numFmtId="4" fontId="4" fillId="0" borderId="10" xfId="5" applyNumberFormat="1" applyFont="1" applyFill="1" applyBorder="1" applyAlignment="1">
      <alignment horizontal="right" vertical="top"/>
    </xf>
    <xf numFmtId="4" fontId="4" fillId="0" borderId="9" xfId="5" applyNumberFormat="1" applyFont="1" applyFill="1" applyBorder="1" applyAlignment="1">
      <alignment horizontal="right" vertical="top"/>
    </xf>
    <xf numFmtId="4" fontId="4" fillId="0" borderId="11" xfId="5" applyNumberFormat="1" applyFont="1" applyFill="1" applyBorder="1" applyAlignment="1">
      <alignment horizontal="right" vertical="top" wrapText="1"/>
    </xf>
    <xf numFmtId="4" fontId="4" fillId="0" borderId="10" xfId="5" applyNumberFormat="1" applyFont="1" applyFill="1" applyBorder="1" applyAlignment="1">
      <alignment horizontal="right" vertical="top" wrapText="1"/>
    </xf>
    <xf numFmtId="4" fontId="4" fillId="0" borderId="9" xfId="5" applyNumberFormat="1" applyFont="1" applyFill="1" applyBorder="1" applyAlignment="1">
      <alignment horizontal="right" vertical="top" wrapText="1"/>
    </xf>
    <xf numFmtId="4" fontId="4" fillId="0" borderId="13" xfId="8" applyNumberFormat="1" applyFont="1" applyBorder="1" applyAlignment="1">
      <alignment horizontal="right" vertical="top" wrapText="1"/>
    </xf>
    <xf numFmtId="3" fontId="4" fillId="0" borderId="13" xfId="5" applyNumberFormat="1" applyFont="1" applyBorder="1" applyAlignment="1">
      <alignment horizontal="center" vertical="top"/>
    </xf>
    <xf numFmtId="4" fontId="10" fillId="0" borderId="2" xfId="4" applyNumberFormat="1" applyFont="1" applyFill="1" applyBorder="1" applyAlignment="1">
      <alignment horizontal="center" vertical="center" wrapText="1"/>
    </xf>
    <xf numFmtId="4" fontId="10" fillId="0" borderId="3" xfId="4" applyNumberFormat="1" applyFont="1" applyFill="1" applyBorder="1" applyAlignment="1">
      <alignment horizontal="center" vertical="center" wrapText="1"/>
    </xf>
    <xf numFmtId="0" fontId="4" fillId="0" borderId="0" xfId="4" applyFont="1" applyAlignment="1">
      <alignment horizontal="justify" vertical="top" wrapText="1"/>
    </xf>
    <xf numFmtId="0" fontId="4" fillId="0" borderId="0" xfId="4" applyFont="1" applyFill="1" applyAlignment="1">
      <alignment horizontal="center" vertical="top"/>
    </xf>
    <xf numFmtId="0" fontId="4" fillId="0" borderId="0" xfId="4" applyFont="1" applyAlignment="1">
      <alignment horizontal="justify" vertical="center" wrapText="1"/>
    </xf>
    <xf numFmtId="0" fontId="4" fillId="0" borderId="0" xfId="4" applyFont="1" applyFill="1" applyAlignment="1">
      <alignment horizontal="justify" vertical="center" wrapText="1"/>
    </xf>
    <xf numFmtId="0" fontId="10" fillId="7" borderId="1" xfId="4" applyFont="1" applyFill="1" applyBorder="1" applyAlignment="1">
      <alignment horizontal="center" vertical="center" wrapText="1"/>
    </xf>
    <xf numFmtId="0" fontId="4" fillId="7" borderId="2" xfId="4" applyFont="1" applyFill="1" applyBorder="1" applyAlignment="1">
      <alignment horizontal="center" vertical="top"/>
    </xf>
    <xf numFmtId="0" fontId="4" fillId="7" borderId="3" xfId="4" applyFont="1" applyFill="1" applyBorder="1" applyAlignment="1">
      <alignment horizontal="center" vertical="top"/>
    </xf>
    <xf numFmtId="0" fontId="4" fillId="7" borderId="4" xfId="4" applyFont="1" applyFill="1" applyBorder="1" applyAlignment="1">
      <alignment horizontal="center" vertical="top"/>
    </xf>
    <xf numFmtId="49" fontId="10" fillId="0" borderId="1" xfId="4" applyNumberFormat="1" applyFont="1" applyFill="1" applyBorder="1" applyAlignment="1">
      <alignment horizontal="center" vertical="center" wrapText="1"/>
    </xf>
    <xf numFmtId="0" fontId="10" fillId="0" borderId="1" xfId="4" applyNumberFormat="1" applyFont="1" applyFill="1" applyBorder="1" applyAlignment="1">
      <alignment horizontal="center" vertical="center" wrapText="1"/>
    </xf>
    <xf numFmtId="0" fontId="22" fillId="0" borderId="16" xfId="4" applyFont="1" applyFill="1" applyBorder="1" applyAlignment="1">
      <alignment horizontal="center" vertical="center" wrapText="1"/>
    </xf>
    <xf numFmtId="0" fontId="22" fillId="0" borderId="15" xfId="4" applyFont="1" applyFill="1" applyBorder="1" applyAlignment="1">
      <alignment horizontal="center" vertical="center" wrapText="1"/>
    </xf>
    <xf numFmtId="0" fontId="22" fillId="0" borderId="14" xfId="4" applyFont="1" applyFill="1" applyBorder="1" applyAlignment="1">
      <alignment horizontal="center" vertical="center" wrapText="1"/>
    </xf>
    <xf numFmtId="4" fontId="10" fillId="0" borderId="2" xfId="9" applyNumberFormat="1" applyFont="1" applyFill="1" applyBorder="1" applyAlignment="1">
      <alignment horizontal="center" vertical="center" wrapText="1"/>
    </xf>
    <xf numFmtId="4" fontId="10" fillId="0" borderId="3" xfId="9" applyNumberFormat="1" applyFont="1" applyFill="1" applyBorder="1" applyAlignment="1">
      <alignment horizontal="center" vertical="center" wrapText="1"/>
    </xf>
    <xf numFmtId="4" fontId="10" fillId="0" borderId="4" xfId="9" applyNumberFormat="1" applyFont="1" applyFill="1" applyBorder="1" applyAlignment="1">
      <alignment horizontal="center" vertical="center" wrapText="1"/>
    </xf>
    <xf numFmtId="4" fontId="10" fillId="0" borderId="4" xfId="4" applyNumberFormat="1" applyFont="1" applyFill="1" applyBorder="1" applyAlignment="1">
      <alignment horizontal="center" vertical="center" wrapText="1"/>
    </xf>
    <xf numFmtId="0" fontId="21" fillId="0" borderId="0" xfId="4" applyFont="1" applyAlignment="1">
      <alignment horizontal="center" vertical="top"/>
    </xf>
    <xf numFmtId="168" fontId="4" fillId="0" borderId="0" xfId="4" applyNumberFormat="1" applyFont="1" applyAlignment="1">
      <alignment horizontal="center" vertical="top"/>
    </xf>
    <xf numFmtId="49" fontId="4" fillId="0" borderId="0" xfId="4" applyNumberFormat="1" applyFont="1" applyAlignment="1">
      <alignment horizontal="justify" vertical="top" wrapText="1"/>
    </xf>
    <xf numFmtId="0" fontId="4" fillId="7" borderId="1" xfId="4" applyFont="1" applyFill="1" applyBorder="1" applyAlignment="1">
      <alignment horizontal="center" vertical="top"/>
    </xf>
    <xf numFmtId="0" fontId="4" fillId="0" borderId="1" xfId="4" applyFont="1" applyBorder="1" applyAlignment="1">
      <alignment horizontal="center" vertical="top"/>
    </xf>
    <xf numFmtId="0" fontId="4" fillId="0" borderId="4" xfId="4" applyFont="1" applyBorder="1" applyAlignment="1">
      <alignment horizontal="center" vertical="top"/>
    </xf>
    <xf numFmtId="0" fontId="4" fillId="0" borderId="0" xfId="4" applyFont="1" applyFill="1" applyAlignment="1">
      <alignment horizontal="justify" vertical="top"/>
    </xf>
    <xf numFmtId="0" fontId="4" fillId="0" borderId="0" xfId="4" applyFont="1" applyAlignment="1">
      <alignment horizontal="justify" vertical="top"/>
    </xf>
    <xf numFmtId="165" fontId="9" fillId="0" borderId="7" xfId="4" applyNumberFormat="1" applyFont="1" applyFill="1" applyBorder="1" applyAlignment="1">
      <alignment horizontal="center" vertical="top" wrapText="1"/>
    </xf>
    <xf numFmtId="165" fontId="9" fillId="0" borderId="7" xfId="4" applyNumberFormat="1" applyFont="1" applyFill="1" applyBorder="1" applyAlignment="1">
      <alignment horizontal="center" vertical="top"/>
    </xf>
    <xf numFmtId="0" fontId="4" fillId="0" borderId="2" xfId="4" applyFont="1" applyBorder="1" applyAlignment="1">
      <alignment horizontal="center" vertical="top"/>
    </xf>
    <xf numFmtId="0" fontId="4" fillId="0" borderId="3" xfId="4" applyFont="1" applyBorder="1" applyAlignment="1">
      <alignment horizontal="center" vertical="top"/>
    </xf>
    <xf numFmtId="0" fontId="11" fillId="0" borderId="2" xfId="4" applyFont="1" applyBorder="1" applyAlignment="1">
      <alignment horizontal="center" vertical="top"/>
    </xf>
    <xf numFmtId="0" fontId="11" fillId="0" borderId="3" xfId="4" applyFont="1" applyBorder="1" applyAlignment="1">
      <alignment horizontal="center" vertical="top"/>
    </xf>
    <xf numFmtId="0" fontId="11" fillId="0" borderId="4" xfId="4" applyFont="1" applyBorder="1" applyAlignment="1">
      <alignment horizontal="center" vertical="top"/>
    </xf>
    <xf numFmtId="4" fontId="4" fillId="7" borderId="2" xfId="5" applyNumberFormat="1" applyFont="1" applyFill="1" applyBorder="1" applyAlignment="1">
      <alignment horizontal="right" vertical="top"/>
    </xf>
    <xf numFmtId="4" fontId="4" fillId="7" borderId="3" xfId="5" applyNumberFormat="1" applyFont="1" applyFill="1" applyBorder="1" applyAlignment="1">
      <alignment horizontal="right" vertical="top"/>
    </xf>
    <xf numFmtId="0" fontId="11" fillId="0" borderId="1" xfId="4" applyFont="1" applyBorder="1" applyAlignment="1">
      <alignment horizontal="center" vertical="center" wrapText="1"/>
    </xf>
    <xf numFmtId="0" fontId="4" fillId="7" borderId="2" xfId="4" applyFont="1" applyFill="1" applyBorder="1" applyAlignment="1">
      <alignment horizontal="center" vertical="center"/>
    </xf>
    <xf numFmtId="0" fontId="4" fillId="7" borderId="3" xfId="4" applyFont="1" applyFill="1" applyBorder="1" applyAlignment="1">
      <alignment horizontal="center" vertical="center"/>
    </xf>
    <xf numFmtId="0" fontId="4" fillId="7" borderId="4" xfId="4" applyFont="1" applyFill="1" applyBorder="1" applyAlignment="1">
      <alignment horizontal="center" vertical="center"/>
    </xf>
    <xf numFmtId="0" fontId="4" fillId="7" borderId="2" xfId="4" applyFont="1" applyFill="1" applyBorder="1" applyAlignment="1">
      <alignment horizontal="center" vertical="center" wrapText="1"/>
    </xf>
    <xf numFmtId="0" fontId="4" fillId="7" borderId="3" xfId="4" applyFont="1" applyFill="1" applyBorder="1" applyAlignment="1">
      <alignment horizontal="center" vertical="center" wrapText="1"/>
    </xf>
    <xf numFmtId="0" fontId="4" fillId="7" borderId="4" xfId="4" applyFont="1" applyFill="1" applyBorder="1" applyAlignment="1">
      <alignment horizontal="center" vertical="center" wrapText="1"/>
    </xf>
    <xf numFmtId="4" fontId="4" fillId="7" borderId="1" xfId="5" applyNumberFormat="1" applyFont="1" applyFill="1" applyBorder="1" applyAlignment="1">
      <alignment horizontal="right" vertical="top"/>
    </xf>
    <xf numFmtId="0" fontId="4" fillId="0" borderId="1" xfId="4" applyFont="1" applyFill="1" applyBorder="1" applyAlignment="1">
      <alignment horizontal="justify" vertical="top" wrapText="1"/>
    </xf>
    <xf numFmtId="0" fontId="6" fillId="0" borderId="1" xfId="4" applyFont="1" applyFill="1" applyBorder="1" applyAlignment="1">
      <alignment horizontal="justify" vertical="top" wrapText="1"/>
    </xf>
    <xf numFmtId="0" fontId="4" fillId="0" borderId="1" xfId="4" applyFont="1" applyFill="1" applyBorder="1" applyAlignment="1">
      <alignment horizontal="justify" vertical="top"/>
    </xf>
    <xf numFmtId="166" fontId="4" fillId="0" borderId="1" xfId="4" applyNumberFormat="1" applyFont="1" applyFill="1" applyBorder="1" applyAlignment="1">
      <alignment horizontal="justify" vertical="top" wrapText="1"/>
    </xf>
    <xf numFmtId="0" fontId="4" fillId="0" borderId="1" xfId="4" quotePrefix="1" applyFont="1" applyFill="1" applyBorder="1" applyAlignment="1">
      <alignment horizontal="justify" vertical="top" wrapText="1"/>
    </xf>
    <xf numFmtId="0" fontId="6" fillId="0" borderId="0" xfId="4" applyFont="1" applyAlignment="1">
      <alignment horizontal="center" vertical="top"/>
    </xf>
    <xf numFmtId="166" fontId="4" fillId="0" borderId="0" xfId="4" applyNumberFormat="1" applyFont="1" applyFill="1" applyAlignment="1">
      <alignment horizontal="left" vertical="top"/>
    </xf>
    <xf numFmtId="166" fontId="4" fillId="0" borderId="0" xfId="4" applyNumberFormat="1" applyFont="1" applyAlignment="1">
      <alignment horizontal="left" vertical="top"/>
    </xf>
    <xf numFmtId="0" fontId="4" fillId="7" borderId="6" xfId="4" applyFont="1" applyFill="1" applyBorder="1" applyAlignment="1">
      <alignment horizontal="center" vertical="center"/>
    </xf>
    <xf numFmtId="0" fontId="4" fillId="7" borderId="7" xfId="4" applyFont="1" applyFill="1" applyBorder="1" applyAlignment="1">
      <alignment horizontal="center" vertical="center"/>
    </xf>
    <xf numFmtId="0" fontId="4" fillId="7" borderId="12" xfId="4" applyFont="1" applyFill="1" applyBorder="1" applyAlignment="1">
      <alignment horizontal="center" vertical="center"/>
    </xf>
    <xf numFmtId="0" fontId="4" fillId="0" borderId="0" xfId="4" applyFont="1" applyAlignment="1">
      <alignment horizontal="left" vertical="top"/>
    </xf>
    <xf numFmtId="167" fontId="4" fillId="0" borderId="0" xfId="4" applyNumberFormat="1" applyFont="1" applyFill="1" applyAlignment="1">
      <alignment horizontal="left" vertical="top"/>
    </xf>
    <xf numFmtId="0" fontId="11" fillId="0" borderId="6" xfId="4" applyFont="1" applyBorder="1" applyAlignment="1">
      <alignment horizontal="center" vertical="center" wrapText="1"/>
    </xf>
    <xf numFmtId="0" fontId="11" fillId="0" borderId="7" xfId="4" applyFont="1" applyBorder="1" applyAlignment="1">
      <alignment horizontal="center" vertical="center" wrapText="1"/>
    </xf>
    <xf numFmtId="0" fontId="11" fillId="0" borderId="12" xfId="4" applyFont="1" applyBorder="1" applyAlignment="1">
      <alignment horizontal="center" vertical="center" wrapText="1"/>
    </xf>
    <xf numFmtId="0" fontId="11" fillId="0" borderId="8" xfId="4" applyFont="1" applyBorder="1" applyAlignment="1">
      <alignment horizontal="center" vertical="center" wrapText="1"/>
    </xf>
    <xf numFmtId="0" fontId="11" fillId="0" borderId="0" xfId="4" applyFont="1" applyBorder="1" applyAlignment="1">
      <alignment horizontal="center" vertical="center" wrapText="1"/>
    </xf>
    <xf numFmtId="0" fontId="11" fillId="0" borderId="28" xfId="4" applyFont="1" applyBorder="1" applyAlignment="1">
      <alignment horizontal="center" vertical="center" wrapText="1"/>
    </xf>
    <xf numFmtId="0" fontId="11" fillId="0" borderId="11" xfId="4" applyFont="1" applyBorder="1" applyAlignment="1">
      <alignment horizontal="center" vertical="center" wrapText="1"/>
    </xf>
    <xf numFmtId="0" fontId="11" fillId="0" borderId="10" xfId="4" applyFont="1" applyBorder="1" applyAlignment="1">
      <alignment horizontal="center" vertical="center" wrapText="1"/>
    </xf>
    <xf numFmtId="0" fontId="11" fillId="0" borderId="9" xfId="4" applyFont="1" applyBorder="1" applyAlignment="1">
      <alignment horizontal="center" vertical="center" wrapText="1"/>
    </xf>
    <xf numFmtId="4" fontId="4" fillId="7" borderId="2" xfId="8" applyNumberFormat="1" applyFont="1" applyFill="1" applyBorder="1" applyAlignment="1">
      <alignment vertical="center"/>
    </xf>
    <xf numFmtId="4" fontId="4" fillId="7" borderId="3" xfId="8" applyNumberFormat="1" applyFont="1" applyFill="1" applyBorder="1" applyAlignment="1">
      <alignment vertical="center"/>
    </xf>
    <xf numFmtId="3" fontId="4" fillId="7" borderId="2" xfId="8" applyNumberFormat="1" applyFont="1" applyFill="1" applyBorder="1" applyAlignment="1">
      <alignment horizontal="right" vertical="top"/>
    </xf>
    <xf numFmtId="3" fontId="4" fillId="7" borderId="4" xfId="8" applyNumberFormat="1" applyFont="1" applyFill="1" applyBorder="1" applyAlignment="1">
      <alignment horizontal="right" vertical="top"/>
    </xf>
    <xf numFmtId="4" fontId="4" fillId="7" borderId="2" xfId="5" applyNumberFormat="1" applyFont="1" applyFill="1" applyBorder="1" applyAlignment="1">
      <alignment horizontal="right" vertical="top" wrapText="1"/>
    </xf>
    <xf numFmtId="4" fontId="4" fillId="7" borderId="3" xfId="5" applyNumberFormat="1" applyFont="1" applyFill="1" applyBorder="1" applyAlignment="1">
      <alignment horizontal="right" vertical="top" wrapText="1"/>
    </xf>
    <xf numFmtId="4" fontId="4" fillId="7" borderId="4" xfId="5" applyNumberFormat="1" applyFont="1" applyFill="1" applyBorder="1" applyAlignment="1">
      <alignment horizontal="right" vertical="top" wrapText="1"/>
    </xf>
    <xf numFmtId="0" fontId="4" fillId="0" borderId="7" xfId="4" applyFont="1" applyBorder="1" applyAlignment="1">
      <alignment horizontal="center" vertical="top"/>
    </xf>
    <xf numFmtId="0" fontId="4" fillId="0" borderId="12" xfId="4" applyFont="1" applyBorder="1" applyAlignment="1">
      <alignment horizontal="center" vertical="top"/>
    </xf>
    <xf numFmtId="0" fontId="4" fillId="0" borderId="2" xfId="4" applyFont="1" applyBorder="1" applyAlignment="1">
      <alignment vertical="top"/>
    </xf>
    <xf numFmtId="0" fontId="4" fillId="0" borderId="3" xfId="4" applyFont="1" applyBorder="1" applyAlignment="1">
      <alignment vertical="top"/>
    </xf>
    <xf numFmtId="0" fontId="4" fillId="0" borderId="4" xfId="4" applyFont="1" applyBorder="1" applyAlignment="1">
      <alignment vertical="top"/>
    </xf>
    <xf numFmtId="168" fontId="4" fillId="0" borderId="2" xfId="5" applyFont="1" applyBorder="1" applyAlignment="1">
      <alignment horizontal="center" vertical="top"/>
    </xf>
    <xf numFmtId="168" fontId="4" fillId="0" borderId="3" xfId="5" applyFont="1" applyBorder="1" applyAlignment="1">
      <alignment horizontal="center" vertical="top"/>
    </xf>
    <xf numFmtId="0" fontId="6" fillId="7" borderId="2" xfId="4" applyFont="1" applyFill="1" applyBorder="1" applyAlignment="1">
      <alignment horizontal="center" vertical="top"/>
    </xf>
    <xf numFmtId="0" fontId="6" fillId="7" borderId="3" xfId="4" applyFont="1" applyFill="1" applyBorder="1" applyAlignment="1">
      <alignment horizontal="center" vertical="top"/>
    </xf>
    <xf numFmtId="0" fontId="6" fillId="7" borderId="4" xfId="4" applyFont="1" applyFill="1" applyBorder="1" applyAlignment="1">
      <alignment horizontal="center" vertical="top"/>
    </xf>
    <xf numFmtId="4" fontId="6" fillId="7" borderId="11" xfId="5" applyNumberFormat="1" applyFont="1" applyFill="1" applyBorder="1" applyAlignment="1">
      <alignment horizontal="right" vertical="top"/>
    </xf>
    <xf numFmtId="4" fontId="6" fillId="7" borderId="10" xfId="5" applyNumberFormat="1" applyFont="1" applyFill="1" applyBorder="1" applyAlignment="1">
      <alignment horizontal="right" vertical="top"/>
    </xf>
    <xf numFmtId="4" fontId="6" fillId="7" borderId="9" xfId="5" applyNumberFormat="1" applyFont="1" applyFill="1" applyBorder="1" applyAlignment="1">
      <alignment horizontal="right" vertical="top"/>
    </xf>
    <xf numFmtId="4" fontId="4" fillId="7" borderId="4" xfId="5" applyNumberFormat="1" applyFont="1" applyFill="1" applyBorder="1" applyAlignment="1">
      <alignment horizontal="right" vertical="top"/>
    </xf>
    <xf numFmtId="0" fontId="4" fillId="0" borderId="0" xfId="4" applyFont="1" applyAlignment="1">
      <alignment horizontal="center" vertical="top"/>
    </xf>
    <xf numFmtId="165" fontId="9" fillId="0" borderId="0" xfId="4" applyNumberFormat="1" applyFont="1" applyAlignment="1">
      <alignment horizontal="center" vertical="top"/>
    </xf>
    <xf numFmtId="167" fontId="4" fillId="0" borderId="0" xfId="4" applyNumberFormat="1" applyFont="1" applyAlignment="1">
      <alignment horizontal="left" vertical="top"/>
    </xf>
    <xf numFmtId="168" fontId="4" fillId="7" borderId="2" xfId="5" applyFont="1" applyFill="1" applyBorder="1" applyAlignment="1">
      <alignment horizontal="center" vertical="top"/>
    </xf>
    <xf numFmtId="168" fontId="4" fillId="7" borderId="3" xfId="5" applyFont="1" applyFill="1" applyBorder="1" applyAlignment="1">
      <alignment horizontal="center" vertical="top"/>
    </xf>
    <xf numFmtId="0" fontId="15" fillId="0" borderId="0" xfId="4" applyFont="1" applyAlignment="1">
      <alignment horizontal="center" vertical="top" wrapText="1"/>
    </xf>
    <xf numFmtId="0" fontId="9" fillId="0" borderId="0" xfId="4" applyFont="1" applyAlignment="1">
      <alignment horizontal="justify" vertical="top" wrapText="1"/>
    </xf>
    <xf numFmtId="0" fontId="4" fillId="7" borderId="2" xfId="4" applyFont="1" applyFill="1" applyBorder="1" applyAlignment="1">
      <alignment vertical="top"/>
    </xf>
    <xf numFmtId="0" fontId="4" fillId="7" borderId="3" xfId="4" applyFont="1" applyFill="1" applyBorder="1" applyAlignment="1">
      <alignment vertical="top"/>
    </xf>
    <xf numFmtId="0" fontId="4" fillId="7" borderId="4" xfId="4" applyFont="1" applyFill="1" applyBorder="1" applyAlignment="1">
      <alignment vertical="top"/>
    </xf>
    <xf numFmtId="4" fontId="4" fillId="7" borderId="1" xfId="5" applyNumberFormat="1" applyFont="1" applyFill="1" applyBorder="1" applyAlignment="1">
      <alignment horizontal="right" vertical="top" wrapText="1"/>
    </xf>
    <xf numFmtId="39" fontId="6" fillId="7" borderId="11" xfId="5" applyNumberFormat="1" applyFont="1" applyFill="1" applyBorder="1" applyAlignment="1">
      <alignment horizontal="right" vertical="top" wrapText="1"/>
    </xf>
    <xf numFmtId="39" fontId="6" fillId="7" borderId="10" xfId="5" applyNumberFormat="1" applyFont="1" applyFill="1" applyBorder="1" applyAlignment="1">
      <alignment horizontal="right" vertical="top" wrapText="1"/>
    </xf>
    <xf numFmtId="39" fontId="6" fillId="7" borderId="9" xfId="5" applyNumberFormat="1" applyFont="1" applyFill="1" applyBorder="1" applyAlignment="1">
      <alignment horizontal="right" vertical="top" wrapText="1"/>
    </xf>
    <xf numFmtId="9" fontId="6" fillId="7" borderId="2" xfId="6" applyFont="1" applyFill="1" applyBorder="1" applyAlignment="1">
      <alignment horizontal="center" vertical="top"/>
    </xf>
    <xf numFmtId="9" fontId="6" fillId="7" borderId="3" xfId="6" applyFont="1" applyFill="1" applyBorder="1" applyAlignment="1">
      <alignment horizontal="center" vertical="top"/>
    </xf>
    <xf numFmtId="9" fontId="6" fillId="7" borderId="4" xfId="6" applyFont="1" applyFill="1" applyBorder="1" applyAlignment="1">
      <alignment horizontal="center" vertical="top"/>
    </xf>
    <xf numFmtId="0" fontId="27" fillId="0" borderId="0" xfId="4" applyFont="1" applyAlignment="1">
      <alignment horizontal="center" vertical="top"/>
    </xf>
    <xf numFmtId="0" fontId="28" fillId="0" borderId="0" xfId="10" applyFont="1" applyAlignment="1">
      <alignment horizontal="left" wrapText="1"/>
    </xf>
    <xf numFmtId="0" fontId="28" fillId="0" borderId="0" xfId="10" applyFont="1" applyFill="1" applyAlignment="1">
      <alignment horizontal="center"/>
    </xf>
    <xf numFmtId="172" fontId="28" fillId="0" borderId="1" xfId="10" applyNumberFormat="1" applyFont="1" applyFill="1" applyBorder="1" applyAlignment="1">
      <alignment horizontal="center"/>
    </xf>
    <xf numFmtId="0" fontId="28" fillId="0" borderId="1" xfId="10" applyFont="1" applyBorder="1" applyAlignment="1">
      <alignment horizontal="center" wrapText="1"/>
    </xf>
    <xf numFmtId="0" fontId="30" fillId="0" borderId="24" xfId="10" applyFont="1" applyFill="1" applyBorder="1" applyAlignment="1">
      <alignment horizontal="justify" vertical="top" wrapText="1"/>
    </xf>
    <xf numFmtId="0" fontId="30" fillId="0" borderId="23" xfId="10" applyFont="1" applyFill="1" applyBorder="1" applyAlignment="1">
      <alignment horizontal="justify" vertical="top" wrapText="1"/>
    </xf>
    <xf numFmtId="0" fontId="30" fillId="0" borderId="22" xfId="10" applyFont="1" applyFill="1" applyBorder="1" applyAlignment="1">
      <alignment horizontal="justify" vertical="top" wrapText="1"/>
    </xf>
    <xf numFmtId="0" fontId="30" fillId="0" borderId="21" xfId="10" applyFont="1" applyFill="1" applyBorder="1" applyAlignment="1">
      <alignment horizontal="justify" vertical="top" wrapText="1"/>
    </xf>
    <xf numFmtId="0" fontId="30" fillId="0" borderId="0" xfId="10" applyFont="1" applyFill="1" applyAlignment="1">
      <alignment horizontal="justify" vertical="top" wrapText="1"/>
    </xf>
    <xf numFmtId="0" fontId="30" fillId="0" borderId="20" xfId="10" applyFont="1" applyFill="1" applyBorder="1" applyAlignment="1">
      <alignment horizontal="justify" vertical="top" wrapText="1"/>
    </xf>
    <xf numFmtId="0" fontId="30" fillId="0" borderId="0" xfId="10" applyFont="1" applyFill="1" applyBorder="1" applyAlignment="1">
      <alignment horizontal="justify" vertical="top" wrapText="1"/>
    </xf>
    <xf numFmtId="0" fontId="30" fillId="0" borderId="19" xfId="10" applyFont="1" applyFill="1" applyBorder="1" applyAlignment="1">
      <alignment horizontal="justify" vertical="top" wrapText="1"/>
    </xf>
    <xf numFmtId="0" fontId="30" fillId="0" borderId="18" xfId="10" applyFont="1" applyFill="1" applyBorder="1" applyAlignment="1">
      <alignment horizontal="justify" vertical="top" wrapText="1"/>
    </xf>
    <xf numFmtId="0" fontId="30" fillId="0" borderId="17" xfId="10" applyFont="1" applyFill="1" applyBorder="1" applyAlignment="1">
      <alignment horizontal="justify" vertical="top" wrapText="1"/>
    </xf>
    <xf numFmtId="0" fontId="28" fillId="0" borderId="1" xfId="10" applyFont="1" applyFill="1" applyBorder="1" applyAlignment="1">
      <alignment horizontal="center" vertical="center" wrapText="1"/>
    </xf>
    <xf numFmtId="4" fontId="28" fillId="0" borderId="1" xfId="10" applyNumberFormat="1" applyFont="1" applyFill="1" applyBorder="1" applyAlignment="1">
      <alignment horizontal="center" vertical="center" wrapText="1"/>
    </xf>
    <xf numFmtId="0" fontId="31" fillId="8" borderId="27" xfId="10" applyFont="1" applyFill="1" applyBorder="1" applyAlignment="1">
      <alignment horizontal="center" vertical="center"/>
    </xf>
    <xf numFmtId="0" fontId="31" fillId="8" borderId="26" xfId="10" applyFont="1" applyFill="1" applyBorder="1" applyAlignment="1">
      <alignment horizontal="center" vertical="center"/>
    </xf>
    <xf numFmtId="0" fontId="31" fillId="8" borderId="25" xfId="10" applyFont="1" applyFill="1" applyBorder="1" applyAlignment="1">
      <alignment horizontal="center" vertical="center"/>
    </xf>
    <xf numFmtId="2" fontId="28" fillId="0" borderId="1" xfId="10" applyNumberFormat="1" applyFont="1" applyFill="1" applyBorder="1" applyAlignment="1">
      <alignment horizontal="center" vertical="center" wrapText="1"/>
    </xf>
    <xf numFmtId="0" fontId="28" fillId="0" borderId="2" xfId="10" applyFont="1" applyFill="1" applyBorder="1" applyAlignment="1">
      <alignment horizontal="left"/>
    </xf>
    <xf numFmtId="0" fontId="28" fillId="0" borderId="4" xfId="10" applyFont="1" applyFill="1" applyBorder="1" applyAlignment="1">
      <alignment horizontal="left"/>
    </xf>
    <xf numFmtId="0" fontId="32" fillId="0" borderId="2" xfId="10" applyFont="1" applyFill="1" applyBorder="1" applyAlignment="1">
      <alignment horizontal="center" vertical="center"/>
    </xf>
    <xf numFmtId="0" fontId="32" fillId="0" borderId="3" xfId="10" applyFont="1" applyFill="1" applyBorder="1" applyAlignment="1">
      <alignment horizontal="center" vertical="center"/>
    </xf>
    <xf numFmtId="0" fontId="32" fillId="0" borderId="4" xfId="10" applyFont="1" applyFill="1" applyBorder="1" applyAlignment="1">
      <alignment horizontal="center" vertical="center"/>
    </xf>
    <xf numFmtId="0" fontId="32" fillId="0" borderId="1" xfId="10" applyFont="1" applyFill="1" applyBorder="1" applyAlignment="1">
      <alignment horizontal="center" vertical="center"/>
    </xf>
    <xf numFmtId="0" fontId="28" fillId="0" borderId="1" xfId="10" applyFont="1" applyBorder="1" applyAlignment="1">
      <alignment horizontal="center"/>
    </xf>
    <xf numFmtId="0" fontId="28" fillId="0" borderId="6" xfId="10" applyFont="1" applyFill="1" applyBorder="1" applyAlignment="1">
      <alignment horizontal="center" vertical="center"/>
    </xf>
    <xf numFmtId="0" fontId="28" fillId="0" borderId="12" xfId="10" applyFont="1" applyFill="1" applyBorder="1" applyAlignment="1">
      <alignment horizontal="center" vertical="center"/>
    </xf>
    <xf numFmtId="0" fontId="28" fillId="0" borderId="11" xfId="10" applyFont="1" applyFill="1" applyBorder="1" applyAlignment="1">
      <alignment horizontal="center" vertical="center"/>
    </xf>
    <xf numFmtId="0" fontId="28" fillId="0" borderId="9" xfId="10" applyFont="1" applyFill="1" applyBorder="1" applyAlignment="1">
      <alignment horizontal="center" vertical="center"/>
    </xf>
    <xf numFmtId="0" fontId="32" fillId="0" borderId="2" xfId="10" applyFont="1" applyFill="1" applyBorder="1" applyAlignment="1">
      <alignment horizontal="center"/>
    </xf>
    <xf numFmtId="0" fontId="32" fillId="0" borderId="4" xfId="10" applyFont="1" applyFill="1" applyBorder="1" applyAlignment="1">
      <alignment horizontal="center"/>
    </xf>
    <xf numFmtId="0" fontId="28" fillId="0" borderId="1" xfId="10" applyFont="1" applyFill="1" applyBorder="1" applyAlignment="1">
      <alignment horizontal="center" vertical="center"/>
    </xf>
    <xf numFmtId="0" fontId="28" fillId="0" borderId="2" xfId="10" applyFont="1" applyFill="1" applyBorder="1" applyAlignment="1">
      <alignment horizontal="center" vertical="center"/>
    </xf>
    <xf numFmtId="0" fontId="28" fillId="0" borderId="4" xfId="10" applyFont="1" applyFill="1" applyBorder="1" applyAlignment="1">
      <alignment horizontal="center" vertical="center"/>
    </xf>
    <xf numFmtId="0" fontId="28" fillId="0" borderId="3" xfId="10" applyFont="1" applyFill="1" applyBorder="1" applyAlignment="1">
      <alignment horizontal="center" vertical="center"/>
    </xf>
    <xf numFmtId="175" fontId="28" fillId="0" borderId="2" xfId="10" applyNumberFormat="1" applyFont="1" applyFill="1" applyBorder="1" applyAlignment="1">
      <alignment horizontal="center"/>
    </xf>
    <xf numFmtId="175" fontId="28" fillId="0" borderId="4" xfId="10" applyNumberFormat="1" applyFont="1" applyFill="1" applyBorder="1" applyAlignment="1">
      <alignment horizontal="center"/>
    </xf>
    <xf numFmtId="0" fontId="28" fillId="0" borderId="1" xfId="10" applyFont="1" applyFill="1" applyBorder="1" applyAlignment="1">
      <alignment horizontal="center"/>
    </xf>
    <xf numFmtId="0" fontId="28" fillId="0" borderId="2" xfId="10" applyFont="1" applyFill="1" applyBorder="1" applyAlignment="1">
      <alignment horizontal="center"/>
    </xf>
    <xf numFmtId="0" fontId="28" fillId="0" borderId="4" xfId="10" applyFont="1" applyFill="1" applyBorder="1" applyAlignment="1">
      <alignment horizontal="center"/>
    </xf>
    <xf numFmtId="0" fontId="28" fillId="0" borderId="0" xfId="10" applyFont="1" applyFill="1" applyAlignment="1">
      <alignment horizontal="left" vertical="center" wrapText="1"/>
    </xf>
    <xf numFmtId="0" fontId="28" fillId="0" borderId="2" xfId="10" applyFont="1" applyFill="1" applyBorder="1" applyAlignment="1">
      <alignment horizontal="left" vertical="center"/>
    </xf>
    <xf numFmtId="0" fontId="28" fillId="0" borderId="3" xfId="10" applyFont="1" applyFill="1" applyBorder="1" applyAlignment="1">
      <alignment horizontal="left" vertical="center"/>
    </xf>
    <xf numFmtId="0" fontId="28" fillId="0" borderId="4" xfId="10" applyFont="1" applyFill="1" applyBorder="1" applyAlignment="1">
      <alignment horizontal="left" vertical="center"/>
    </xf>
    <xf numFmtId="0" fontId="29" fillId="0" borderId="2" xfId="10" applyFont="1" applyFill="1" applyBorder="1" applyAlignment="1">
      <alignment horizontal="center" vertical="center"/>
    </xf>
    <xf numFmtId="0" fontId="29" fillId="0" borderId="3" xfId="10" applyFont="1" applyFill="1" applyBorder="1" applyAlignment="1">
      <alignment horizontal="center" vertical="center"/>
    </xf>
    <xf numFmtId="0" fontId="29" fillId="0" borderId="4" xfId="10" applyFont="1" applyFill="1" applyBorder="1" applyAlignment="1">
      <alignment horizontal="center" vertical="center"/>
    </xf>
    <xf numFmtId="173" fontId="28" fillId="0" borderId="2" xfId="10" applyNumberFormat="1" applyFont="1" applyFill="1" applyBorder="1" applyAlignment="1">
      <alignment horizontal="center"/>
    </xf>
    <xf numFmtId="173" fontId="28" fillId="0" borderId="4" xfId="10" applyNumberFormat="1" applyFont="1" applyFill="1" applyBorder="1" applyAlignment="1">
      <alignment horizontal="center"/>
    </xf>
    <xf numFmtId="0" fontId="28" fillId="0" borderId="2" xfId="10" applyFont="1" applyBorder="1" applyAlignment="1">
      <alignment horizontal="center"/>
    </xf>
    <xf numFmtId="0" fontId="28" fillId="0" borderId="3" xfId="10" applyFont="1" applyBorder="1" applyAlignment="1">
      <alignment horizontal="center"/>
    </xf>
    <xf numFmtId="0" fontId="28" fillId="0" borderId="4" xfId="10" applyFont="1" applyBorder="1" applyAlignment="1">
      <alignment horizontal="center"/>
    </xf>
    <xf numFmtId="0" fontId="28" fillId="0" borderId="3" xfId="10" applyFont="1" applyFill="1" applyBorder="1" applyAlignment="1">
      <alignment horizontal="center"/>
    </xf>
    <xf numFmtId="0" fontId="30" fillId="0" borderId="1" xfId="10" applyFont="1" applyFill="1" applyBorder="1" applyAlignment="1">
      <alignment horizontal="center"/>
    </xf>
    <xf numFmtId="0" fontId="28" fillId="0" borderId="1" xfId="10" quotePrefix="1" applyFont="1" applyFill="1" applyBorder="1" applyAlignment="1">
      <alignment horizontal="center"/>
    </xf>
    <xf numFmtId="0" fontId="7" fillId="0" borderId="27" xfId="10" applyFont="1" applyFill="1" applyBorder="1" applyAlignment="1">
      <alignment horizontal="center" vertical="center"/>
    </xf>
    <xf numFmtId="0" fontId="7" fillId="0" borderId="26" xfId="10" applyFont="1" applyFill="1" applyBorder="1" applyAlignment="1">
      <alignment horizontal="center" vertical="center"/>
    </xf>
    <xf numFmtId="0" fontId="7" fillId="0" borderId="25" xfId="10" applyFont="1" applyFill="1" applyBorder="1" applyAlignment="1">
      <alignment horizontal="center" vertical="center"/>
    </xf>
    <xf numFmtId="174" fontId="28" fillId="0" borderId="10" xfId="10" applyNumberFormat="1" applyFont="1" applyBorder="1" applyAlignment="1">
      <alignment horizontal="center" vertical="center"/>
    </xf>
    <xf numFmtId="0" fontId="28" fillId="0" borderId="10" xfId="10" applyFont="1" applyBorder="1" applyAlignment="1">
      <alignment horizontal="center" vertical="center"/>
    </xf>
    <xf numFmtId="0" fontId="28" fillId="0" borderId="10" xfId="10" applyFont="1" applyBorder="1" applyAlignment="1">
      <alignment horizontal="center"/>
    </xf>
    <xf numFmtId="0" fontId="28" fillId="0" borderId="0" xfId="10" applyFont="1" applyAlignment="1">
      <alignment horizontal="left"/>
    </xf>
    <xf numFmtId="0" fontId="28" fillId="0" borderId="2" xfId="10" applyFont="1" applyFill="1" applyBorder="1" applyAlignment="1">
      <alignment horizontal="center" vertical="center" wrapText="1"/>
    </xf>
    <xf numFmtId="0" fontId="28" fillId="0" borderId="3" xfId="10" applyFont="1" applyFill="1" applyBorder="1" applyAlignment="1">
      <alignment horizontal="center" vertical="center" wrapText="1"/>
    </xf>
    <xf numFmtId="0" fontId="28" fillId="0" borderId="4" xfId="10" applyFont="1" applyFill="1" applyBorder="1" applyAlignment="1">
      <alignment horizontal="center" vertical="center" wrapText="1"/>
    </xf>
    <xf numFmtId="0" fontId="28" fillId="0" borderId="2" xfId="10" quotePrefix="1" applyNumberFormat="1" applyFont="1" applyFill="1" applyBorder="1" applyAlignment="1">
      <alignment horizontal="center" vertical="center" wrapText="1"/>
    </xf>
    <xf numFmtId="0" fontId="28" fillId="0" borderId="3" xfId="10" applyNumberFormat="1" applyFont="1" applyFill="1" applyBorder="1" applyAlignment="1">
      <alignment horizontal="center" vertical="center" wrapText="1"/>
    </xf>
    <xf numFmtId="0" fontId="28" fillId="0" borderId="4" xfId="10" applyNumberFormat="1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</cellXfs>
  <cellStyles count="13">
    <cellStyle name="Comma" xfId="1" builtinId="3"/>
    <cellStyle name="Comma [0]" xfId="12" builtinId="6"/>
    <cellStyle name="Comma 2" xfId="9" xr:uid="{71843DAE-D613-4848-9420-5CA385B862F6}"/>
    <cellStyle name="Hyperlink" xfId="7" builtinId="8"/>
    <cellStyle name="Millares 2" xfId="8" xr:uid="{4595346F-51D8-4983-A3F3-6A78FC0F0494}"/>
    <cellStyle name="Millares_Hoja1" xfId="5" xr:uid="{37840191-5975-40F6-A3F3-44CD88D1DDC4}"/>
    <cellStyle name="Normal" xfId="0" builtinId="0"/>
    <cellStyle name="Normal 10" xfId="2" xr:uid="{00000000-0005-0000-0000-000002000000}"/>
    <cellStyle name="Normal 2" xfId="4" xr:uid="{0B80BF6A-C1B4-46DC-93C0-E66098A492DA}"/>
    <cellStyle name="Normal 3" xfId="11" xr:uid="{A3BB3D70-AE75-4044-96B9-E7AFF37C0B2B}"/>
    <cellStyle name="Normal 3 2" xfId="10" xr:uid="{47D68395-2A67-4F93-85AA-D763AE3D0EDB}"/>
    <cellStyle name="Percent" xfId="3" builtinId="5"/>
    <cellStyle name="Porcentaje 2" xfId="6" xr:uid="{E261E42A-BC37-4257-8F39-B085C0F16CEC}"/>
  </cellStyles>
  <dxfs count="315"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FBD9D9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9" formatCode="d/mm/yyyy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5" formatCode="0.000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4" formatCode="_ * #,##0.00_ ;_ * \-#,##0.00_ ;_ * &quot;-&quot;??_ ;_ @_ 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Radio" checked="Checked" firstButton="1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fmlaLink="$AB$11" lockText="1" noThreeD="1"/>
</file>

<file path=xl/ctrlProps/ctrlProp33.xml><?xml version="1.0" encoding="utf-8"?>
<formControlPr xmlns="http://schemas.microsoft.com/office/spreadsheetml/2009/9/main" objectType="CheckBox" checked="Checked" fmlaLink="$AC$11" lockText="1" noThreeD="1"/>
</file>

<file path=xl/ctrlProps/ctrlProp34.xml><?xml version="1.0" encoding="utf-8"?>
<formControlPr xmlns="http://schemas.microsoft.com/office/spreadsheetml/2009/9/main" objectType="CheckBox" fmlaLink="$AD$11" lockText="1" noThreeD="1"/>
</file>

<file path=xl/ctrlProps/ctrlProp35.xml><?xml version="1.0" encoding="utf-8"?>
<formControlPr xmlns="http://schemas.microsoft.com/office/spreadsheetml/2009/9/main" objectType="CheckBox" fmlaLink="$AE$11" lockText="1" noThreeD="1"/>
</file>

<file path=xl/ctrlProps/ctrlProp36.xml><?xml version="1.0" encoding="utf-8"?>
<formControlPr xmlns="http://schemas.microsoft.com/office/spreadsheetml/2009/9/main" objectType="CheckBox" fmlaLink="$AF$11" lockText="1" noThreeD="1"/>
</file>

<file path=xl/ctrlProps/ctrlProp37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file:///C:\Users\pollo\OneDrive\Development\1-%20Bienes%20Futuros\Formatos\Vr%200\Firmas\79287.PNG" TargetMode="External"/><Relationship Id="rId5" Type="http://schemas.openxmlformats.org/officeDocument/2006/relationships/image" Target="file:///C:\Users\pollo\OneDrive\IMAX\Gesti&#243;n\10-%20Automatizaci&#243;n\1-%20Bienes%20Futuros\Firmas\91760.PNG" TargetMode="External"/><Relationship Id="rId4" Type="http://schemas.openxmlformats.org/officeDocument/2006/relationships/image" Target="file:///C:\Users\pollo\OneDrive\IMAX\Gesti&#243;n\10-%20Automatizaci&#243;n\1-%20Bienes%20Futuros\Fotos\0.JP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pollo\OneDrive\Development\1-%20Bienes%20Futuros\Formatos\Vr%200\Firmas\79287.PNG" TargetMode="External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pollo\OneDrive\Development\1-%20Bienes%20Futuros\Formatos\Vr%200\Firmas\79287.PNG" TargetMode="External"/><Relationship Id="rId2" Type="http://schemas.openxmlformats.org/officeDocument/2006/relationships/image" Target="file:///C:\Users\pollo\OneDrive\IMAX\Gesti&#243;n\10-%20Automatizaci&#243;n\1-%20Bienes%20Futuros\Firmas\91760.PNG" TargetMode="External"/><Relationship Id="rId1" Type="http://schemas.openxmlformats.org/officeDocument/2006/relationships/image" Target="file:///C:\Users\pollo\OneDrive\IMAX\DATA\Firmas\79287.PN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1</xdr:row>
      <xdr:rowOff>0</xdr:rowOff>
    </xdr:from>
    <xdr:ext cx="3721894" cy="496252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0" y="190500"/>
          <a:ext cx="3721894" cy="496252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47637</xdr:colOff>
      <xdr:row>35</xdr:row>
      <xdr:rowOff>57150</xdr:rowOff>
    </xdr:from>
    <xdr:ext cx="8896338" cy="4457700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r="-538"/>
        <a:stretch/>
      </xdr:blipFill>
      <xdr:spPr>
        <a:xfrm>
          <a:off x="104787" y="7105650"/>
          <a:ext cx="8896338" cy="44577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9</xdr:col>
      <xdr:colOff>209550</xdr:colOff>
      <xdr:row>40</xdr:row>
      <xdr:rowOff>137250</xdr:rowOff>
    </xdr:from>
    <xdr:to>
      <xdr:col>12</xdr:col>
      <xdr:colOff>138975</xdr:colOff>
      <xdr:row>44</xdr:row>
      <xdr:rowOff>95250</xdr:rowOff>
    </xdr:to>
    <xdr:sp macro="" textlink="">
      <xdr:nvSpPr>
        <xdr:cNvPr id="4" name="Elips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47900" y="8138250"/>
          <a:ext cx="720000" cy="72000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oneCellAnchor>
    <xdr:from>
      <xdr:col>3</xdr:col>
      <xdr:colOff>0</xdr:colOff>
      <xdr:row>65</xdr:row>
      <xdr:rowOff>0</xdr:rowOff>
    </xdr:from>
    <xdr:ext cx="8382000" cy="4752975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52450" y="13735050"/>
          <a:ext cx="8382000" cy="47529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oneCellAnchor>
  <xdr:twoCellAnchor>
    <xdr:from>
      <xdr:col>11</xdr:col>
      <xdr:colOff>152400</xdr:colOff>
      <xdr:row>72</xdr:row>
      <xdr:rowOff>51525</xdr:rowOff>
    </xdr:from>
    <xdr:to>
      <xdr:col>14</xdr:col>
      <xdr:colOff>129450</xdr:colOff>
      <xdr:row>76</xdr:row>
      <xdr:rowOff>85725</xdr:rowOff>
    </xdr:to>
    <xdr:sp macro="" textlink="">
      <xdr:nvSpPr>
        <xdr:cNvPr id="6" name="Elipse 4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505200" y="15291525"/>
          <a:ext cx="891450" cy="796200"/>
        </a:xfrm>
        <a:prstGeom prst="ellipse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oneCellAnchor>
    <xdr:from>
      <xdr:col>3</xdr:col>
      <xdr:colOff>44</xdr:colOff>
      <xdr:row>172</xdr:row>
      <xdr:rowOff>38101</xdr:rowOff>
    </xdr:from>
    <xdr:ext cx="8381957" cy="4305299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52494" y="36518851"/>
          <a:ext cx="8381957" cy="4305299"/>
        </a:xfrm>
        <a:prstGeom prst="rect">
          <a:avLst/>
        </a:prstGeom>
      </xdr:spPr>
    </xdr:pic>
    <xdr:clientData/>
  </xdr:oneCellAnchor>
  <xdr:twoCellAnchor editAs="oneCell">
    <xdr:from>
      <xdr:col>24</xdr:col>
      <xdr:colOff>95250</xdr:colOff>
      <xdr:row>46</xdr:row>
      <xdr:rowOff>114300</xdr:rowOff>
    </xdr:from>
    <xdr:to>
      <xdr:col>36</xdr:col>
      <xdr:colOff>140970</xdr:colOff>
      <xdr:row>58</xdr:row>
      <xdr:rowOff>91440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 rot="10800000">
          <a:off x="5895975" y="9258300"/>
          <a:ext cx="3017520" cy="2263140"/>
        </a:xfrm>
        <a:prstGeom prst="rect">
          <a:avLst/>
        </a:prstGeom>
      </xdr:spPr>
    </xdr:pic>
    <xdr:clientData/>
  </xdr:twoCellAnchor>
  <xdr:twoCellAnchor editAs="oneCell">
    <xdr:from>
      <xdr:col>24</xdr:col>
      <xdr:colOff>95250</xdr:colOff>
      <xdr:row>46</xdr:row>
      <xdr:rowOff>114300</xdr:rowOff>
    </xdr:from>
    <xdr:to>
      <xdr:col>36</xdr:col>
      <xdr:colOff>140970</xdr:colOff>
      <xdr:row>58</xdr:row>
      <xdr:rowOff>91440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 rot="10800000">
          <a:off x="5895975" y="9258300"/>
          <a:ext cx="3017520" cy="2263140"/>
        </a:xfrm>
        <a:prstGeom prst="rect">
          <a:avLst/>
        </a:prstGeom>
      </xdr:spPr>
    </xdr:pic>
    <xdr:clientData/>
  </xdr:twoCellAnchor>
  <xdr:twoCellAnchor editAs="oneCell">
    <xdr:from>
      <xdr:col>19</xdr:col>
      <xdr:colOff>171450</xdr:colOff>
      <xdr:row>200</xdr:row>
      <xdr:rowOff>66675</xdr:rowOff>
    </xdr:from>
    <xdr:to>
      <xdr:col>34</xdr:col>
      <xdr:colOff>161924</xdr:colOff>
      <xdr:row>209</xdr:row>
      <xdr:rowOff>74899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733925" y="40938450"/>
          <a:ext cx="3705224" cy="1722724"/>
        </a:xfrm>
        <a:prstGeom prst="rect">
          <a:avLst/>
        </a:prstGeom>
      </xdr:spPr>
    </xdr:pic>
    <xdr:clientData/>
  </xdr:twoCellAnchor>
  <xdr:twoCellAnchor editAs="oneCell">
    <xdr:from>
      <xdr:col>19</xdr:col>
      <xdr:colOff>171450</xdr:colOff>
      <xdr:row>200</xdr:row>
      <xdr:rowOff>66675</xdr:rowOff>
    </xdr:from>
    <xdr:to>
      <xdr:col>34</xdr:col>
      <xdr:colOff>147275</xdr:colOff>
      <xdr:row>209</xdr:row>
      <xdr:rowOff>26602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4733925" y="40938450"/>
          <a:ext cx="3690575" cy="1674427"/>
        </a:xfrm>
        <a:prstGeom prst="rect">
          <a:avLst/>
        </a:prstGeom>
      </xdr:spPr>
    </xdr:pic>
    <xdr:clientData/>
  </xdr:twoCellAnchor>
  <xdr:twoCellAnchor editAs="oneCell">
    <xdr:from>
      <xdr:col>19</xdr:col>
      <xdr:colOff>171450</xdr:colOff>
      <xdr:row>200</xdr:row>
      <xdr:rowOff>66675</xdr:rowOff>
    </xdr:from>
    <xdr:to>
      <xdr:col>34</xdr:col>
      <xdr:colOff>147275</xdr:colOff>
      <xdr:row>209</xdr:row>
      <xdr:rowOff>26602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8D6F1F9-A2F2-443A-BF62-4CA2DF9A6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4733925" y="40938450"/>
          <a:ext cx="3690575" cy="1674427"/>
        </a:xfrm>
        <a:prstGeom prst="rect">
          <a:avLst/>
        </a:prstGeom>
      </xdr:spPr>
    </xdr:pic>
    <xdr:clientData/>
  </xdr:twoCellAnchor>
  <xdr:twoCellAnchor editAs="oneCell">
    <xdr:from>
      <xdr:col>19</xdr:col>
      <xdr:colOff>171450</xdr:colOff>
      <xdr:row>200</xdr:row>
      <xdr:rowOff>66675</xdr:rowOff>
    </xdr:from>
    <xdr:to>
      <xdr:col>34</xdr:col>
      <xdr:colOff>147275</xdr:colOff>
      <xdr:row>209</xdr:row>
      <xdr:rowOff>26602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1129E1E-2B81-4CD5-ADC4-63974AA8A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4733925" y="40938450"/>
          <a:ext cx="3690575" cy="167442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47637</xdr:colOff>
      <xdr:row>14</xdr:row>
      <xdr:rowOff>57150</xdr:rowOff>
    </xdr:from>
    <xdr:ext cx="9048738" cy="4457700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r="-538"/>
        <a:stretch/>
      </xdr:blipFill>
      <xdr:spPr>
        <a:xfrm>
          <a:off x="104787" y="3305175"/>
          <a:ext cx="9048738" cy="44577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9</xdr:col>
      <xdr:colOff>209550</xdr:colOff>
      <xdr:row>19</xdr:row>
      <xdr:rowOff>137250</xdr:rowOff>
    </xdr:from>
    <xdr:to>
      <xdr:col>12</xdr:col>
      <xdr:colOff>138975</xdr:colOff>
      <xdr:row>23</xdr:row>
      <xdr:rowOff>95250</xdr:rowOff>
    </xdr:to>
    <xdr:sp macro="" textlink="">
      <xdr:nvSpPr>
        <xdr:cNvPr id="14" name="Elips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2247900" y="8138250"/>
          <a:ext cx="720000" cy="72000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21</xdr:col>
      <xdr:colOff>0</xdr:colOff>
      <xdr:row>65</xdr:row>
      <xdr:rowOff>19050</xdr:rowOff>
    </xdr:from>
    <xdr:to>
      <xdr:col>31</xdr:col>
      <xdr:colOff>28159</xdr:colOff>
      <xdr:row>72</xdr:row>
      <xdr:rowOff>50523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00650" y="13192125"/>
          <a:ext cx="2504659" cy="1136373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309</xdr:row>
      <xdr:rowOff>142875</xdr:rowOff>
    </xdr:from>
    <xdr:to>
      <xdr:col>34</xdr:col>
      <xdr:colOff>199134</xdr:colOff>
      <xdr:row>317</xdr:row>
      <xdr:rowOff>143970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62179200"/>
          <a:ext cx="3361434" cy="152509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65</xdr:row>
      <xdr:rowOff>19050</xdr:rowOff>
    </xdr:from>
    <xdr:to>
      <xdr:col>31</xdr:col>
      <xdr:colOff>28159</xdr:colOff>
      <xdr:row>72</xdr:row>
      <xdr:rowOff>50523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C5A1F3E-072D-4280-A228-DC3635E01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00650" y="13954125"/>
          <a:ext cx="2504659" cy="1136373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310</xdr:row>
      <xdr:rowOff>142875</xdr:rowOff>
    </xdr:from>
    <xdr:to>
      <xdr:col>34</xdr:col>
      <xdr:colOff>199134</xdr:colOff>
      <xdr:row>318</xdr:row>
      <xdr:rowOff>143970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02FEFF7-9299-4573-8FC0-0ABA2F690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67513200"/>
          <a:ext cx="3361434" cy="152509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65</xdr:row>
      <xdr:rowOff>19050</xdr:rowOff>
    </xdr:from>
    <xdr:to>
      <xdr:col>31</xdr:col>
      <xdr:colOff>28159</xdr:colOff>
      <xdr:row>72</xdr:row>
      <xdr:rowOff>50523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D70DF20-429C-4A87-8EFF-EE6981858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00650" y="13954125"/>
          <a:ext cx="2504659" cy="1136373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310</xdr:row>
      <xdr:rowOff>142875</xdr:rowOff>
    </xdr:from>
    <xdr:to>
      <xdr:col>34</xdr:col>
      <xdr:colOff>199134</xdr:colOff>
      <xdr:row>318</xdr:row>
      <xdr:rowOff>143970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D115B47-6ECB-41E3-8CE8-A6BC8E98D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67513200"/>
          <a:ext cx="3361434" cy="15250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266700</xdr:colOff>
          <xdr:row>1</xdr:row>
          <xdr:rowOff>0</xdr:rowOff>
        </xdr:from>
        <xdr:to>
          <xdr:col>39</xdr:col>
          <xdr:colOff>180975</xdr:colOff>
          <xdr:row>1</xdr:row>
          <xdr:rowOff>57150</xdr:rowOff>
        </xdr:to>
        <xdr:sp macro="" textlink="">
          <xdr:nvSpPr>
            <xdr:cNvPr id="4098" name="cb1Foto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28</xdr:row>
          <xdr:rowOff>9525</xdr:rowOff>
        </xdr:from>
        <xdr:to>
          <xdr:col>5</xdr:col>
          <xdr:colOff>0</xdr:colOff>
          <xdr:row>29</xdr:row>
          <xdr:rowOff>38100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28</xdr:row>
          <xdr:rowOff>9525</xdr:rowOff>
        </xdr:from>
        <xdr:to>
          <xdr:col>5</xdr:col>
          <xdr:colOff>314325</xdr:colOff>
          <xdr:row>29</xdr:row>
          <xdr:rowOff>38100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28</xdr:row>
          <xdr:rowOff>180975</xdr:rowOff>
        </xdr:from>
        <xdr:to>
          <xdr:col>5</xdr:col>
          <xdr:colOff>0</xdr:colOff>
          <xdr:row>30</xdr:row>
          <xdr:rowOff>19050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31</xdr:row>
          <xdr:rowOff>9525</xdr:rowOff>
        </xdr:from>
        <xdr:to>
          <xdr:col>5</xdr:col>
          <xdr:colOff>0</xdr:colOff>
          <xdr:row>32</xdr:row>
          <xdr:rowOff>38100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32</xdr:row>
          <xdr:rowOff>9525</xdr:rowOff>
        </xdr:from>
        <xdr:to>
          <xdr:col>11</xdr:col>
          <xdr:colOff>66675</xdr:colOff>
          <xdr:row>33</xdr:row>
          <xdr:rowOff>38100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6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29</xdr:row>
          <xdr:rowOff>0</xdr:rowOff>
        </xdr:from>
        <xdr:to>
          <xdr:col>11</xdr:col>
          <xdr:colOff>66675</xdr:colOff>
          <xdr:row>30</xdr:row>
          <xdr:rowOff>19050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30</xdr:row>
          <xdr:rowOff>9525</xdr:rowOff>
        </xdr:from>
        <xdr:to>
          <xdr:col>11</xdr:col>
          <xdr:colOff>66675</xdr:colOff>
          <xdr:row>31</xdr:row>
          <xdr:rowOff>38100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6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31</xdr:row>
          <xdr:rowOff>0</xdr:rowOff>
        </xdr:from>
        <xdr:to>
          <xdr:col>11</xdr:col>
          <xdr:colOff>66675</xdr:colOff>
          <xdr:row>32</xdr:row>
          <xdr:rowOff>19050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9525</xdr:rowOff>
        </xdr:from>
        <xdr:to>
          <xdr:col>19</xdr:col>
          <xdr:colOff>66675</xdr:colOff>
          <xdr:row>30</xdr:row>
          <xdr:rowOff>38100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6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31</xdr:row>
          <xdr:rowOff>9525</xdr:rowOff>
        </xdr:from>
        <xdr:to>
          <xdr:col>5</xdr:col>
          <xdr:colOff>304800</xdr:colOff>
          <xdr:row>32</xdr:row>
          <xdr:rowOff>38100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6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28</xdr:row>
          <xdr:rowOff>180975</xdr:rowOff>
        </xdr:from>
        <xdr:to>
          <xdr:col>5</xdr:col>
          <xdr:colOff>304800</xdr:colOff>
          <xdr:row>30</xdr:row>
          <xdr:rowOff>19050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6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29</xdr:row>
          <xdr:rowOff>9525</xdr:rowOff>
        </xdr:from>
        <xdr:to>
          <xdr:col>20</xdr:col>
          <xdr:colOff>57150</xdr:colOff>
          <xdr:row>30</xdr:row>
          <xdr:rowOff>38100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6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30</xdr:row>
          <xdr:rowOff>9525</xdr:rowOff>
        </xdr:from>
        <xdr:to>
          <xdr:col>20</xdr:col>
          <xdr:colOff>57150</xdr:colOff>
          <xdr:row>31</xdr:row>
          <xdr:rowOff>38100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6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29</xdr:row>
          <xdr:rowOff>9525</xdr:rowOff>
        </xdr:from>
        <xdr:to>
          <xdr:col>12</xdr:col>
          <xdr:colOff>95250</xdr:colOff>
          <xdr:row>30</xdr:row>
          <xdr:rowOff>38100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6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30</xdr:row>
          <xdr:rowOff>9525</xdr:rowOff>
        </xdr:from>
        <xdr:to>
          <xdr:col>12</xdr:col>
          <xdr:colOff>95250</xdr:colOff>
          <xdr:row>31</xdr:row>
          <xdr:rowOff>38100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6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31</xdr:row>
          <xdr:rowOff>9525</xdr:rowOff>
        </xdr:from>
        <xdr:to>
          <xdr:col>12</xdr:col>
          <xdr:colOff>95250</xdr:colOff>
          <xdr:row>32</xdr:row>
          <xdr:rowOff>38100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32</xdr:row>
          <xdr:rowOff>9525</xdr:rowOff>
        </xdr:from>
        <xdr:to>
          <xdr:col>12</xdr:col>
          <xdr:colOff>95250</xdr:colOff>
          <xdr:row>33</xdr:row>
          <xdr:rowOff>38100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9525</xdr:rowOff>
        </xdr:from>
        <xdr:to>
          <xdr:col>19</xdr:col>
          <xdr:colOff>66675</xdr:colOff>
          <xdr:row>31</xdr:row>
          <xdr:rowOff>38100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6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9525</xdr:rowOff>
        </xdr:from>
        <xdr:to>
          <xdr:col>19</xdr:col>
          <xdr:colOff>66675</xdr:colOff>
          <xdr:row>32</xdr:row>
          <xdr:rowOff>38100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6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9525</xdr:rowOff>
        </xdr:from>
        <xdr:to>
          <xdr:col>19</xdr:col>
          <xdr:colOff>66675</xdr:colOff>
          <xdr:row>33</xdr:row>
          <xdr:rowOff>38100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6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9525</xdr:rowOff>
        </xdr:from>
        <xdr:to>
          <xdr:col>19</xdr:col>
          <xdr:colOff>66675</xdr:colOff>
          <xdr:row>34</xdr:row>
          <xdr:rowOff>38100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6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31</xdr:row>
          <xdr:rowOff>9525</xdr:rowOff>
        </xdr:from>
        <xdr:to>
          <xdr:col>20</xdr:col>
          <xdr:colOff>57150</xdr:colOff>
          <xdr:row>32</xdr:row>
          <xdr:rowOff>38100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6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32</xdr:row>
          <xdr:rowOff>9525</xdr:rowOff>
        </xdr:from>
        <xdr:to>
          <xdr:col>20</xdr:col>
          <xdr:colOff>57150</xdr:colOff>
          <xdr:row>33</xdr:row>
          <xdr:rowOff>38100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6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33</xdr:row>
          <xdr:rowOff>9525</xdr:rowOff>
        </xdr:from>
        <xdr:to>
          <xdr:col>20</xdr:col>
          <xdr:colOff>57150</xdr:colOff>
          <xdr:row>34</xdr:row>
          <xdr:rowOff>38100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6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9525</xdr:rowOff>
        </xdr:from>
        <xdr:to>
          <xdr:col>19</xdr:col>
          <xdr:colOff>66675</xdr:colOff>
          <xdr:row>35</xdr:row>
          <xdr:rowOff>38100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6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34</xdr:row>
          <xdr:rowOff>9525</xdr:rowOff>
        </xdr:from>
        <xdr:to>
          <xdr:col>20</xdr:col>
          <xdr:colOff>57150</xdr:colOff>
          <xdr:row>35</xdr:row>
          <xdr:rowOff>38100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26</xdr:row>
          <xdr:rowOff>19050</xdr:rowOff>
        </xdr:from>
        <xdr:to>
          <xdr:col>7</xdr:col>
          <xdr:colOff>609600</xdr:colOff>
          <xdr:row>27</xdr:row>
          <xdr:rowOff>0</xdr:rowOff>
        </xdr:to>
        <xdr:sp macro="" textlink="">
          <xdr:nvSpPr>
            <xdr:cNvPr id="5148" name="Option 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6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26</xdr:row>
          <xdr:rowOff>28575</xdr:rowOff>
        </xdr:from>
        <xdr:to>
          <xdr:col>10</xdr:col>
          <xdr:colOff>38100</xdr:colOff>
          <xdr:row>27</xdr:row>
          <xdr:rowOff>0</xdr:rowOff>
        </xdr:to>
        <xdr:sp macro="" textlink="">
          <xdr:nvSpPr>
            <xdr:cNvPr id="5149" name="Option 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6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Regular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26</xdr:row>
          <xdr:rowOff>28575</xdr:rowOff>
        </xdr:from>
        <xdr:to>
          <xdr:col>11</xdr:col>
          <xdr:colOff>190500</xdr:colOff>
          <xdr:row>27</xdr:row>
          <xdr:rowOff>0</xdr:rowOff>
        </xdr:to>
        <xdr:sp macro="" textlink="">
          <xdr:nvSpPr>
            <xdr:cNvPr id="5150" name="Option 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6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Malo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246063</xdr:colOff>
      <xdr:row>23</xdr:row>
      <xdr:rowOff>61914</xdr:rowOff>
    </xdr:from>
    <xdr:to>
      <xdr:col>13</xdr:col>
      <xdr:colOff>238125</xdr:colOff>
      <xdr:row>24</xdr:row>
      <xdr:rowOff>161925</xdr:rowOff>
    </xdr:to>
    <xdr:sp macro="" textlink="">
      <xdr:nvSpPr>
        <xdr:cNvPr id="31" name="Cuadro de texto 2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>
          <a:spLocks noChangeArrowheads="1"/>
        </xdr:cNvSpPr>
      </xdr:nvSpPr>
      <xdr:spPr bwMode="auto">
        <a:xfrm>
          <a:off x="8628063" y="3786189"/>
          <a:ext cx="1516062" cy="2619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07000"/>
            </a:lnSpc>
            <a:spcAft>
              <a:spcPts val="800"/>
            </a:spcAft>
          </a:pPr>
          <a:r>
            <a:rPr lang="es-PE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M</a:t>
          </a:r>
          <a:r>
            <a:rPr lang="es-PE" sz="1100" baseline="300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2</a:t>
          </a:r>
          <a:endParaRPr lang="es-PE" sz="11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23</xdr:col>
      <xdr:colOff>531810</xdr:colOff>
      <xdr:row>23</xdr:row>
      <xdr:rowOff>73023</xdr:rowOff>
    </xdr:from>
    <xdr:to>
      <xdr:col>25</xdr:col>
      <xdr:colOff>3807</xdr:colOff>
      <xdr:row>24</xdr:row>
      <xdr:rowOff>163510</xdr:rowOff>
    </xdr:to>
    <xdr:sp macro="" textlink="">
      <xdr:nvSpPr>
        <xdr:cNvPr id="32" name="Cuadro de texto 2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>
          <a:spLocks noChangeArrowheads="1"/>
        </xdr:cNvSpPr>
      </xdr:nvSpPr>
      <xdr:spPr bwMode="auto">
        <a:xfrm>
          <a:off x="18057810" y="3797298"/>
          <a:ext cx="995997" cy="2524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07000"/>
            </a:lnSpc>
            <a:spcAft>
              <a:spcPts val="800"/>
            </a:spcAft>
          </a:pPr>
          <a:r>
            <a:rPr lang="es-PE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M</a:t>
          </a:r>
          <a:r>
            <a:rPr lang="es-PE" sz="1100" baseline="300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2</a:t>
          </a:r>
          <a:endParaRPr lang="es-PE" sz="11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21</xdr:row>
          <xdr:rowOff>190500</xdr:rowOff>
        </xdr:from>
        <xdr:to>
          <xdr:col>7</xdr:col>
          <xdr:colOff>228600</xdr:colOff>
          <xdr:row>22</xdr:row>
          <xdr:rowOff>180975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6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21</xdr:row>
          <xdr:rowOff>180975</xdr:rowOff>
        </xdr:from>
        <xdr:to>
          <xdr:col>12</xdr:col>
          <xdr:colOff>219075</xdr:colOff>
          <xdr:row>23</xdr:row>
          <xdr:rowOff>19050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6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DEPARTAMENTO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57150</xdr:colOff>
      <xdr:row>65</xdr:row>
      <xdr:rowOff>180975</xdr:rowOff>
    </xdr:from>
    <xdr:to>
      <xdr:col>24</xdr:col>
      <xdr:colOff>228600</xdr:colOff>
      <xdr:row>72</xdr:row>
      <xdr:rowOff>28575</xdr:rowOff>
    </xdr:to>
    <xdr:sp macro="" textlink="">
      <xdr:nvSpPr>
        <xdr:cNvPr id="35" name="Cuadro de texto 2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>
          <a:spLocks noChangeArrowheads="1"/>
        </xdr:cNvSpPr>
      </xdr:nvSpPr>
      <xdr:spPr bwMode="auto">
        <a:xfrm>
          <a:off x="13773150" y="10687050"/>
          <a:ext cx="4743450" cy="1000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just">
            <a:lnSpc>
              <a:spcPct val="107000"/>
            </a:lnSpc>
            <a:spcAft>
              <a:spcPts val="800"/>
            </a:spcAft>
          </a:pPr>
          <a:r>
            <a:rPr lang="es-PE" sz="8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(*)SEGÚN LA RESOLUCIÓN SBS N° 808-2003 EL VALOR DE REALIZCIÓN SE ENTIENDE COMO CONSECUENCIA DE LA EVENTUAL VENTA O EJECUCIÓN DEL BIEN, EN LA SITUACIÓN COMO Y DONDE ESTÉ POR TANTO, ESTE VALOR DEBE CONSIDERAR LOS CASTIGOS Y CARGOS POR CONCEPTO DE IMPUESTOS EN LAS VENTAS, COMISIONES, FLETES MERMAS, ETC.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9</xdr:row>
          <xdr:rowOff>57150</xdr:rowOff>
        </xdr:from>
        <xdr:to>
          <xdr:col>6</xdr:col>
          <xdr:colOff>142875</xdr:colOff>
          <xdr:row>11</xdr:row>
          <xdr:rowOff>9525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6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Carrt.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9</xdr:row>
          <xdr:rowOff>57150</xdr:rowOff>
        </xdr:from>
        <xdr:to>
          <xdr:col>7</xdr:col>
          <xdr:colOff>438150</xdr:colOff>
          <xdr:row>11</xdr:row>
          <xdr:rowOff>9525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6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9</xdr:row>
          <xdr:rowOff>66675</xdr:rowOff>
        </xdr:from>
        <xdr:to>
          <xdr:col>8</xdr:col>
          <xdr:colOff>28575</xdr:colOff>
          <xdr:row>11</xdr:row>
          <xdr:rowOff>9525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6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Jr.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9</xdr:row>
          <xdr:rowOff>66675</xdr:rowOff>
        </xdr:from>
        <xdr:to>
          <xdr:col>10</xdr:col>
          <xdr:colOff>38100</xdr:colOff>
          <xdr:row>10</xdr:row>
          <xdr:rowOff>161925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6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9</xdr:row>
          <xdr:rowOff>66675</xdr:rowOff>
        </xdr:from>
        <xdr:to>
          <xdr:col>11</xdr:col>
          <xdr:colOff>228600</xdr:colOff>
          <xdr:row>11</xdr:row>
          <xdr:rowOff>9525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6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Psje.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66675</xdr:colOff>
          <xdr:row>23</xdr:row>
          <xdr:rowOff>28575</xdr:rowOff>
        </xdr:from>
        <xdr:to>
          <xdr:col>71</xdr:col>
          <xdr:colOff>495300</xdr:colOff>
          <xdr:row>24</xdr:row>
          <xdr:rowOff>114300</xdr:rowOff>
        </xdr:to>
        <xdr:sp macro="" textlink="">
          <xdr:nvSpPr>
            <xdr:cNvPr id="5158" name="Option 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6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Malo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276225</xdr:colOff>
      <xdr:row>17</xdr:row>
      <xdr:rowOff>114300</xdr:rowOff>
    </xdr:from>
    <xdr:to>
      <xdr:col>23</xdr:col>
      <xdr:colOff>304800</xdr:colOff>
      <xdr:row>19</xdr:row>
      <xdr:rowOff>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17040225" y="2867025"/>
          <a:ext cx="79057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100"/>
            <a:t>N°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238125</xdr:colOff>
          <xdr:row>0</xdr:row>
          <xdr:rowOff>114300</xdr:rowOff>
        </xdr:from>
        <xdr:to>
          <xdr:col>26</xdr:col>
          <xdr:colOff>485775</xdr:colOff>
          <xdr:row>1</xdr:row>
          <xdr:rowOff>19050</xdr:rowOff>
        </xdr:to>
        <xdr:sp macro="" textlink="">
          <xdr:nvSpPr>
            <xdr:cNvPr id="5159" name="cb2Continuar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6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38</xdr:col>
      <xdr:colOff>0</xdr:colOff>
      <xdr:row>57</xdr:row>
      <xdr:rowOff>0</xdr:rowOff>
    </xdr:from>
    <xdr:to>
      <xdr:col>44</xdr:col>
      <xdr:colOff>572218</xdr:colOff>
      <xdr:row>67</xdr:row>
      <xdr:rowOff>326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116550" y="7848600"/>
          <a:ext cx="5144218" cy="2333951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83</xdr:row>
      <xdr:rowOff>0</xdr:rowOff>
    </xdr:from>
    <xdr:to>
      <xdr:col>32</xdr:col>
      <xdr:colOff>591271</xdr:colOff>
      <xdr:row>96</xdr:row>
      <xdr:rowOff>152735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972550" y="13192125"/>
          <a:ext cx="5163271" cy="2400635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83</xdr:row>
      <xdr:rowOff>0</xdr:rowOff>
    </xdr:from>
    <xdr:to>
      <xdr:col>32</xdr:col>
      <xdr:colOff>570857</xdr:colOff>
      <xdr:row>96</xdr:row>
      <xdr:rowOff>85433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72550" y="13192125"/>
          <a:ext cx="5142857" cy="2333333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83</xdr:row>
      <xdr:rowOff>0</xdr:rowOff>
    </xdr:from>
    <xdr:to>
      <xdr:col>32</xdr:col>
      <xdr:colOff>570857</xdr:colOff>
      <xdr:row>96</xdr:row>
      <xdr:rowOff>85433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CAA4F-B029-43C7-B700-5DA52555B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72550" y="13192125"/>
          <a:ext cx="5142857" cy="2333333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83</xdr:row>
      <xdr:rowOff>0</xdr:rowOff>
    </xdr:from>
    <xdr:to>
      <xdr:col>32</xdr:col>
      <xdr:colOff>570857</xdr:colOff>
      <xdr:row>96</xdr:row>
      <xdr:rowOff>85433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7E09E6-130C-4A14-80AC-C3D91BDE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72550" y="13192125"/>
          <a:ext cx="5142857" cy="23333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47626</xdr:colOff>
      <xdr:row>0</xdr:row>
      <xdr:rowOff>57150</xdr:rowOff>
    </xdr:from>
    <xdr:to>
      <xdr:col>2</xdr:col>
      <xdr:colOff>139186</xdr:colOff>
      <xdr:row>3</xdr:row>
      <xdr:rowOff>123825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6" y="57150"/>
          <a:ext cx="1615560" cy="63817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és Ernesto Gómez Garcés" id="{730631F8-D31B-41C6-8AC3-168BBC885D2F}" userId="89feeeb33fffcbbd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439797-A99F-4D7B-B522-BF374A070BE7}" name="Tabla2" displayName="Tabla2" ref="A11:AG237" totalsRowShown="0" headerRowDxfId="314" dataDxfId="313" tableBorderDxfId="312">
  <autoFilter ref="A11:AG237" xr:uid="{36C01A9C-A178-408B-9021-6991395C3395}"/>
  <tableColumns count="33">
    <tableColumn id="1" xr3:uid="{C783B5CA-E41B-4BBD-978F-562B3E7DEAF5}" name="Unidad Inmobiliaria" dataDxfId="311"/>
    <tableColumn id="2" xr3:uid="{D5EB5012-98A4-4A64-BD8A-4859123D74EF}" name="No" dataDxfId="310"/>
    <tableColumn id="3" xr3:uid="{2C0D4D75-8D21-4F34-BC34-DBBE38B47312}" name="Nivel " dataDxfId="309"/>
    <tableColumn id="4" xr3:uid="{9B4AB8AB-7FD0-4336-830F-02A48BC2A274}" name="DNI Cliente" dataDxfId="308"/>
    <tableColumn id="5" xr3:uid="{69E9CD8A-DAF0-4377-BDC7-BF0E2CCF80F7}" name="Nombre del cliente" dataDxfId="307"/>
    <tableColumn id="6" xr3:uid="{E73B91AA-F5A8-4E5A-9257-E4E6D5252F1C}" name="Área del terreno (m²)" dataDxfId="306">
      <calculatedColumnFormula>ROUND(Tabla2[[#This Row],[Área ocupada (m²)]]/20*1.4,2)</calculatedColumnFormula>
    </tableColumn>
    <tableColumn id="7" xr3:uid="{B43B1D6B-21C9-46D1-A21B-CD950B42F439}" name="Área ocupada (m²)" dataDxfId="305"/>
    <tableColumn id="8" xr3:uid="{4EAE3F82-F7AE-4B89-A0D7-D9937D4C70A0}" name="Área techada (m²)" dataDxfId="304"/>
    <tableColumn id="9" xr3:uid="{A3FF68E0-ED79-4DD9-BCF0-F1685C82C3CA}" name="Áreas Comunes (m²)" dataDxfId="303">
      <calculatedColumnFormula>ROUND(Tabla2[[#This Row],[Área techada (m²)]]*0.15,2)</calculatedColumnFormula>
    </tableColumn>
    <tableColumn id="10" xr3:uid="{FBEDC0DD-1B9D-4395-AE74-F09D74584AE1}" name="Moneda" dataDxfId="302"/>
    <tableColumn id="11" xr3:uid="{103DB6D5-DEA1-4A5D-8644-F5BC4F60FEAC}" name="Valor de Venta" dataDxfId="301"/>
    <tableColumn id="12" xr3:uid="{BDC137A9-4B2C-4CF3-B5A0-37A53A0A3A8A}" name="Área del terreno (m²)2" dataDxfId="300">
      <calculatedColumnFormula>ROUND(Tabla2[[#This Row],[Área ocupada (m²)3]]/20*1.4,2)</calculatedColumnFormula>
    </tableColumn>
    <tableColumn id="13" xr3:uid="{191FEDAE-EA74-4318-9C57-B93BD03B4B95}" name="Área ocupada (m²)3" dataDxfId="299">
      <calculatedColumnFormula>+G12</calculatedColumnFormula>
    </tableColumn>
    <tableColumn id="14" xr3:uid="{6627B71E-EC9C-4A5E-AD54-07179A87FD3F}" name="Área techada (m²)4" dataDxfId="298">
      <calculatedColumnFormula>+H12</calculatedColumnFormula>
    </tableColumn>
    <tableColumn id="15" xr3:uid="{103FEF65-B957-486B-9266-BA99056E86B8}" name="Áreas Comunes (m²)5" dataDxfId="297">
      <calculatedColumnFormula>ROUND(Tabla2[[#This Row],[Área techada (m²)4]]*0.15,2)</calculatedColumnFormula>
    </tableColumn>
    <tableColumn id="16" xr3:uid="{3F3E2F48-24F9-4734-8976-74AE5EB23CA1}" name="Valor del terreno (US$)" dataDxfId="296">
      <calculatedColumnFormula>ROUND(Tabla2[[#This Row],[Área del terreno (m²)2]]*DATA!$F$4,-2)</calculatedColumnFormula>
    </tableColumn>
    <tableColumn id="17" xr3:uid="{C614BFFC-20E3-4122-9230-13216885BFCA}" name="Valor de la edificación (US$)" dataDxfId="295">
      <calculatedColumnFormula>+Tabla2[[#This Row],[Valor Comercial (US$)]]-Tabla2[[#This Row],[Valor del terreno (US$)]]</calculatedColumnFormula>
    </tableColumn>
    <tableColumn id="18" xr3:uid="{C11C3D2A-275E-4E06-B46E-869DB354CB6C}" name="Valor Comercial (US$)" dataDxfId="294">
      <calculatedColumnFormula>IF(A12="Departamento",ROUND(AD12*(N12+0.3*(M12-N12)),-2),AD12)</calculatedColumnFormula>
    </tableColumn>
    <tableColumn id="19" xr3:uid="{8A5A8878-E3A6-4BEE-8490-1A5DD6A241B0}" name="Valor Realización (US$)" dataDxfId="293">
      <calculatedColumnFormula>ROUND(Tabla2[[#This Row],[Valor Comercial (US$)]]*0.8,-2)</calculatedColumnFormula>
    </tableColumn>
    <tableColumn id="20" xr3:uid="{03713D07-EF82-44D7-AAAF-400C28F06482}" name="Importe Asegurable (US$)" dataDxfId="292">
      <calculatedColumnFormula>IF(Informe!$I$6=DATA!$B$4,R12,ROUND(Tabla2[[#This Row],[Área techada (m²)4]]*DATA!$F$5*1.15,-2))</calculatedColumnFormula>
    </tableColumn>
    <tableColumn id="21" xr3:uid="{D051D5A5-D631-4657-8474-36ECFA7A47A7}" name="Tipo de Cambio" dataDxfId="291">
      <calculatedColumnFormula>+$U$14</calculatedColumnFormula>
    </tableColumn>
    <tableColumn id="22" xr3:uid="{564FB795-AF69-4F89-818E-8578240B5F33}" name="Valor del terreno (S/.)" dataDxfId="290">
      <calculatedColumnFormula>ROUND(Tabla2[[#This Row],[Valor del terreno (US$)]]*Tabla2[[#This Row],[Tipo de Cambio]],-2)</calculatedColumnFormula>
    </tableColumn>
    <tableColumn id="23" xr3:uid="{5C37E8A0-BC71-4AF7-A227-D099C731DDC9}" name="Valor de la edificación (S/.)" dataDxfId="289">
      <calculatedColumnFormula>Tabla2[[#This Row],[Valor Comercial (S/.)]]-Tabla2[[#This Row],[Valor del terreno (S/.)]]</calculatedColumnFormula>
    </tableColumn>
    <tableColumn id="24" xr3:uid="{97EE1880-3CC2-40E4-B098-4AD91C2D304E}" name="Valor Comercial (S/.)" dataDxfId="288">
      <calculatedColumnFormula>ROUND(Tabla2[[#This Row],[Valor Comercial (US$)]]*Tabla2[[#This Row],[Tipo de Cambio]],-2)</calculatedColumnFormula>
    </tableColumn>
    <tableColumn id="25" xr3:uid="{AA792570-6922-406F-BD58-1F784C2AF3DE}" name="Valor Realización (S/.)" dataDxfId="287">
      <calculatedColumnFormula>ROUND(Tabla2[[#This Row],[Valor Realización (US$)]]*Tabla2[[#This Row],[Tipo de Cambio]],-2)</calculatedColumnFormula>
    </tableColumn>
    <tableColumn id="26" xr3:uid="{DBE32060-9EDA-4E8B-9A4A-8F18EA593BB4}" name="Importe Asegurable (S/.)" dataDxfId="286">
      <calculatedColumnFormula>+ROUND(Tabla2[[#This Row],[Importe Asegurable (US$)]]*Tabla2[[#This Row],[Tipo de Cambio]],-2)</calculatedColumnFormula>
    </tableColumn>
    <tableColumn id="27" xr3:uid="{019D1EDB-B0E1-4F73-AF56-168C20495B0B}" name="Fecha de Tasación" dataDxfId="285"/>
    <tableColumn id="28" xr3:uid="{C6AA03C1-93D0-4C42-94C6-EB01B7C10DBF}" name="Ratio de tasación" dataDxfId="284">
      <calculatedColumnFormula>+Tabla2[[#This Row],[Valor Comercial (US$)]]/Tabla2[[#This Row],[Área techada (m²)4]]</calculatedColumnFormula>
    </tableColumn>
    <tableColumn id="29" xr3:uid="{332E8982-756B-4CA2-ABE0-0D1AAC5669C9}" name="REV1" dataDxfId="283">
      <calculatedColumnFormula>IF(Tabla2[[#This Row],[Moneda]]="Soles",IF(Tabla2[[#This Row],[Valor Comercial (S/.)]]&gt;Tabla2[[#This Row],[Valor de Venta]],"OK","Revisar valores"),IF(Tabla2[[#This Row],[Valor Comercial (US$)]]&gt;Tabla2[[#This Row],[Valor de Venta]],"OK","Revisar valores"))</calculatedColumnFormula>
    </tableColumn>
    <tableColumn id="30" xr3:uid="{9CDA12C2-56AF-46DF-AFB6-A4B4B8252919}" name="VISTA" dataDxfId="282">
      <calculatedColumnFormula>VLOOKUP(AB12,$Q$1:$R$6,2,FALSE)</calculatedColumnFormula>
    </tableColumn>
    <tableColumn id="31" xr3:uid="{B48575B3-D871-4F82-8C3B-8448BB692C94}" name="Ratio de precio de venta USD" dataDxfId="281"/>
    <tableColumn id="32" xr3:uid="{480C5F7F-F0FF-4A28-AEFF-613BAC764901}" name="Rev2" dataDxfId="280"/>
    <tableColumn id="33" xr3:uid="{3AA54EA9-029F-42E8-8AE9-3C2A8EF97286}" name="Rev3" dataDxfId="279">
      <calculatedColumnFormula>VLOOKUP(AB12,$Q$1:$S$6,3,FALSE)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19-09-13T22:07:56.58" personId="{730631F8-D31B-41C6-8AC3-168BBC885D2F}" id="{77CFE6F2-93CC-49EE-90C3-9D57815E3C2D}">
    <text>preguntar si genera o no C4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ww.adondevivir.com/propiedades/depa-de-estreno-52-m-sup2--la-calera-surquillo-56532193.html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www.adondevivir.com/propiedades/super-iluminado-departamento-en-venta-surquillo-54282056.html" TargetMode="External"/><Relationship Id="rId1" Type="http://schemas.openxmlformats.org/officeDocument/2006/relationships/hyperlink" Target="https://www.adondevivir.com/propiedades/vendo-impecable-departamento-surquillo-55560661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ww.adondevivir.com/propiedades/edificio-dona-eva-preventa-surquillo-55549917.html" TargetMode="External"/><Relationship Id="rId4" Type="http://schemas.openxmlformats.org/officeDocument/2006/relationships/hyperlink" Target="https://www.adondevivir.com/propiedades/departamento-101-primer-piso-55218230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7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8.emf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microsoft.com/office/2017/10/relationships/threadedComment" Target="../threadedComments/threadedComment1.xml"/><Relationship Id="rId5" Type="http://schemas.openxmlformats.org/officeDocument/2006/relationships/control" Target="../activeX/activeX2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omments" Target="../comments1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AA9F0-BC8F-417F-8D16-CA092893BBE3}">
  <sheetPr codeName="sh1Portada"/>
  <dimension ref="A31:E38"/>
  <sheetViews>
    <sheetView view="pageBreakPreview" zoomScaleNormal="100" zoomScaleSheetLayoutView="100" workbookViewId="0">
      <selection activeCell="F37" sqref="F37"/>
    </sheetView>
  </sheetViews>
  <sheetFormatPr defaultColWidth="10.7109375" defaultRowHeight="15" x14ac:dyDescent="0.25"/>
  <cols>
    <col min="1" max="1" width="14.7109375" customWidth="1"/>
  </cols>
  <sheetData>
    <row r="31" spans="1:1" x14ac:dyDescent="0.25">
      <c r="A31" s="177" t="s">
        <v>368</v>
      </c>
    </row>
    <row r="33" spans="1:5" x14ac:dyDescent="0.25">
      <c r="A33" t="s">
        <v>367</v>
      </c>
      <c r="B33" s="403" t="str">
        <f>+MATRIZ!D5</f>
        <v>NUEVO NOGALES  - ETAPA TORRE 13 (Módulo 2)</v>
      </c>
      <c r="C33" s="403"/>
      <c r="D33" s="403"/>
      <c r="E33" s="403"/>
    </row>
    <row r="34" spans="1:5" x14ac:dyDescent="0.25">
      <c r="A34" t="s">
        <v>366</v>
      </c>
      <c r="B34" s="404" t="str">
        <f>+MATRIZ!D3</f>
        <v>BESCO S.A.C.</v>
      </c>
      <c r="C34" s="404"/>
      <c r="D34" s="404"/>
      <c r="E34" s="404"/>
    </row>
    <row r="35" spans="1:5" x14ac:dyDescent="0.25">
      <c r="A35" t="s">
        <v>365</v>
      </c>
      <c r="B35" t="s">
        <v>16</v>
      </c>
    </row>
    <row r="36" spans="1:5" x14ac:dyDescent="0.25">
      <c r="B36" t="s">
        <v>17</v>
      </c>
    </row>
    <row r="38" spans="1:5" x14ac:dyDescent="0.25">
      <c r="A38" t="s">
        <v>364</v>
      </c>
      <c r="B38" s="402">
        <f>+MATRIZ!D8</f>
        <v>43711</v>
      </c>
      <c r="C38" s="402"/>
      <c r="D38" s="402"/>
      <c r="E38" s="402"/>
    </row>
  </sheetData>
  <mergeCells count="3">
    <mergeCell ref="B38:E38"/>
    <mergeCell ref="B33:E33"/>
    <mergeCell ref="B34:E34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 scaleWithDoc="0">
    <oddHeader>&amp;L&amp;G&amp;R&amp;G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CCD7C-FF75-467A-9281-00560A17D06F}">
  <sheetPr codeName="sh2Resumen">
    <pageSetUpPr fitToPage="1"/>
  </sheetPr>
  <dimension ref="A1:AS201"/>
  <sheetViews>
    <sheetView view="pageBreakPreview" topLeftCell="A145" zoomScaleNormal="100" zoomScaleSheetLayoutView="100" workbookViewId="0">
      <selection activeCell="AM201" sqref="AM201"/>
    </sheetView>
  </sheetViews>
  <sheetFormatPr defaultColWidth="4.5703125" defaultRowHeight="15" customHeight="1" x14ac:dyDescent="0.25"/>
  <cols>
    <col min="1" max="1" width="0.85546875" style="178" customWidth="1"/>
    <col min="2" max="9" width="3.7109375" style="178" customWidth="1"/>
    <col min="10" max="10" width="4.28515625" style="178" customWidth="1"/>
    <col min="11" max="11" width="3.85546875" style="178" customWidth="1"/>
    <col min="12" max="37" width="3.7109375" style="178" customWidth="1"/>
    <col min="38" max="38" width="0.85546875" style="178" customWidth="1"/>
    <col min="39" max="39" width="5.85546875" style="178" customWidth="1"/>
    <col min="40" max="40" width="8" style="178" customWidth="1"/>
    <col min="41" max="41" width="13.140625" style="178" bestFit="1" customWidth="1"/>
    <col min="42" max="42" width="9.85546875" style="178" bestFit="1" customWidth="1"/>
    <col min="43" max="44" width="11.85546875" style="178" bestFit="1" customWidth="1"/>
    <col min="45" max="45" width="18.7109375" style="178" customWidth="1"/>
    <col min="46" max="48" width="4.5703125" style="178"/>
    <col min="49" max="49" width="8.140625" style="178" bestFit="1" customWidth="1"/>
    <col min="50" max="50" width="5.140625" style="178" bestFit="1" customWidth="1"/>
    <col min="51" max="16384" width="4.5703125" style="178"/>
  </cols>
  <sheetData>
    <row r="1" spans="1:39" ht="15" customHeight="1" x14ac:dyDescent="0.25">
      <c r="A1" s="182"/>
      <c r="B1" s="408" t="s">
        <v>191</v>
      </c>
      <c r="C1" s="408"/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  <c r="Q1" s="408"/>
      <c r="R1" s="408"/>
      <c r="S1" s="408"/>
      <c r="T1" s="408"/>
      <c r="U1" s="408"/>
      <c r="V1" s="408"/>
      <c r="W1" s="408"/>
      <c r="X1" s="408"/>
      <c r="Y1" s="408"/>
      <c r="Z1" s="408"/>
      <c r="AA1" s="408"/>
      <c r="AB1" s="408"/>
      <c r="AC1" s="408"/>
      <c r="AD1" s="408"/>
      <c r="AE1" s="408"/>
      <c r="AF1" s="408"/>
      <c r="AG1" s="408"/>
      <c r="AH1" s="408"/>
      <c r="AI1" s="408"/>
      <c r="AJ1" s="408"/>
      <c r="AK1" s="408"/>
      <c r="AL1" s="182"/>
      <c r="AM1" s="182"/>
    </row>
    <row r="2" spans="1:39" ht="15" customHeight="1" x14ac:dyDescent="0.25">
      <c r="A2" s="220"/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</row>
    <row r="3" spans="1:39" ht="15" customHeight="1" x14ac:dyDescent="0.25">
      <c r="A3" s="182"/>
      <c r="B3" s="408" t="s">
        <v>421</v>
      </c>
      <c r="C3" s="408"/>
      <c r="D3" s="408"/>
      <c r="E3" s="408"/>
      <c r="F3" s="408"/>
      <c r="G3" s="408"/>
      <c r="H3" s="408"/>
      <c r="I3" s="408"/>
      <c r="J3" s="408"/>
      <c r="K3" s="408"/>
      <c r="L3" s="408"/>
      <c r="M3" s="408"/>
      <c r="N3" s="408"/>
      <c r="O3" s="408"/>
      <c r="P3" s="408"/>
      <c r="Q3" s="408"/>
      <c r="R3" s="408"/>
      <c r="S3" s="408"/>
      <c r="T3" s="408"/>
      <c r="U3" s="408"/>
      <c r="V3" s="408"/>
      <c r="W3" s="408"/>
      <c r="X3" s="408"/>
      <c r="Y3" s="408"/>
      <c r="Z3" s="408"/>
      <c r="AA3" s="408"/>
      <c r="AB3" s="408"/>
      <c r="AC3" s="408"/>
      <c r="AD3" s="408"/>
      <c r="AE3" s="408"/>
      <c r="AF3" s="408"/>
      <c r="AG3" s="408"/>
      <c r="AH3" s="408"/>
      <c r="AI3" s="408"/>
      <c r="AJ3" s="408"/>
      <c r="AK3" s="408"/>
      <c r="AL3" s="182"/>
      <c r="AM3" s="182"/>
    </row>
    <row r="4" spans="1:39" ht="13.5" customHeight="1" x14ac:dyDescent="0.25"/>
    <row r="5" spans="1:39" ht="15" customHeight="1" x14ac:dyDescent="0.25">
      <c r="A5" s="204"/>
      <c r="B5" s="204" t="s">
        <v>95</v>
      </c>
      <c r="D5" s="203" t="s">
        <v>189</v>
      </c>
      <c r="E5" s="219"/>
      <c r="F5" s="219"/>
      <c r="G5" s="219"/>
    </row>
    <row r="6" spans="1:39" ht="12.75" x14ac:dyDescent="0.25">
      <c r="A6" s="204"/>
      <c r="B6" s="204"/>
      <c r="D6" s="203"/>
      <c r="E6" s="219"/>
      <c r="F6" s="219"/>
      <c r="G6" s="219"/>
    </row>
    <row r="7" spans="1:39" ht="15" customHeight="1" x14ac:dyDescent="0.25">
      <c r="D7" s="411" t="s">
        <v>227</v>
      </c>
      <c r="E7" s="411"/>
      <c r="F7" s="411"/>
      <c r="G7" s="411"/>
      <c r="H7" s="411"/>
      <c r="I7" s="411"/>
      <c r="J7" s="411"/>
      <c r="K7" s="411"/>
      <c r="L7" s="411"/>
      <c r="M7" s="411"/>
      <c r="N7" s="411"/>
      <c r="O7" s="411"/>
      <c r="P7" s="411"/>
      <c r="Q7" s="411"/>
      <c r="R7" s="411"/>
      <c r="S7" s="411"/>
      <c r="T7" s="411"/>
      <c r="U7" s="411"/>
      <c r="V7" s="411"/>
      <c r="W7" s="411"/>
      <c r="X7" s="411"/>
      <c r="Y7" s="411"/>
      <c r="Z7" s="411"/>
      <c r="AA7" s="411"/>
      <c r="AB7" s="411"/>
      <c r="AC7" s="411"/>
      <c r="AD7" s="411"/>
      <c r="AE7" s="411"/>
      <c r="AF7" s="411"/>
      <c r="AG7" s="411"/>
      <c r="AH7" s="411"/>
      <c r="AI7" s="411"/>
      <c r="AJ7" s="411"/>
      <c r="AK7" s="411"/>
    </row>
    <row r="8" spans="1:39" ht="13.5" customHeight="1" x14ac:dyDescent="0.25"/>
    <row r="9" spans="1:39" ht="15" customHeight="1" x14ac:dyDescent="0.25">
      <c r="A9" s="204"/>
      <c r="B9" s="204" t="s">
        <v>89</v>
      </c>
      <c r="D9" s="203" t="s">
        <v>188</v>
      </c>
      <c r="E9" s="219"/>
      <c r="F9" s="219"/>
      <c r="G9" s="219"/>
    </row>
    <row r="10" spans="1:39" ht="12.75" x14ac:dyDescent="0.25">
      <c r="A10" s="204"/>
      <c r="B10" s="204"/>
      <c r="D10" s="203"/>
      <c r="E10" s="219"/>
      <c r="F10" s="219"/>
      <c r="G10" s="219"/>
    </row>
    <row r="11" spans="1:39" ht="15" customHeight="1" x14ac:dyDescent="0.25">
      <c r="D11" s="178" t="str">
        <f>+MATRIZ!D3</f>
        <v>BESCO S.A.C.</v>
      </c>
    </row>
    <row r="13" spans="1:39" ht="15" customHeight="1" x14ac:dyDescent="0.25">
      <c r="A13" s="204"/>
      <c r="B13" s="204" t="s">
        <v>83</v>
      </c>
      <c r="D13" s="203" t="s">
        <v>187</v>
      </c>
      <c r="E13" s="219"/>
      <c r="F13" s="219"/>
      <c r="G13" s="219"/>
    </row>
    <row r="14" spans="1:39" ht="12.75" x14ac:dyDescent="0.25">
      <c r="A14" s="204"/>
      <c r="B14" s="204"/>
      <c r="D14" s="203"/>
      <c r="E14" s="219"/>
      <c r="F14" s="219"/>
      <c r="G14" s="219"/>
    </row>
    <row r="15" spans="1:39" ht="15" customHeight="1" x14ac:dyDescent="0.25">
      <c r="D15" s="178" t="s">
        <v>158</v>
      </c>
      <c r="H15" s="178" t="s">
        <v>129</v>
      </c>
      <c r="I15" s="178" t="s">
        <v>419</v>
      </c>
      <c r="L15" s="206"/>
      <c r="M15" s="206"/>
      <c r="N15" s="206"/>
      <c r="O15" s="206"/>
      <c r="P15" s="409">
        <v>13750983</v>
      </c>
      <c r="Q15" s="409"/>
      <c r="R15" s="409"/>
      <c r="S15" s="129" t="s">
        <v>418</v>
      </c>
      <c r="T15" s="129"/>
      <c r="U15" s="129"/>
    </row>
    <row r="16" spans="1:39" ht="13.5" customHeight="1" x14ac:dyDescent="0.25"/>
    <row r="17" spans="1:39" ht="15" customHeight="1" x14ac:dyDescent="0.25">
      <c r="A17" s="204"/>
      <c r="B17" s="204" t="s">
        <v>75</v>
      </c>
      <c r="D17" s="203" t="s">
        <v>185</v>
      </c>
      <c r="E17" s="219"/>
      <c r="F17" s="219"/>
      <c r="G17" s="219"/>
    </row>
    <row r="18" spans="1:39" ht="6" customHeight="1" x14ac:dyDescent="0.25">
      <c r="A18" s="204"/>
      <c r="B18" s="204"/>
      <c r="D18" s="203"/>
      <c r="E18" s="219"/>
      <c r="F18" s="219"/>
      <c r="G18" s="219"/>
    </row>
    <row r="19" spans="1:39" ht="28.5" customHeight="1" x14ac:dyDescent="0.25">
      <c r="D19" s="410" t="s">
        <v>417</v>
      </c>
      <c r="E19" s="410"/>
      <c r="F19" s="410"/>
      <c r="G19" s="410"/>
      <c r="H19" s="410"/>
      <c r="I19" s="410"/>
      <c r="J19" s="410"/>
      <c r="K19" s="410"/>
      <c r="L19" s="410"/>
      <c r="M19" s="410"/>
      <c r="N19" s="410"/>
      <c r="O19" s="410"/>
      <c r="P19" s="410"/>
      <c r="Q19" s="410"/>
      <c r="R19" s="410"/>
      <c r="S19" s="410"/>
      <c r="T19" s="410"/>
      <c r="U19" s="410"/>
      <c r="V19" s="410"/>
      <c r="W19" s="410"/>
      <c r="X19" s="410"/>
      <c r="Y19" s="410"/>
      <c r="Z19" s="410"/>
      <c r="AA19" s="410"/>
      <c r="AB19" s="410"/>
      <c r="AC19" s="410"/>
      <c r="AD19" s="410"/>
      <c r="AE19" s="410"/>
      <c r="AF19" s="410"/>
      <c r="AG19" s="410"/>
      <c r="AH19" s="410"/>
      <c r="AI19" s="410"/>
      <c r="AJ19" s="410"/>
      <c r="AK19" s="410"/>
    </row>
    <row r="20" spans="1:39" ht="13.5" customHeight="1" x14ac:dyDescent="0.25"/>
    <row r="21" spans="1:39" ht="15" customHeight="1" x14ac:dyDescent="0.25">
      <c r="A21" s="204"/>
      <c r="B21" s="204" t="s">
        <v>72</v>
      </c>
      <c r="D21" s="203" t="s">
        <v>183</v>
      </c>
    </row>
    <row r="22" spans="1:39" ht="6" customHeight="1" x14ac:dyDescent="0.25"/>
    <row r="23" spans="1:39" ht="42" customHeight="1" x14ac:dyDescent="0.25">
      <c r="D23" s="407" t="s">
        <v>416</v>
      </c>
      <c r="E23" s="407"/>
      <c r="F23" s="407"/>
      <c r="G23" s="407"/>
      <c r="H23" s="407"/>
      <c r="I23" s="407"/>
      <c r="J23" s="407"/>
      <c r="K23" s="407"/>
      <c r="L23" s="407"/>
      <c r="M23" s="407"/>
      <c r="N23" s="407"/>
      <c r="O23" s="407"/>
      <c r="P23" s="407"/>
      <c r="Q23" s="407"/>
      <c r="R23" s="407"/>
      <c r="S23" s="407"/>
      <c r="T23" s="407"/>
      <c r="U23" s="407"/>
      <c r="V23" s="407"/>
      <c r="W23" s="407"/>
      <c r="X23" s="407"/>
      <c r="Y23" s="407"/>
      <c r="Z23" s="407"/>
      <c r="AA23" s="407"/>
      <c r="AB23" s="407"/>
      <c r="AC23" s="407"/>
      <c r="AD23" s="407"/>
      <c r="AE23" s="407"/>
      <c r="AF23" s="407"/>
      <c r="AG23" s="407"/>
      <c r="AH23" s="407"/>
      <c r="AI23" s="407"/>
      <c r="AJ23" s="407"/>
      <c r="AK23" s="407"/>
      <c r="AL23" s="205"/>
      <c r="AM23" s="205"/>
    </row>
    <row r="25" spans="1:39" ht="15" customHeight="1" x14ac:dyDescent="0.25">
      <c r="A25" s="204"/>
      <c r="B25" s="204" t="s">
        <v>181</v>
      </c>
      <c r="D25" s="203" t="s">
        <v>415</v>
      </c>
      <c r="R25" s="405">
        <f>+Informe!I12</f>
        <v>43992</v>
      </c>
      <c r="S25" s="405"/>
      <c r="T25" s="405"/>
      <c r="U25" s="405"/>
      <c r="V25" s="405"/>
      <c r="W25" s="405"/>
      <c r="X25" s="405"/>
      <c r="Y25" s="405"/>
      <c r="Z25" s="405"/>
      <c r="AA25" s="405"/>
      <c r="AB25" s="405"/>
      <c r="AC25" s="405"/>
      <c r="AD25" s="405"/>
      <c r="AE25" s="405"/>
      <c r="AF25" s="405"/>
      <c r="AG25" s="405"/>
      <c r="AH25" s="405"/>
      <c r="AI25" s="405"/>
      <c r="AJ25" s="405"/>
      <c r="AK25" s="405"/>
    </row>
    <row r="26" spans="1:39" ht="13.5" customHeight="1" x14ac:dyDescent="0.25"/>
    <row r="27" spans="1:39" ht="13.5" customHeight="1" x14ac:dyDescent="0.25">
      <c r="D27" s="203" t="s">
        <v>414</v>
      </c>
      <c r="R27" s="406">
        <f>+MATRIZ!$D$8</f>
        <v>43711</v>
      </c>
      <c r="S27" s="406"/>
      <c r="T27" s="406"/>
      <c r="U27" s="406"/>
      <c r="V27" s="406"/>
      <c r="W27" s="406"/>
      <c r="X27" s="406"/>
      <c r="Y27" s="406"/>
      <c r="Z27" s="406"/>
      <c r="AA27" s="406"/>
      <c r="AB27" s="406"/>
      <c r="AC27" s="406"/>
      <c r="AD27" s="406"/>
      <c r="AE27" s="406"/>
      <c r="AF27" s="406"/>
      <c r="AG27" s="406"/>
      <c r="AH27" s="406"/>
      <c r="AI27" s="406"/>
      <c r="AJ27" s="406"/>
      <c r="AK27" s="406"/>
    </row>
    <row r="28" spans="1:39" ht="13.5" customHeight="1" x14ac:dyDescent="0.25"/>
    <row r="29" spans="1:39" ht="15" customHeight="1" x14ac:dyDescent="0.25">
      <c r="A29" s="204"/>
      <c r="B29" s="204" t="s">
        <v>178</v>
      </c>
      <c r="D29" s="203" t="s">
        <v>177</v>
      </c>
    </row>
    <row r="30" spans="1:39" ht="6" customHeight="1" x14ac:dyDescent="0.25">
      <c r="A30" s="204"/>
      <c r="B30" s="204"/>
      <c r="D30" s="203"/>
    </row>
    <row r="31" spans="1:39" ht="30" customHeight="1" x14ac:dyDescent="0.25">
      <c r="D31" s="407" t="s">
        <v>413</v>
      </c>
      <c r="E31" s="407"/>
      <c r="F31" s="407"/>
      <c r="G31" s="407"/>
      <c r="H31" s="407"/>
      <c r="I31" s="407"/>
      <c r="J31" s="407"/>
      <c r="K31" s="407"/>
      <c r="L31" s="407"/>
      <c r="M31" s="407"/>
      <c r="N31" s="407"/>
      <c r="O31" s="407"/>
      <c r="P31" s="407"/>
      <c r="Q31" s="407"/>
      <c r="R31" s="407"/>
      <c r="S31" s="407"/>
      <c r="T31" s="407"/>
      <c r="U31" s="407"/>
      <c r="V31" s="407"/>
      <c r="W31" s="407"/>
      <c r="X31" s="407"/>
      <c r="Y31" s="407"/>
      <c r="Z31" s="407"/>
      <c r="AA31" s="407"/>
      <c r="AB31" s="407"/>
      <c r="AC31" s="407"/>
      <c r="AD31" s="407"/>
      <c r="AE31" s="407"/>
      <c r="AF31" s="407"/>
      <c r="AG31" s="407"/>
      <c r="AH31" s="407"/>
      <c r="AI31" s="407"/>
      <c r="AJ31" s="407"/>
      <c r="AK31" s="407"/>
      <c r="AL31" s="205"/>
      <c r="AM31" s="205"/>
    </row>
    <row r="32" spans="1:39" ht="30" customHeight="1" x14ac:dyDescent="0.25">
      <c r="D32" s="407" t="s">
        <v>412</v>
      </c>
      <c r="E32" s="407"/>
      <c r="F32" s="407"/>
      <c r="G32" s="407"/>
      <c r="H32" s="407"/>
      <c r="I32" s="407"/>
      <c r="J32" s="407"/>
      <c r="K32" s="407"/>
      <c r="L32" s="407"/>
      <c r="M32" s="407"/>
      <c r="N32" s="407"/>
      <c r="O32" s="407"/>
      <c r="P32" s="407"/>
      <c r="Q32" s="407"/>
      <c r="R32" s="407"/>
      <c r="S32" s="407"/>
      <c r="T32" s="407"/>
      <c r="U32" s="407"/>
      <c r="V32" s="407"/>
      <c r="W32" s="407"/>
      <c r="X32" s="407"/>
      <c r="Y32" s="407"/>
      <c r="Z32" s="407"/>
      <c r="AA32" s="407"/>
      <c r="AB32" s="407"/>
      <c r="AC32" s="407"/>
      <c r="AD32" s="407"/>
      <c r="AE32" s="407"/>
      <c r="AF32" s="407"/>
      <c r="AG32" s="407"/>
      <c r="AH32" s="407"/>
      <c r="AI32" s="407"/>
      <c r="AJ32" s="407"/>
      <c r="AK32" s="407"/>
      <c r="AL32" s="205"/>
      <c r="AM32" s="205"/>
    </row>
    <row r="33" spans="2:39" ht="30" customHeight="1" x14ac:dyDescent="0.25">
      <c r="D33" s="407" t="s">
        <v>411</v>
      </c>
      <c r="E33" s="407"/>
      <c r="F33" s="407"/>
      <c r="G33" s="407"/>
      <c r="H33" s="407"/>
      <c r="I33" s="407"/>
      <c r="J33" s="407"/>
      <c r="K33" s="407"/>
      <c r="L33" s="407"/>
      <c r="M33" s="407"/>
      <c r="N33" s="407"/>
      <c r="O33" s="407"/>
      <c r="P33" s="407"/>
      <c r="Q33" s="407"/>
      <c r="R33" s="407"/>
      <c r="S33" s="407"/>
      <c r="T33" s="407"/>
      <c r="U33" s="407"/>
      <c r="V33" s="407"/>
      <c r="W33" s="407"/>
      <c r="X33" s="407"/>
      <c r="Y33" s="407"/>
      <c r="Z33" s="407"/>
      <c r="AA33" s="407"/>
      <c r="AB33" s="407"/>
      <c r="AC33" s="407"/>
      <c r="AD33" s="407"/>
      <c r="AE33" s="407"/>
      <c r="AF33" s="407"/>
      <c r="AG33" s="407"/>
      <c r="AH33" s="407"/>
      <c r="AI33" s="407"/>
      <c r="AJ33" s="407"/>
      <c r="AK33" s="407"/>
      <c r="AL33" s="205"/>
      <c r="AM33" s="205"/>
    </row>
    <row r="34" spans="2:39" s="362" customFormat="1" ht="12.75" x14ac:dyDescent="0.25">
      <c r="D34" s="415" t="s">
        <v>222</v>
      </c>
      <c r="E34" s="415"/>
      <c r="F34" s="415"/>
      <c r="G34" s="415"/>
      <c r="H34" s="415"/>
      <c r="I34" s="415"/>
      <c r="J34" s="416">
        <v>150111</v>
      </c>
      <c r="K34" s="416"/>
      <c r="L34" s="416"/>
      <c r="M34" s="416"/>
      <c r="N34" s="416"/>
      <c r="O34" s="416"/>
      <c r="P34" s="416"/>
      <c r="Q34" s="416"/>
      <c r="R34" s="416"/>
      <c r="S34" s="416"/>
      <c r="T34" s="416"/>
      <c r="U34" s="416"/>
      <c r="V34" s="416"/>
      <c r="W34" s="416"/>
      <c r="X34" s="416"/>
      <c r="Y34" s="416"/>
      <c r="Z34" s="416"/>
      <c r="AA34" s="416"/>
      <c r="AB34" s="416"/>
      <c r="AC34" s="416"/>
      <c r="AD34" s="416"/>
      <c r="AE34" s="416"/>
      <c r="AF34" s="416"/>
      <c r="AG34" s="416"/>
      <c r="AH34" s="416"/>
      <c r="AI34" s="416"/>
      <c r="AJ34" s="416"/>
      <c r="AK34" s="416"/>
      <c r="AL34" s="363"/>
      <c r="AM34" s="363"/>
    </row>
    <row r="35" spans="2:39" ht="6" customHeight="1" x14ac:dyDescent="0.25"/>
    <row r="36" spans="2:39" ht="15" customHeight="1" x14ac:dyDescent="0.25">
      <c r="B36" s="417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  <c r="Q36" s="418"/>
      <c r="R36" s="418"/>
      <c r="S36" s="418"/>
      <c r="T36" s="418"/>
      <c r="U36" s="418"/>
      <c r="V36" s="418"/>
      <c r="W36" s="418"/>
      <c r="X36" s="418"/>
      <c r="Y36" s="418"/>
      <c r="Z36" s="418"/>
      <c r="AA36" s="418"/>
      <c r="AB36" s="418"/>
      <c r="AC36" s="418"/>
      <c r="AD36" s="418"/>
      <c r="AE36" s="418"/>
      <c r="AF36" s="418"/>
      <c r="AG36" s="418"/>
      <c r="AH36" s="418"/>
      <c r="AI36" s="418"/>
      <c r="AJ36" s="418"/>
      <c r="AK36" s="419"/>
      <c r="AM36" s="178" t="s">
        <v>490</v>
      </c>
    </row>
    <row r="37" spans="2:39" ht="15" customHeight="1" x14ac:dyDescent="0.25">
      <c r="B37" s="420"/>
      <c r="C37" s="421"/>
      <c r="D37" s="421"/>
      <c r="E37" s="421"/>
      <c r="F37" s="421"/>
      <c r="G37" s="421"/>
      <c r="H37" s="421"/>
      <c r="I37" s="421"/>
      <c r="J37" s="421"/>
      <c r="K37" s="421"/>
      <c r="L37" s="421"/>
      <c r="M37" s="421"/>
      <c r="N37" s="421"/>
      <c r="O37" s="421"/>
      <c r="P37" s="421"/>
      <c r="Q37" s="421"/>
      <c r="R37" s="421"/>
      <c r="S37" s="421"/>
      <c r="T37" s="421"/>
      <c r="U37" s="421"/>
      <c r="V37" s="421"/>
      <c r="W37" s="421"/>
      <c r="X37" s="421"/>
      <c r="Y37" s="421"/>
      <c r="Z37" s="421"/>
      <c r="AA37" s="421"/>
      <c r="AB37" s="421"/>
      <c r="AC37" s="421"/>
      <c r="AD37" s="421"/>
      <c r="AE37" s="421"/>
      <c r="AF37" s="421"/>
      <c r="AG37" s="421"/>
      <c r="AH37" s="421"/>
      <c r="AI37" s="421"/>
      <c r="AJ37" s="421"/>
      <c r="AK37" s="422"/>
    </row>
    <row r="38" spans="2:39" ht="15" customHeight="1" x14ac:dyDescent="0.25">
      <c r="B38" s="420"/>
      <c r="C38" s="421"/>
      <c r="D38" s="421"/>
      <c r="E38" s="421"/>
      <c r="F38" s="421"/>
      <c r="G38" s="421"/>
      <c r="H38" s="421"/>
      <c r="I38" s="421"/>
      <c r="J38" s="421"/>
      <c r="K38" s="421"/>
      <c r="L38" s="421"/>
      <c r="M38" s="421"/>
      <c r="N38" s="421"/>
      <c r="O38" s="421"/>
      <c r="P38" s="421"/>
      <c r="Q38" s="421"/>
      <c r="R38" s="421"/>
      <c r="S38" s="421"/>
      <c r="T38" s="421"/>
      <c r="U38" s="421"/>
      <c r="V38" s="421"/>
      <c r="W38" s="421"/>
      <c r="X38" s="421"/>
      <c r="Y38" s="421"/>
      <c r="Z38" s="421"/>
      <c r="AA38" s="421"/>
      <c r="AB38" s="421"/>
      <c r="AC38" s="421"/>
      <c r="AD38" s="421"/>
      <c r="AE38" s="421"/>
      <c r="AF38" s="421"/>
      <c r="AG38" s="421"/>
      <c r="AH38" s="421"/>
      <c r="AI38" s="421"/>
      <c r="AJ38" s="421"/>
      <c r="AK38" s="422"/>
    </row>
    <row r="39" spans="2:39" ht="15" customHeight="1" x14ac:dyDescent="0.25">
      <c r="B39" s="420"/>
      <c r="C39" s="421"/>
      <c r="D39" s="421"/>
      <c r="E39" s="421"/>
      <c r="F39" s="421"/>
      <c r="G39" s="421"/>
      <c r="H39" s="421"/>
      <c r="I39" s="421"/>
      <c r="J39" s="421"/>
      <c r="K39" s="421"/>
      <c r="L39" s="421"/>
      <c r="M39" s="421"/>
      <c r="N39" s="421"/>
      <c r="O39" s="421"/>
      <c r="P39" s="421"/>
      <c r="Q39" s="421"/>
      <c r="R39" s="421"/>
      <c r="S39" s="421"/>
      <c r="T39" s="421"/>
      <c r="U39" s="421"/>
      <c r="V39" s="421"/>
      <c r="W39" s="421"/>
      <c r="X39" s="421"/>
      <c r="Y39" s="421"/>
      <c r="Z39" s="421"/>
      <c r="AA39" s="421"/>
      <c r="AB39" s="421"/>
      <c r="AC39" s="421"/>
      <c r="AD39" s="421"/>
      <c r="AE39" s="421"/>
      <c r="AF39" s="421"/>
      <c r="AG39" s="421"/>
      <c r="AH39" s="421"/>
      <c r="AI39" s="421"/>
      <c r="AJ39" s="421"/>
      <c r="AK39" s="422"/>
    </row>
    <row r="40" spans="2:39" ht="15" customHeight="1" x14ac:dyDescent="0.25">
      <c r="B40" s="420"/>
      <c r="C40" s="421"/>
      <c r="D40" s="421"/>
      <c r="E40" s="421"/>
      <c r="F40" s="421"/>
      <c r="G40" s="421"/>
      <c r="H40" s="421"/>
      <c r="I40" s="421"/>
      <c r="J40" s="421"/>
      <c r="K40" s="421"/>
      <c r="L40" s="421"/>
      <c r="M40" s="421"/>
      <c r="N40" s="421"/>
      <c r="O40" s="421"/>
      <c r="P40" s="421"/>
      <c r="Q40" s="421"/>
      <c r="R40" s="421"/>
      <c r="S40" s="421"/>
      <c r="T40" s="421"/>
      <c r="U40" s="421"/>
      <c r="V40" s="421"/>
      <c r="W40" s="421"/>
      <c r="X40" s="421"/>
      <c r="Y40" s="421"/>
      <c r="Z40" s="421"/>
      <c r="AA40" s="421"/>
      <c r="AB40" s="421"/>
      <c r="AC40" s="421"/>
      <c r="AD40" s="421"/>
      <c r="AE40" s="421"/>
      <c r="AF40" s="421"/>
      <c r="AG40" s="421"/>
      <c r="AH40" s="421"/>
      <c r="AI40" s="421"/>
      <c r="AJ40" s="421"/>
      <c r="AK40" s="422"/>
    </row>
    <row r="41" spans="2:39" ht="15" customHeight="1" x14ac:dyDescent="0.25">
      <c r="B41" s="420"/>
      <c r="C41" s="421"/>
      <c r="D41" s="421"/>
      <c r="E41" s="421"/>
      <c r="F41" s="421"/>
      <c r="G41" s="421"/>
      <c r="H41" s="421"/>
      <c r="I41" s="421"/>
      <c r="J41" s="421"/>
      <c r="K41" s="421"/>
      <c r="L41" s="421"/>
      <c r="M41" s="421"/>
      <c r="N41" s="421"/>
      <c r="O41" s="421"/>
      <c r="P41" s="421"/>
      <c r="Q41" s="421"/>
      <c r="R41" s="421"/>
      <c r="S41" s="421"/>
      <c r="T41" s="421"/>
      <c r="U41" s="421"/>
      <c r="V41" s="421"/>
      <c r="W41" s="421"/>
      <c r="X41" s="421"/>
      <c r="Y41" s="421"/>
      <c r="Z41" s="421"/>
      <c r="AA41" s="421"/>
      <c r="AB41" s="421"/>
      <c r="AC41" s="421"/>
      <c r="AD41" s="421"/>
      <c r="AE41" s="421"/>
      <c r="AF41" s="421"/>
      <c r="AG41" s="421"/>
      <c r="AH41" s="421"/>
      <c r="AI41" s="421"/>
      <c r="AJ41" s="421"/>
      <c r="AK41" s="422"/>
    </row>
    <row r="42" spans="2:39" ht="15" customHeight="1" x14ac:dyDescent="0.25">
      <c r="B42" s="420"/>
      <c r="C42" s="421"/>
      <c r="D42" s="421"/>
      <c r="E42" s="421"/>
      <c r="F42" s="421"/>
      <c r="G42" s="421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421"/>
      <c r="S42" s="421"/>
      <c r="T42" s="421"/>
      <c r="U42" s="421"/>
      <c r="V42" s="421"/>
      <c r="W42" s="421"/>
      <c r="X42" s="421"/>
      <c r="Y42" s="421"/>
      <c r="Z42" s="421"/>
      <c r="AA42" s="421"/>
      <c r="AB42" s="421"/>
      <c r="AC42" s="421"/>
      <c r="AD42" s="421"/>
      <c r="AE42" s="421"/>
      <c r="AF42" s="421"/>
      <c r="AG42" s="421"/>
      <c r="AH42" s="421"/>
      <c r="AI42" s="421"/>
      <c r="AJ42" s="421"/>
      <c r="AK42" s="422"/>
    </row>
    <row r="43" spans="2:39" ht="15" customHeight="1" x14ac:dyDescent="0.25">
      <c r="B43" s="420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1"/>
      <c r="P43" s="421"/>
      <c r="Q43" s="421"/>
      <c r="R43" s="421"/>
      <c r="S43" s="421"/>
      <c r="T43" s="421"/>
      <c r="U43" s="421"/>
      <c r="V43" s="421"/>
      <c r="W43" s="421"/>
      <c r="X43" s="421"/>
      <c r="Y43" s="421"/>
      <c r="Z43" s="421"/>
      <c r="AA43" s="421"/>
      <c r="AB43" s="421"/>
      <c r="AC43" s="421"/>
      <c r="AD43" s="421"/>
      <c r="AE43" s="421"/>
      <c r="AF43" s="421"/>
      <c r="AG43" s="421"/>
      <c r="AH43" s="421"/>
      <c r="AI43" s="421"/>
      <c r="AJ43" s="421"/>
      <c r="AK43" s="422"/>
    </row>
    <row r="44" spans="2:39" ht="15" customHeight="1" x14ac:dyDescent="0.25">
      <c r="B44" s="420"/>
      <c r="C44" s="421"/>
      <c r="D44" s="421"/>
      <c r="E44" s="421"/>
      <c r="F44" s="421"/>
      <c r="G44" s="421"/>
      <c r="H44" s="421"/>
      <c r="I44" s="421"/>
      <c r="J44" s="421"/>
      <c r="K44" s="421"/>
      <c r="L44" s="421"/>
      <c r="M44" s="421"/>
      <c r="N44" s="421"/>
      <c r="O44" s="421"/>
      <c r="P44" s="421"/>
      <c r="Q44" s="421"/>
      <c r="R44" s="421"/>
      <c r="S44" s="421"/>
      <c r="T44" s="421"/>
      <c r="U44" s="421"/>
      <c r="V44" s="421"/>
      <c r="W44" s="421"/>
      <c r="X44" s="421"/>
      <c r="Y44" s="421"/>
      <c r="Z44" s="421"/>
      <c r="AA44" s="421"/>
      <c r="AB44" s="421"/>
      <c r="AC44" s="421"/>
      <c r="AD44" s="421"/>
      <c r="AE44" s="421"/>
      <c r="AF44" s="421"/>
      <c r="AG44" s="421"/>
      <c r="AH44" s="421"/>
      <c r="AI44" s="421"/>
      <c r="AJ44" s="421"/>
      <c r="AK44" s="422"/>
    </row>
    <row r="45" spans="2:39" ht="15" customHeight="1" x14ac:dyDescent="0.25">
      <c r="B45" s="420"/>
      <c r="C45" s="421"/>
      <c r="D45" s="421"/>
      <c r="E45" s="421"/>
      <c r="F45" s="421"/>
      <c r="G45" s="421"/>
      <c r="H45" s="421"/>
      <c r="I45" s="421"/>
      <c r="J45" s="421"/>
      <c r="K45" s="421"/>
      <c r="L45" s="421"/>
      <c r="M45" s="421"/>
      <c r="N45" s="421"/>
      <c r="O45" s="421"/>
      <c r="P45" s="421"/>
      <c r="Q45" s="421"/>
      <c r="R45" s="421"/>
      <c r="S45" s="421"/>
      <c r="T45" s="421"/>
      <c r="U45" s="421"/>
      <c r="V45" s="421"/>
      <c r="W45" s="421"/>
      <c r="X45" s="421"/>
      <c r="Y45" s="421"/>
      <c r="Z45" s="421"/>
      <c r="AA45" s="421"/>
      <c r="AB45" s="421"/>
      <c r="AC45" s="421"/>
      <c r="AD45" s="421"/>
      <c r="AE45" s="421"/>
      <c r="AF45" s="421"/>
      <c r="AG45" s="421"/>
      <c r="AH45" s="421"/>
      <c r="AI45" s="421"/>
      <c r="AJ45" s="421"/>
      <c r="AK45" s="422"/>
    </row>
    <row r="46" spans="2:39" ht="15" customHeight="1" x14ac:dyDescent="0.25">
      <c r="B46" s="420"/>
      <c r="C46" s="421"/>
      <c r="D46" s="421"/>
      <c r="E46" s="421"/>
      <c r="F46" s="421"/>
      <c r="G46" s="421"/>
      <c r="H46" s="421"/>
      <c r="I46" s="421"/>
      <c r="J46" s="421"/>
      <c r="K46" s="421"/>
      <c r="L46" s="421"/>
      <c r="M46" s="421"/>
      <c r="N46" s="421"/>
      <c r="O46" s="421"/>
      <c r="P46" s="421"/>
      <c r="Q46" s="421"/>
      <c r="R46" s="421"/>
      <c r="S46" s="421"/>
      <c r="T46" s="421"/>
      <c r="U46" s="421"/>
      <c r="V46" s="421"/>
      <c r="W46" s="421"/>
      <c r="X46" s="421"/>
      <c r="Y46" s="421"/>
      <c r="Z46" s="421"/>
      <c r="AA46" s="421"/>
      <c r="AB46" s="421"/>
      <c r="AC46" s="421"/>
      <c r="AD46" s="421"/>
      <c r="AE46" s="421"/>
      <c r="AF46" s="421"/>
      <c r="AG46" s="421"/>
      <c r="AH46" s="421"/>
      <c r="AI46" s="421"/>
      <c r="AJ46" s="421"/>
      <c r="AK46" s="422"/>
    </row>
    <row r="47" spans="2:39" ht="15" customHeight="1" x14ac:dyDescent="0.25">
      <c r="B47" s="420"/>
      <c r="C47" s="421"/>
      <c r="D47" s="421"/>
      <c r="E47" s="421"/>
      <c r="F47" s="421"/>
      <c r="G47" s="421"/>
      <c r="H47" s="421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21"/>
      <c r="Z47" s="421"/>
      <c r="AA47" s="421"/>
      <c r="AB47" s="421"/>
      <c r="AC47" s="421"/>
      <c r="AD47" s="421"/>
      <c r="AE47" s="421"/>
      <c r="AF47" s="421"/>
      <c r="AG47" s="421"/>
      <c r="AH47" s="421"/>
      <c r="AI47" s="421"/>
      <c r="AJ47" s="421"/>
      <c r="AK47" s="422"/>
    </row>
    <row r="48" spans="2:39" ht="15" customHeight="1" x14ac:dyDescent="0.25">
      <c r="B48" s="420"/>
      <c r="C48" s="421"/>
      <c r="D48" s="421"/>
      <c r="E48" s="421"/>
      <c r="F48" s="421"/>
      <c r="G48" s="421"/>
      <c r="H48" s="421"/>
      <c r="I48" s="421"/>
      <c r="J48" s="421"/>
      <c r="K48" s="421"/>
      <c r="L48" s="421"/>
      <c r="M48" s="421"/>
      <c r="N48" s="421"/>
      <c r="O48" s="421"/>
      <c r="P48" s="421"/>
      <c r="Q48" s="421"/>
      <c r="R48" s="421"/>
      <c r="S48" s="421"/>
      <c r="T48" s="421"/>
      <c r="U48" s="421"/>
      <c r="V48" s="421"/>
      <c r="W48" s="421"/>
      <c r="X48" s="421"/>
      <c r="Y48" s="421"/>
      <c r="Z48" s="421"/>
      <c r="AA48" s="421"/>
      <c r="AB48" s="421"/>
      <c r="AC48" s="421"/>
      <c r="AD48" s="421"/>
      <c r="AE48" s="421"/>
      <c r="AF48" s="421"/>
      <c r="AG48" s="421"/>
      <c r="AH48" s="421"/>
      <c r="AI48" s="421"/>
      <c r="AJ48" s="421"/>
      <c r="AK48" s="422"/>
    </row>
    <row r="49" spans="1:37" ht="15" customHeight="1" x14ac:dyDescent="0.25">
      <c r="B49" s="420"/>
      <c r="C49" s="421"/>
      <c r="D49" s="421"/>
      <c r="E49" s="421"/>
      <c r="F49" s="421"/>
      <c r="G49" s="421"/>
      <c r="H49" s="421"/>
      <c r="I49" s="421"/>
      <c r="J49" s="421"/>
      <c r="K49" s="421"/>
      <c r="L49" s="421"/>
      <c r="M49" s="421"/>
      <c r="N49" s="421"/>
      <c r="O49" s="421"/>
      <c r="P49" s="421"/>
      <c r="Q49" s="421"/>
      <c r="R49" s="421"/>
      <c r="S49" s="421"/>
      <c r="T49" s="421"/>
      <c r="U49" s="421"/>
      <c r="V49" s="421"/>
      <c r="W49" s="421"/>
      <c r="X49" s="421"/>
      <c r="Y49" s="421"/>
      <c r="Z49" s="421"/>
      <c r="AA49" s="421"/>
      <c r="AB49" s="421"/>
      <c r="AC49" s="421"/>
      <c r="AD49" s="421"/>
      <c r="AE49" s="421"/>
      <c r="AF49" s="421"/>
      <c r="AG49" s="421"/>
      <c r="AH49" s="421"/>
      <c r="AI49" s="421"/>
      <c r="AJ49" s="421"/>
      <c r="AK49" s="422"/>
    </row>
    <row r="50" spans="1:37" ht="15" customHeight="1" x14ac:dyDescent="0.25">
      <c r="B50" s="420"/>
      <c r="C50" s="421"/>
      <c r="D50" s="421"/>
      <c r="E50" s="421"/>
      <c r="F50" s="421"/>
      <c r="G50" s="421"/>
      <c r="H50" s="421"/>
      <c r="I50" s="421"/>
      <c r="J50" s="421"/>
      <c r="K50" s="421"/>
      <c r="L50" s="421"/>
      <c r="M50" s="421"/>
      <c r="N50" s="421"/>
      <c r="O50" s="421"/>
      <c r="P50" s="421"/>
      <c r="Q50" s="421"/>
      <c r="R50" s="421"/>
      <c r="S50" s="421"/>
      <c r="T50" s="421"/>
      <c r="U50" s="421"/>
      <c r="V50" s="421"/>
      <c r="W50" s="421"/>
      <c r="X50" s="421"/>
      <c r="Y50" s="421"/>
      <c r="Z50" s="421"/>
      <c r="AA50" s="421"/>
      <c r="AB50" s="421"/>
      <c r="AC50" s="421"/>
      <c r="AD50" s="421"/>
      <c r="AE50" s="421"/>
      <c r="AF50" s="421"/>
      <c r="AG50" s="421"/>
      <c r="AH50" s="421"/>
      <c r="AI50" s="421"/>
      <c r="AJ50" s="421"/>
      <c r="AK50" s="422"/>
    </row>
    <row r="51" spans="1:37" ht="15" customHeight="1" x14ac:dyDescent="0.25">
      <c r="B51" s="420"/>
      <c r="C51" s="421"/>
      <c r="D51" s="421"/>
      <c r="E51" s="421"/>
      <c r="F51" s="421"/>
      <c r="G51" s="421"/>
      <c r="H51" s="421"/>
      <c r="I51" s="421"/>
      <c r="J51" s="421"/>
      <c r="K51" s="421"/>
      <c r="L51" s="421"/>
      <c r="M51" s="421"/>
      <c r="N51" s="421"/>
      <c r="O51" s="421"/>
      <c r="P51" s="421"/>
      <c r="Q51" s="421"/>
      <c r="R51" s="421"/>
      <c r="S51" s="421"/>
      <c r="T51" s="421"/>
      <c r="U51" s="421"/>
      <c r="V51" s="421"/>
      <c r="W51" s="421"/>
      <c r="X51" s="421"/>
      <c r="Y51" s="421"/>
      <c r="Z51" s="421"/>
      <c r="AA51" s="421"/>
      <c r="AB51" s="421"/>
      <c r="AC51" s="421"/>
      <c r="AD51" s="421"/>
      <c r="AE51" s="421"/>
      <c r="AF51" s="421"/>
      <c r="AG51" s="421"/>
      <c r="AH51" s="421"/>
      <c r="AI51" s="421"/>
      <c r="AJ51" s="421"/>
      <c r="AK51" s="422"/>
    </row>
    <row r="52" spans="1:37" ht="15" customHeight="1" x14ac:dyDescent="0.25">
      <c r="B52" s="420"/>
      <c r="C52" s="421"/>
      <c r="D52" s="421"/>
      <c r="E52" s="421"/>
      <c r="F52" s="421"/>
      <c r="G52" s="421"/>
      <c r="H52" s="421"/>
      <c r="I52" s="421"/>
      <c r="J52" s="421"/>
      <c r="K52" s="421"/>
      <c r="L52" s="421"/>
      <c r="M52" s="421"/>
      <c r="N52" s="421"/>
      <c r="O52" s="421"/>
      <c r="P52" s="421"/>
      <c r="Q52" s="421"/>
      <c r="R52" s="421"/>
      <c r="S52" s="421"/>
      <c r="T52" s="421"/>
      <c r="U52" s="421"/>
      <c r="V52" s="421"/>
      <c r="W52" s="421"/>
      <c r="X52" s="421"/>
      <c r="Y52" s="421"/>
      <c r="Z52" s="421"/>
      <c r="AA52" s="421"/>
      <c r="AB52" s="421"/>
      <c r="AC52" s="421"/>
      <c r="AD52" s="421"/>
      <c r="AE52" s="421"/>
      <c r="AF52" s="421"/>
      <c r="AG52" s="421"/>
      <c r="AH52" s="421"/>
      <c r="AI52" s="421"/>
      <c r="AJ52" s="421"/>
      <c r="AK52" s="422"/>
    </row>
    <row r="53" spans="1:37" ht="15" customHeight="1" x14ac:dyDescent="0.25">
      <c r="B53" s="420"/>
      <c r="C53" s="421"/>
      <c r="D53" s="421"/>
      <c r="E53" s="421"/>
      <c r="F53" s="421"/>
      <c r="G53" s="421"/>
      <c r="H53" s="421"/>
      <c r="I53" s="421"/>
      <c r="J53" s="421"/>
      <c r="K53" s="421"/>
      <c r="L53" s="421"/>
      <c r="M53" s="421"/>
      <c r="N53" s="421"/>
      <c r="O53" s="421"/>
      <c r="P53" s="421"/>
      <c r="Q53" s="421"/>
      <c r="R53" s="421"/>
      <c r="S53" s="421"/>
      <c r="T53" s="421"/>
      <c r="U53" s="421"/>
      <c r="V53" s="421"/>
      <c r="W53" s="421"/>
      <c r="X53" s="421"/>
      <c r="Y53" s="421"/>
      <c r="Z53" s="421"/>
      <c r="AA53" s="421"/>
      <c r="AB53" s="421"/>
      <c r="AC53" s="421"/>
      <c r="AD53" s="421"/>
      <c r="AE53" s="421"/>
      <c r="AF53" s="421"/>
      <c r="AG53" s="421"/>
      <c r="AH53" s="421"/>
      <c r="AI53" s="421"/>
      <c r="AJ53" s="421"/>
      <c r="AK53" s="422"/>
    </row>
    <row r="54" spans="1:37" ht="15" customHeight="1" x14ac:dyDescent="0.25">
      <c r="B54" s="420"/>
      <c r="C54" s="421"/>
      <c r="D54" s="421"/>
      <c r="E54" s="421"/>
      <c r="F54" s="421"/>
      <c r="G54" s="421"/>
      <c r="H54" s="421"/>
      <c r="I54" s="421"/>
      <c r="J54" s="421"/>
      <c r="K54" s="421"/>
      <c r="L54" s="421"/>
      <c r="M54" s="421"/>
      <c r="N54" s="421"/>
      <c r="O54" s="421"/>
      <c r="P54" s="421"/>
      <c r="Q54" s="421"/>
      <c r="R54" s="421"/>
      <c r="S54" s="421"/>
      <c r="T54" s="421"/>
      <c r="U54" s="421"/>
      <c r="V54" s="421"/>
      <c r="W54" s="421"/>
      <c r="X54" s="421"/>
      <c r="Y54" s="421"/>
      <c r="Z54" s="421"/>
      <c r="AA54" s="421"/>
      <c r="AB54" s="421"/>
      <c r="AC54" s="421"/>
      <c r="AD54" s="421"/>
      <c r="AE54" s="421"/>
      <c r="AF54" s="421"/>
      <c r="AG54" s="421"/>
      <c r="AH54" s="421"/>
      <c r="AI54" s="421"/>
      <c r="AJ54" s="421"/>
      <c r="AK54" s="422"/>
    </row>
    <row r="55" spans="1:37" ht="15" customHeight="1" x14ac:dyDescent="0.25">
      <c r="B55" s="420"/>
      <c r="C55" s="421"/>
      <c r="D55" s="421"/>
      <c r="E55" s="421"/>
      <c r="F55" s="421"/>
      <c r="G55" s="421"/>
      <c r="H55" s="421"/>
      <c r="I55" s="421"/>
      <c r="J55" s="421"/>
      <c r="K55" s="421"/>
      <c r="L55" s="421"/>
      <c r="M55" s="421"/>
      <c r="N55" s="421"/>
      <c r="O55" s="421"/>
      <c r="P55" s="421"/>
      <c r="Q55" s="421"/>
      <c r="R55" s="421"/>
      <c r="S55" s="421"/>
      <c r="T55" s="421"/>
      <c r="U55" s="421"/>
      <c r="V55" s="421"/>
      <c r="W55" s="421"/>
      <c r="X55" s="421"/>
      <c r="Y55" s="421"/>
      <c r="Z55" s="421"/>
      <c r="AA55" s="421"/>
      <c r="AB55" s="421"/>
      <c r="AC55" s="421"/>
      <c r="AD55" s="421"/>
      <c r="AE55" s="421"/>
      <c r="AF55" s="421"/>
      <c r="AG55" s="421"/>
      <c r="AH55" s="421"/>
      <c r="AI55" s="421"/>
      <c r="AJ55" s="421"/>
      <c r="AK55" s="422"/>
    </row>
    <row r="56" spans="1:37" ht="15" customHeight="1" x14ac:dyDescent="0.25">
      <c r="B56" s="420"/>
      <c r="C56" s="421"/>
      <c r="D56" s="421"/>
      <c r="E56" s="421"/>
      <c r="F56" s="421"/>
      <c r="G56" s="421"/>
      <c r="H56" s="421"/>
      <c r="I56" s="421"/>
      <c r="J56" s="421"/>
      <c r="K56" s="421"/>
      <c r="L56" s="421"/>
      <c r="M56" s="421"/>
      <c r="N56" s="421"/>
      <c r="O56" s="421"/>
      <c r="P56" s="421"/>
      <c r="Q56" s="421"/>
      <c r="R56" s="421"/>
      <c r="S56" s="421"/>
      <c r="T56" s="421"/>
      <c r="U56" s="421"/>
      <c r="V56" s="421"/>
      <c r="W56" s="421"/>
      <c r="X56" s="421"/>
      <c r="Y56" s="421"/>
      <c r="Z56" s="421"/>
      <c r="AA56" s="421"/>
      <c r="AB56" s="421"/>
      <c r="AC56" s="421"/>
      <c r="AD56" s="421"/>
      <c r="AE56" s="421"/>
      <c r="AF56" s="421"/>
      <c r="AG56" s="421"/>
      <c r="AH56" s="421"/>
      <c r="AI56" s="421"/>
      <c r="AJ56" s="421"/>
      <c r="AK56" s="422"/>
    </row>
    <row r="57" spans="1:37" ht="15" customHeight="1" x14ac:dyDescent="0.25">
      <c r="B57" s="420"/>
      <c r="C57" s="421"/>
      <c r="D57" s="421"/>
      <c r="E57" s="421"/>
      <c r="F57" s="421"/>
      <c r="G57" s="421"/>
      <c r="H57" s="421"/>
      <c r="I57" s="421"/>
      <c r="J57" s="421"/>
      <c r="K57" s="421"/>
      <c r="L57" s="421"/>
      <c r="M57" s="421"/>
      <c r="N57" s="421"/>
      <c r="O57" s="421"/>
      <c r="P57" s="421"/>
      <c r="Q57" s="421"/>
      <c r="R57" s="421"/>
      <c r="S57" s="421"/>
      <c r="T57" s="421"/>
      <c r="U57" s="421"/>
      <c r="V57" s="421"/>
      <c r="W57" s="421"/>
      <c r="X57" s="421"/>
      <c r="Y57" s="421"/>
      <c r="Z57" s="421"/>
      <c r="AA57" s="421"/>
      <c r="AB57" s="421"/>
      <c r="AC57" s="421"/>
      <c r="AD57" s="421"/>
      <c r="AE57" s="421"/>
      <c r="AF57" s="421"/>
      <c r="AG57" s="421"/>
      <c r="AH57" s="421"/>
      <c r="AI57" s="421"/>
      <c r="AJ57" s="421"/>
      <c r="AK57" s="422"/>
    </row>
    <row r="58" spans="1:37" ht="15" customHeight="1" x14ac:dyDescent="0.25">
      <c r="B58" s="420"/>
      <c r="C58" s="421"/>
      <c r="D58" s="421"/>
      <c r="E58" s="421"/>
      <c r="F58" s="421"/>
      <c r="G58" s="421"/>
      <c r="H58" s="421"/>
      <c r="I58" s="421"/>
      <c r="J58" s="421"/>
      <c r="K58" s="421"/>
      <c r="L58" s="421"/>
      <c r="M58" s="421"/>
      <c r="N58" s="421"/>
      <c r="O58" s="421"/>
      <c r="P58" s="421"/>
      <c r="Q58" s="421"/>
      <c r="R58" s="421"/>
      <c r="S58" s="421"/>
      <c r="T58" s="421"/>
      <c r="U58" s="421"/>
      <c r="V58" s="421"/>
      <c r="W58" s="421"/>
      <c r="X58" s="421"/>
      <c r="Y58" s="421"/>
      <c r="Z58" s="421"/>
      <c r="AA58" s="421"/>
      <c r="AB58" s="421"/>
      <c r="AC58" s="421"/>
      <c r="AD58" s="421"/>
      <c r="AE58" s="421"/>
      <c r="AF58" s="421"/>
      <c r="AG58" s="421"/>
      <c r="AH58" s="421"/>
      <c r="AI58" s="421"/>
      <c r="AJ58" s="421"/>
      <c r="AK58" s="422"/>
    </row>
    <row r="59" spans="1:37" ht="15" customHeight="1" x14ac:dyDescent="0.25">
      <c r="B59" s="423"/>
      <c r="C59" s="424"/>
      <c r="D59" s="424"/>
      <c r="E59" s="424"/>
      <c r="F59" s="424"/>
      <c r="G59" s="424"/>
      <c r="H59" s="424"/>
      <c r="I59" s="424"/>
      <c r="J59" s="424"/>
      <c r="K59" s="424"/>
      <c r="L59" s="424"/>
      <c r="M59" s="424"/>
      <c r="N59" s="424"/>
      <c r="O59" s="424"/>
      <c r="P59" s="424"/>
      <c r="Q59" s="424"/>
      <c r="R59" s="424"/>
      <c r="S59" s="424"/>
      <c r="T59" s="424"/>
      <c r="U59" s="424"/>
      <c r="V59" s="424"/>
      <c r="W59" s="424"/>
      <c r="X59" s="424"/>
      <c r="Y59" s="424"/>
      <c r="Z59" s="424"/>
      <c r="AA59" s="424"/>
      <c r="AB59" s="424"/>
      <c r="AC59" s="424"/>
      <c r="AD59" s="424"/>
      <c r="AE59" s="424"/>
      <c r="AF59" s="424"/>
      <c r="AG59" s="424"/>
      <c r="AH59" s="424"/>
      <c r="AI59" s="424"/>
      <c r="AJ59" s="424"/>
      <c r="AK59" s="425"/>
    </row>
    <row r="61" spans="1:37" s="361" customFormat="1" ht="15" customHeight="1" x14ac:dyDescent="0.25"/>
    <row r="62" spans="1:37" ht="15" customHeight="1" x14ac:dyDescent="0.25">
      <c r="A62" s="204"/>
      <c r="B62" s="204" t="s">
        <v>176</v>
      </c>
      <c r="D62" s="203" t="s">
        <v>175</v>
      </c>
    </row>
    <row r="63" spans="1:37" ht="6" customHeight="1" x14ac:dyDescent="0.25">
      <c r="A63" s="204"/>
      <c r="B63" s="204"/>
      <c r="D63" s="203"/>
    </row>
    <row r="64" spans="1:37" ht="15" customHeight="1" x14ac:dyDescent="0.25">
      <c r="D64" s="178" t="s">
        <v>174</v>
      </c>
      <c r="K64" s="213" t="s">
        <v>129</v>
      </c>
      <c r="L64" s="178" t="s">
        <v>410</v>
      </c>
    </row>
    <row r="65" spans="3:37" ht="15" customHeight="1" x14ac:dyDescent="0.25">
      <c r="D65" s="178" t="s">
        <v>173</v>
      </c>
      <c r="K65" s="213" t="s">
        <v>129</v>
      </c>
      <c r="L65" s="178" t="s">
        <v>201</v>
      </c>
    </row>
    <row r="66" spans="3:37" ht="13.5" customHeight="1" x14ac:dyDescent="0.25">
      <c r="C66" s="208"/>
      <c r="D66" s="218"/>
      <c r="E66" s="216"/>
      <c r="F66" s="216"/>
      <c r="G66" s="216"/>
      <c r="H66" s="216"/>
      <c r="I66" s="216"/>
      <c r="J66" s="216"/>
      <c r="K66" s="216"/>
      <c r="L66" s="216"/>
      <c r="M66" s="217"/>
      <c r="N66" s="217"/>
      <c r="O66" s="217"/>
      <c r="P66" s="217"/>
      <c r="Q66" s="217"/>
      <c r="R66" s="126"/>
      <c r="S66" s="126"/>
      <c r="T66" s="126"/>
      <c r="U66" s="126"/>
      <c r="V66" s="12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</row>
    <row r="67" spans="3:37" ht="13.5" customHeight="1" x14ac:dyDescent="0.25">
      <c r="C67" s="208"/>
      <c r="D67" s="218"/>
      <c r="E67" s="216"/>
      <c r="F67" s="216"/>
      <c r="G67" s="216"/>
      <c r="H67" s="216"/>
      <c r="I67" s="216"/>
      <c r="J67" s="216"/>
      <c r="K67" s="216"/>
      <c r="L67" s="216"/>
      <c r="M67" s="217"/>
      <c r="N67" s="217"/>
      <c r="O67" s="217"/>
      <c r="P67" s="217"/>
      <c r="Q67" s="217"/>
      <c r="R67" s="126"/>
      <c r="S67" s="126"/>
      <c r="T67" s="126"/>
      <c r="U67" s="126"/>
      <c r="V67" s="12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216"/>
    </row>
    <row r="68" spans="3:37" ht="13.5" customHeight="1" x14ac:dyDescent="0.25">
      <c r="C68" s="208"/>
      <c r="D68" s="218"/>
      <c r="E68" s="216"/>
      <c r="F68" s="216"/>
      <c r="G68" s="216"/>
      <c r="H68" s="216"/>
      <c r="I68" s="216"/>
      <c r="J68" s="216"/>
      <c r="K68" s="216"/>
      <c r="L68" s="216"/>
      <c r="M68" s="217"/>
      <c r="N68" s="217"/>
      <c r="O68" s="217"/>
      <c r="P68" s="217"/>
      <c r="Q68" s="217"/>
      <c r="R68" s="126"/>
      <c r="S68" s="126"/>
      <c r="T68" s="126"/>
      <c r="U68" s="126"/>
      <c r="V68" s="126"/>
      <c r="W68" s="216"/>
      <c r="X68" s="216"/>
      <c r="Y68" s="216"/>
      <c r="Z68" s="216"/>
      <c r="AA68" s="216"/>
      <c r="AB68" s="216"/>
      <c r="AC68" s="216"/>
      <c r="AD68" s="216"/>
      <c r="AE68" s="216"/>
      <c r="AF68" s="216"/>
      <c r="AG68" s="216"/>
      <c r="AH68" s="216"/>
      <c r="AI68" s="216"/>
      <c r="AJ68" s="216"/>
      <c r="AK68" s="216"/>
    </row>
    <row r="69" spans="3:37" ht="13.5" customHeight="1" x14ac:dyDescent="0.25">
      <c r="C69" s="208"/>
      <c r="D69" s="218"/>
      <c r="E69" s="216"/>
      <c r="F69" s="216"/>
      <c r="G69" s="216"/>
      <c r="H69" s="216"/>
      <c r="I69" s="216"/>
      <c r="J69" s="216"/>
      <c r="K69" s="216"/>
      <c r="L69" s="216"/>
      <c r="M69" s="217"/>
      <c r="N69" s="217"/>
      <c r="O69" s="217"/>
      <c r="P69" s="217"/>
      <c r="Q69" s="217"/>
      <c r="R69" s="126"/>
      <c r="S69" s="126"/>
      <c r="T69" s="126"/>
      <c r="U69" s="126"/>
      <c r="V69" s="12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</row>
    <row r="70" spans="3:37" ht="13.5" customHeight="1" x14ac:dyDescent="0.25">
      <c r="C70" s="208"/>
      <c r="D70" s="218"/>
      <c r="E70" s="216"/>
      <c r="F70" s="216"/>
      <c r="G70" s="216"/>
      <c r="H70" s="216"/>
      <c r="I70" s="216"/>
      <c r="J70" s="216"/>
      <c r="K70" s="216"/>
      <c r="L70" s="216"/>
      <c r="M70" s="217"/>
      <c r="N70" s="217"/>
      <c r="O70" s="217"/>
      <c r="P70" s="217"/>
      <c r="Q70" s="217"/>
      <c r="R70" s="126"/>
      <c r="S70" s="126"/>
      <c r="T70" s="126"/>
      <c r="U70" s="126"/>
      <c r="V70" s="126"/>
      <c r="W70" s="216"/>
      <c r="X70" s="216"/>
      <c r="Y70" s="216"/>
      <c r="Z70" s="216"/>
      <c r="AA70" s="216"/>
      <c r="AB70" s="216"/>
      <c r="AC70" s="216"/>
      <c r="AD70" s="216"/>
      <c r="AE70" s="216"/>
      <c r="AF70" s="216"/>
      <c r="AG70" s="216"/>
      <c r="AH70" s="216"/>
      <c r="AI70" s="216"/>
      <c r="AJ70" s="216"/>
      <c r="AK70" s="216"/>
    </row>
    <row r="71" spans="3:37" ht="13.5" customHeight="1" x14ac:dyDescent="0.25">
      <c r="C71" s="208"/>
      <c r="D71" s="218"/>
      <c r="E71" s="216"/>
      <c r="F71" s="216"/>
      <c r="G71" s="216"/>
      <c r="H71" s="216"/>
      <c r="I71" s="216"/>
      <c r="J71" s="216"/>
      <c r="K71" s="216"/>
      <c r="L71" s="216"/>
      <c r="M71" s="217"/>
      <c r="N71" s="217"/>
      <c r="O71" s="217"/>
      <c r="P71" s="217"/>
      <c r="Q71" s="217"/>
      <c r="R71" s="126"/>
      <c r="S71" s="126"/>
      <c r="T71" s="126"/>
      <c r="U71" s="126"/>
      <c r="V71" s="12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</row>
    <row r="72" spans="3:37" ht="13.5" customHeight="1" x14ac:dyDescent="0.25">
      <c r="C72" s="208"/>
      <c r="D72" s="218"/>
      <c r="E72" s="216"/>
      <c r="F72" s="216"/>
      <c r="G72" s="216"/>
      <c r="H72" s="216"/>
      <c r="I72" s="216"/>
      <c r="J72" s="216"/>
      <c r="K72" s="216"/>
      <c r="L72" s="216"/>
      <c r="M72" s="217"/>
      <c r="N72" s="217"/>
      <c r="O72" s="217"/>
      <c r="P72" s="217"/>
      <c r="Q72" s="217"/>
      <c r="R72" s="126"/>
      <c r="S72" s="126"/>
      <c r="T72" s="126"/>
      <c r="U72" s="126"/>
      <c r="V72" s="12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</row>
    <row r="73" spans="3:37" ht="13.5" customHeight="1" x14ac:dyDescent="0.25">
      <c r="C73" s="208"/>
      <c r="D73" s="218"/>
      <c r="E73" s="216"/>
      <c r="F73" s="216"/>
      <c r="G73" s="216"/>
      <c r="H73" s="216"/>
      <c r="I73" s="216"/>
      <c r="J73" s="216"/>
      <c r="K73" s="216"/>
      <c r="L73" s="216"/>
      <c r="M73" s="217"/>
      <c r="N73" s="217"/>
      <c r="O73" s="217"/>
      <c r="P73" s="217"/>
      <c r="Q73" s="217"/>
      <c r="R73" s="126"/>
      <c r="S73" s="126"/>
      <c r="T73" s="126"/>
      <c r="U73" s="126"/>
      <c r="V73" s="12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</row>
    <row r="74" spans="3:37" ht="13.5" customHeight="1" x14ac:dyDescent="0.25">
      <c r="C74" s="208"/>
      <c r="D74" s="218"/>
      <c r="E74" s="216"/>
      <c r="F74" s="216"/>
      <c r="G74" s="216"/>
      <c r="H74" s="216"/>
      <c r="I74" s="216"/>
      <c r="J74" s="216"/>
      <c r="K74" s="216"/>
      <c r="L74" s="216"/>
      <c r="M74" s="217"/>
      <c r="N74" s="217"/>
      <c r="O74" s="217"/>
      <c r="P74" s="217"/>
      <c r="Q74" s="217"/>
      <c r="R74" s="126"/>
      <c r="S74" s="126"/>
      <c r="T74" s="126"/>
      <c r="U74" s="126"/>
      <c r="V74" s="12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</row>
    <row r="75" spans="3:37" ht="13.5" customHeight="1" x14ac:dyDescent="0.25">
      <c r="C75" s="208"/>
      <c r="D75" s="218"/>
      <c r="E75" s="216"/>
      <c r="F75" s="216"/>
      <c r="G75" s="216"/>
      <c r="H75" s="216"/>
      <c r="I75" s="216"/>
      <c r="J75" s="216"/>
      <c r="K75" s="216"/>
      <c r="L75" s="216"/>
      <c r="M75" s="217"/>
      <c r="N75" s="217"/>
      <c r="O75" s="217"/>
      <c r="P75" s="217"/>
      <c r="Q75" s="217"/>
      <c r="R75" s="126"/>
      <c r="S75" s="126"/>
      <c r="T75" s="126"/>
      <c r="U75" s="126"/>
      <c r="V75" s="126"/>
      <c r="W75" s="216"/>
      <c r="X75" s="216"/>
      <c r="Y75" s="216"/>
      <c r="Z75" s="216"/>
      <c r="AA75" s="216"/>
      <c r="AB75" s="216"/>
      <c r="AC75" s="216"/>
      <c r="AD75" s="216"/>
      <c r="AE75" s="216"/>
      <c r="AF75" s="216"/>
      <c r="AG75" s="216"/>
      <c r="AH75" s="216"/>
      <c r="AI75" s="216"/>
      <c r="AJ75" s="216"/>
      <c r="AK75" s="216"/>
    </row>
    <row r="76" spans="3:37" ht="13.5" customHeight="1" x14ac:dyDescent="0.25">
      <c r="C76" s="208"/>
      <c r="D76" s="218"/>
      <c r="E76" s="216"/>
      <c r="F76" s="216"/>
      <c r="G76" s="216"/>
      <c r="H76" s="216"/>
      <c r="I76" s="216"/>
      <c r="J76" s="216"/>
      <c r="K76" s="216"/>
      <c r="L76" s="216"/>
      <c r="M76" s="217"/>
      <c r="N76" s="217"/>
      <c r="O76" s="217"/>
      <c r="P76" s="217"/>
      <c r="Q76" s="217"/>
      <c r="R76" s="126"/>
      <c r="S76" s="126"/>
      <c r="T76" s="126"/>
      <c r="U76" s="126"/>
      <c r="V76" s="12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216"/>
    </row>
    <row r="77" spans="3:37" ht="13.5" customHeight="1" x14ac:dyDescent="0.25">
      <c r="C77" s="208"/>
      <c r="D77" s="218"/>
      <c r="E77" s="216"/>
      <c r="F77" s="216"/>
      <c r="G77" s="216"/>
      <c r="H77" s="216"/>
      <c r="I77" s="216"/>
      <c r="J77" s="216"/>
      <c r="K77" s="216"/>
      <c r="L77" s="216"/>
      <c r="M77" s="217"/>
      <c r="N77" s="217"/>
      <c r="O77" s="217"/>
      <c r="P77" s="217"/>
      <c r="Q77" s="217"/>
      <c r="R77" s="126"/>
      <c r="S77" s="126"/>
      <c r="T77" s="126"/>
      <c r="U77" s="126"/>
      <c r="V77" s="126"/>
      <c r="W77" s="216"/>
      <c r="X77" s="216"/>
      <c r="Y77" s="216"/>
      <c r="Z77" s="216"/>
      <c r="AA77" s="216"/>
      <c r="AB77" s="216"/>
      <c r="AC77" s="216"/>
      <c r="AD77" s="216"/>
      <c r="AE77" s="216"/>
      <c r="AF77" s="216"/>
      <c r="AG77" s="216"/>
      <c r="AH77" s="216"/>
      <c r="AI77" s="216"/>
      <c r="AJ77" s="216"/>
      <c r="AK77" s="216"/>
    </row>
    <row r="78" spans="3:37" ht="13.5" customHeight="1" x14ac:dyDescent="0.25">
      <c r="C78" s="208"/>
      <c r="D78" s="218"/>
      <c r="E78" s="216"/>
      <c r="F78" s="216"/>
      <c r="G78" s="216"/>
      <c r="H78" s="216"/>
      <c r="I78" s="216"/>
      <c r="J78" s="216"/>
      <c r="K78" s="216"/>
      <c r="L78" s="216"/>
      <c r="M78" s="217"/>
      <c r="N78" s="217"/>
      <c r="O78" s="217"/>
      <c r="P78" s="217"/>
      <c r="Q78" s="217"/>
      <c r="R78" s="126"/>
      <c r="S78" s="126"/>
      <c r="T78" s="126"/>
      <c r="U78" s="126"/>
      <c r="V78" s="12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</row>
    <row r="79" spans="3:37" ht="13.5" customHeight="1" x14ac:dyDescent="0.25">
      <c r="C79" s="208"/>
      <c r="D79" s="218"/>
      <c r="E79" s="216"/>
      <c r="F79" s="216"/>
      <c r="G79" s="216"/>
      <c r="H79" s="216"/>
      <c r="I79" s="216"/>
      <c r="J79" s="216"/>
      <c r="K79" s="216"/>
      <c r="L79" s="216"/>
      <c r="M79" s="217"/>
      <c r="N79" s="217"/>
      <c r="O79" s="217"/>
      <c r="P79" s="217"/>
      <c r="Q79" s="217"/>
      <c r="R79" s="126"/>
      <c r="S79" s="126"/>
      <c r="T79" s="126"/>
      <c r="U79" s="126"/>
      <c r="V79" s="12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216"/>
    </row>
    <row r="80" spans="3:37" ht="13.5" customHeight="1" x14ac:dyDescent="0.25">
      <c r="C80" s="208"/>
      <c r="D80" s="218"/>
      <c r="E80" s="216"/>
      <c r="F80" s="216"/>
      <c r="G80" s="216"/>
      <c r="H80" s="216"/>
      <c r="I80" s="216"/>
      <c r="J80" s="216"/>
      <c r="K80" s="216"/>
      <c r="L80" s="216"/>
      <c r="M80" s="217"/>
      <c r="N80" s="217"/>
      <c r="O80" s="217"/>
      <c r="P80" s="217"/>
      <c r="Q80" s="217"/>
      <c r="R80" s="126"/>
      <c r="S80" s="126"/>
      <c r="T80" s="126"/>
      <c r="U80" s="126"/>
      <c r="V80" s="12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216"/>
    </row>
    <row r="81" spans="1:44" ht="13.5" customHeight="1" x14ac:dyDescent="0.25">
      <c r="C81" s="208"/>
      <c r="D81" s="218"/>
      <c r="E81" s="216"/>
      <c r="F81" s="216"/>
      <c r="G81" s="216"/>
      <c r="H81" s="216"/>
      <c r="I81" s="216"/>
      <c r="J81" s="216"/>
      <c r="K81" s="216"/>
      <c r="L81" s="216"/>
      <c r="M81" s="217"/>
      <c r="N81" s="217"/>
      <c r="O81" s="217"/>
      <c r="P81" s="217"/>
      <c r="Q81" s="217"/>
      <c r="R81" s="126"/>
      <c r="S81" s="126"/>
      <c r="T81" s="126"/>
      <c r="U81" s="126"/>
      <c r="V81" s="12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216"/>
    </row>
    <row r="82" spans="1:44" ht="13.5" customHeight="1" x14ac:dyDescent="0.25">
      <c r="C82" s="208"/>
      <c r="D82" s="218"/>
      <c r="E82" s="216"/>
      <c r="F82" s="216"/>
      <c r="G82" s="216"/>
      <c r="H82" s="216"/>
      <c r="I82" s="216"/>
      <c r="J82" s="216"/>
      <c r="K82" s="216"/>
      <c r="L82" s="216"/>
      <c r="M82" s="217"/>
      <c r="N82" s="217"/>
      <c r="O82" s="217"/>
      <c r="P82" s="217"/>
      <c r="Q82" s="217"/>
      <c r="R82" s="126"/>
      <c r="S82" s="126"/>
      <c r="T82" s="126"/>
      <c r="U82" s="126"/>
      <c r="V82" s="12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</row>
    <row r="83" spans="1:44" ht="13.5" customHeight="1" x14ac:dyDescent="0.25">
      <c r="C83" s="208"/>
      <c r="D83" s="218"/>
      <c r="E83" s="216"/>
      <c r="F83" s="216"/>
      <c r="G83" s="216"/>
      <c r="H83" s="216"/>
      <c r="I83" s="216"/>
      <c r="J83" s="216"/>
      <c r="K83" s="216"/>
      <c r="L83" s="216"/>
      <c r="M83" s="217"/>
      <c r="N83" s="217"/>
      <c r="O83" s="217"/>
      <c r="P83" s="217"/>
      <c r="Q83" s="217"/>
      <c r="R83" s="126"/>
      <c r="S83" s="126"/>
      <c r="T83" s="126"/>
      <c r="U83" s="126"/>
      <c r="V83" s="12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216"/>
    </row>
    <row r="84" spans="1:44" ht="13.5" customHeight="1" x14ac:dyDescent="0.25">
      <c r="C84" s="208"/>
      <c r="D84" s="218"/>
      <c r="E84" s="216"/>
      <c r="F84" s="216"/>
      <c r="G84" s="216"/>
      <c r="H84" s="216"/>
      <c r="I84" s="216"/>
      <c r="J84" s="216"/>
      <c r="K84" s="216"/>
      <c r="L84" s="216"/>
      <c r="M84" s="217"/>
      <c r="N84" s="217"/>
      <c r="O84" s="217"/>
      <c r="P84" s="217"/>
      <c r="Q84" s="217"/>
      <c r="R84" s="126"/>
      <c r="S84" s="126"/>
      <c r="T84" s="126"/>
      <c r="U84" s="126"/>
      <c r="V84" s="12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216"/>
    </row>
    <row r="85" spans="1:44" ht="13.5" customHeight="1" x14ac:dyDescent="0.25">
      <c r="C85" s="208"/>
      <c r="D85" s="218"/>
      <c r="E85" s="216"/>
      <c r="F85" s="216"/>
      <c r="G85" s="216"/>
      <c r="H85" s="216"/>
      <c r="I85" s="216"/>
      <c r="J85" s="216"/>
      <c r="K85" s="216"/>
      <c r="L85" s="216"/>
      <c r="M85" s="217"/>
      <c r="N85" s="217"/>
      <c r="O85" s="217"/>
      <c r="P85" s="217"/>
      <c r="Q85" s="217"/>
      <c r="R85" s="126"/>
      <c r="S85" s="126"/>
      <c r="T85" s="126"/>
      <c r="U85" s="126"/>
      <c r="V85" s="12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</row>
    <row r="86" spans="1:44" ht="13.5" customHeight="1" x14ac:dyDescent="0.25">
      <c r="C86" s="208"/>
      <c r="D86" s="218"/>
      <c r="E86" s="216"/>
      <c r="F86" s="216"/>
      <c r="G86" s="216"/>
      <c r="H86" s="216"/>
      <c r="I86" s="216"/>
      <c r="J86" s="216"/>
      <c r="K86" s="216"/>
      <c r="L86" s="216"/>
      <c r="M86" s="217"/>
      <c r="N86" s="217"/>
      <c r="O86" s="217"/>
      <c r="P86" s="217"/>
      <c r="Q86" s="217"/>
      <c r="R86" s="126"/>
      <c r="S86" s="126"/>
      <c r="T86" s="126"/>
      <c r="U86" s="126"/>
      <c r="V86" s="12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216"/>
    </row>
    <row r="87" spans="1:44" ht="13.5" customHeight="1" x14ac:dyDescent="0.25">
      <c r="C87" s="208"/>
      <c r="D87" s="218"/>
      <c r="E87" s="216"/>
      <c r="F87" s="216"/>
      <c r="G87" s="216"/>
      <c r="H87" s="216"/>
      <c r="I87" s="216"/>
      <c r="J87" s="216"/>
      <c r="K87" s="216"/>
      <c r="L87" s="216"/>
      <c r="M87" s="217"/>
      <c r="N87" s="217"/>
      <c r="O87" s="217"/>
      <c r="P87" s="217"/>
      <c r="Q87" s="217"/>
      <c r="R87" s="126"/>
      <c r="S87" s="126"/>
      <c r="T87" s="126"/>
      <c r="U87" s="126"/>
      <c r="V87" s="126"/>
      <c r="W87" s="216"/>
      <c r="X87" s="216"/>
      <c r="Y87" s="216"/>
      <c r="Z87" s="216"/>
      <c r="AA87" s="216"/>
      <c r="AB87" s="216"/>
      <c r="AC87" s="216"/>
      <c r="AD87" s="216"/>
      <c r="AE87" s="216"/>
      <c r="AF87" s="216"/>
      <c r="AG87" s="216"/>
      <c r="AH87" s="216"/>
      <c r="AI87" s="216"/>
      <c r="AJ87" s="216"/>
      <c r="AK87" s="216"/>
    </row>
    <row r="88" spans="1:44" ht="13.5" customHeight="1" x14ac:dyDescent="0.25">
      <c r="C88" s="208"/>
      <c r="D88" s="218"/>
      <c r="E88" s="216"/>
      <c r="F88" s="216"/>
      <c r="G88" s="216"/>
      <c r="H88" s="216"/>
      <c r="I88" s="216"/>
      <c r="J88" s="216"/>
      <c r="K88" s="216"/>
      <c r="L88" s="216"/>
      <c r="M88" s="217"/>
      <c r="N88" s="217"/>
      <c r="O88" s="217"/>
      <c r="P88" s="217"/>
      <c r="Q88" s="217"/>
      <c r="R88" s="126"/>
      <c r="S88" s="126"/>
      <c r="T88" s="126"/>
      <c r="U88" s="126"/>
      <c r="V88" s="12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</row>
    <row r="89" spans="1:44" ht="13.5" customHeight="1" x14ac:dyDescent="0.25">
      <c r="C89" s="208"/>
      <c r="D89" s="218"/>
      <c r="E89" s="216"/>
      <c r="F89" s="216"/>
      <c r="G89" s="216"/>
      <c r="H89" s="216"/>
      <c r="I89" s="216"/>
      <c r="J89" s="216"/>
      <c r="K89" s="216"/>
      <c r="L89" s="216"/>
      <c r="M89" s="217"/>
      <c r="N89" s="217"/>
      <c r="O89" s="217"/>
      <c r="P89" s="217"/>
      <c r="Q89" s="217"/>
      <c r="R89" s="126"/>
      <c r="S89" s="126"/>
      <c r="T89" s="126"/>
      <c r="U89" s="126"/>
      <c r="V89" s="126"/>
      <c r="W89" s="216"/>
      <c r="X89" s="216"/>
      <c r="Y89" s="216"/>
      <c r="Z89" s="216"/>
      <c r="AA89" s="216"/>
      <c r="AB89" s="216"/>
      <c r="AC89" s="216"/>
      <c r="AD89" s="216"/>
      <c r="AE89" s="216"/>
      <c r="AF89" s="216"/>
      <c r="AG89" s="216"/>
      <c r="AH89" s="216"/>
      <c r="AI89" s="216"/>
      <c r="AJ89" s="216"/>
      <c r="AK89" s="216"/>
    </row>
    <row r="90" spans="1:44" ht="13.5" customHeight="1" x14ac:dyDescent="0.25">
      <c r="C90" s="208"/>
      <c r="D90" s="218"/>
      <c r="E90" s="216"/>
      <c r="F90" s="216"/>
      <c r="G90" s="216"/>
      <c r="H90" s="216"/>
      <c r="I90" s="216"/>
      <c r="J90" s="216"/>
      <c r="K90" s="216"/>
      <c r="L90" s="216"/>
      <c r="M90" s="217"/>
      <c r="N90" s="217"/>
      <c r="O90" s="217"/>
      <c r="P90" s="217"/>
      <c r="Q90" s="217"/>
      <c r="R90" s="126"/>
      <c r="S90" s="126"/>
      <c r="T90" s="126"/>
      <c r="U90" s="126"/>
      <c r="V90" s="12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216"/>
    </row>
    <row r="91" spans="1:44" ht="13.5" customHeight="1" x14ac:dyDescent="0.25">
      <c r="C91" s="208"/>
      <c r="D91" s="218"/>
      <c r="E91" s="216"/>
      <c r="F91" s="216"/>
      <c r="G91" s="216"/>
      <c r="H91" s="216"/>
      <c r="I91" s="216"/>
      <c r="J91" s="216"/>
      <c r="K91" s="216"/>
      <c r="L91" s="216"/>
      <c r="M91" s="217"/>
      <c r="N91" s="217"/>
      <c r="O91" s="217"/>
      <c r="P91" s="217"/>
      <c r="Q91" s="217"/>
      <c r="R91" s="126"/>
      <c r="S91" s="126"/>
      <c r="T91" s="126"/>
      <c r="U91" s="126"/>
      <c r="V91" s="12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</row>
    <row r="92" spans="1:44" ht="13.5" customHeight="1" x14ac:dyDescent="0.25">
      <c r="C92" s="208"/>
      <c r="D92" s="218"/>
      <c r="E92" s="216"/>
      <c r="F92" s="216"/>
      <c r="G92" s="216"/>
      <c r="H92" s="216"/>
      <c r="I92" s="216"/>
      <c r="J92" s="216"/>
      <c r="K92" s="216"/>
      <c r="L92" s="216"/>
      <c r="M92" s="217"/>
      <c r="N92" s="217"/>
      <c r="O92" s="217"/>
      <c r="P92" s="217"/>
      <c r="Q92" s="217"/>
      <c r="R92" s="126"/>
      <c r="S92" s="126"/>
      <c r="T92" s="126"/>
      <c r="U92" s="126"/>
      <c r="V92" s="12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</row>
    <row r="93" spans="1:44" ht="13.5" customHeight="1" x14ac:dyDescent="0.25">
      <c r="C93" s="208"/>
      <c r="D93" s="218"/>
      <c r="E93" s="216"/>
      <c r="F93" s="216"/>
      <c r="G93" s="216"/>
      <c r="H93" s="216"/>
      <c r="I93" s="216"/>
      <c r="J93" s="216"/>
      <c r="K93" s="216"/>
      <c r="L93" s="216"/>
      <c r="M93" s="217"/>
      <c r="N93" s="217"/>
      <c r="O93" s="217"/>
      <c r="P93" s="217"/>
      <c r="Q93" s="217"/>
      <c r="R93" s="126"/>
      <c r="S93" s="126"/>
      <c r="T93" s="126"/>
      <c r="U93" s="126"/>
      <c r="V93" s="12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216"/>
    </row>
    <row r="94" spans="1:44" ht="15" customHeight="1" x14ac:dyDescent="0.25">
      <c r="A94" s="204"/>
      <c r="B94" s="204" t="s">
        <v>172</v>
      </c>
      <c r="D94" s="203" t="s">
        <v>171</v>
      </c>
      <c r="O94" s="208" t="s">
        <v>170</v>
      </c>
      <c r="P94" s="414">
        <v>55906.879999999997</v>
      </c>
      <c r="Q94" s="414"/>
      <c r="R94" s="414"/>
      <c r="S94" s="414"/>
      <c r="T94" s="215" t="s">
        <v>161</v>
      </c>
      <c r="Z94" s="206"/>
      <c r="AA94" s="206"/>
      <c r="AN94" s="80"/>
      <c r="AO94" s="80"/>
      <c r="AR94" s="214"/>
    </row>
    <row r="95" spans="1:44" ht="13.5" customHeight="1" x14ac:dyDescent="0.25"/>
    <row r="96" spans="1:44" ht="15" customHeight="1" x14ac:dyDescent="0.25">
      <c r="A96" s="204"/>
      <c r="B96" s="204" t="s">
        <v>160</v>
      </c>
      <c r="D96" s="203" t="s">
        <v>159</v>
      </c>
      <c r="AB96" s="204"/>
      <c r="AC96" s="204"/>
      <c r="AD96" s="204"/>
      <c r="AE96" s="204"/>
      <c r="AF96" s="204"/>
    </row>
    <row r="97" spans="1:39" ht="6" customHeight="1" x14ac:dyDescent="0.25">
      <c r="A97" s="204"/>
      <c r="B97" s="204"/>
      <c r="D97" s="203"/>
    </row>
    <row r="98" spans="1:39" ht="15" customHeight="1" x14ac:dyDescent="0.25">
      <c r="C98" s="208"/>
      <c r="D98" s="178" t="s">
        <v>158</v>
      </c>
      <c r="H98" s="213" t="s">
        <v>129</v>
      </c>
      <c r="I98" s="178" t="s">
        <v>409</v>
      </c>
      <c r="J98" s="206"/>
      <c r="K98" s="206"/>
      <c r="L98" s="206"/>
      <c r="M98" s="206"/>
      <c r="P98" s="412">
        <f>+P15</f>
        <v>13750983</v>
      </c>
      <c r="Q98" s="413"/>
      <c r="R98" s="413"/>
      <c r="S98" s="129" t="str">
        <f>+S15</f>
        <v>del Registro de Propiedad Inmueble, Zona Registral IX Sede Lima.</v>
      </c>
    </row>
    <row r="99" spans="1:39" ht="13.5" customHeight="1" x14ac:dyDescent="0.25">
      <c r="Y99" s="125"/>
      <c r="Z99" s="206"/>
      <c r="AA99" s="212"/>
    </row>
    <row r="100" spans="1:39" ht="15" customHeight="1" x14ac:dyDescent="0.25">
      <c r="A100" s="204"/>
      <c r="B100" s="204" t="s">
        <v>155</v>
      </c>
      <c r="D100" s="203" t="s">
        <v>154</v>
      </c>
      <c r="Y100" s="125"/>
      <c r="Z100" s="206"/>
      <c r="AA100" s="206"/>
    </row>
    <row r="101" spans="1:39" ht="6" customHeight="1" x14ac:dyDescent="0.25">
      <c r="A101" s="204"/>
      <c r="B101" s="204"/>
      <c r="D101" s="203"/>
      <c r="Y101" s="125"/>
      <c r="Z101" s="206"/>
      <c r="AA101" s="206"/>
    </row>
    <row r="102" spans="1:39" ht="30" customHeight="1" x14ac:dyDescent="0.25">
      <c r="D102" s="407" t="s">
        <v>408</v>
      </c>
      <c r="E102" s="407"/>
      <c r="F102" s="407"/>
      <c r="G102" s="407"/>
      <c r="H102" s="407"/>
      <c r="I102" s="407"/>
      <c r="J102" s="407"/>
      <c r="K102" s="407"/>
      <c r="L102" s="407"/>
      <c r="M102" s="407"/>
      <c r="N102" s="407"/>
      <c r="O102" s="407"/>
      <c r="P102" s="407"/>
      <c r="Q102" s="407"/>
      <c r="R102" s="407"/>
      <c r="S102" s="407"/>
      <c r="T102" s="407"/>
      <c r="U102" s="407"/>
      <c r="V102" s="407"/>
      <c r="W102" s="407"/>
      <c r="X102" s="407"/>
      <c r="Y102" s="407"/>
      <c r="Z102" s="407"/>
      <c r="AA102" s="407"/>
      <c r="AB102" s="407"/>
      <c r="AC102" s="407"/>
      <c r="AD102" s="407"/>
      <c r="AE102" s="407"/>
      <c r="AF102" s="407"/>
      <c r="AG102" s="407"/>
      <c r="AH102" s="407"/>
      <c r="AI102" s="407"/>
      <c r="AJ102" s="407"/>
      <c r="AK102" s="407"/>
      <c r="AL102" s="205"/>
      <c r="AM102" s="205"/>
    </row>
    <row r="103" spans="1:39" s="249" customFormat="1" ht="30" customHeight="1" x14ac:dyDescent="0.25">
      <c r="D103" s="407" t="s">
        <v>477</v>
      </c>
      <c r="E103" s="407"/>
      <c r="F103" s="407"/>
      <c r="G103" s="407"/>
      <c r="H103" s="407"/>
      <c r="I103" s="407"/>
      <c r="J103" s="407"/>
      <c r="K103" s="407"/>
      <c r="L103" s="407"/>
      <c r="M103" s="407"/>
      <c r="N103" s="407"/>
      <c r="O103" s="407"/>
      <c r="P103" s="407"/>
      <c r="Q103" s="407"/>
      <c r="R103" s="407"/>
      <c r="S103" s="407"/>
      <c r="T103" s="407"/>
      <c r="U103" s="407"/>
      <c r="V103" s="407"/>
      <c r="W103" s="407"/>
      <c r="X103" s="407"/>
      <c r="Y103" s="407"/>
      <c r="Z103" s="407"/>
      <c r="AA103" s="407"/>
      <c r="AB103" s="407"/>
      <c r="AC103" s="407"/>
      <c r="AD103" s="407"/>
      <c r="AE103" s="407"/>
      <c r="AF103" s="407"/>
      <c r="AG103" s="407"/>
      <c r="AH103" s="407"/>
      <c r="AI103" s="407"/>
      <c r="AJ103" s="407"/>
      <c r="AK103" s="407"/>
      <c r="AL103" s="248"/>
      <c r="AM103" s="248"/>
    </row>
    <row r="104" spans="1:39" s="249" customFormat="1" ht="12.75" x14ac:dyDescent="0.25">
      <c r="D104" s="248"/>
      <c r="E104" s="248"/>
      <c r="F104" s="248"/>
      <c r="G104" s="248"/>
      <c r="H104" s="248"/>
      <c r="I104" s="248"/>
      <c r="J104" s="248"/>
      <c r="K104" s="248"/>
      <c r="L104" s="248"/>
      <c r="M104" s="248"/>
      <c r="N104" s="248"/>
      <c r="O104" s="248"/>
      <c r="P104" s="248"/>
      <c r="Q104" s="248"/>
      <c r="R104" s="248"/>
      <c r="S104" s="248"/>
      <c r="T104" s="248"/>
      <c r="U104" s="248"/>
      <c r="V104" s="248"/>
      <c r="W104" s="248"/>
      <c r="X104" s="248"/>
      <c r="Y104" s="248"/>
      <c r="Z104" s="248"/>
      <c r="AA104" s="248"/>
      <c r="AB104" s="248"/>
      <c r="AC104" s="248"/>
      <c r="AD104" s="248"/>
      <c r="AE104" s="248"/>
      <c r="AF104" s="248"/>
      <c r="AG104" s="248"/>
      <c r="AH104" s="248"/>
      <c r="AI104" s="248"/>
      <c r="AJ104" s="248"/>
      <c r="AK104" s="248"/>
      <c r="AL104" s="248"/>
      <c r="AM104" s="248"/>
    </row>
    <row r="105" spans="1:39" ht="15" customHeight="1" x14ac:dyDescent="0.25">
      <c r="A105" s="204"/>
      <c r="B105" s="204"/>
      <c r="D105" s="203" t="s">
        <v>151</v>
      </c>
    </row>
    <row r="106" spans="1:39" ht="6" customHeight="1" x14ac:dyDescent="0.25"/>
    <row r="107" spans="1:39" s="124" customFormat="1" ht="15" customHeight="1" x14ac:dyDescent="0.25">
      <c r="D107" s="124" t="s">
        <v>204</v>
      </c>
      <c r="K107" s="124" t="s">
        <v>195</v>
      </c>
      <c r="L107" s="238" t="s">
        <v>203</v>
      </c>
      <c r="R107" s="124" t="s">
        <v>200</v>
      </c>
      <c r="W107" s="124" t="s">
        <v>195</v>
      </c>
      <c r="X107" s="237" t="s">
        <v>199</v>
      </c>
      <c r="AC107" s="124" t="s">
        <v>198</v>
      </c>
      <c r="AI107" s="124" t="s">
        <v>195</v>
      </c>
      <c r="AJ107" s="237" t="s">
        <v>197</v>
      </c>
    </row>
    <row r="108" spans="1:39" ht="6" customHeight="1" x14ac:dyDescent="0.25"/>
    <row r="109" spans="1:39" ht="15" customHeight="1" x14ac:dyDescent="0.25">
      <c r="D109" s="210" t="s">
        <v>407</v>
      </c>
    </row>
    <row r="110" spans="1:39" ht="6" customHeight="1" x14ac:dyDescent="0.25"/>
    <row r="111" spans="1:39" ht="15" customHeight="1" x14ac:dyDescent="0.25">
      <c r="D111" s="210" t="s">
        <v>149</v>
      </c>
      <c r="E111" s="210" t="s">
        <v>148</v>
      </c>
      <c r="N111" s="209" t="s">
        <v>129</v>
      </c>
      <c r="O111" s="209"/>
      <c r="P111" s="407" t="s">
        <v>147</v>
      </c>
      <c r="Q111" s="407"/>
      <c r="R111" s="407"/>
      <c r="S111" s="407"/>
      <c r="T111" s="407"/>
      <c r="U111" s="407"/>
      <c r="V111" s="407"/>
      <c r="W111" s="407"/>
      <c r="X111" s="407"/>
      <c r="Y111" s="407"/>
      <c r="Z111" s="407"/>
      <c r="AA111" s="407"/>
      <c r="AB111" s="407"/>
      <c r="AC111" s="407"/>
      <c r="AD111" s="407"/>
      <c r="AE111" s="407"/>
      <c r="AF111" s="407"/>
      <c r="AG111" s="407"/>
      <c r="AH111" s="407"/>
      <c r="AI111" s="407"/>
      <c r="AJ111" s="407"/>
      <c r="AK111" s="407"/>
    </row>
    <row r="112" spans="1:39" ht="6" customHeight="1" x14ac:dyDescent="0.25">
      <c r="N112" s="208"/>
      <c r="O112" s="208"/>
      <c r="P112" s="407"/>
      <c r="Q112" s="407"/>
      <c r="R112" s="407"/>
      <c r="S112" s="407"/>
      <c r="T112" s="407"/>
      <c r="U112" s="407"/>
      <c r="V112" s="407"/>
      <c r="W112" s="407"/>
      <c r="X112" s="407"/>
      <c r="Y112" s="407"/>
      <c r="Z112" s="407"/>
      <c r="AA112" s="407"/>
      <c r="AB112" s="407"/>
      <c r="AC112" s="407"/>
      <c r="AD112" s="407"/>
      <c r="AE112" s="407"/>
      <c r="AF112" s="407"/>
      <c r="AG112" s="407"/>
      <c r="AH112" s="407"/>
      <c r="AI112" s="407"/>
      <c r="AJ112" s="407"/>
      <c r="AK112" s="407"/>
    </row>
    <row r="113" spans="1:37" ht="15" customHeight="1" x14ac:dyDescent="0.25">
      <c r="D113" s="210" t="s">
        <v>146</v>
      </c>
      <c r="E113" s="210" t="s">
        <v>145</v>
      </c>
      <c r="N113" s="209" t="s">
        <v>129</v>
      </c>
      <c r="O113" s="209"/>
      <c r="P113" s="407" t="s">
        <v>406</v>
      </c>
      <c r="Q113" s="407"/>
      <c r="R113" s="407"/>
      <c r="S113" s="407"/>
      <c r="T113" s="407"/>
      <c r="U113" s="407"/>
      <c r="V113" s="407"/>
      <c r="W113" s="407"/>
      <c r="X113" s="407"/>
      <c r="Y113" s="407"/>
      <c r="Z113" s="407"/>
      <c r="AA113" s="407"/>
      <c r="AB113" s="407"/>
      <c r="AC113" s="407"/>
      <c r="AD113" s="407"/>
      <c r="AE113" s="407"/>
      <c r="AF113" s="407"/>
      <c r="AG113" s="407"/>
      <c r="AH113" s="407"/>
      <c r="AI113" s="407"/>
      <c r="AJ113" s="407"/>
      <c r="AK113" s="407"/>
    </row>
    <row r="114" spans="1:37" ht="6" customHeight="1" x14ac:dyDescent="0.25">
      <c r="N114" s="208"/>
      <c r="O114" s="208"/>
      <c r="P114" s="407"/>
      <c r="Q114" s="407"/>
      <c r="R114" s="407"/>
      <c r="S114" s="407"/>
      <c r="T114" s="407"/>
      <c r="U114" s="407"/>
      <c r="V114" s="407"/>
      <c r="W114" s="407"/>
      <c r="X114" s="407"/>
      <c r="Y114" s="407"/>
      <c r="Z114" s="407"/>
      <c r="AA114" s="407"/>
      <c r="AB114" s="407"/>
      <c r="AC114" s="407"/>
      <c r="AD114" s="407"/>
      <c r="AE114" s="407"/>
      <c r="AF114" s="407"/>
      <c r="AG114" s="407"/>
      <c r="AH114" s="407"/>
      <c r="AI114" s="407"/>
      <c r="AJ114" s="407"/>
      <c r="AK114" s="407"/>
    </row>
    <row r="115" spans="1:37" ht="15" customHeight="1" x14ac:dyDescent="0.25">
      <c r="D115" s="210" t="s">
        <v>144</v>
      </c>
      <c r="E115" s="210" t="s">
        <v>143</v>
      </c>
      <c r="N115" s="209" t="s">
        <v>129</v>
      </c>
      <c r="O115" s="209"/>
      <c r="P115" s="407" t="s">
        <v>405</v>
      </c>
      <c r="Q115" s="407"/>
      <c r="R115" s="407"/>
      <c r="S115" s="407"/>
      <c r="T115" s="407"/>
      <c r="U115" s="407"/>
      <c r="V115" s="407"/>
      <c r="W115" s="407"/>
      <c r="X115" s="407"/>
      <c r="Y115" s="407"/>
      <c r="Z115" s="407"/>
      <c r="AA115" s="407"/>
      <c r="AB115" s="407"/>
      <c r="AC115" s="407"/>
      <c r="AD115" s="407"/>
      <c r="AE115" s="407"/>
      <c r="AF115" s="407"/>
      <c r="AG115" s="407"/>
      <c r="AH115" s="407"/>
      <c r="AI115" s="407"/>
      <c r="AJ115" s="407"/>
      <c r="AK115" s="407"/>
    </row>
    <row r="116" spans="1:37" ht="6" customHeight="1" x14ac:dyDescent="0.25">
      <c r="N116" s="208"/>
      <c r="O116" s="208"/>
      <c r="P116" s="407"/>
      <c r="Q116" s="407"/>
      <c r="R116" s="407"/>
      <c r="S116" s="407"/>
      <c r="T116" s="407"/>
      <c r="U116" s="407"/>
      <c r="V116" s="407"/>
      <c r="W116" s="407"/>
      <c r="X116" s="407"/>
      <c r="Y116" s="407"/>
      <c r="Z116" s="407"/>
      <c r="AA116" s="407"/>
      <c r="AB116" s="407"/>
      <c r="AC116" s="407"/>
      <c r="AD116" s="407"/>
      <c r="AE116" s="407"/>
      <c r="AF116" s="407"/>
      <c r="AG116" s="407"/>
      <c r="AH116" s="407"/>
      <c r="AI116" s="407"/>
      <c r="AJ116" s="407"/>
      <c r="AK116" s="407"/>
    </row>
    <row r="117" spans="1:37" ht="30" customHeight="1" x14ac:dyDescent="0.25">
      <c r="D117" s="210" t="s">
        <v>142</v>
      </c>
      <c r="E117" s="210" t="s">
        <v>141</v>
      </c>
      <c r="N117" s="209" t="s">
        <v>129</v>
      </c>
      <c r="O117" s="209"/>
      <c r="P117" s="407" t="s">
        <v>404</v>
      </c>
      <c r="Q117" s="407"/>
      <c r="R117" s="407"/>
      <c r="S117" s="407"/>
      <c r="T117" s="407"/>
      <c r="U117" s="407"/>
      <c r="V117" s="407"/>
      <c r="W117" s="407"/>
      <c r="X117" s="407"/>
      <c r="Y117" s="407"/>
      <c r="Z117" s="407"/>
      <c r="AA117" s="407"/>
      <c r="AB117" s="407"/>
      <c r="AC117" s="407"/>
      <c r="AD117" s="407"/>
      <c r="AE117" s="407"/>
      <c r="AF117" s="407"/>
      <c r="AG117" s="407"/>
      <c r="AH117" s="407"/>
      <c r="AI117" s="407"/>
      <c r="AJ117" s="407"/>
      <c r="AK117" s="407"/>
    </row>
    <row r="118" spans="1:37" ht="6" customHeight="1" x14ac:dyDescent="0.25">
      <c r="N118" s="208"/>
      <c r="O118" s="208"/>
      <c r="P118" s="407"/>
      <c r="Q118" s="407"/>
      <c r="R118" s="407"/>
      <c r="S118" s="407"/>
      <c r="T118" s="407"/>
      <c r="U118" s="407"/>
      <c r="V118" s="407"/>
      <c r="W118" s="407"/>
      <c r="X118" s="407"/>
      <c r="Y118" s="407"/>
      <c r="Z118" s="407"/>
      <c r="AA118" s="407"/>
      <c r="AB118" s="407"/>
      <c r="AC118" s="407"/>
      <c r="AD118" s="407"/>
      <c r="AE118" s="407"/>
      <c r="AF118" s="407"/>
      <c r="AG118" s="407"/>
      <c r="AH118" s="407"/>
      <c r="AI118" s="407"/>
      <c r="AJ118" s="407"/>
      <c r="AK118" s="407"/>
    </row>
    <row r="119" spans="1:37" ht="15" customHeight="1" x14ac:dyDescent="0.25">
      <c r="D119" s="210" t="s">
        <v>140</v>
      </c>
      <c r="E119" s="210" t="s">
        <v>403</v>
      </c>
      <c r="N119" s="209" t="s">
        <v>129</v>
      </c>
      <c r="O119" s="209"/>
      <c r="P119" s="407" t="s">
        <v>136</v>
      </c>
      <c r="Q119" s="407"/>
      <c r="R119" s="407"/>
      <c r="S119" s="407"/>
      <c r="T119" s="407"/>
      <c r="U119" s="407"/>
      <c r="V119" s="407"/>
      <c r="W119" s="407"/>
      <c r="X119" s="407"/>
      <c r="Y119" s="407"/>
      <c r="Z119" s="407"/>
      <c r="AA119" s="407"/>
      <c r="AB119" s="407"/>
      <c r="AC119" s="407"/>
      <c r="AD119" s="407"/>
      <c r="AE119" s="407"/>
      <c r="AF119" s="407"/>
      <c r="AG119" s="407"/>
      <c r="AH119" s="407"/>
      <c r="AI119" s="407"/>
      <c r="AJ119" s="407"/>
      <c r="AK119" s="407"/>
    </row>
    <row r="120" spans="1:37" ht="15" customHeight="1" x14ac:dyDescent="0.25">
      <c r="N120" s="208"/>
      <c r="O120" s="208"/>
      <c r="P120" s="407" t="s">
        <v>401</v>
      </c>
      <c r="Q120" s="407"/>
      <c r="R120" s="407"/>
      <c r="S120" s="407"/>
      <c r="T120" s="407"/>
      <c r="U120" s="407"/>
      <c r="V120" s="407"/>
      <c r="W120" s="407"/>
      <c r="X120" s="407"/>
      <c r="Y120" s="407"/>
      <c r="Z120" s="407"/>
      <c r="AA120" s="407"/>
      <c r="AB120" s="407"/>
      <c r="AC120" s="407"/>
      <c r="AD120" s="407"/>
      <c r="AE120" s="407"/>
      <c r="AF120" s="407"/>
      <c r="AG120" s="407"/>
      <c r="AH120" s="407"/>
      <c r="AI120" s="407"/>
      <c r="AJ120" s="407"/>
      <c r="AK120" s="407"/>
    </row>
    <row r="121" spans="1:37" ht="30" customHeight="1" x14ac:dyDescent="0.25">
      <c r="N121" s="208"/>
      <c r="O121" s="208"/>
      <c r="P121" s="407" t="s">
        <v>402</v>
      </c>
      <c r="Q121" s="407"/>
      <c r="R121" s="407"/>
      <c r="S121" s="407"/>
      <c r="T121" s="407"/>
      <c r="U121" s="407"/>
      <c r="V121" s="407"/>
      <c r="W121" s="407"/>
      <c r="X121" s="407"/>
      <c r="Y121" s="407"/>
      <c r="Z121" s="407"/>
      <c r="AA121" s="407"/>
      <c r="AB121" s="407"/>
      <c r="AC121" s="407"/>
      <c r="AD121" s="407"/>
      <c r="AE121" s="407"/>
      <c r="AF121" s="407"/>
      <c r="AG121" s="407"/>
      <c r="AH121" s="407"/>
      <c r="AI121" s="407"/>
      <c r="AJ121" s="407"/>
      <c r="AK121" s="407"/>
    </row>
    <row r="122" spans="1:37" ht="6" customHeight="1" x14ac:dyDescent="0.25">
      <c r="N122" s="208"/>
      <c r="O122" s="208"/>
      <c r="P122" s="407"/>
      <c r="Q122" s="407"/>
      <c r="R122" s="407"/>
      <c r="S122" s="407"/>
      <c r="T122" s="407"/>
      <c r="U122" s="407"/>
      <c r="V122" s="407"/>
      <c r="W122" s="407"/>
      <c r="X122" s="407"/>
      <c r="Y122" s="407"/>
      <c r="Z122" s="407"/>
      <c r="AA122" s="407"/>
      <c r="AB122" s="407"/>
      <c r="AC122" s="407"/>
      <c r="AD122" s="407"/>
      <c r="AE122" s="407"/>
      <c r="AF122" s="407"/>
      <c r="AG122" s="407"/>
      <c r="AH122" s="407"/>
      <c r="AI122" s="407"/>
      <c r="AJ122" s="407"/>
      <c r="AK122" s="407"/>
    </row>
    <row r="123" spans="1:37" ht="15" customHeight="1" x14ac:dyDescent="0.25">
      <c r="D123" s="210" t="s">
        <v>138</v>
      </c>
      <c r="E123" s="210" t="s">
        <v>137</v>
      </c>
      <c r="F123" s="211"/>
      <c r="G123" s="211"/>
      <c r="N123" s="209" t="s">
        <v>129</v>
      </c>
      <c r="O123" s="209"/>
      <c r="P123" s="407" t="s">
        <v>136</v>
      </c>
      <c r="Q123" s="407"/>
      <c r="R123" s="407"/>
      <c r="S123" s="407"/>
      <c r="T123" s="407"/>
      <c r="U123" s="407"/>
      <c r="V123" s="407"/>
      <c r="W123" s="407"/>
      <c r="X123" s="407"/>
      <c r="Y123" s="407"/>
      <c r="Z123" s="407"/>
      <c r="AA123" s="407"/>
      <c r="AB123" s="407"/>
      <c r="AC123" s="407"/>
      <c r="AD123" s="407"/>
      <c r="AE123" s="407"/>
      <c r="AF123" s="407"/>
      <c r="AG123" s="407"/>
      <c r="AH123" s="407"/>
      <c r="AI123" s="407"/>
      <c r="AJ123" s="407"/>
      <c r="AK123" s="407"/>
    </row>
    <row r="124" spans="1:37" ht="15" customHeight="1" x14ac:dyDescent="0.25">
      <c r="N124" s="208"/>
      <c r="O124" s="208"/>
      <c r="P124" s="407" t="s">
        <v>401</v>
      </c>
      <c r="Q124" s="407"/>
      <c r="R124" s="407"/>
      <c r="S124" s="407"/>
      <c r="T124" s="407"/>
      <c r="U124" s="407"/>
      <c r="V124" s="407"/>
      <c r="W124" s="407"/>
      <c r="X124" s="407"/>
      <c r="Y124" s="407"/>
      <c r="Z124" s="407"/>
      <c r="AA124" s="407"/>
      <c r="AB124" s="407"/>
      <c r="AC124" s="407"/>
      <c r="AD124" s="407"/>
      <c r="AE124" s="407"/>
      <c r="AF124" s="407"/>
      <c r="AG124" s="407"/>
      <c r="AH124" s="407"/>
      <c r="AI124" s="407"/>
      <c r="AJ124" s="407"/>
      <c r="AK124" s="407"/>
    </row>
    <row r="125" spans="1:37" ht="30" customHeight="1" x14ac:dyDescent="0.25">
      <c r="N125" s="208"/>
      <c r="O125" s="208"/>
      <c r="P125" s="407" t="s">
        <v>400</v>
      </c>
      <c r="Q125" s="407"/>
      <c r="R125" s="407"/>
      <c r="S125" s="407"/>
      <c r="T125" s="407"/>
      <c r="U125" s="407"/>
      <c r="V125" s="407"/>
      <c r="W125" s="407"/>
      <c r="X125" s="407"/>
      <c r="Y125" s="407"/>
      <c r="Z125" s="407"/>
      <c r="AA125" s="407"/>
      <c r="AB125" s="407"/>
      <c r="AC125" s="407"/>
      <c r="AD125" s="407"/>
      <c r="AE125" s="407"/>
      <c r="AF125" s="407"/>
      <c r="AG125" s="407"/>
      <c r="AH125" s="407"/>
      <c r="AI125" s="407"/>
      <c r="AJ125" s="407"/>
      <c r="AK125" s="407"/>
    </row>
    <row r="126" spans="1:37" ht="6" customHeight="1" x14ac:dyDescent="0.25">
      <c r="N126" s="208"/>
      <c r="O126" s="208"/>
      <c r="P126" s="407"/>
      <c r="Q126" s="407"/>
      <c r="R126" s="407"/>
      <c r="S126" s="407"/>
      <c r="T126" s="407"/>
      <c r="U126" s="407"/>
      <c r="V126" s="407"/>
      <c r="W126" s="407"/>
      <c r="X126" s="407"/>
      <c r="Y126" s="407"/>
      <c r="Z126" s="407"/>
      <c r="AA126" s="407"/>
      <c r="AB126" s="407"/>
      <c r="AC126" s="407"/>
      <c r="AD126" s="407"/>
      <c r="AE126" s="407"/>
      <c r="AF126" s="407"/>
      <c r="AG126" s="407"/>
      <c r="AH126" s="407"/>
      <c r="AI126" s="407"/>
      <c r="AJ126" s="407"/>
      <c r="AK126" s="407"/>
    </row>
    <row r="127" spans="1:37" ht="15" customHeight="1" x14ac:dyDescent="0.25">
      <c r="A127" s="206"/>
      <c r="B127" s="206"/>
      <c r="D127" s="210" t="s">
        <v>135</v>
      </c>
      <c r="E127" s="210" t="s">
        <v>134</v>
      </c>
      <c r="N127" s="209" t="s">
        <v>129</v>
      </c>
      <c r="O127" s="209"/>
      <c r="P127" s="407" t="s">
        <v>399</v>
      </c>
      <c r="Q127" s="407"/>
      <c r="R127" s="407"/>
      <c r="S127" s="407"/>
      <c r="T127" s="407"/>
      <c r="U127" s="407"/>
      <c r="V127" s="407"/>
      <c r="W127" s="407"/>
      <c r="X127" s="407"/>
      <c r="Y127" s="407"/>
      <c r="Z127" s="407"/>
      <c r="AA127" s="407"/>
      <c r="AB127" s="407"/>
      <c r="AC127" s="407"/>
      <c r="AD127" s="407"/>
      <c r="AE127" s="407"/>
      <c r="AF127" s="407"/>
      <c r="AG127" s="407"/>
      <c r="AH127" s="407"/>
      <c r="AI127" s="407"/>
      <c r="AJ127" s="407"/>
      <c r="AK127" s="407"/>
    </row>
    <row r="128" spans="1:37" ht="6" customHeight="1" x14ac:dyDescent="0.25">
      <c r="N128" s="208"/>
      <c r="O128" s="208"/>
      <c r="P128" s="407"/>
      <c r="Q128" s="407"/>
      <c r="R128" s="407"/>
      <c r="S128" s="407"/>
      <c r="T128" s="407"/>
      <c r="U128" s="407"/>
      <c r="V128" s="407"/>
      <c r="W128" s="407"/>
      <c r="X128" s="407"/>
      <c r="Y128" s="407"/>
      <c r="Z128" s="407"/>
      <c r="AA128" s="407"/>
      <c r="AB128" s="407"/>
      <c r="AC128" s="407"/>
      <c r="AD128" s="407"/>
      <c r="AE128" s="407"/>
      <c r="AF128" s="407"/>
      <c r="AG128" s="407"/>
      <c r="AH128" s="407"/>
      <c r="AI128" s="407"/>
      <c r="AJ128" s="407"/>
      <c r="AK128" s="407"/>
    </row>
    <row r="129" spans="1:39" ht="15" customHeight="1" x14ac:dyDescent="0.25">
      <c r="D129" s="210" t="s">
        <v>133</v>
      </c>
      <c r="E129" s="210" t="s">
        <v>132</v>
      </c>
      <c r="N129" s="209" t="s">
        <v>129</v>
      </c>
      <c r="O129" s="209"/>
      <c r="P129" s="407" t="s">
        <v>398</v>
      </c>
      <c r="Q129" s="407"/>
      <c r="R129" s="407"/>
      <c r="S129" s="407"/>
      <c r="T129" s="407"/>
      <c r="U129" s="407"/>
      <c r="V129" s="407"/>
      <c r="W129" s="407"/>
      <c r="X129" s="407"/>
      <c r="Y129" s="407"/>
      <c r="Z129" s="407"/>
      <c r="AA129" s="407"/>
      <c r="AB129" s="407"/>
      <c r="AC129" s="407"/>
      <c r="AD129" s="407"/>
      <c r="AE129" s="407"/>
      <c r="AF129" s="407"/>
      <c r="AG129" s="407"/>
      <c r="AH129" s="407"/>
      <c r="AI129" s="407"/>
      <c r="AJ129" s="407"/>
      <c r="AK129" s="407"/>
    </row>
    <row r="130" spans="1:39" ht="6" customHeight="1" x14ac:dyDescent="0.25">
      <c r="N130" s="208"/>
      <c r="O130" s="208"/>
      <c r="P130" s="407"/>
      <c r="Q130" s="407"/>
      <c r="R130" s="407"/>
      <c r="S130" s="407"/>
      <c r="T130" s="407"/>
      <c r="U130" s="407"/>
      <c r="V130" s="407"/>
      <c r="W130" s="407"/>
      <c r="X130" s="407"/>
      <c r="Y130" s="407"/>
      <c r="Z130" s="407"/>
      <c r="AA130" s="407"/>
      <c r="AB130" s="407"/>
      <c r="AC130" s="407"/>
      <c r="AD130" s="407"/>
      <c r="AE130" s="407"/>
      <c r="AF130" s="407"/>
      <c r="AG130" s="407"/>
      <c r="AH130" s="407"/>
      <c r="AI130" s="407"/>
      <c r="AJ130" s="407"/>
      <c r="AK130" s="407"/>
    </row>
    <row r="131" spans="1:39" ht="30" customHeight="1" x14ac:dyDescent="0.25">
      <c r="D131" s="210" t="s">
        <v>131</v>
      </c>
      <c r="E131" s="210" t="s">
        <v>130</v>
      </c>
      <c r="N131" s="209" t="s">
        <v>129</v>
      </c>
      <c r="O131" s="209"/>
      <c r="P131" s="407" t="s">
        <v>397</v>
      </c>
      <c r="Q131" s="407"/>
      <c r="R131" s="407"/>
      <c r="S131" s="407"/>
      <c r="T131" s="407"/>
      <c r="U131" s="407"/>
      <c r="V131" s="407"/>
      <c r="W131" s="407"/>
      <c r="X131" s="407"/>
      <c r="Y131" s="407"/>
      <c r="Z131" s="407"/>
      <c r="AA131" s="407"/>
      <c r="AB131" s="407"/>
      <c r="AC131" s="407"/>
      <c r="AD131" s="407"/>
      <c r="AE131" s="407"/>
      <c r="AF131" s="407"/>
      <c r="AG131" s="407"/>
      <c r="AH131" s="407"/>
      <c r="AI131" s="407"/>
      <c r="AJ131" s="407"/>
      <c r="AK131" s="407"/>
    </row>
    <row r="133" spans="1:39" ht="15" customHeight="1" x14ac:dyDescent="0.25">
      <c r="A133" s="204"/>
      <c r="B133" s="204" t="s">
        <v>128</v>
      </c>
      <c r="D133" s="203" t="s">
        <v>127</v>
      </c>
    </row>
    <row r="134" spans="1:39" ht="6" customHeight="1" x14ac:dyDescent="0.25">
      <c r="A134" s="206"/>
      <c r="B134" s="206"/>
    </row>
    <row r="135" spans="1:39" ht="15" customHeight="1" x14ac:dyDescent="0.25">
      <c r="D135" s="436" t="s">
        <v>126</v>
      </c>
      <c r="E135" s="436"/>
      <c r="F135" s="436"/>
      <c r="G135" s="436"/>
      <c r="H135" s="437" t="s">
        <v>125</v>
      </c>
      <c r="I135" s="436"/>
      <c r="J135" s="436"/>
      <c r="K135" s="436"/>
      <c r="L135" s="438" t="s">
        <v>124</v>
      </c>
      <c r="M135" s="439"/>
      <c r="N135" s="439"/>
      <c r="O135" s="439"/>
      <c r="P135" s="437"/>
      <c r="Q135" s="438" t="s">
        <v>123</v>
      </c>
      <c r="R135" s="439"/>
      <c r="S135" s="439"/>
      <c r="T135" s="439"/>
      <c r="U135" s="439"/>
      <c r="V135" s="439"/>
      <c r="W135" s="439"/>
      <c r="X135" s="439"/>
      <c r="Y135" s="439"/>
      <c r="Z135" s="439"/>
      <c r="AA135" s="439"/>
      <c r="AB135" s="439"/>
      <c r="AC135" s="439"/>
      <c r="AD135" s="439"/>
      <c r="AE135" s="439"/>
      <c r="AF135" s="439"/>
      <c r="AG135" s="439"/>
      <c r="AH135" s="439"/>
      <c r="AI135" s="439"/>
      <c r="AJ135" s="439"/>
      <c r="AK135" s="437"/>
    </row>
    <row r="136" spans="1:39" ht="15" customHeight="1" x14ac:dyDescent="0.25">
      <c r="D136" s="429">
        <v>0</v>
      </c>
      <c r="E136" s="429"/>
      <c r="F136" s="429"/>
      <c r="G136" s="429"/>
      <c r="H136" s="430" t="s">
        <v>122</v>
      </c>
      <c r="I136" s="429"/>
      <c r="J136" s="429"/>
      <c r="K136" s="429"/>
      <c r="L136" s="431">
        <v>0</v>
      </c>
      <c r="M136" s="432"/>
      <c r="N136" s="432"/>
      <c r="O136" s="432" t="s">
        <v>64</v>
      </c>
      <c r="P136" s="430"/>
      <c r="Q136" s="433" t="s">
        <v>396</v>
      </c>
      <c r="R136" s="434"/>
      <c r="S136" s="434"/>
      <c r="T136" s="434"/>
      <c r="U136" s="434"/>
      <c r="V136" s="434"/>
      <c r="W136" s="434"/>
      <c r="X136" s="434"/>
      <c r="Y136" s="434"/>
      <c r="Z136" s="434"/>
      <c r="AA136" s="434"/>
      <c r="AB136" s="434"/>
      <c r="AC136" s="434"/>
      <c r="AD136" s="434"/>
      <c r="AE136" s="434"/>
      <c r="AF136" s="434"/>
      <c r="AG136" s="434"/>
      <c r="AH136" s="434"/>
      <c r="AI136" s="434"/>
      <c r="AJ136" s="434"/>
      <c r="AK136" s="435"/>
    </row>
    <row r="138" spans="1:39" ht="15" customHeight="1" x14ac:dyDescent="0.25">
      <c r="A138" s="204"/>
      <c r="B138" s="204" t="s">
        <v>120</v>
      </c>
      <c r="D138" s="203" t="s">
        <v>395</v>
      </c>
    </row>
    <row r="139" spans="1:39" ht="6" customHeight="1" x14ac:dyDescent="0.25">
      <c r="A139" s="206"/>
      <c r="B139" s="206"/>
    </row>
    <row r="140" spans="1:39" ht="30" customHeight="1" x14ac:dyDescent="0.25">
      <c r="D140" s="407" t="s">
        <v>394</v>
      </c>
      <c r="E140" s="407"/>
      <c r="F140" s="407"/>
      <c r="G140" s="407"/>
      <c r="H140" s="407"/>
      <c r="I140" s="407"/>
      <c r="J140" s="407"/>
      <c r="K140" s="407"/>
      <c r="L140" s="407"/>
      <c r="M140" s="407"/>
      <c r="N140" s="407"/>
      <c r="O140" s="407"/>
      <c r="P140" s="407"/>
      <c r="Q140" s="407"/>
      <c r="R140" s="407"/>
      <c r="S140" s="407"/>
      <c r="T140" s="407"/>
      <c r="U140" s="407"/>
      <c r="V140" s="407"/>
      <c r="W140" s="407"/>
      <c r="X140" s="407"/>
      <c r="Y140" s="407"/>
      <c r="Z140" s="407"/>
      <c r="AA140" s="407"/>
      <c r="AB140" s="407"/>
      <c r="AC140" s="407"/>
      <c r="AD140" s="407"/>
      <c r="AE140" s="407"/>
      <c r="AF140" s="407"/>
      <c r="AG140" s="407"/>
      <c r="AH140" s="407"/>
      <c r="AI140" s="407"/>
      <c r="AJ140" s="407"/>
      <c r="AK140" s="407"/>
      <c r="AL140" s="205"/>
      <c r="AM140" s="205"/>
    </row>
    <row r="142" spans="1:39" ht="15" customHeight="1" x14ac:dyDescent="0.25">
      <c r="A142" s="204"/>
      <c r="B142" s="204" t="s">
        <v>118</v>
      </c>
      <c r="D142" s="203" t="s">
        <v>117</v>
      </c>
    </row>
    <row r="143" spans="1:39" ht="6" customHeight="1" x14ac:dyDescent="0.25">
      <c r="A143" s="206"/>
      <c r="B143" s="206"/>
    </row>
    <row r="144" spans="1:39" ht="39.75" customHeight="1" x14ac:dyDescent="0.25">
      <c r="D144" s="407" t="s">
        <v>116</v>
      </c>
      <c r="E144" s="407"/>
      <c r="F144" s="407"/>
      <c r="G144" s="407"/>
      <c r="H144" s="407"/>
      <c r="I144" s="407"/>
      <c r="J144" s="407"/>
      <c r="K144" s="407"/>
      <c r="L144" s="407"/>
      <c r="M144" s="407"/>
      <c r="N144" s="407"/>
      <c r="O144" s="407"/>
      <c r="P144" s="407"/>
      <c r="Q144" s="407"/>
      <c r="R144" s="407"/>
      <c r="S144" s="407"/>
      <c r="T144" s="407"/>
      <c r="U144" s="407"/>
      <c r="V144" s="407"/>
      <c r="W144" s="407"/>
      <c r="X144" s="407"/>
      <c r="Y144" s="407"/>
      <c r="Z144" s="407"/>
      <c r="AA144" s="407"/>
      <c r="AB144" s="407"/>
      <c r="AC144" s="407"/>
      <c r="AD144" s="407"/>
      <c r="AE144" s="407"/>
      <c r="AF144" s="407"/>
      <c r="AG144" s="407"/>
      <c r="AH144" s="407"/>
      <c r="AI144" s="407"/>
      <c r="AJ144" s="407"/>
      <c r="AK144" s="407"/>
      <c r="AL144" s="205"/>
      <c r="AM144" s="205"/>
    </row>
    <row r="146" spans="1:39" ht="15" customHeight="1" x14ac:dyDescent="0.25">
      <c r="A146" s="204"/>
      <c r="B146" s="204" t="s">
        <v>115</v>
      </c>
      <c r="D146" s="203" t="s">
        <v>114</v>
      </c>
    </row>
    <row r="147" spans="1:39" ht="6" customHeight="1" x14ac:dyDescent="0.25">
      <c r="A147" s="206"/>
      <c r="B147" s="206"/>
    </row>
    <row r="148" spans="1:39" ht="30" customHeight="1" x14ac:dyDescent="0.25">
      <c r="D148" s="407" t="s">
        <v>113</v>
      </c>
      <c r="E148" s="407"/>
      <c r="F148" s="407"/>
      <c r="G148" s="407"/>
      <c r="H148" s="407"/>
      <c r="I148" s="407"/>
      <c r="J148" s="407"/>
      <c r="K148" s="407"/>
      <c r="L148" s="407"/>
      <c r="M148" s="407"/>
      <c r="N148" s="407"/>
      <c r="O148" s="407"/>
      <c r="P148" s="407"/>
      <c r="Q148" s="407"/>
      <c r="R148" s="407"/>
      <c r="S148" s="407"/>
      <c r="T148" s="407"/>
      <c r="U148" s="407"/>
      <c r="V148" s="407"/>
      <c r="W148" s="407"/>
      <c r="X148" s="407"/>
      <c r="Y148" s="407"/>
      <c r="Z148" s="407"/>
      <c r="AA148" s="407"/>
      <c r="AB148" s="407"/>
      <c r="AC148" s="407"/>
      <c r="AD148" s="407"/>
      <c r="AE148" s="407"/>
      <c r="AF148" s="407"/>
      <c r="AG148" s="407"/>
      <c r="AH148" s="407"/>
      <c r="AI148" s="407"/>
      <c r="AJ148" s="407"/>
      <c r="AK148" s="407"/>
      <c r="AL148" s="205"/>
      <c r="AM148" s="205"/>
    </row>
    <row r="149" spans="1:39" ht="15" customHeight="1" x14ac:dyDescent="0.25">
      <c r="D149" s="205"/>
      <c r="E149" s="205"/>
      <c r="F149" s="205"/>
      <c r="G149" s="205"/>
      <c r="H149" s="205"/>
      <c r="I149" s="205"/>
      <c r="J149" s="205"/>
      <c r="K149" s="205"/>
      <c r="L149" s="205"/>
      <c r="M149" s="205"/>
      <c r="N149" s="205"/>
      <c r="O149" s="205"/>
      <c r="P149" s="205"/>
      <c r="Q149" s="205"/>
      <c r="R149" s="205"/>
      <c r="S149" s="205"/>
      <c r="T149" s="205"/>
      <c r="U149" s="205"/>
      <c r="V149" s="205"/>
      <c r="W149" s="205"/>
      <c r="X149" s="205"/>
      <c r="Y149" s="205"/>
      <c r="Z149" s="205"/>
      <c r="AA149" s="205"/>
      <c r="AB149" s="205"/>
      <c r="AC149" s="205"/>
      <c r="AD149" s="205"/>
      <c r="AE149" s="205"/>
      <c r="AF149" s="205"/>
      <c r="AG149" s="205"/>
      <c r="AH149" s="205"/>
      <c r="AI149" s="205"/>
      <c r="AJ149" s="205"/>
      <c r="AK149" s="205"/>
      <c r="AL149" s="205"/>
      <c r="AM149" s="205"/>
    </row>
    <row r="150" spans="1:39" ht="15" customHeight="1" x14ac:dyDescent="0.25">
      <c r="A150" s="204"/>
      <c r="B150" s="204" t="s">
        <v>112</v>
      </c>
      <c r="D150" s="203" t="s">
        <v>111</v>
      </c>
    </row>
    <row r="151" spans="1:39" ht="6" customHeight="1" x14ac:dyDescent="0.25"/>
    <row r="152" spans="1:39" ht="15" customHeight="1" x14ac:dyDescent="0.25">
      <c r="A152" s="206"/>
      <c r="B152" s="206"/>
      <c r="D152" s="178" t="s">
        <v>110</v>
      </c>
    </row>
    <row r="153" spans="1:39" ht="15" customHeight="1" x14ac:dyDescent="0.25">
      <c r="D153" s="208" t="s">
        <v>109</v>
      </c>
      <c r="E153" s="410" t="s">
        <v>393</v>
      </c>
      <c r="F153" s="410"/>
      <c r="G153" s="410"/>
      <c r="H153" s="410"/>
      <c r="I153" s="410"/>
      <c r="J153" s="410"/>
      <c r="K153" s="410"/>
      <c r="L153" s="410"/>
      <c r="M153" s="410"/>
      <c r="N153" s="410"/>
      <c r="O153" s="410"/>
      <c r="P153" s="410"/>
      <c r="Q153" s="410"/>
      <c r="R153" s="410"/>
      <c r="S153" s="410"/>
      <c r="T153" s="410"/>
      <c r="U153" s="410"/>
      <c r="V153" s="410"/>
      <c r="W153" s="410"/>
      <c r="X153" s="410"/>
      <c r="Y153" s="410"/>
      <c r="Z153" s="410"/>
      <c r="AA153" s="410"/>
      <c r="AB153" s="410"/>
      <c r="AC153" s="410"/>
      <c r="AD153" s="410"/>
      <c r="AE153" s="410"/>
      <c r="AF153" s="410"/>
      <c r="AG153" s="410"/>
      <c r="AH153" s="410"/>
      <c r="AI153" s="410"/>
      <c r="AJ153" s="410"/>
      <c r="AK153" s="410"/>
    </row>
    <row r="154" spans="1:39" ht="15" customHeight="1" x14ac:dyDescent="0.25">
      <c r="D154" s="208" t="s">
        <v>109</v>
      </c>
      <c r="E154" s="410" t="s">
        <v>392</v>
      </c>
      <c r="F154" s="410"/>
      <c r="G154" s="410"/>
      <c r="H154" s="410"/>
      <c r="I154" s="410"/>
      <c r="J154" s="410"/>
      <c r="K154" s="410"/>
      <c r="L154" s="410"/>
      <c r="M154" s="410"/>
      <c r="N154" s="410"/>
      <c r="O154" s="410"/>
      <c r="P154" s="410"/>
      <c r="Q154" s="410"/>
      <c r="R154" s="410"/>
      <c r="S154" s="410"/>
      <c r="T154" s="410"/>
      <c r="U154" s="410"/>
      <c r="V154" s="410"/>
      <c r="W154" s="410"/>
      <c r="X154" s="410"/>
      <c r="Y154" s="410"/>
      <c r="Z154" s="410"/>
      <c r="AA154" s="410"/>
      <c r="AB154" s="410"/>
      <c r="AC154" s="410"/>
      <c r="AD154" s="410"/>
      <c r="AE154" s="410"/>
      <c r="AF154" s="410"/>
      <c r="AG154" s="410"/>
      <c r="AH154" s="410"/>
      <c r="AI154" s="410"/>
      <c r="AJ154" s="410"/>
      <c r="AK154" s="410"/>
    </row>
    <row r="155" spans="1:39" ht="15" customHeight="1" x14ac:dyDescent="0.25">
      <c r="D155" s="208" t="s">
        <v>109</v>
      </c>
      <c r="E155" s="410" t="s">
        <v>391</v>
      </c>
      <c r="F155" s="410"/>
      <c r="G155" s="410"/>
      <c r="H155" s="410"/>
      <c r="I155" s="410"/>
      <c r="J155" s="410"/>
      <c r="K155" s="410"/>
      <c r="L155" s="410"/>
      <c r="M155" s="410"/>
      <c r="N155" s="410"/>
      <c r="O155" s="410"/>
      <c r="P155" s="410"/>
      <c r="Q155" s="410"/>
      <c r="R155" s="410"/>
      <c r="S155" s="410"/>
      <c r="T155" s="410"/>
      <c r="U155" s="410"/>
      <c r="V155" s="410"/>
      <c r="W155" s="410"/>
      <c r="X155" s="410"/>
      <c r="Y155" s="410"/>
      <c r="Z155" s="410"/>
      <c r="AA155" s="410"/>
      <c r="AB155" s="410"/>
      <c r="AC155" s="410"/>
      <c r="AD155" s="410"/>
      <c r="AE155" s="410"/>
      <c r="AF155" s="410"/>
      <c r="AG155" s="410"/>
      <c r="AH155" s="410"/>
      <c r="AI155" s="410"/>
      <c r="AJ155" s="410"/>
      <c r="AK155" s="410"/>
    </row>
    <row r="156" spans="1:39" ht="15" customHeight="1" x14ac:dyDescent="0.25">
      <c r="D156" s="208" t="s">
        <v>109</v>
      </c>
      <c r="E156" s="410" t="s">
        <v>390</v>
      </c>
      <c r="F156" s="410"/>
      <c r="G156" s="410"/>
      <c r="H156" s="410"/>
      <c r="I156" s="410"/>
      <c r="J156" s="410"/>
      <c r="K156" s="410"/>
      <c r="L156" s="410"/>
      <c r="M156" s="410"/>
      <c r="N156" s="410"/>
      <c r="O156" s="410"/>
      <c r="P156" s="410"/>
      <c r="Q156" s="410"/>
      <c r="R156" s="410"/>
      <c r="S156" s="410"/>
      <c r="T156" s="410"/>
      <c r="U156" s="410"/>
      <c r="V156" s="410"/>
      <c r="W156" s="410"/>
      <c r="X156" s="410"/>
      <c r="Y156" s="410"/>
      <c r="Z156" s="410"/>
      <c r="AA156" s="410"/>
      <c r="AB156" s="410"/>
      <c r="AC156" s="410"/>
      <c r="AD156" s="410"/>
      <c r="AE156" s="410"/>
      <c r="AF156" s="410"/>
      <c r="AG156" s="410"/>
      <c r="AH156" s="410"/>
      <c r="AI156" s="410"/>
      <c r="AJ156" s="410"/>
      <c r="AK156" s="410"/>
    </row>
    <row r="157" spans="1:39" ht="15" customHeight="1" x14ac:dyDescent="0.25">
      <c r="E157" s="207"/>
      <c r="F157" s="207"/>
      <c r="G157" s="207"/>
      <c r="H157" s="207"/>
      <c r="I157" s="207"/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7"/>
      <c r="V157" s="207"/>
      <c r="W157" s="207"/>
      <c r="X157" s="207"/>
    </row>
    <row r="158" spans="1:39" ht="15" customHeight="1" x14ac:dyDescent="0.25">
      <c r="A158" s="204"/>
      <c r="B158" s="204" t="s">
        <v>108</v>
      </c>
      <c r="D158" s="203" t="s">
        <v>107</v>
      </c>
    </row>
    <row r="159" spans="1:39" ht="6" customHeight="1" x14ac:dyDescent="0.25">
      <c r="A159" s="206"/>
      <c r="B159" s="206"/>
    </row>
    <row r="160" spans="1:39" ht="30" customHeight="1" x14ac:dyDescent="0.25">
      <c r="D160" s="407" t="s">
        <v>106</v>
      </c>
      <c r="E160" s="407"/>
      <c r="F160" s="407"/>
      <c r="G160" s="407"/>
      <c r="H160" s="407"/>
      <c r="I160" s="407"/>
      <c r="J160" s="407"/>
      <c r="K160" s="407"/>
      <c r="L160" s="407"/>
      <c r="M160" s="407"/>
      <c r="N160" s="407"/>
      <c r="O160" s="407"/>
      <c r="P160" s="407"/>
      <c r="Q160" s="407"/>
      <c r="R160" s="407"/>
      <c r="S160" s="407"/>
      <c r="T160" s="407"/>
      <c r="U160" s="407"/>
      <c r="V160" s="407"/>
      <c r="W160" s="407"/>
      <c r="X160" s="407"/>
      <c r="Y160" s="407"/>
      <c r="Z160" s="407"/>
      <c r="AA160" s="407"/>
      <c r="AB160" s="407"/>
      <c r="AC160" s="407"/>
      <c r="AD160" s="407"/>
      <c r="AE160" s="407"/>
      <c r="AF160" s="407"/>
      <c r="AG160" s="407"/>
      <c r="AH160" s="407"/>
      <c r="AI160" s="407"/>
      <c r="AJ160" s="407"/>
      <c r="AK160" s="407"/>
      <c r="AL160" s="205"/>
      <c r="AM160" s="205"/>
    </row>
    <row r="161" spans="2:45" ht="15" customHeight="1" x14ac:dyDescent="0.25">
      <c r="D161" s="407" t="str">
        <f>CONCATENATE(D144," ",D148)</f>
        <v>El inmueble matriz tiene una servidumbre de paso trasladada del antecedente, que le permite un camino de control y vigilancia sobre una extensión superficial de 547.00 m2 (asiento D00009), y una correlación de servidumbre como predio sirviente a favor de Luz del Sur (asiento D00007). El inmueble matriz presenta una hipoteca a favor del Banco Internacional del Perú - Interbank hasta por US$ 248,424,744.00, de fecha 02/06/2014 (asiento D00006).</v>
      </c>
      <c r="E161" s="407"/>
      <c r="F161" s="407"/>
      <c r="G161" s="407"/>
      <c r="H161" s="407"/>
      <c r="I161" s="407"/>
      <c r="J161" s="407"/>
      <c r="K161" s="407"/>
      <c r="L161" s="407"/>
      <c r="M161" s="407"/>
      <c r="N161" s="407"/>
      <c r="O161" s="407"/>
      <c r="P161" s="407"/>
      <c r="Q161" s="407"/>
      <c r="R161" s="407"/>
      <c r="S161" s="407"/>
      <c r="T161" s="407"/>
      <c r="U161" s="407"/>
      <c r="V161" s="407"/>
      <c r="W161" s="407"/>
      <c r="X161" s="407"/>
      <c r="Y161" s="407"/>
      <c r="Z161" s="407"/>
      <c r="AA161" s="407"/>
      <c r="AB161" s="407"/>
      <c r="AC161" s="407"/>
      <c r="AD161" s="407"/>
      <c r="AE161" s="407"/>
      <c r="AF161" s="407"/>
      <c r="AG161" s="407"/>
      <c r="AH161" s="407"/>
      <c r="AI161" s="407"/>
      <c r="AJ161" s="407"/>
      <c r="AK161" s="407"/>
      <c r="AL161" s="205"/>
      <c r="AM161" s="205"/>
    </row>
    <row r="162" spans="2:45" ht="42" customHeight="1" x14ac:dyDescent="0.25">
      <c r="D162" s="407" t="s">
        <v>389</v>
      </c>
      <c r="E162" s="407"/>
      <c r="F162" s="407"/>
      <c r="G162" s="407"/>
      <c r="H162" s="407"/>
      <c r="I162" s="407"/>
      <c r="J162" s="407"/>
      <c r="K162" s="407"/>
      <c r="L162" s="407"/>
      <c r="M162" s="407"/>
      <c r="N162" s="407"/>
      <c r="O162" s="407"/>
      <c r="P162" s="407"/>
      <c r="Q162" s="407"/>
      <c r="R162" s="407"/>
      <c r="S162" s="407"/>
      <c r="T162" s="407"/>
      <c r="U162" s="407"/>
      <c r="V162" s="407"/>
      <c r="W162" s="407"/>
      <c r="X162" s="407"/>
      <c r="Y162" s="407"/>
      <c r="Z162" s="407"/>
      <c r="AA162" s="407"/>
      <c r="AB162" s="407"/>
      <c r="AC162" s="407"/>
      <c r="AD162" s="407"/>
      <c r="AE162" s="407"/>
      <c r="AF162" s="407"/>
      <c r="AG162" s="407"/>
      <c r="AH162" s="407"/>
      <c r="AI162" s="407"/>
      <c r="AJ162" s="407"/>
      <c r="AK162" s="407"/>
      <c r="AL162" s="205"/>
      <c r="AM162" s="205"/>
    </row>
    <row r="164" spans="2:45" ht="15" customHeight="1" x14ac:dyDescent="0.25">
      <c r="B164" s="204"/>
      <c r="D164" s="203" t="s">
        <v>103</v>
      </c>
      <c r="E164" s="202"/>
      <c r="F164" s="202"/>
      <c r="G164" s="201"/>
      <c r="H164" s="201"/>
      <c r="I164" s="201"/>
      <c r="J164" s="201"/>
      <c r="K164" s="201"/>
      <c r="L164" s="201"/>
      <c r="M164" s="201"/>
      <c r="N164" s="201"/>
      <c r="O164" s="201"/>
      <c r="P164" s="201"/>
      <c r="Q164" s="201"/>
      <c r="R164" s="201"/>
      <c r="S164" s="201"/>
      <c r="T164" s="201"/>
      <c r="U164" s="201"/>
      <c r="V164" s="201"/>
      <c r="W164" s="201"/>
      <c r="X164" s="201"/>
      <c r="Y164" s="201"/>
      <c r="Z164" s="201"/>
      <c r="AA164" s="201"/>
      <c r="AB164" s="201"/>
      <c r="AC164" s="201"/>
      <c r="AD164" s="201"/>
      <c r="AE164" s="201"/>
      <c r="AF164" s="201"/>
      <c r="AG164" s="201"/>
      <c r="AH164" s="201"/>
      <c r="AI164" s="201"/>
      <c r="AJ164" s="201"/>
      <c r="AK164" s="201"/>
      <c r="AL164" s="201"/>
      <c r="AM164" s="201"/>
    </row>
    <row r="165" spans="2:45" ht="6" customHeight="1" x14ac:dyDescent="0.25">
      <c r="D165" s="202"/>
      <c r="E165" s="202"/>
      <c r="F165" s="202"/>
      <c r="G165" s="201"/>
      <c r="H165" s="201"/>
      <c r="I165" s="201"/>
      <c r="J165" s="201"/>
      <c r="K165" s="201"/>
      <c r="L165" s="201"/>
      <c r="M165" s="201"/>
      <c r="N165" s="201"/>
      <c r="O165" s="201"/>
      <c r="P165" s="201"/>
      <c r="Q165" s="201"/>
      <c r="R165" s="201"/>
      <c r="S165" s="201"/>
      <c r="T165" s="201"/>
      <c r="U165" s="201"/>
      <c r="V165" s="201"/>
      <c r="W165" s="201"/>
      <c r="X165" s="201"/>
      <c r="Y165" s="201"/>
      <c r="Z165" s="201"/>
      <c r="AA165" s="201"/>
      <c r="AB165" s="201"/>
      <c r="AC165" s="201"/>
      <c r="AD165" s="201"/>
      <c r="AE165" s="201"/>
      <c r="AF165" s="201"/>
      <c r="AG165" s="201"/>
      <c r="AH165" s="201"/>
      <c r="AI165" s="201"/>
      <c r="AJ165" s="201"/>
      <c r="AK165" s="201"/>
      <c r="AL165" s="201"/>
      <c r="AM165" s="201"/>
    </row>
    <row r="166" spans="2:45" s="198" customFormat="1" ht="42" customHeight="1" x14ac:dyDescent="0.25">
      <c r="D166" s="443" t="s">
        <v>61</v>
      </c>
      <c r="E166" s="444"/>
      <c r="F166" s="444"/>
      <c r="G166" s="444"/>
      <c r="H166" s="444"/>
      <c r="I166" s="444"/>
      <c r="J166" s="444"/>
      <c r="K166" s="444"/>
      <c r="L166" s="445"/>
      <c r="M166" s="443" t="s">
        <v>102</v>
      </c>
      <c r="N166" s="444"/>
      <c r="O166" s="444"/>
      <c r="P166" s="445"/>
      <c r="Q166" s="443" t="s">
        <v>101</v>
      </c>
      <c r="R166" s="444"/>
      <c r="S166" s="444"/>
      <c r="T166" s="445"/>
      <c r="U166" s="444" t="s">
        <v>100</v>
      </c>
      <c r="V166" s="444"/>
      <c r="W166" s="444"/>
      <c r="X166" s="445"/>
      <c r="Y166" s="443" t="s">
        <v>99</v>
      </c>
      <c r="Z166" s="444"/>
      <c r="AA166" s="444"/>
      <c r="AB166" s="445"/>
      <c r="AC166" s="443" t="s">
        <v>98</v>
      </c>
      <c r="AD166" s="444"/>
      <c r="AE166" s="444"/>
      <c r="AF166" s="445"/>
      <c r="AG166" s="443" t="s">
        <v>97</v>
      </c>
      <c r="AH166" s="444"/>
      <c r="AI166" s="444"/>
      <c r="AJ166" s="444"/>
      <c r="AK166" s="445"/>
      <c r="AL166" s="196"/>
      <c r="AM166" s="196"/>
      <c r="AN166" s="200"/>
      <c r="AQ166" s="199" t="s">
        <v>192</v>
      </c>
      <c r="AR166" s="199" t="s">
        <v>388</v>
      </c>
      <c r="AS166" s="199" t="s">
        <v>387</v>
      </c>
    </row>
    <row r="167" spans="2:45" s="189" customFormat="1" ht="54" customHeight="1" x14ac:dyDescent="0.25">
      <c r="D167" s="446" t="s">
        <v>386</v>
      </c>
      <c r="E167" s="447"/>
      <c r="F167" s="447"/>
      <c r="G167" s="447"/>
      <c r="H167" s="447"/>
      <c r="I167" s="447"/>
      <c r="J167" s="447"/>
      <c r="K167" s="447"/>
      <c r="L167" s="448"/>
      <c r="M167" s="440">
        <v>80</v>
      </c>
      <c r="N167" s="441"/>
      <c r="O167" s="441"/>
      <c r="P167" s="442"/>
      <c r="Q167" s="440">
        <v>80</v>
      </c>
      <c r="R167" s="441"/>
      <c r="S167" s="441"/>
      <c r="T167" s="442"/>
      <c r="U167" s="426">
        <v>150000</v>
      </c>
      <c r="V167" s="427"/>
      <c r="W167" s="427"/>
      <c r="X167" s="428"/>
      <c r="Y167" s="426">
        <f>U167/M167</f>
        <v>1875</v>
      </c>
      <c r="Z167" s="427"/>
      <c r="AA167" s="427"/>
      <c r="AB167" s="427"/>
      <c r="AC167" s="426">
        <f>U167/Q167</f>
        <v>1875</v>
      </c>
      <c r="AD167" s="427"/>
      <c r="AE167" s="427"/>
      <c r="AF167" s="427"/>
      <c r="AG167" s="449" t="s">
        <v>385</v>
      </c>
      <c r="AH167" s="449"/>
      <c r="AI167" s="449"/>
      <c r="AJ167" s="449"/>
      <c r="AK167" s="449"/>
      <c r="AL167" s="196"/>
      <c r="AM167" s="197"/>
      <c r="AN167" s="195" t="s">
        <v>384</v>
      </c>
      <c r="AO167" s="194"/>
      <c r="AP167" s="193"/>
      <c r="AQ167" s="192">
        <v>43601</v>
      </c>
      <c r="AR167" s="191"/>
      <c r="AS167" s="190"/>
    </row>
    <row r="168" spans="2:45" s="189" customFormat="1" ht="54" customHeight="1" x14ac:dyDescent="0.25">
      <c r="D168" s="446" t="s">
        <v>383</v>
      </c>
      <c r="E168" s="447"/>
      <c r="F168" s="447"/>
      <c r="G168" s="447"/>
      <c r="H168" s="447"/>
      <c r="I168" s="447"/>
      <c r="J168" s="447"/>
      <c r="K168" s="447"/>
      <c r="L168" s="448"/>
      <c r="M168" s="440">
        <v>95</v>
      </c>
      <c r="N168" s="441"/>
      <c r="O168" s="441"/>
      <c r="P168" s="442"/>
      <c r="Q168" s="440">
        <v>103</v>
      </c>
      <c r="R168" s="441"/>
      <c r="S168" s="441"/>
      <c r="T168" s="442"/>
      <c r="U168" s="426">
        <v>171517</v>
      </c>
      <c r="V168" s="427"/>
      <c r="W168" s="427"/>
      <c r="X168" s="428"/>
      <c r="Y168" s="426">
        <f>U168/M168</f>
        <v>1805.4421052631578</v>
      </c>
      <c r="Z168" s="427"/>
      <c r="AA168" s="427"/>
      <c r="AB168" s="427"/>
      <c r="AC168" s="426">
        <f>U168/Q168</f>
        <v>1665.2135922330096</v>
      </c>
      <c r="AD168" s="427"/>
      <c r="AE168" s="427"/>
      <c r="AF168" s="427"/>
      <c r="AG168" s="449" t="s">
        <v>382</v>
      </c>
      <c r="AH168" s="449"/>
      <c r="AI168" s="449"/>
      <c r="AJ168" s="449"/>
      <c r="AK168" s="449"/>
      <c r="AL168" s="196"/>
      <c r="AM168" s="195"/>
      <c r="AN168" s="195" t="s">
        <v>381</v>
      </c>
      <c r="AO168" s="117"/>
      <c r="AP168" s="193"/>
      <c r="AQ168" s="192">
        <v>43384</v>
      </c>
      <c r="AR168" s="191"/>
      <c r="AS168" s="190"/>
    </row>
    <row r="169" spans="2:45" s="189" customFormat="1" ht="54" customHeight="1" x14ac:dyDescent="0.25">
      <c r="D169" s="452" t="s">
        <v>380</v>
      </c>
      <c r="E169" s="453"/>
      <c r="F169" s="453"/>
      <c r="G169" s="453"/>
      <c r="H169" s="453"/>
      <c r="I169" s="453"/>
      <c r="J169" s="453"/>
      <c r="K169" s="453"/>
      <c r="L169" s="454"/>
      <c r="M169" s="440">
        <v>52</v>
      </c>
      <c r="N169" s="441"/>
      <c r="O169" s="441"/>
      <c r="P169" s="442"/>
      <c r="Q169" s="440">
        <v>52</v>
      </c>
      <c r="R169" s="441"/>
      <c r="S169" s="441"/>
      <c r="T169" s="442"/>
      <c r="U169" s="426">
        <v>95000</v>
      </c>
      <c r="V169" s="427"/>
      <c r="W169" s="427"/>
      <c r="X169" s="428"/>
      <c r="Y169" s="426">
        <f>U169/M169</f>
        <v>1826.9230769230769</v>
      </c>
      <c r="Z169" s="427"/>
      <c r="AA169" s="427"/>
      <c r="AB169" s="427"/>
      <c r="AC169" s="426">
        <f>U169/Q169</f>
        <v>1826.9230769230769</v>
      </c>
      <c r="AD169" s="427"/>
      <c r="AE169" s="427"/>
      <c r="AF169" s="427"/>
      <c r="AG169" s="449" t="s">
        <v>379</v>
      </c>
      <c r="AH169" s="449"/>
      <c r="AI169" s="449"/>
      <c r="AJ169" s="449"/>
      <c r="AK169" s="449"/>
      <c r="AL169" s="196"/>
      <c r="AM169" s="195"/>
      <c r="AN169" s="195" t="s">
        <v>378</v>
      </c>
      <c r="AO169" s="194"/>
      <c r="AP169" s="193"/>
      <c r="AQ169" s="192">
        <v>43640</v>
      </c>
      <c r="AR169" s="191"/>
      <c r="AS169" s="190"/>
    </row>
    <row r="170" spans="2:45" s="189" customFormat="1" ht="54" customHeight="1" x14ac:dyDescent="0.25">
      <c r="D170" s="446" t="s">
        <v>377</v>
      </c>
      <c r="E170" s="447"/>
      <c r="F170" s="447"/>
      <c r="G170" s="447"/>
      <c r="H170" s="447"/>
      <c r="I170" s="447"/>
      <c r="J170" s="447"/>
      <c r="K170" s="447"/>
      <c r="L170" s="448"/>
      <c r="M170" s="440">
        <v>89</v>
      </c>
      <c r="N170" s="441"/>
      <c r="O170" s="441"/>
      <c r="P170" s="442"/>
      <c r="Q170" s="440">
        <v>89</v>
      </c>
      <c r="R170" s="441"/>
      <c r="S170" s="441"/>
      <c r="T170" s="442"/>
      <c r="U170" s="426">
        <v>130000</v>
      </c>
      <c r="V170" s="427"/>
      <c r="W170" s="427"/>
      <c r="X170" s="428"/>
      <c r="Y170" s="426">
        <f>U170/M170</f>
        <v>1460.6741573033707</v>
      </c>
      <c r="Z170" s="427"/>
      <c r="AA170" s="427"/>
      <c r="AB170" s="427"/>
      <c r="AC170" s="426">
        <f>U170/Q170</f>
        <v>1460.6741573033707</v>
      </c>
      <c r="AD170" s="427"/>
      <c r="AE170" s="427"/>
      <c r="AF170" s="427"/>
      <c r="AG170" s="449" t="s">
        <v>376</v>
      </c>
      <c r="AH170" s="449"/>
      <c r="AI170" s="449"/>
      <c r="AJ170" s="449"/>
      <c r="AK170" s="449"/>
      <c r="AL170" s="196"/>
      <c r="AM170" s="197"/>
      <c r="AN170" s="195" t="s">
        <v>375</v>
      </c>
      <c r="AO170" s="194"/>
      <c r="AP170" s="193"/>
      <c r="AQ170" s="192">
        <v>43647</v>
      </c>
      <c r="AR170" s="191"/>
      <c r="AS170" s="190"/>
    </row>
    <row r="171" spans="2:45" s="189" customFormat="1" ht="54" customHeight="1" x14ac:dyDescent="0.25">
      <c r="D171" s="452" t="s">
        <v>374</v>
      </c>
      <c r="E171" s="453"/>
      <c r="F171" s="453"/>
      <c r="G171" s="453"/>
      <c r="H171" s="453"/>
      <c r="I171" s="453"/>
      <c r="J171" s="453"/>
      <c r="K171" s="453"/>
      <c r="L171" s="454"/>
      <c r="M171" s="440">
        <v>70</v>
      </c>
      <c r="N171" s="441"/>
      <c r="O171" s="441"/>
      <c r="P171" s="442"/>
      <c r="Q171" s="440">
        <v>70</v>
      </c>
      <c r="R171" s="441"/>
      <c r="S171" s="441"/>
      <c r="T171" s="442"/>
      <c r="U171" s="426">
        <v>132000</v>
      </c>
      <c r="V171" s="427"/>
      <c r="W171" s="427"/>
      <c r="X171" s="428"/>
      <c r="Y171" s="426">
        <f>U171/M171</f>
        <v>1885.7142857142858</v>
      </c>
      <c r="Z171" s="427"/>
      <c r="AA171" s="427"/>
      <c r="AB171" s="427"/>
      <c r="AC171" s="426">
        <f>U171/Q171</f>
        <v>1885.7142857142858</v>
      </c>
      <c r="AD171" s="427"/>
      <c r="AE171" s="427"/>
      <c r="AF171" s="427"/>
      <c r="AG171" s="449" t="s">
        <v>373</v>
      </c>
      <c r="AH171" s="449"/>
      <c r="AI171" s="449"/>
      <c r="AJ171" s="449"/>
      <c r="AK171" s="449"/>
      <c r="AL171" s="196"/>
      <c r="AM171" s="195"/>
      <c r="AN171" s="195" t="s">
        <v>372</v>
      </c>
      <c r="AO171" s="194"/>
      <c r="AP171" s="193"/>
      <c r="AQ171" s="192">
        <v>43641</v>
      </c>
      <c r="AR171" s="191"/>
      <c r="AS171" s="190" t="s">
        <v>371</v>
      </c>
    </row>
    <row r="172" spans="2:45" s="183" customFormat="1" ht="12.75" x14ac:dyDescent="0.25">
      <c r="D172" s="188"/>
      <c r="E172" s="188"/>
      <c r="F172" s="188"/>
      <c r="G172" s="188"/>
      <c r="H172" s="188"/>
      <c r="I172" s="188"/>
      <c r="J172" s="188"/>
      <c r="K172" s="188"/>
      <c r="L172" s="188"/>
      <c r="M172" s="187"/>
      <c r="N172" s="187"/>
      <c r="O172" s="187"/>
      <c r="P172" s="187"/>
      <c r="Q172" s="187"/>
      <c r="R172" s="187"/>
      <c r="S172" s="187"/>
      <c r="T172" s="187"/>
      <c r="U172" s="186"/>
      <c r="V172" s="186"/>
      <c r="W172" s="186"/>
      <c r="X172" s="186"/>
      <c r="Y172" s="186"/>
      <c r="Z172" s="186"/>
      <c r="AA172" s="186"/>
      <c r="AB172" s="186"/>
      <c r="AC172" s="186"/>
      <c r="AD172" s="186"/>
      <c r="AE172" s="186"/>
      <c r="AF172" s="186"/>
      <c r="AG172" s="185"/>
      <c r="AH172" s="185"/>
      <c r="AI172" s="185"/>
      <c r="AJ172" s="185"/>
      <c r="AK172" s="185"/>
      <c r="AL172" s="184"/>
      <c r="AM172" s="184"/>
      <c r="AN172" s="118"/>
      <c r="AP172" s="108"/>
    </row>
    <row r="173" spans="2:45" s="183" customFormat="1" ht="15.75" customHeight="1" x14ac:dyDescent="0.25">
      <c r="D173" s="188"/>
      <c r="E173" s="188"/>
      <c r="F173" s="188"/>
      <c r="G173" s="188"/>
      <c r="H173" s="188"/>
      <c r="I173" s="188"/>
      <c r="J173" s="188"/>
      <c r="K173" s="188"/>
      <c r="L173" s="188"/>
      <c r="M173" s="187"/>
      <c r="N173" s="187"/>
      <c r="O173" s="187"/>
      <c r="P173" s="187"/>
      <c r="Q173" s="187"/>
      <c r="R173" s="187"/>
      <c r="S173" s="187"/>
      <c r="T173" s="187"/>
      <c r="U173" s="186"/>
      <c r="V173" s="186"/>
      <c r="W173" s="186"/>
      <c r="X173" s="186"/>
      <c r="Y173" s="186"/>
      <c r="Z173" s="186"/>
      <c r="AA173" s="186"/>
      <c r="AB173" s="186"/>
      <c r="AC173" s="186"/>
      <c r="AD173" s="186"/>
      <c r="AE173" s="186"/>
      <c r="AF173" s="186"/>
      <c r="AG173" s="185"/>
      <c r="AH173" s="185"/>
      <c r="AI173" s="185"/>
      <c r="AJ173" s="185"/>
      <c r="AK173" s="185"/>
      <c r="AL173" s="184"/>
      <c r="AM173" s="184"/>
      <c r="AN173" s="118"/>
      <c r="AP173" s="108"/>
    </row>
    <row r="174" spans="2:45" s="183" customFormat="1" ht="15.75" customHeight="1" x14ac:dyDescent="0.25">
      <c r="D174" s="188"/>
      <c r="E174" s="188"/>
      <c r="F174" s="188"/>
      <c r="G174" s="188"/>
      <c r="H174" s="188"/>
      <c r="I174" s="188"/>
      <c r="J174" s="188"/>
      <c r="K174" s="188"/>
      <c r="L174" s="188"/>
      <c r="M174" s="187"/>
      <c r="N174" s="187"/>
      <c r="O174" s="187"/>
      <c r="P174" s="187"/>
      <c r="Q174" s="187"/>
      <c r="R174" s="187"/>
      <c r="S174" s="187"/>
      <c r="T174" s="187"/>
      <c r="U174" s="186"/>
      <c r="V174" s="186"/>
      <c r="W174" s="186"/>
      <c r="X174" s="186"/>
      <c r="Y174" s="186"/>
      <c r="Z174" s="186"/>
      <c r="AA174" s="186"/>
      <c r="AB174" s="186"/>
      <c r="AC174" s="186"/>
      <c r="AD174" s="186"/>
      <c r="AE174" s="186"/>
      <c r="AF174" s="186"/>
      <c r="AG174" s="185"/>
      <c r="AH174" s="185"/>
      <c r="AI174" s="185"/>
      <c r="AJ174" s="185"/>
      <c r="AK174" s="185"/>
      <c r="AL174" s="184"/>
      <c r="AM174" s="184"/>
      <c r="AN174" s="118"/>
      <c r="AP174" s="108"/>
    </row>
    <row r="175" spans="2:45" s="183" customFormat="1" ht="15.75" customHeight="1" x14ac:dyDescent="0.25">
      <c r="D175" s="188"/>
      <c r="E175" s="188"/>
      <c r="F175" s="188"/>
      <c r="G175" s="188"/>
      <c r="H175" s="188"/>
      <c r="I175" s="188"/>
      <c r="J175" s="188"/>
      <c r="K175" s="188"/>
      <c r="L175" s="188"/>
      <c r="M175" s="187"/>
      <c r="N175" s="187"/>
      <c r="O175" s="187"/>
      <c r="P175" s="187"/>
      <c r="Q175" s="187"/>
      <c r="R175" s="187"/>
      <c r="S175" s="187"/>
      <c r="T175" s="187"/>
      <c r="U175" s="186"/>
      <c r="V175" s="186"/>
      <c r="W175" s="186"/>
      <c r="X175" s="186"/>
      <c r="Y175" s="186"/>
      <c r="Z175" s="186"/>
      <c r="AA175" s="186"/>
      <c r="AB175" s="186"/>
      <c r="AC175" s="186"/>
      <c r="AD175" s="186"/>
      <c r="AE175" s="186"/>
      <c r="AF175" s="186"/>
      <c r="AG175" s="185"/>
      <c r="AH175" s="185"/>
      <c r="AI175" s="185"/>
      <c r="AJ175" s="185"/>
      <c r="AK175" s="185"/>
      <c r="AL175" s="184"/>
      <c r="AM175" s="184"/>
      <c r="AN175" s="118"/>
      <c r="AP175" s="108"/>
    </row>
    <row r="176" spans="2:45" s="183" customFormat="1" ht="15.75" customHeight="1" x14ac:dyDescent="0.25">
      <c r="D176" s="188"/>
      <c r="E176" s="188"/>
      <c r="F176" s="188"/>
      <c r="G176" s="188"/>
      <c r="H176" s="188"/>
      <c r="I176" s="188"/>
      <c r="J176" s="188"/>
      <c r="K176" s="188"/>
      <c r="L176" s="188"/>
      <c r="M176" s="187"/>
      <c r="N176" s="187"/>
      <c r="O176" s="187"/>
      <c r="P176" s="187"/>
      <c r="Q176" s="187"/>
      <c r="R176" s="187"/>
      <c r="S176" s="187"/>
      <c r="T176" s="187"/>
      <c r="U176" s="186"/>
      <c r="V176" s="186"/>
      <c r="W176" s="186"/>
      <c r="X176" s="186"/>
      <c r="Y176" s="186"/>
      <c r="Z176" s="186"/>
      <c r="AA176" s="186"/>
      <c r="AB176" s="186"/>
      <c r="AC176" s="186"/>
      <c r="AD176" s="186"/>
      <c r="AE176" s="186"/>
      <c r="AF176" s="186"/>
      <c r="AG176" s="185"/>
      <c r="AH176" s="185"/>
      <c r="AI176" s="185"/>
      <c r="AJ176" s="185"/>
      <c r="AK176" s="185"/>
      <c r="AL176" s="184"/>
      <c r="AM176" s="184"/>
      <c r="AN176" s="118"/>
      <c r="AP176" s="108"/>
    </row>
    <row r="177" spans="4:42" s="183" customFormat="1" ht="15.75" customHeight="1" x14ac:dyDescent="0.25">
      <c r="D177" s="188"/>
      <c r="E177" s="188"/>
      <c r="F177" s="188"/>
      <c r="G177" s="188"/>
      <c r="H177" s="188"/>
      <c r="I177" s="188"/>
      <c r="J177" s="188"/>
      <c r="K177" s="188"/>
      <c r="L177" s="188"/>
      <c r="M177" s="187"/>
      <c r="N177" s="187"/>
      <c r="O177" s="187"/>
      <c r="P177" s="187"/>
      <c r="Q177" s="187"/>
      <c r="R177" s="187"/>
      <c r="S177" s="187"/>
      <c r="T177" s="187"/>
      <c r="U177" s="186"/>
      <c r="V177" s="186"/>
      <c r="W177" s="186"/>
      <c r="X177" s="186"/>
      <c r="Y177" s="186"/>
      <c r="Z177" s="186"/>
      <c r="AA177" s="186"/>
      <c r="AB177" s="186"/>
      <c r="AC177" s="186"/>
      <c r="AD177" s="186"/>
      <c r="AE177" s="186"/>
      <c r="AF177" s="186"/>
      <c r="AG177" s="185"/>
      <c r="AH177" s="185"/>
      <c r="AI177" s="185"/>
      <c r="AJ177" s="185"/>
      <c r="AK177" s="185"/>
      <c r="AL177" s="184"/>
      <c r="AM177" s="184"/>
      <c r="AN177" s="118"/>
      <c r="AP177" s="108"/>
    </row>
    <row r="178" spans="4:42" s="183" customFormat="1" ht="15.75" customHeight="1" x14ac:dyDescent="0.25">
      <c r="D178" s="188"/>
      <c r="E178" s="188"/>
      <c r="F178" s="188"/>
      <c r="G178" s="188"/>
      <c r="H178" s="188"/>
      <c r="I178" s="188"/>
      <c r="J178" s="188"/>
      <c r="K178" s="188"/>
      <c r="L178" s="188"/>
      <c r="M178" s="187"/>
      <c r="N178" s="187"/>
      <c r="O178" s="187"/>
      <c r="P178" s="187"/>
      <c r="Q178" s="187"/>
      <c r="R178" s="187"/>
      <c r="S178" s="187"/>
      <c r="T178" s="187"/>
      <c r="U178" s="186"/>
      <c r="V178" s="186"/>
      <c r="W178" s="186"/>
      <c r="X178" s="186"/>
      <c r="Y178" s="186"/>
      <c r="Z178" s="186"/>
      <c r="AA178" s="186"/>
      <c r="AB178" s="186"/>
      <c r="AC178" s="186"/>
      <c r="AD178" s="186"/>
      <c r="AE178" s="186"/>
      <c r="AF178" s="186"/>
      <c r="AG178" s="185"/>
      <c r="AH178" s="185"/>
      <c r="AI178" s="185"/>
      <c r="AJ178" s="185"/>
      <c r="AK178" s="185"/>
      <c r="AL178" s="184"/>
      <c r="AM178" s="184"/>
      <c r="AN178" s="118"/>
      <c r="AP178" s="108"/>
    </row>
    <row r="179" spans="4:42" s="183" customFormat="1" ht="15.75" customHeight="1" x14ac:dyDescent="0.25">
      <c r="D179" s="188"/>
      <c r="E179" s="188"/>
      <c r="F179" s="188"/>
      <c r="G179" s="188"/>
      <c r="H179" s="188"/>
      <c r="I179" s="188"/>
      <c r="J179" s="188"/>
      <c r="K179" s="188"/>
      <c r="L179" s="188"/>
      <c r="M179" s="187"/>
      <c r="N179" s="187"/>
      <c r="O179" s="187"/>
      <c r="P179" s="187"/>
      <c r="Q179" s="187"/>
      <c r="R179" s="187"/>
      <c r="S179" s="187"/>
      <c r="T179" s="187"/>
      <c r="U179" s="186"/>
      <c r="V179" s="186"/>
      <c r="W179" s="186"/>
      <c r="X179" s="186"/>
      <c r="Y179" s="186"/>
      <c r="Z179" s="186"/>
      <c r="AA179" s="186"/>
      <c r="AB179" s="186"/>
      <c r="AC179" s="186"/>
      <c r="AD179" s="186"/>
      <c r="AE179" s="186"/>
      <c r="AF179" s="186"/>
      <c r="AG179" s="185"/>
      <c r="AH179" s="185"/>
      <c r="AI179" s="185"/>
      <c r="AJ179" s="185"/>
      <c r="AK179" s="185"/>
      <c r="AL179" s="184"/>
      <c r="AM179" s="184"/>
      <c r="AN179" s="118"/>
      <c r="AP179" s="108"/>
    </row>
    <row r="180" spans="4:42" s="183" customFormat="1" ht="15.75" customHeight="1" x14ac:dyDescent="0.25">
      <c r="D180" s="188"/>
      <c r="E180" s="188"/>
      <c r="F180" s="188"/>
      <c r="G180" s="188"/>
      <c r="H180" s="188"/>
      <c r="I180" s="188"/>
      <c r="J180" s="188"/>
      <c r="K180" s="188"/>
      <c r="L180" s="188"/>
      <c r="M180" s="187"/>
      <c r="N180" s="187"/>
      <c r="O180" s="187"/>
      <c r="P180" s="187"/>
      <c r="Q180" s="187"/>
      <c r="R180" s="187"/>
      <c r="S180" s="187"/>
      <c r="T180" s="187"/>
      <c r="U180" s="186"/>
      <c r="V180" s="186"/>
      <c r="W180" s="186"/>
      <c r="X180" s="186"/>
      <c r="Y180" s="186"/>
      <c r="Z180" s="186"/>
      <c r="AA180" s="186"/>
      <c r="AB180" s="186"/>
      <c r="AC180" s="186"/>
      <c r="AD180" s="186"/>
      <c r="AE180" s="186"/>
      <c r="AF180" s="186"/>
      <c r="AG180" s="185"/>
      <c r="AH180" s="185"/>
      <c r="AI180" s="185"/>
      <c r="AJ180" s="185"/>
      <c r="AK180" s="185"/>
      <c r="AL180" s="184"/>
      <c r="AM180" s="184"/>
      <c r="AN180" s="118"/>
      <c r="AP180" s="108"/>
    </row>
    <row r="181" spans="4:42" s="183" customFormat="1" ht="15.75" customHeight="1" x14ac:dyDescent="0.25">
      <c r="D181" s="188"/>
      <c r="E181" s="188"/>
      <c r="F181" s="188"/>
      <c r="G181" s="188"/>
      <c r="H181" s="188"/>
      <c r="I181" s="188"/>
      <c r="J181" s="188"/>
      <c r="K181" s="188"/>
      <c r="L181" s="188"/>
      <c r="M181" s="187"/>
      <c r="N181" s="187"/>
      <c r="O181" s="187"/>
      <c r="P181" s="187"/>
      <c r="Q181" s="187"/>
      <c r="R181" s="187"/>
      <c r="S181" s="187"/>
      <c r="T181" s="187"/>
      <c r="U181" s="186"/>
      <c r="V181" s="186"/>
      <c r="W181" s="186"/>
      <c r="X181" s="186"/>
      <c r="Y181" s="186"/>
      <c r="Z181" s="186"/>
      <c r="AA181" s="186"/>
      <c r="AB181" s="186"/>
      <c r="AC181" s="186"/>
      <c r="AD181" s="186"/>
      <c r="AE181" s="186"/>
      <c r="AF181" s="186"/>
      <c r="AG181" s="185"/>
      <c r="AH181" s="185"/>
      <c r="AI181" s="185"/>
      <c r="AJ181" s="185"/>
      <c r="AK181" s="185"/>
      <c r="AL181" s="184"/>
      <c r="AM181" s="184"/>
      <c r="AN181" s="118"/>
      <c r="AP181" s="108"/>
    </row>
    <row r="182" spans="4:42" s="183" customFormat="1" ht="15.75" customHeight="1" x14ac:dyDescent="0.25">
      <c r="D182" s="188"/>
      <c r="E182" s="188"/>
      <c r="F182" s="188"/>
      <c r="G182" s="188"/>
      <c r="H182" s="188"/>
      <c r="I182" s="188"/>
      <c r="J182" s="188"/>
      <c r="K182" s="188"/>
      <c r="L182" s="188"/>
      <c r="M182" s="187"/>
      <c r="N182" s="187"/>
      <c r="O182" s="187"/>
      <c r="P182" s="187"/>
      <c r="Q182" s="187"/>
      <c r="R182" s="187"/>
      <c r="S182" s="187"/>
      <c r="T182" s="187"/>
      <c r="U182" s="186"/>
      <c r="V182" s="186"/>
      <c r="W182" s="186"/>
      <c r="X182" s="186"/>
      <c r="Y182" s="186"/>
      <c r="Z182" s="186"/>
      <c r="AA182" s="186"/>
      <c r="AB182" s="186"/>
      <c r="AC182" s="186"/>
      <c r="AD182" s="186"/>
      <c r="AE182" s="186"/>
      <c r="AF182" s="186"/>
      <c r="AG182" s="185"/>
      <c r="AH182" s="185"/>
      <c r="AI182" s="185"/>
      <c r="AJ182" s="185"/>
      <c r="AK182" s="185"/>
      <c r="AL182" s="184"/>
      <c r="AM182" s="184"/>
      <c r="AN182" s="118"/>
      <c r="AP182" s="108"/>
    </row>
    <row r="183" spans="4:42" s="183" customFormat="1" ht="15.75" customHeight="1" x14ac:dyDescent="0.25">
      <c r="D183" s="188"/>
      <c r="E183" s="188"/>
      <c r="F183" s="188"/>
      <c r="G183" s="188"/>
      <c r="H183" s="188"/>
      <c r="I183" s="188"/>
      <c r="J183" s="188"/>
      <c r="K183" s="188"/>
      <c r="L183" s="188"/>
      <c r="M183" s="187"/>
      <c r="N183" s="187"/>
      <c r="O183" s="187"/>
      <c r="P183" s="187"/>
      <c r="Q183" s="187"/>
      <c r="R183" s="187"/>
      <c r="S183" s="187"/>
      <c r="T183" s="187"/>
      <c r="U183" s="186"/>
      <c r="V183" s="186"/>
      <c r="W183" s="186"/>
      <c r="X183" s="186"/>
      <c r="Y183" s="186"/>
      <c r="Z183" s="186"/>
      <c r="AA183" s="186"/>
      <c r="AB183" s="186"/>
      <c r="AC183" s="186"/>
      <c r="AD183" s="186"/>
      <c r="AE183" s="186"/>
      <c r="AF183" s="186"/>
      <c r="AG183" s="185"/>
      <c r="AH183" s="185"/>
      <c r="AI183" s="185"/>
      <c r="AJ183" s="185"/>
      <c r="AK183" s="185"/>
      <c r="AL183" s="184"/>
      <c r="AM183" s="184"/>
      <c r="AN183" s="118"/>
      <c r="AP183" s="108"/>
    </row>
    <row r="184" spans="4:42" s="183" customFormat="1" ht="15.75" customHeight="1" x14ac:dyDescent="0.25">
      <c r="D184" s="188"/>
      <c r="E184" s="188"/>
      <c r="F184" s="188"/>
      <c r="G184" s="188"/>
      <c r="H184" s="188"/>
      <c r="I184" s="188"/>
      <c r="J184" s="188"/>
      <c r="K184" s="188"/>
      <c r="L184" s="188"/>
      <c r="M184" s="187"/>
      <c r="N184" s="187"/>
      <c r="O184" s="187"/>
      <c r="P184" s="187"/>
      <c r="Q184" s="187"/>
      <c r="R184" s="187"/>
      <c r="S184" s="187"/>
      <c r="T184" s="187"/>
      <c r="U184" s="186"/>
      <c r="V184" s="186"/>
      <c r="W184" s="186"/>
      <c r="X184" s="186"/>
      <c r="Y184" s="186"/>
      <c r="Z184" s="186"/>
      <c r="AA184" s="186"/>
      <c r="AB184" s="186"/>
      <c r="AC184" s="186"/>
      <c r="AD184" s="186"/>
      <c r="AE184" s="186"/>
      <c r="AF184" s="186"/>
      <c r="AG184" s="185"/>
      <c r="AH184" s="185"/>
      <c r="AI184" s="185"/>
      <c r="AJ184" s="185"/>
      <c r="AK184" s="185"/>
      <c r="AL184" s="184"/>
      <c r="AM184" s="184"/>
      <c r="AN184" s="118"/>
      <c r="AP184" s="108"/>
    </row>
    <row r="185" spans="4:42" s="183" customFormat="1" ht="15.75" customHeight="1" x14ac:dyDescent="0.25">
      <c r="D185" s="188"/>
      <c r="E185" s="188"/>
      <c r="F185" s="188"/>
      <c r="G185" s="188"/>
      <c r="H185" s="188"/>
      <c r="I185" s="188"/>
      <c r="J185" s="188"/>
      <c r="K185" s="188"/>
      <c r="L185" s="188"/>
      <c r="M185" s="187"/>
      <c r="N185" s="187"/>
      <c r="O185" s="187"/>
      <c r="P185" s="187"/>
      <c r="Q185" s="187"/>
      <c r="R185" s="187"/>
      <c r="S185" s="187"/>
      <c r="T185" s="187"/>
      <c r="U185" s="186"/>
      <c r="V185" s="186"/>
      <c r="W185" s="186"/>
      <c r="X185" s="186"/>
      <c r="Y185" s="186"/>
      <c r="Z185" s="186"/>
      <c r="AA185" s="186"/>
      <c r="AB185" s="186"/>
      <c r="AC185" s="186"/>
      <c r="AD185" s="186"/>
      <c r="AE185" s="186"/>
      <c r="AF185" s="186"/>
      <c r="AG185" s="185"/>
      <c r="AH185" s="185"/>
      <c r="AI185" s="185"/>
      <c r="AJ185" s="185"/>
      <c r="AK185" s="185"/>
      <c r="AL185" s="184"/>
      <c r="AM185" s="184"/>
      <c r="AN185" s="118"/>
      <c r="AP185" s="108"/>
    </row>
    <row r="186" spans="4:42" s="183" customFormat="1" ht="15.75" customHeight="1" x14ac:dyDescent="0.25">
      <c r="D186" s="188"/>
      <c r="E186" s="188"/>
      <c r="F186" s="188"/>
      <c r="G186" s="188"/>
      <c r="H186" s="188"/>
      <c r="I186" s="188"/>
      <c r="J186" s="188"/>
      <c r="K186" s="188"/>
      <c r="L186" s="188"/>
      <c r="M186" s="187"/>
      <c r="N186" s="187"/>
      <c r="O186" s="187"/>
      <c r="P186" s="187"/>
      <c r="Q186" s="187"/>
      <c r="R186" s="187"/>
      <c r="S186" s="187"/>
      <c r="T186" s="187"/>
      <c r="U186" s="186"/>
      <c r="V186" s="186"/>
      <c r="W186" s="186"/>
      <c r="X186" s="186"/>
      <c r="Y186" s="186"/>
      <c r="Z186" s="186"/>
      <c r="AA186" s="186"/>
      <c r="AB186" s="186"/>
      <c r="AC186" s="186"/>
      <c r="AD186" s="186"/>
      <c r="AE186" s="186"/>
      <c r="AF186" s="186"/>
      <c r="AG186" s="185"/>
      <c r="AH186" s="185"/>
      <c r="AI186" s="185"/>
      <c r="AJ186" s="185"/>
      <c r="AK186" s="185"/>
      <c r="AL186" s="184"/>
      <c r="AM186" s="184"/>
      <c r="AN186" s="118"/>
      <c r="AP186" s="108"/>
    </row>
    <row r="187" spans="4:42" s="183" customFormat="1" ht="15.75" customHeight="1" x14ac:dyDescent="0.25">
      <c r="D187" s="188"/>
      <c r="E187" s="188"/>
      <c r="F187" s="188"/>
      <c r="G187" s="188"/>
      <c r="H187" s="188"/>
      <c r="I187" s="188"/>
      <c r="J187" s="188"/>
      <c r="K187" s="188"/>
      <c r="L187" s="188"/>
      <c r="M187" s="187"/>
      <c r="N187" s="187"/>
      <c r="O187" s="187"/>
      <c r="P187" s="187"/>
      <c r="Q187" s="187"/>
      <c r="R187" s="187"/>
      <c r="S187" s="187"/>
      <c r="T187" s="187"/>
      <c r="U187" s="186"/>
      <c r="V187" s="186"/>
      <c r="W187" s="186"/>
      <c r="X187" s="186"/>
      <c r="Y187" s="186"/>
      <c r="Z187" s="186"/>
      <c r="AA187" s="186"/>
      <c r="AB187" s="186"/>
      <c r="AC187" s="186"/>
      <c r="AD187" s="186"/>
      <c r="AE187" s="186"/>
      <c r="AF187" s="186"/>
      <c r="AG187" s="185"/>
      <c r="AH187" s="185"/>
      <c r="AI187" s="185"/>
      <c r="AJ187" s="185"/>
      <c r="AK187" s="185"/>
      <c r="AL187" s="184"/>
      <c r="AM187" s="184"/>
      <c r="AN187" s="118"/>
      <c r="AP187" s="108"/>
    </row>
    <row r="188" spans="4:42" s="183" customFormat="1" ht="15.75" customHeight="1" x14ac:dyDescent="0.25">
      <c r="D188" s="188"/>
      <c r="E188" s="188"/>
      <c r="F188" s="188"/>
      <c r="G188" s="188"/>
      <c r="H188" s="188"/>
      <c r="I188" s="188"/>
      <c r="J188" s="188"/>
      <c r="K188" s="188"/>
      <c r="L188" s="188"/>
      <c r="M188" s="187"/>
      <c r="N188" s="187"/>
      <c r="O188" s="187"/>
      <c r="P188" s="187"/>
      <c r="Q188" s="187"/>
      <c r="R188" s="187"/>
      <c r="S188" s="187"/>
      <c r="T188" s="187"/>
      <c r="U188" s="186"/>
      <c r="V188" s="186"/>
      <c r="W188" s="186"/>
      <c r="X188" s="186"/>
      <c r="Y188" s="186"/>
      <c r="Z188" s="186"/>
      <c r="AA188" s="186"/>
      <c r="AB188" s="186"/>
      <c r="AC188" s="186"/>
      <c r="AD188" s="186"/>
      <c r="AE188" s="186"/>
      <c r="AF188" s="186"/>
      <c r="AG188" s="185"/>
      <c r="AH188" s="185"/>
      <c r="AI188" s="185"/>
      <c r="AJ188" s="185"/>
      <c r="AK188" s="185"/>
      <c r="AL188" s="184"/>
      <c r="AM188" s="184"/>
      <c r="AN188" s="118"/>
      <c r="AP188" s="108"/>
    </row>
    <row r="189" spans="4:42" s="183" customFormat="1" ht="15.75" customHeight="1" x14ac:dyDescent="0.25">
      <c r="D189" s="188"/>
      <c r="E189" s="188"/>
      <c r="F189" s="188"/>
      <c r="G189" s="188"/>
      <c r="H189" s="188"/>
      <c r="I189" s="188"/>
      <c r="J189" s="188"/>
      <c r="K189" s="188"/>
      <c r="L189" s="188"/>
      <c r="M189" s="187"/>
      <c r="N189" s="187"/>
      <c r="O189" s="187"/>
      <c r="P189" s="187"/>
      <c r="Q189" s="187"/>
      <c r="R189" s="187"/>
      <c r="S189" s="187"/>
      <c r="T189" s="187"/>
      <c r="U189" s="186"/>
      <c r="V189" s="186"/>
      <c r="W189" s="186"/>
      <c r="X189" s="186"/>
      <c r="Y189" s="186"/>
      <c r="Z189" s="186"/>
      <c r="AA189" s="186"/>
      <c r="AB189" s="186"/>
      <c r="AC189" s="186"/>
      <c r="AD189" s="186"/>
      <c r="AE189" s="186"/>
      <c r="AF189" s="186"/>
      <c r="AG189" s="185"/>
      <c r="AH189" s="185"/>
      <c r="AI189" s="185"/>
      <c r="AJ189" s="185"/>
      <c r="AK189" s="185"/>
      <c r="AL189" s="184"/>
      <c r="AM189" s="184"/>
      <c r="AN189" s="118"/>
      <c r="AP189" s="108"/>
    </row>
    <row r="190" spans="4:42" s="183" customFormat="1" ht="15.75" customHeight="1" x14ac:dyDescent="0.25">
      <c r="D190" s="188"/>
      <c r="E190" s="188"/>
      <c r="F190" s="188"/>
      <c r="G190" s="188"/>
      <c r="H190" s="188"/>
      <c r="I190" s="188"/>
      <c r="J190" s="188"/>
      <c r="K190" s="188"/>
      <c r="L190" s="188"/>
      <c r="M190" s="187"/>
      <c r="N190" s="187"/>
      <c r="O190" s="187"/>
      <c r="P190" s="187"/>
      <c r="Q190" s="187"/>
      <c r="R190" s="187"/>
      <c r="S190" s="187"/>
      <c r="T190" s="187"/>
      <c r="U190" s="186"/>
      <c r="V190" s="186"/>
      <c r="W190" s="186"/>
      <c r="X190" s="186"/>
      <c r="Y190" s="186"/>
      <c r="Z190" s="186"/>
      <c r="AA190" s="186"/>
      <c r="AB190" s="186"/>
      <c r="AC190" s="186"/>
      <c r="AD190" s="186"/>
      <c r="AE190" s="186"/>
      <c r="AF190" s="186"/>
      <c r="AG190" s="185"/>
      <c r="AH190" s="185"/>
      <c r="AI190" s="185"/>
      <c r="AJ190" s="185"/>
      <c r="AK190" s="185"/>
      <c r="AL190" s="184"/>
      <c r="AM190" s="184"/>
      <c r="AN190" s="118"/>
      <c r="AP190" s="108"/>
    </row>
    <row r="191" spans="4:42" s="183" customFormat="1" ht="15.75" customHeight="1" x14ac:dyDescent="0.25">
      <c r="D191" s="188"/>
      <c r="E191" s="188"/>
      <c r="F191" s="188"/>
      <c r="G191" s="188"/>
      <c r="H191" s="188"/>
      <c r="I191" s="188"/>
      <c r="J191" s="188"/>
      <c r="K191" s="188"/>
      <c r="L191" s="188"/>
      <c r="M191" s="187"/>
      <c r="N191" s="187"/>
      <c r="O191" s="187"/>
      <c r="P191" s="187"/>
      <c r="Q191" s="187"/>
      <c r="R191" s="187"/>
      <c r="S191" s="187"/>
      <c r="T191" s="187"/>
      <c r="U191" s="186"/>
      <c r="V191" s="186"/>
      <c r="W191" s="186"/>
      <c r="X191" s="186"/>
      <c r="Y191" s="186"/>
      <c r="Z191" s="186"/>
      <c r="AA191" s="186"/>
      <c r="AB191" s="186"/>
      <c r="AC191" s="186"/>
      <c r="AD191" s="186"/>
      <c r="AE191" s="186"/>
      <c r="AF191" s="186"/>
      <c r="AG191" s="185"/>
      <c r="AH191" s="185"/>
      <c r="AI191" s="185"/>
      <c r="AJ191" s="185"/>
      <c r="AK191" s="185"/>
      <c r="AL191" s="184"/>
      <c r="AM191" s="184"/>
      <c r="AN191" s="118"/>
      <c r="AP191" s="108"/>
    </row>
    <row r="192" spans="4:42" s="183" customFormat="1" ht="15.75" customHeight="1" x14ac:dyDescent="0.25">
      <c r="D192" s="188"/>
      <c r="E192" s="188"/>
      <c r="F192" s="188"/>
      <c r="G192" s="188"/>
      <c r="H192" s="188"/>
      <c r="I192" s="188"/>
      <c r="J192" s="188"/>
      <c r="K192" s="188"/>
      <c r="L192" s="188"/>
      <c r="M192" s="187"/>
      <c r="N192" s="187"/>
      <c r="O192" s="187"/>
      <c r="P192" s="187"/>
      <c r="Q192" s="187"/>
      <c r="R192" s="187"/>
      <c r="S192" s="187"/>
      <c r="T192" s="187"/>
      <c r="U192" s="186"/>
      <c r="V192" s="186"/>
      <c r="W192" s="186"/>
      <c r="X192" s="186"/>
      <c r="Y192" s="186"/>
      <c r="Z192" s="186"/>
      <c r="AA192" s="186"/>
      <c r="AB192" s="186"/>
      <c r="AC192" s="186"/>
      <c r="AD192" s="186"/>
      <c r="AE192" s="186"/>
      <c r="AF192" s="186"/>
      <c r="AG192" s="185"/>
      <c r="AH192" s="185"/>
      <c r="AI192" s="185"/>
      <c r="AJ192" s="185"/>
      <c r="AK192" s="185"/>
      <c r="AL192" s="184"/>
      <c r="AM192" s="184"/>
      <c r="AN192" s="118"/>
      <c r="AP192" s="108"/>
    </row>
    <row r="193" spans="1:43" s="183" customFormat="1" ht="15.75" customHeight="1" x14ac:dyDescent="0.25">
      <c r="D193" s="188"/>
      <c r="E193" s="188"/>
      <c r="F193" s="188"/>
      <c r="G193" s="188"/>
      <c r="H193" s="188"/>
      <c r="I193" s="188"/>
      <c r="J193" s="188"/>
      <c r="K193" s="188"/>
      <c r="L193" s="188"/>
      <c r="M193" s="187"/>
      <c r="N193" s="187"/>
      <c r="O193" s="187"/>
      <c r="P193" s="187"/>
      <c r="Q193" s="187"/>
      <c r="R193" s="187"/>
      <c r="S193" s="187"/>
      <c r="T193" s="187"/>
      <c r="U193" s="186"/>
      <c r="V193" s="186"/>
      <c r="W193" s="186"/>
      <c r="X193" s="186"/>
      <c r="Y193" s="186"/>
      <c r="Z193" s="186"/>
      <c r="AA193" s="186"/>
      <c r="AB193" s="186"/>
      <c r="AC193" s="186"/>
      <c r="AD193" s="186"/>
      <c r="AE193" s="186"/>
      <c r="AF193" s="186"/>
      <c r="AG193" s="185"/>
      <c r="AH193" s="185"/>
      <c r="AI193" s="185"/>
      <c r="AJ193" s="185"/>
      <c r="AK193" s="185"/>
      <c r="AL193" s="184"/>
      <c r="AM193" s="184"/>
      <c r="AN193" s="118"/>
      <c r="AP193" s="108"/>
    </row>
    <row r="194" spans="1:43" s="183" customFormat="1" ht="15.75" customHeight="1" x14ac:dyDescent="0.25">
      <c r="D194" s="188"/>
      <c r="E194" s="188"/>
      <c r="F194" s="188"/>
      <c r="G194" s="188"/>
      <c r="H194" s="188"/>
      <c r="I194" s="188"/>
      <c r="J194" s="188"/>
      <c r="K194" s="188"/>
      <c r="L194" s="188"/>
      <c r="M194" s="187"/>
      <c r="N194" s="187"/>
      <c r="O194" s="187"/>
      <c r="P194" s="187"/>
      <c r="Q194" s="187"/>
      <c r="R194" s="187"/>
      <c r="S194" s="187"/>
      <c r="T194" s="187"/>
      <c r="U194" s="186"/>
      <c r="V194" s="186"/>
      <c r="W194" s="186"/>
      <c r="X194" s="186"/>
      <c r="Y194" s="186"/>
      <c r="Z194" s="186"/>
      <c r="AA194" s="186"/>
      <c r="AB194" s="186"/>
      <c r="AC194" s="186"/>
      <c r="AD194" s="186"/>
      <c r="AE194" s="186"/>
      <c r="AF194" s="186"/>
      <c r="AG194" s="185"/>
      <c r="AH194" s="185"/>
      <c r="AI194" s="185"/>
      <c r="AJ194" s="185"/>
      <c r="AK194" s="185"/>
      <c r="AL194" s="184"/>
      <c r="AM194" s="184"/>
      <c r="AN194" s="118"/>
      <c r="AP194" s="108"/>
    </row>
    <row r="195" spans="1:43" s="183" customFormat="1" ht="15.75" customHeight="1" x14ac:dyDescent="0.25">
      <c r="D195" s="188"/>
      <c r="E195" s="188"/>
      <c r="F195" s="188"/>
      <c r="G195" s="188"/>
      <c r="H195" s="188"/>
      <c r="I195" s="188"/>
      <c r="J195" s="188"/>
      <c r="K195" s="188"/>
      <c r="L195" s="188"/>
      <c r="M195" s="187"/>
      <c r="N195" s="187"/>
      <c r="O195" s="187"/>
      <c r="P195" s="187"/>
      <c r="Q195" s="187"/>
      <c r="R195" s="187"/>
      <c r="S195" s="187"/>
      <c r="T195" s="187"/>
      <c r="U195" s="186"/>
      <c r="V195" s="186"/>
      <c r="W195" s="186"/>
      <c r="X195" s="186"/>
      <c r="Y195" s="186"/>
      <c r="Z195" s="186"/>
      <c r="AA195" s="186"/>
      <c r="AB195" s="186"/>
      <c r="AC195" s="186"/>
      <c r="AD195" s="186"/>
      <c r="AE195" s="186"/>
      <c r="AF195" s="186"/>
      <c r="AG195" s="185"/>
      <c r="AH195" s="185"/>
      <c r="AI195" s="185"/>
      <c r="AJ195" s="185"/>
      <c r="AK195" s="185"/>
      <c r="AL195" s="184"/>
      <c r="AM195" s="184"/>
      <c r="AN195" s="118"/>
      <c r="AP195" s="108"/>
    </row>
    <row r="196" spans="1:43" s="183" customFormat="1" ht="15.75" customHeight="1" x14ac:dyDescent="0.25">
      <c r="D196" s="188"/>
      <c r="E196" s="188"/>
      <c r="F196" s="188"/>
      <c r="G196" s="188"/>
      <c r="H196" s="188"/>
      <c r="I196" s="188"/>
      <c r="J196" s="188"/>
      <c r="K196" s="188"/>
      <c r="L196" s="188"/>
      <c r="M196" s="187"/>
      <c r="N196" s="187"/>
      <c r="O196" s="187"/>
      <c r="P196" s="187"/>
      <c r="Q196" s="187"/>
      <c r="R196" s="187"/>
      <c r="S196" s="187"/>
      <c r="T196" s="187"/>
      <c r="U196" s="186"/>
      <c r="V196" s="186"/>
      <c r="W196" s="186"/>
      <c r="X196" s="186"/>
      <c r="Y196" s="186"/>
      <c r="Z196" s="186"/>
      <c r="AA196" s="186"/>
      <c r="AB196" s="186"/>
      <c r="AC196" s="186"/>
      <c r="AD196" s="186"/>
      <c r="AE196" s="186"/>
      <c r="AF196" s="186"/>
      <c r="AG196" s="185"/>
      <c r="AH196" s="185"/>
      <c r="AI196" s="185"/>
      <c r="AJ196" s="185"/>
      <c r="AK196" s="185"/>
      <c r="AL196" s="184"/>
      <c r="AM196" s="184"/>
      <c r="AN196" s="118"/>
      <c r="AP196" s="108"/>
    </row>
    <row r="197" spans="1:43" ht="15" customHeight="1" x14ac:dyDescent="0.25">
      <c r="A197" s="182"/>
      <c r="B197" s="408" t="s">
        <v>370</v>
      </c>
      <c r="C197" s="408"/>
      <c r="D197" s="408"/>
      <c r="E197" s="408"/>
      <c r="F197" s="408"/>
      <c r="G197" s="408"/>
      <c r="H197" s="408"/>
      <c r="I197" s="408"/>
      <c r="J197" s="408"/>
      <c r="K197" s="408"/>
      <c r="L197" s="408"/>
      <c r="M197" s="408"/>
      <c r="N197" s="408"/>
      <c r="O197" s="408"/>
      <c r="P197" s="408"/>
      <c r="Q197" s="408"/>
      <c r="R197" s="408"/>
      <c r="S197" s="408"/>
      <c r="T197" s="408"/>
      <c r="U197" s="408"/>
      <c r="V197" s="408"/>
      <c r="W197" s="408"/>
      <c r="X197" s="408"/>
      <c r="Y197" s="408"/>
      <c r="Z197" s="408"/>
      <c r="AA197" s="408"/>
      <c r="AB197" s="408"/>
      <c r="AC197" s="408"/>
      <c r="AD197" s="408"/>
      <c r="AE197" s="408"/>
      <c r="AF197" s="408"/>
      <c r="AG197" s="408"/>
      <c r="AH197" s="408"/>
      <c r="AI197" s="408"/>
      <c r="AJ197" s="408"/>
      <c r="AK197" s="408"/>
      <c r="AL197" s="182"/>
      <c r="AM197" s="182"/>
    </row>
    <row r="198" spans="1:43" ht="15" customHeight="1" x14ac:dyDescent="0.25">
      <c r="L198" s="450"/>
      <c r="M198" s="450"/>
      <c r="N198" s="450"/>
    </row>
    <row r="199" spans="1:43" ht="15" customHeight="1" x14ac:dyDescent="0.25">
      <c r="L199" s="181"/>
      <c r="M199" s="181"/>
      <c r="N199" s="181"/>
    </row>
    <row r="200" spans="1:43" ht="15" customHeight="1" x14ac:dyDescent="0.25">
      <c r="D200" s="451" t="s">
        <v>369</v>
      </c>
      <c r="E200" s="451"/>
      <c r="F200" s="451"/>
      <c r="G200" s="451"/>
      <c r="H200" s="451"/>
      <c r="I200" s="451"/>
      <c r="J200" s="451"/>
      <c r="K200" s="451"/>
      <c r="L200" s="451"/>
      <c r="M200" s="451"/>
      <c r="N200" s="451"/>
      <c r="O200" s="451"/>
      <c r="P200" s="451"/>
      <c r="Q200" s="451"/>
      <c r="R200" s="451"/>
      <c r="S200" s="451"/>
      <c r="T200" s="451"/>
      <c r="U200" s="451"/>
      <c r="V200" s="451"/>
      <c r="W200" s="451"/>
      <c r="X200" s="451"/>
      <c r="Y200" s="451"/>
      <c r="Z200" s="451"/>
      <c r="AA200" s="451"/>
      <c r="AB200" s="451"/>
      <c r="AC200" s="451"/>
      <c r="AD200" s="451"/>
      <c r="AE200" s="451"/>
      <c r="AF200" s="451"/>
      <c r="AG200" s="451"/>
      <c r="AH200" s="451"/>
      <c r="AI200" s="451"/>
      <c r="AJ200" s="451"/>
      <c r="AK200" s="451"/>
      <c r="AL200" s="180"/>
      <c r="AM200" s="180"/>
      <c r="AQ200" s="179"/>
    </row>
    <row r="201" spans="1:43" ht="15" customHeight="1" x14ac:dyDescent="0.25">
      <c r="AM201" s="178" t="s">
        <v>519</v>
      </c>
    </row>
  </sheetData>
  <mergeCells count="103">
    <mergeCell ref="M171:P171"/>
    <mergeCell ref="Q171:T171"/>
    <mergeCell ref="U171:X171"/>
    <mergeCell ref="Y171:AB171"/>
    <mergeCell ref="AC171:AF171"/>
    <mergeCell ref="Y168:AB168"/>
    <mergeCell ref="AG167:AK167"/>
    <mergeCell ref="L198:N198"/>
    <mergeCell ref="D200:AK200"/>
    <mergeCell ref="D167:L167"/>
    <mergeCell ref="M167:P167"/>
    <mergeCell ref="Q167:T167"/>
    <mergeCell ref="U167:X167"/>
    <mergeCell ref="Y167:AB167"/>
    <mergeCell ref="AC167:AF167"/>
    <mergeCell ref="AG170:AK170"/>
    <mergeCell ref="D171:L171"/>
    <mergeCell ref="B197:AK197"/>
    <mergeCell ref="D170:L170"/>
    <mergeCell ref="M170:P170"/>
    <mergeCell ref="AG171:AK171"/>
    <mergeCell ref="AG168:AK168"/>
    <mergeCell ref="D169:L169"/>
    <mergeCell ref="M169:P169"/>
    <mergeCell ref="Q169:T169"/>
    <mergeCell ref="U169:X169"/>
    <mergeCell ref="Y169:AB169"/>
    <mergeCell ref="AC169:AF169"/>
    <mergeCell ref="Q170:T170"/>
    <mergeCell ref="E155:AK155"/>
    <mergeCell ref="AC168:AF168"/>
    <mergeCell ref="D160:AK160"/>
    <mergeCell ref="D161:AK161"/>
    <mergeCell ref="D166:L166"/>
    <mergeCell ref="M166:P166"/>
    <mergeCell ref="Q166:T166"/>
    <mergeCell ref="U166:X166"/>
    <mergeCell ref="Y166:AB166"/>
    <mergeCell ref="AC166:AF166"/>
    <mergeCell ref="AG166:AK166"/>
    <mergeCell ref="D162:AK162"/>
    <mergeCell ref="D168:L168"/>
    <mergeCell ref="M168:P168"/>
    <mergeCell ref="Q168:T168"/>
    <mergeCell ref="AG169:AK169"/>
    <mergeCell ref="U170:X170"/>
    <mergeCell ref="Y170:AB170"/>
    <mergeCell ref="AC170:AF170"/>
    <mergeCell ref="U168:X168"/>
    <mergeCell ref="P131:AK131"/>
    <mergeCell ref="E156:AK156"/>
    <mergeCell ref="D136:G136"/>
    <mergeCell ref="H136:K136"/>
    <mergeCell ref="L136:N136"/>
    <mergeCell ref="O136:P136"/>
    <mergeCell ref="Q136:AK136"/>
    <mergeCell ref="D140:AK140"/>
    <mergeCell ref="D144:AK144"/>
    <mergeCell ref="D148:AK148"/>
    <mergeCell ref="D135:G135"/>
    <mergeCell ref="H135:K135"/>
    <mergeCell ref="L135:P135"/>
    <mergeCell ref="Q135:AK135"/>
    <mergeCell ref="E153:AK153"/>
    <mergeCell ref="E154:AK154"/>
    <mergeCell ref="P130:AK130"/>
    <mergeCell ref="P126:AK126"/>
    <mergeCell ref="P115:AK115"/>
    <mergeCell ref="P116:AK116"/>
    <mergeCell ref="P117:AK117"/>
    <mergeCell ref="P118:AK118"/>
    <mergeCell ref="P119:AK119"/>
    <mergeCell ref="P120:AK120"/>
    <mergeCell ref="P121:AK121"/>
    <mergeCell ref="P122:AK122"/>
    <mergeCell ref="P123:AK123"/>
    <mergeCell ref="P124:AK124"/>
    <mergeCell ref="P125:AK125"/>
    <mergeCell ref="P127:AK127"/>
    <mergeCell ref="P128:AK128"/>
    <mergeCell ref="P129:AK129"/>
    <mergeCell ref="D33:AK33"/>
    <mergeCell ref="P111:AK111"/>
    <mergeCell ref="P112:AK112"/>
    <mergeCell ref="P113:AK113"/>
    <mergeCell ref="P114:AK114"/>
    <mergeCell ref="P98:R98"/>
    <mergeCell ref="D102:AK102"/>
    <mergeCell ref="P94:S94"/>
    <mergeCell ref="D103:AK103"/>
    <mergeCell ref="D34:I34"/>
    <mergeCell ref="J34:AK34"/>
    <mergeCell ref="B36:AK59"/>
    <mergeCell ref="R25:AK25"/>
    <mergeCell ref="R27:AK27"/>
    <mergeCell ref="D31:AK31"/>
    <mergeCell ref="D32:AK32"/>
    <mergeCell ref="B1:AK1"/>
    <mergeCell ref="B3:AK3"/>
    <mergeCell ref="P15:R15"/>
    <mergeCell ref="D19:AK19"/>
    <mergeCell ref="D23:AK23"/>
    <mergeCell ref="D7:AK7"/>
  </mergeCells>
  <dataValidations count="1">
    <dataValidation type="list" allowBlank="1" showInputMessage="1" showErrorMessage="1" sqref="D7:AK7" xr:uid="{29708213-71D2-4982-AE2F-EAEF788CCC98}">
      <formula1>Solicitante</formula1>
    </dataValidation>
  </dataValidations>
  <hyperlinks>
    <hyperlink ref="AN171" r:id="rId1" xr:uid="{990F48AB-BB7F-4C36-9042-6F1B8E6BBA0D}"/>
    <hyperlink ref="AN170" r:id="rId2" xr:uid="{B2EA5E3A-8816-45EE-A51B-220B973BACA8}"/>
    <hyperlink ref="AN169" r:id="rId3" xr:uid="{A5678423-2B73-44AB-825E-9F3EAC8D9A9A}"/>
    <hyperlink ref="AN168" r:id="rId4" xr:uid="{AB0C6544-8648-4D38-A97F-3C1D5F8BB702}"/>
    <hyperlink ref="AN167" r:id="rId5" xr:uid="{949C1317-1A59-463D-9EEA-528F846C4E31}"/>
  </hyperlinks>
  <printOptions horizontalCentered="1"/>
  <pageMargins left="0.59055118110236227" right="0.59055118110236227" top="1.3779527559055118" bottom="0.78740157480314965" header="0.31496062992125984" footer="0.31496062992125984"/>
  <pageSetup paperSize="9" scale="65" fitToHeight="0" orientation="portrait" r:id="rId6"/>
  <headerFooter scaleWithDoc="0">
    <oddHeader>&amp;L&amp;G&amp;R&amp;G</oddHeader>
    <oddFooter>&amp;R&amp;"Verdana,Normal"&amp;8&amp;K00-049Página &amp;P de &amp;N</oddFooter>
  </headerFooter>
  <rowBreaks count="3" manualBreakCount="3">
    <brk id="60" max="37" man="1"/>
    <brk id="136" max="37" man="1"/>
    <brk id="171" max="16383" man="1"/>
  </rowBreaks>
  <drawing r:id="rId7"/>
  <legacyDrawingHF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3Matriz">
    <pageSetUpPr fitToPage="1"/>
  </sheetPr>
  <dimension ref="A1:AH247"/>
  <sheetViews>
    <sheetView view="pageBreakPreview" zoomScaleNormal="100" zoomScaleSheetLayoutView="100" workbookViewId="0">
      <pane xSplit="3" ySplit="11" topLeftCell="D12" activePane="bottomRight" state="frozen"/>
      <selection activeCell="AA81" sqref="AA81"/>
      <selection pane="topRight" activeCell="AA81" sqref="AA81"/>
      <selection pane="bottomLeft" activeCell="AA81" sqref="AA81"/>
      <selection pane="bottomRight" activeCell="F231" sqref="F231:AG231"/>
    </sheetView>
  </sheetViews>
  <sheetFormatPr defaultColWidth="10.5703125" defaultRowHeight="15" customHeight="1" x14ac:dyDescent="0.2"/>
  <cols>
    <col min="1" max="1" width="23.28515625" style="42" customWidth="1"/>
    <col min="2" max="2" width="13.5703125" style="43" customWidth="1"/>
    <col min="3" max="3" width="8.85546875" style="41" customWidth="1"/>
    <col min="4" max="4" width="22" style="44" customWidth="1"/>
    <col min="5" max="5" width="56.140625" style="42" customWidth="1"/>
    <col min="6" max="6" width="10.7109375" style="41" customWidth="1"/>
    <col min="7" max="8" width="11.85546875" style="41" customWidth="1"/>
    <col min="9" max="9" width="16.140625" style="41" bestFit="1" customWidth="1"/>
    <col min="10" max="10" width="11.28515625" style="45" customWidth="1"/>
    <col min="11" max="11" width="18.42578125" style="41" customWidth="1"/>
    <col min="12" max="12" width="13" style="41" customWidth="1"/>
    <col min="13" max="13" width="10.140625" style="41" customWidth="1"/>
    <col min="14" max="14" width="9.28515625" style="41" customWidth="1"/>
    <col min="15" max="15" width="15.5703125" style="41" bestFit="1" customWidth="1"/>
    <col min="16" max="16" width="13" style="41" customWidth="1"/>
    <col min="17" max="17" width="15.5703125" style="41" customWidth="1"/>
    <col min="18" max="18" width="14" style="41" customWidth="1"/>
    <col min="19" max="19" width="14.42578125" style="41" customWidth="1"/>
    <col min="20" max="20" width="15.140625" style="41" customWidth="1"/>
    <col min="21" max="21" width="13.85546875" style="41" bestFit="1" customWidth="1"/>
    <col min="22" max="22" width="14.85546875" style="41" customWidth="1"/>
    <col min="23" max="23" width="17.140625" style="41" customWidth="1"/>
    <col min="24" max="24" width="15.42578125" style="41" customWidth="1"/>
    <col min="25" max="25" width="16.5703125" style="41" customWidth="1"/>
    <col min="26" max="26" width="15.85546875" style="41" customWidth="1"/>
    <col min="27" max="27" width="22.28515625" style="41" customWidth="1"/>
    <col min="28" max="28" width="22.140625" style="54" customWidth="1"/>
    <col min="29" max="29" width="13.85546875" style="41" bestFit="1" customWidth="1"/>
    <col min="30" max="30" width="11.85546875" style="41" bestFit="1" customWidth="1"/>
    <col min="31" max="31" width="19.85546875" style="41" bestFit="1" customWidth="1"/>
    <col min="32" max="32" width="13.5703125" style="348" customWidth="1"/>
    <col min="33" max="34" width="13.5703125" style="41" customWidth="1"/>
    <col min="35" max="35" width="14.85546875" style="41" customWidth="1"/>
    <col min="36" max="16384" width="10.5703125" style="41"/>
  </cols>
  <sheetData>
    <row r="1" spans="1:33" s="1" customFormat="1" ht="15" customHeight="1" x14ac:dyDescent="0.25">
      <c r="A1" s="1" t="s">
        <v>0</v>
      </c>
      <c r="B1" s="9"/>
      <c r="C1" s="9"/>
      <c r="D1" s="4" t="s">
        <v>16</v>
      </c>
      <c r="F1" s="13"/>
      <c r="L1" s="16"/>
      <c r="AD1" s="2"/>
      <c r="AF1" s="344"/>
    </row>
    <row r="2" spans="1:33" s="1" customFormat="1" ht="15" customHeight="1" x14ac:dyDescent="0.25">
      <c r="A2" s="9"/>
      <c r="B2" s="9"/>
      <c r="C2" s="9"/>
      <c r="D2" s="4" t="s">
        <v>17</v>
      </c>
      <c r="F2" s="13"/>
      <c r="L2" s="16"/>
      <c r="AD2" s="2"/>
      <c r="AF2" s="344"/>
    </row>
    <row r="3" spans="1:33" s="1" customFormat="1" ht="15" customHeight="1" x14ac:dyDescent="0.25">
      <c r="A3" s="1" t="s">
        <v>4</v>
      </c>
      <c r="B3" s="9"/>
      <c r="C3" s="9"/>
      <c r="D3" s="19" t="s">
        <v>36</v>
      </c>
      <c r="F3" s="13"/>
      <c r="L3" s="16"/>
      <c r="AD3" s="2"/>
      <c r="AF3" s="344"/>
    </row>
    <row r="4" spans="1:33" s="1" customFormat="1" ht="15" customHeight="1" x14ac:dyDescent="0.25">
      <c r="A4" s="1" t="s">
        <v>1</v>
      </c>
      <c r="B4" s="9"/>
      <c r="C4" s="9"/>
      <c r="D4" s="3" t="s">
        <v>37</v>
      </c>
      <c r="F4" s="13"/>
      <c r="L4" s="16"/>
      <c r="AD4" s="2"/>
      <c r="AF4" s="344"/>
    </row>
    <row r="5" spans="1:33" s="1" customFormat="1" ht="15" customHeight="1" x14ac:dyDescent="0.25">
      <c r="A5" s="1" t="s">
        <v>2</v>
      </c>
      <c r="B5" s="9"/>
      <c r="C5" s="9"/>
      <c r="D5" s="19" t="s">
        <v>53</v>
      </c>
      <c r="F5" s="13"/>
      <c r="L5" s="16"/>
      <c r="AD5" s="2"/>
      <c r="AF5" s="344"/>
    </row>
    <row r="6" spans="1:33" s="1" customFormat="1" ht="15" customHeight="1" x14ac:dyDescent="0.25">
      <c r="A6" s="1" t="s">
        <v>3</v>
      </c>
      <c r="B6" s="9"/>
      <c r="C6" s="9"/>
      <c r="D6" s="4" t="s">
        <v>38</v>
      </c>
      <c r="F6" s="13"/>
      <c r="L6" s="16"/>
      <c r="AD6" s="2"/>
      <c r="AF6" s="344"/>
    </row>
    <row r="7" spans="1:33" s="1" customFormat="1" ht="15" customHeight="1" x14ac:dyDescent="0.25">
      <c r="A7" s="1" t="s">
        <v>7</v>
      </c>
      <c r="B7" s="9"/>
      <c r="C7" s="9"/>
      <c r="D7" s="458">
        <f>+MAX(Tabla2[Fecha de Tasación])</f>
        <v>44110</v>
      </c>
      <c r="E7" s="458"/>
      <c r="F7" s="13"/>
      <c r="L7" s="16"/>
      <c r="AD7" s="2"/>
      <c r="AF7" s="344"/>
    </row>
    <row r="8" spans="1:33" s="4" customFormat="1" ht="15" customHeight="1" x14ac:dyDescent="0.25">
      <c r="A8" s="4" t="s">
        <v>8</v>
      </c>
      <c r="B8" s="11"/>
      <c r="C8" s="11"/>
      <c r="D8" s="458">
        <v>43711</v>
      </c>
      <c r="E8" s="458"/>
      <c r="F8" s="10" t="s">
        <v>18</v>
      </c>
      <c r="G8" s="241">
        <v>3.3479999999999999</v>
      </c>
      <c r="L8" s="17"/>
      <c r="AA8" s="349"/>
      <c r="AD8" s="5"/>
      <c r="AF8" s="345"/>
    </row>
    <row r="9" spans="1:33" s="1" customFormat="1" ht="6" customHeight="1" x14ac:dyDescent="0.25">
      <c r="A9" s="9"/>
      <c r="B9" s="4"/>
      <c r="D9" s="16"/>
      <c r="F9" s="4"/>
      <c r="J9" s="16"/>
      <c r="L9" s="4"/>
      <c r="AB9" s="2"/>
      <c r="AF9" s="344"/>
    </row>
    <row r="10" spans="1:33" s="1" customFormat="1" ht="15" customHeight="1" x14ac:dyDescent="0.25">
      <c r="A10" s="9"/>
      <c r="B10" s="4"/>
      <c r="D10" s="17"/>
      <c r="E10" s="246"/>
      <c r="F10" s="459" t="s">
        <v>11</v>
      </c>
      <c r="G10" s="460"/>
      <c r="H10" s="460"/>
      <c r="I10" s="460"/>
      <c r="J10" s="460"/>
      <c r="K10" s="461"/>
      <c r="L10" s="455" t="s">
        <v>12</v>
      </c>
      <c r="M10" s="456"/>
      <c r="N10" s="456"/>
      <c r="O10" s="456"/>
      <c r="P10" s="456"/>
      <c r="Q10" s="456"/>
      <c r="R10" s="456"/>
      <c r="S10" s="456"/>
      <c r="T10" s="456"/>
      <c r="U10" s="456"/>
      <c r="V10" s="456"/>
      <c r="W10" s="456"/>
      <c r="X10" s="456"/>
      <c r="Y10" s="456"/>
      <c r="Z10" s="456"/>
      <c r="AA10" s="457"/>
      <c r="AB10" s="2"/>
      <c r="AF10" s="344"/>
    </row>
    <row r="11" spans="1:33" s="234" customFormat="1" ht="49.5" customHeight="1" x14ac:dyDescent="0.25">
      <c r="A11" s="227" t="s">
        <v>9</v>
      </c>
      <c r="B11" s="228" t="s">
        <v>445</v>
      </c>
      <c r="C11" s="229" t="s">
        <v>10</v>
      </c>
      <c r="D11" s="230" t="s">
        <v>6</v>
      </c>
      <c r="E11" s="230" t="s">
        <v>5</v>
      </c>
      <c r="F11" s="231" t="s">
        <v>452</v>
      </c>
      <c r="G11" s="231" t="s">
        <v>453</v>
      </c>
      <c r="H11" s="231" t="s">
        <v>454</v>
      </c>
      <c r="I11" s="231" t="s">
        <v>15</v>
      </c>
      <c r="J11" s="231" t="s">
        <v>31</v>
      </c>
      <c r="K11" s="231" t="s">
        <v>32</v>
      </c>
      <c r="L11" s="232" t="s">
        <v>455</v>
      </c>
      <c r="M11" s="232" t="s">
        <v>456</v>
      </c>
      <c r="N11" s="232" t="s">
        <v>457</v>
      </c>
      <c r="O11" s="232" t="s">
        <v>444</v>
      </c>
      <c r="P11" s="232" t="s">
        <v>458</v>
      </c>
      <c r="Q11" s="232" t="s">
        <v>459</v>
      </c>
      <c r="R11" s="232" t="s">
        <v>460</v>
      </c>
      <c r="S11" s="232" t="s">
        <v>461</v>
      </c>
      <c r="T11" s="232" t="s">
        <v>462</v>
      </c>
      <c r="U11" s="232" t="s">
        <v>13</v>
      </c>
      <c r="V11" s="232" t="s">
        <v>463</v>
      </c>
      <c r="W11" s="232" t="s">
        <v>464</v>
      </c>
      <c r="X11" s="232" t="s">
        <v>465</v>
      </c>
      <c r="Y11" s="232" t="s">
        <v>466</v>
      </c>
      <c r="Z11" s="232" t="s">
        <v>467</v>
      </c>
      <c r="AA11" s="232" t="s">
        <v>14</v>
      </c>
      <c r="AB11" s="233" t="s">
        <v>35</v>
      </c>
      <c r="AC11" s="234" t="s">
        <v>449</v>
      </c>
      <c r="AD11" s="234" t="s">
        <v>34</v>
      </c>
      <c r="AE11" s="235" t="s">
        <v>468</v>
      </c>
      <c r="AF11" s="346" t="s">
        <v>450</v>
      </c>
      <c r="AG11" s="234" t="s">
        <v>451</v>
      </c>
    </row>
    <row r="12" spans="1:33" s="1" customFormat="1" ht="15" customHeight="1" x14ac:dyDescent="0.25">
      <c r="A12" s="225" t="s">
        <v>30</v>
      </c>
      <c r="B12" s="22">
        <v>101</v>
      </c>
      <c r="C12" s="14">
        <v>1</v>
      </c>
      <c r="D12" s="27"/>
      <c r="E12" s="27"/>
      <c r="F12" s="12">
        <f>ROUND(Tabla2[[#This Row],[Área ocupada (m²)]]/20*1.4,2)</f>
        <v>4.38</v>
      </c>
      <c r="G12" s="12">
        <v>62.5</v>
      </c>
      <c r="H12" s="12">
        <v>62.5</v>
      </c>
      <c r="I12" s="12">
        <f>ROUND(Tabla2[[#This Row],[Área techada (m²)]]*0.15,2)</f>
        <v>9.3800000000000008</v>
      </c>
      <c r="J12" s="18" t="s">
        <v>33</v>
      </c>
      <c r="K12" s="7">
        <v>233200</v>
      </c>
      <c r="L12" s="240">
        <f>ROUND(Tabla2[[#This Row],[Área ocupada (m²)3]]/20*1.4,2)</f>
        <v>4.38</v>
      </c>
      <c r="M12" s="240">
        <f>ROUND(Tabla2[[#This Row],[Área ocupada (m²)]],2)</f>
        <v>62.5</v>
      </c>
      <c r="N12" s="240">
        <f>ROUND(Tabla2[[#This Row],[Área techada (m²)]],2)</f>
        <v>62.5</v>
      </c>
      <c r="O12" s="243">
        <f>ROUND(Tabla2[[#This Row],[Área techada (m²)4]]*0.15,2)</f>
        <v>9.3800000000000008</v>
      </c>
      <c r="P12" s="6">
        <f>ROUND(Tabla2[[#This Row],[Área del terreno (m²)2]]*DATA!$F$4,-2)</f>
        <v>3100</v>
      </c>
      <c r="Q12" s="243">
        <f>+Tabla2[[#This Row],[Valor Comercial (US$)]]-Tabla2[[#This Row],[Valor del terreno (US$)]]</f>
        <v>68800</v>
      </c>
      <c r="R1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71900</v>
      </c>
      <c r="S12" s="244">
        <f>ROUND(Tabla2[[#This Row],[Valor Comercial (US$)]]*0.8,-2)</f>
        <v>57500</v>
      </c>
      <c r="T12" s="244">
        <f>IF(Informe!$I$6=DATA!$B$4,R12,ROUND(Tabla2[[#This Row],[Área techada (m²)4]]*DATA!$F$5*1.15,-2))</f>
        <v>71900</v>
      </c>
      <c r="U12" s="8">
        <f t="shared" ref="U12:U76" si="0">+$G$8</f>
        <v>3.3479999999999999</v>
      </c>
      <c r="V12" s="244">
        <f>ROUND(Tabla2[[#This Row],[Valor del terreno (US$)]]*Tabla2[[#This Row],[Tipo de Cambio]],-2)</f>
        <v>10400</v>
      </c>
      <c r="W12" s="244">
        <f>Tabla2[[#This Row],[Valor Comercial (S/.)]]-Tabla2[[#This Row],[Valor del terreno (S/.)]]</f>
        <v>230300</v>
      </c>
      <c r="X12" s="244">
        <f>ROUND(Tabla2[[#This Row],[Valor Comercial (US$)]]*Tabla2[[#This Row],[Tipo de Cambio]],-2)</f>
        <v>240700</v>
      </c>
      <c r="Y12" s="244">
        <f>ROUND(Tabla2[[#This Row],[Valor Realización (US$)]]*Tabla2[[#This Row],[Tipo de Cambio]],-2)</f>
        <v>192500</v>
      </c>
      <c r="Z12" s="244">
        <f>+ROUND(Tabla2[[#This Row],[Importe Asegurable (US$)]]*Tabla2[[#This Row],[Tipo de Cambio]],-2)</f>
        <v>240700</v>
      </c>
      <c r="AA12" s="245"/>
      <c r="AB12" s="2">
        <f>+Tabla2[[#This Row],[Valor Comercial (US$)]]/Tabla2[[#This Row],[Área techada (m²)4]]</f>
        <v>1150.4000000000001</v>
      </c>
      <c r="AC1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2" s="1" t="s">
        <v>46</v>
      </c>
      <c r="AE12" s="222">
        <f>IF(Tabla2[[#This Row],[Moneda]]="Soles",Tabla2[[#This Row],[Valor de Venta]]/Tabla2[[#This Row],[Área techada (m²)]]/Tabla2[[#This Row],[Tipo de Cambio]],Tabla2[[#This Row],[Valor de Venta]]/Tabla2[[#This Row],[Área techada (m²)]])</f>
        <v>1114.4563918757467</v>
      </c>
      <c r="AF12" s="347">
        <f>VLOOKUP(Tabla2[[#This Row],[VISTA]],DATA!$H$4:$I$17,2,FALSE)</f>
        <v>1150</v>
      </c>
      <c r="AG12" s="221">
        <f>+Tabla2[[#This Row],[Valor Comercial (S/.)]]/Tabla2[[#This Row],[Valor de Venta]]-1</f>
        <v>3.2161234991423759E-2</v>
      </c>
    </row>
    <row r="13" spans="1:33" s="1" customFormat="1" ht="15" customHeight="1" x14ac:dyDescent="0.25">
      <c r="A13" s="225" t="s">
        <v>30</v>
      </c>
      <c r="B13" s="15">
        <v>102</v>
      </c>
      <c r="C13" s="15">
        <v>1</v>
      </c>
      <c r="D13" s="27"/>
      <c r="E13" s="27"/>
      <c r="F13" s="12">
        <f>ROUND(Tabla2[[#This Row],[Área ocupada (m²)]]/20*1.4,2)</f>
        <v>4.38</v>
      </c>
      <c r="G13" s="12">
        <v>62.5</v>
      </c>
      <c r="H13" s="12">
        <v>62.5</v>
      </c>
      <c r="I13" s="12">
        <f>ROUND(Tabla2[[#This Row],[Área techada (m²)]]*0.15,2)</f>
        <v>9.3800000000000008</v>
      </c>
      <c r="J13" s="18" t="s">
        <v>33</v>
      </c>
      <c r="K13" s="7">
        <v>233200</v>
      </c>
      <c r="L13" s="240">
        <f>ROUND(Tabla2[[#This Row],[Área ocupada (m²)3]]/20*1.4,2)</f>
        <v>4.38</v>
      </c>
      <c r="M13" s="240">
        <f>ROUND(Tabla2[[#This Row],[Área ocupada (m²)]],2)</f>
        <v>62.5</v>
      </c>
      <c r="N13" s="240">
        <f>ROUND(Tabla2[[#This Row],[Área techada (m²)]],2)</f>
        <v>62.5</v>
      </c>
      <c r="O13" s="243">
        <f>ROUND(Tabla2[[#This Row],[Área techada (m²)4]]*0.15,2)</f>
        <v>9.3800000000000008</v>
      </c>
      <c r="P13" s="6">
        <f>ROUND(Tabla2[[#This Row],[Área del terreno (m²)2]]*DATA!$F$4,-2)</f>
        <v>3100</v>
      </c>
      <c r="Q13" s="243">
        <f>+Tabla2[[#This Row],[Valor Comercial (US$)]]-Tabla2[[#This Row],[Valor del terreno (US$)]]</f>
        <v>68800</v>
      </c>
      <c r="R1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71900</v>
      </c>
      <c r="S13" s="244">
        <f>ROUND(Tabla2[[#This Row],[Valor Comercial (US$)]]*0.8,-2)</f>
        <v>57500</v>
      </c>
      <c r="T13" s="244">
        <f>IF(Informe!$I$6=DATA!$B$4,R13,ROUND(Tabla2[[#This Row],[Área techada (m²)4]]*DATA!$F$5*1.15,-2))</f>
        <v>71900</v>
      </c>
      <c r="U13" s="8">
        <f t="shared" si="0"/>
        <v>3.3479999999999999</v>
      </c>
      <c r="V13" s="244">
        <f>ROUND(Tabla2[[#This Row],[Valor del terreno (US$)]]*Tabla2[[#This Row],[Tipo de Cambio]],-2)</f>
        <v>10400</v>
      </c>
      <c r="W13" s="244">
        <f>Tabla2[[#This Row],[Valor Comercial (S/.)]]-Tabla2[[#This Row],[Valor del terreno (S/.)]]</f>
        <v>230300</v>
      </c>
      <c r="X13" s="244">
        <f>ROUND(Tabla2[[#This Row],[Valor Comercial (US$)]]*Tabla2[[#This Row],[Tipo de Cambio]],-2)</f>
        <v>240700</v>
      </c>
      <c r="Y13" s="244">
        <f>ROUND(Tabla2[[#This Row],[Valor Realización (US$)]]*Tabla2[[#This Row],[Tipo de Cambio]],-2)</f>
        <v>192500</v>
      </c>
      <c r="Z13" s="244">
        <f>+ROUND(Tabla2[[#This Row],[Importe Asegurable (US$)]]*Tabla2[[#This Row],[Tipo de Cambio]],-2)</f>
        <v>240700</v>
      </c>
      <c r="AA13" s="245"/>
      <c r="AB13" s="2">
        <f>+Tabla2[[#This Row],[Valor Comercial (US$)]]/Tabla2[[#This Row],[Área techada (m²)4]]</f>
        <v>1150.4000000000001</v>
      </c>
      <c r="AC1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3" s="1" t="s">
        <v>46</v>
      </c>
      <c r="AE13" s="222">
        <f>IF(Tabla2[[#This Row],[Moneda]]="Soles",Tabla2[[#This Row],[Valor de Venta]]/Tabla2[[#This Row],[Área techada (m²)]]/Tabla2[[#This Row],[Tipo de Cambio]],Tabla2[[#This Row],[Valor de Venta]]/Tabla2[[#This Row],[Área techada (m²)]])</f>
        <v>1114.4563918757467</v>
      </c>
      <c r="AF13" s="347">
        <f>VLOOKUP(Tabla2[[#This Row],[VISTA]],DATA!$H$4:$I$17,2,FALSE)</f>
        <v>1150</v>
      </c>
      <c r="AG13" s="221">
        <f>+Tabla2[[#This Row],[Valor Comercial (S/.)]]/Tabla2[[#This Row],[Valor de Venta]]-1</f>
        <v>3.2161234991423759E-2</v>
      </c>
    </row>
    <row r="14" spans="1:33" s="1" customFormat="1" ht="12.75" x14ac:dyDescent="0.25">
      <c r="A14" s="225" t="s">
        <v>30</v>
      </c>
      <c r="B14" s="22">
        <v>103</v>
      </c>
      <c r="C14" s="14">
        <v>1</v>
      </c>
      <c r="D14" s="34">
        <v>51516</v>
      </c>
      <c r="E14" s="29" t="s">
        <v>525</v>
      </c>
      <c r="F14" s="12">
        <v>4.38</v>
      </c>
      <c r="G14" s="12">
        <v>62.5</v>
      </c>
      <c r="H14" s="12">
        <v>62.5</v>
      </c>
      <c r="I14" s="12">
        <v>9.3800000000000008</v>
      </c>
      <c r="J14" s="18" t="s">
        <v>33</v>
      </c>
      <c r="K14" s="7">
        <v>227200</v>
      </c>
      <c r="L14" s="240">
        <v>4.38</v>
      </c>
      <c r="M14" s="240">
        <v>62.5</v>
      </c>
      <c r="N14" s="240">
        <v>62.5</v>
      </c>
      <c r="O14" s="243">
        <v>9.3800000000000008</v>
      </c>
      <c r="P14" s="6">
        <v>3100</v>
      </c>
      <c r="Q14" s="243">
        <v>68800</v>
      </c>
      <c r="R14" s="244">
        <v>71900</v>
      </c>
      <c r="S14" s="244">
        <v>57500</v>
      </c>
      <c r="T14" s="244">
        <v>71900</v>
      </c>
      <c r="U14" s="8">
        <v>3.5</v>
      </c>
      <c r="V14" s="244">
        <v>10900</v>
      </c>
      <c r="W14" s="244">
        <v>240800</v>
      </c>
      <c r="X14" s="244">
        <v>251700</v>
      </c>
      <c r="Y14" s="244">
        <v>201300</v>
      </c>
      <c r="Z14" s="244">
        <v>251700</v>
      </c>
      <c r="AA14" s="245">
        <v>44106</v>
      </c>
      <c r="AB14" s="2">
        <v>1150.4000000000001</v>
      </c>
      <c r="AC14" s="1" t="s">
        <v>526</v>
      </c>
      <c r="AD14" s="1" t="s">
        <v>46</v>
      </c>
      <c r="AE14" s="222">
        <v>1038.6285714285714</v>
      </c>
      <c r="AF14" s="347">
        <v>1150</v>
      </c>
      <c r="AG14" s="221">
        <v>0.1078345070422535</v>
      </c>
    </row>
    <row r="15" spans="1:33" s="1" customFormat="1" ht="12.75" x14ac:dyDescent="0.25">
      <c r="A15" s="225" t="s">
        <v>30</v>
      </c>
      <c r="B15" s="22">
        <v>104</v>
      </c>
      <c r="C15" s="15">
        <v>1</v>
      </c>
      <c r="D15" s="27">
        <v>625616</v>
      </c>
      <c r="E15" s="30" t="s">
        <v>534</v>
      </c>
      <c r="F15" s="12">
        <v>4.4000000000000004</v>
      </c>
      <c r="G15" s="12">
        <v>62.9</v>
      </c>
      <c r="H15" s="12">
        <v>62.9</v>
      </c>
      <c r="I15" s="12">
        <v>9.44</v>
      </c>
      <c r="J15" s="18" t="s">
        <v>33</v>
      </c>
      <c r="K15" s="7">
        <v>237800</v>
      </c>
      <c r="L15" s="240">
        <v>4.4000000000000004</v>
      </c>
      <c r="M15" s="240">
        <v>62.9</v>
      </c>
      <c r="N15" s="240">
        <v>62.9</v>
      </c>
      <c r="O15" s="243">
        <v>9.44</v>
      </c>
      <c r="P15" s="6">
        <v>3100</v>
      </c>
      <c r="Q15" s="243">
        <v>72400</v>
      </c>
      <c r="R15" s="244">
        <v>75500</v>
      </c>
      <c r="S15" s="244">
        <v>60400</v>
      </c>
      <c r="T15" s="244">
        <v>75500</v>
      </c>
      <c r="U15" s="8">
        <v>3.5</v>
      </c>
      <c r="V15" s="244">
        <v>10900</v>
      </c>
      <c r="W15" s="244">
        <v>253400</v>
      </c>
      <c r="X15" s="244">
        <v>264300</v>
      </c>
      <c r="Y15" s="244">
        <v>211400</v>
      </c>
      <c r="Z15" s="244">
        <v>264300</v>
      </c>
      <c r="AA15" s="245">
        <v>44110</v>
      </c>
      <c r="AB15" s="2">
        <v>1200.3179650238474</v>
      </c>
      <c r="AC15" s="1" t="s">
        <v>526</v>
      </c>
      <c r="AD15" s="1" t="s">
        <v>45</v>
      </c>
      <c r="AE15" s="222">
        <v>1080.1726095843744</v>
      </c>
      <c r="AF15" s="347">
        <v>1200</v>
      </c>
      <c r="AG15" s="221">
        <v>0.11143818334735078</v>
      </c>
    </row>
    <row r="16" spans="1:33" s="1" customFormat="1" ht="12.75" x14ac:dyDescent="0.25">
      <c r="A16" s="225" t="s">
        <v>30</v>
      </c>
      <c r="B16" s="22">
        <v>105</v>
      </c>
      <c r="C16" s="14">
        <v>1</v>
      </c>
      <c r="D16" s="35" t="s">
        <v>486</v>
      </c>
      <c r="E16" s="30"/>
      <c r="F16" s="12">
        <f>ROUND(Tabla2[[#This Row],[Área ocupada (m²)]]/20*1.4,2)</f>
        <v>4.4000000000000004</v>
      </c>
      <c r="G16" s="12">
        <v>62.9</v>
      </c>
      <c r="H16" s="12">
        <v>62.9</v>
      </c>
      <c r="I16" s="12">
        <f>ROUND(Tabla2[[#This Row],[Área techada (m²)]]*0.15,2)</f>
        <v>9.44</v>
      </c>
      <c r="J16" s="18" t="s">
        <v>33</v>
      </c>
      <c r="K16" s="7">
        <v>237800</v>
      </c>
      <c r="L16" s="240">
        <f>ROUND(Tabla2[[#This Row],[Área ocupada (m²)3]]/20*1.4,2)</f>
        <v>4.4000000000000004</v>
      </c>
      <c r="M16" s="240">
        <f>ROUND(Tabla2[[#This Row],[Área ocupada (m²)]],2)</f>
        <v>62.9</v>
      </c>
      <c r="N16" s="240">
        <f>ROUND(Tabla2[[#This Row],[Área techada (m²)]],2)</f>
        <v>62.9</v>
      </c>
      <c r="O16" s="243">
        <f>ROUND(Tabla2[[#This Row],[Área techada (m²)4]]*0.15,2)</f>
        <v>9.44</v>
      </c>
      <c r="P16" s="6">
        <f>ROUND(Tabla2[[#This Row],[Área del terreno (m²)2]]*DATA!$F$4,-2)</f>
        <v>3100</v>
      </c>
      <c r="Q16" s="243">
        <f>+Tabla2[[#This Row],[Valor Comercial (US$)]]-Tabla2[[#This Row],[Valor del terreno (US$)]]</f>
        <v>72400</v>
      </c>
      <c r="R1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75500</v>
      </c>
      <c r="S16" s="244">
        <f>ROUND(Tabla2[[#This Row],[Valor Comercial (US$)]]*0.8,-2)</f>
        <v>60400</v>
      </c>
      <c r="T16" s="244">
        <f>IF(Informe!$I$6=DATA!$B$4,R16,ROUND(Tabla2[[#This Row],[Área techada (m²)4]]*DATA!$F$5*1.15,-2))</f>
        <v>75500</v>
      </c>
      <c r="U16" s="8">
        <f t="shared" si="0"/>
        <v>3.3479999999999999</v>
      </c>
      <c r="V16" s="244">
        <f>ROUND(Tabla2[[#This Row],[Valor del terreno (US$)]]*Tabla2[[#This Row],[Tipo de Cambio]],-2)</f>
        <v>10400</v>
      </c>
      <c r="W16" s="244">
        <f>Tabla2[[#This Row],[Valor Comercial (S/.)]]-Tabla2[[#This Row],[Valor del terreno (S/.)]]</f>
        <v>242400</v>
      </c>
      <c r="X16" s="244">
        <f>ROUND(Tabla2[[#This Row],[Valor Comercial (US$)]]*Tabla2[[#This Row],[Tipo de Cambio]],-2)</f>
        <v>252800</v>
      </c>
      <c r="Y16" s="244">
        <f>ROUND(Tabla2[[#This Row],[Valor Realización (US$)]]*Tabla2[[#This Row],[Tipo de Cambio]],-2)</f>
        <v>202200</v>
      </c>
      <c r="Z16" s="244">
        <f>+ROUND(Tabla2[[#This Row],[Importe Asegurable (US$)]]*Tabla2[[#This Row],[Tipo de Cambio]],-2)</f>
        <v>252800</v>
      </c>
      <c r="AA16" s="245"/>
      <c r="AB16" s="2">
        <f>+Tabla2[[#This Row],[Valor Comercial (US$)]]/Tabla2[[#This Row],[Área techada (m²)4]]</f>
        <v>1200.3179650238474</v>
      </c>
      <c r="AC1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6" s="1" t="s">
        <v>45</v>
      </c>
      <c r="AE16" s="222">
        <f>IF(Tabla2[[#This Row],[Moneda]]="Soles",Tabla2[[#This Row],[Valor de Venta]]/Tabla2[[#This Row],[Área techada (m²)]]/Tabla2[[#This Row],[Tipo de Cambio]],Tabla2[[#This Row],[Valor de Venta]]/Tabla2[[#This Row],[Área techada (m²)]])</f>
        <v>1129.2127041652659</v>
      </c>
      <c r="AF16" s="347">
        <f>VLOOKUP(Tabla2[[#This Row],[VISTA]],DATA!$H$4:$I$17,2,FALSE)</f>
        <v>1200</v>
      </c>
      <c r="AG16" s="221">
        <f>+Tabla2[[#This Row],[Valor Comercial (S/.)]]/Tabla2[[#This Row],[Valor de Venta]]-1</f>
        <v>6.307821698906646E-2</v>
      </c>
    </row>
    <row r="17" spans="1:33" s="1" customFormat="1" ht="15" customHeight="1" x14ac:dyDescent="0.25">
      <c r="A17" s="225" t="s">
        <v>30</v>
      </c>
      <c r="B17" s="15">
        <v>106</v>
      </c>
      <c r="C17" s="15">
        <v>1</v>
      </c>
      <c r="D17" s="35" t="s">
        <v>486</v>
      </c>
      <c r="E17" s="31"/>
      <c r="F17" s="12">
        <f>ROUND(Tabla2[[#This Row],[Área ocupada (m²)]]/20*1.4,2)</f>
        <v>4.38</v>
      </c>
      <c r="G17" s="12">
        <v>62.5</v>
      </c>
      <c r="H17" s="12">
        <v>62.5</v>
      </c>
      <c r="I17" s="12">
        <f>ROUND(Tabla2[[#This Row],[Área techada (m²)]]*0.15,2)</f>
        <v>9.3800000000000008</v>
      </c>
      <c r="J17" s="18" t="s">
        <v>33</v>
      </c>
      <c r="K17" s="7">
        <v>233200</v>
      </c>
      <c r="L17" s="240">
        <f>ROUND(Tabla2[[#This Row],[Área ocupada (m²)3]]/20*1.4,2)</f>
        <v>4.38</v>
      </c>
      <c r="M17" s="240">
        <f>ROUND(Tabla2[[#This Row],[Área ocupada (m²)]],2)</f>
        <v>62.5</v>
      </c>
      <c r="N17" s="240">
        <f>ROUND(Tabla2[[#This Row],[Área techada (m²)]],2)</f>
        <v>62.5</v>
      </c>
      <c r="O17" s="243">
        <f>ROUND(Tabla2[[#This Row],[Área techada (m²)4]]*0.15,2)</f>
        <v>9.3800000000000008</v>
      </c>
      <c r="P17" s="6">
        <f>ROUND(Tabla2[[#This Row],[Área del terreno (m²)2]]*DATA!$F$4,-2)</f>
        <v>3100</v>
      </c>
      <c r="Q17" s="243">
        <f>+Tabla2[[#This Row],[Valor Comercial (US$)]]-Tabla2[[#This Row],[Valor del terreno (US$)]]</f>
        <v>68800</v>
      </c>
      <c r="R1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71900</v>
      </c>
      <c r="S17" s="244">
        <f>ROUND(Tabla2[[#This Row],[Valor Comercial (US$)]]*0.8,-2)</f>
        <v>57500</v>
      </c>
      <c r="T17" s="244">
        <f>IF(Informe!$I$6=DATA!$B$4,R17,ROUND(Tabla2[[#This Row],[Área techada (m²)4]]*DATA!$F$5*1.15,-2))</f>
        <v>71900</v>
      </c>
      <c r="U17" s="8">
        <f t="shared" si="0"/>
        <v>3.3479999999999999</v>
      </c>
      <c r="V17" s="244">
        <f>ROUND(Tabla2[[#This Row],[Valor del terreno (US$)]]*Tabla2[[#This Row],[Tipo de Cambio]],-2)</f>
        <v>10400</v>
      </c>
      <c r="W17" s="244">
        <f>Tabla2[[#This Row],[Valor Comercial (S/.)]]-Tabla2[[#This Row],[Valor del terreno (S/.)]]</f>
        <v>230300</v>
      </c>
      <c r="X17" s="244">
        <f>ROUND(Tabla2[[#This Row],[Valor Comercial (US$)]]*Tabla2[[#This Row],[Tipo de Cambio]],-2)</f>
        <v>240700</v>
      </c>
      <c r="Y17" s="244">
        <f>ROUND(Tabla2[[#This Row],[Valor Realización (US$)]]*Tabla2[[#This Row],[Tipo de Cambio]],-2)</f>
        <v>192500</v>
      </c>
      <c r="Z17" s="244">
        <f>+ROUND(Tabla2[[#This Row],[Importe Asegurable (US$)]]*Tabla2[[#This Row],[Tipo de Cambio]],-2)</f>
        <v>240700</v>
      </c>
      <c r="AA17" s="245"/>
      <c r="AB17" s="2">
        <f>+Tabla2[[#This Row],[Valor Comercial (US$)]]/Tabla2[[#This Row],[Área techada (m²)4]]</f>
        <v>1150.4000000000001</v>
      </c>
      <c r="AC1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7" s="1" t="s">
        <v>46</v>
      </c>
      <c r="AE17" s="222">
        <f>IF(Tabla2[[#This Row],[Moneda]]="Soles",Tabla2[[#This Row],[Valor de Venta]]/Tabla2[[#This Row],[Área techada (m²)]]/Tabla2[[#This Row],[Tipo de Cambio]],Tabla2[[#This Row],[Valor de Venta]]/Tabla2[[#This Row],[Área techada (m²)]])</f>
        <v>1114.4563918757467</v>
      </c>
      <c r="AF17" s="347">
        <f>VLOOKUP(Tabla2[[#This Row],[VISTA]],DATA!$H$4:$I$17,2,FALSE)</f>
        <v>1150</v>
      </c>
      <c r="AG17" s="221">
        <f>+Tabla2[[#This Row],[Valor Comercial (S/.)]]/Tabla2[[#This Row],[Valor de Venta]]-1</f>
        <v>3.2161234991423759E-2</v>
      </c>
    </row>
    <row r="18" spans="1:33" s="1" customFormat="1" ht="15" customHeight="1" x14ac:dyDescent="0.25">
      <c r="A18" s="225" t="s">
        <v>30</v>
      </c>
      <c r="B18" s="22">
        <v>107</v>
      </c>
      <c r="C18" s="14">
        <v>1</v>
      </c>
      <c r="D18" s="36"/>
      <c r="E18" s="20"/>
      <c r="F18" s="12">
        <f>ROUND(Tabla2[[#This Row],[Área ocupada (m²)]]/20*1.4,2)</f>
        <v>4.38</v>
      </c>
      <c r="G18" s="12">
        <v>62.5</v>
      </c>
      <c r="H18" s="12">
        <v>62.5</v>
      </c>
      <c r="I18" s="12">
        <f>ROUND(Tabla2[[#This Row],[Área techada (m²)]]*0.15,2)</f>
        <v>9.3800000000000008</v>
      </c>
      <c r="J18" s="18" t="s">
        <v>33</v>
      </c>
      <c r="K18" s="7">
        <v>230200</v>
      </c>
      <c r="L18" s="240">
        <f>ROUND(Tabla2[[#This Row],[Área ocupada (m²)3]]/20*1.4,2)</f>
        <v>4.38</v>
      </c>
      <c r="M18" s="240">
        <f>ROUND(Tabla2[[#This Row],[Área ocupada (m²)]],2)</f>
        <v>62.5</v>
      </c>
      <c r="N18" s="240">
        <f>ROUND(Tabla2[[#This Row],[Área techada (m²)]],2)</f>
        <v>62.5</v>
      </c>
      <c r="O18" s="243">
        <f>ROUND(Tabla2[[#This Row],[Área techada (m²)4]]*0.15,2)</f>
        <v>9.3800000000000008</v>
      </c>
      <c r="P18" s="6">
        <f>ROUND(Tabla2[[#This Row],[Área del terreno (m²)2]]*DATA!$F$4,-2)</f>
        <v>3100</v>
      </c>
      <c r="Q18" s="243">
        <f>+Tabla2[[#This Row],[Valor Comercial (US$)]]-Tabla2[[#This Row],[Valor del terreno (US$)]]</f>
        <v>68800</v>
      </c>
      <c r="R1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71900</v>
      </c>
      <c r="S18" s="244">
        <f>ROUND(Tabla2[[#This Row],[Valor Comercial (US$)]]*0.8,-2)</f>
        <v>57500</v>
      </c>
      <c r="T18" s="244">
        <f>IF(Informe!$I$6=DATA!$B$4,R18,ROUND(Tabla2[[#This Row],[Área techada (m²)4]]*DATA!$F$5*1.15,-2))</f>
        <v>71900</v>
      </c>
      <c r="U18" s="8">
        <f t="shared" si="0"/>
        <v>3.3479999999999999</v>
      </c>
      <c r="V18" s="244">
        <f>ROUND(Tabla2[[#This Row],[Valor del terreno (US$)]]*Tabla2[[#This Row],[Tipo de Cambio]],-2)</f>
        <v>10400</v>
      </c>
      <c r="W18" s="244">
        <f>Tabla2[[#This Row],[Valor Comercial (S/.)]]-Tabla2[[#This Row],[Valor del terreno (S/.)]]</f>
        <v>230300</v>
      </c>
      <c r="X18" s="244">
        <f>ROUND(Tabla2[[#This Row],[Valor Comercial (US$)]]*Tabla2[[#This Row],[Tipo de Cambio]],-2)</f>
        <v>240700</v>
      </c>
      <c r="Y18" s="244">
        <f>ROUND(Tabla2[[#This Row],[Valor Realización (US$)]]*Tabla2[[#This Row],[Tipo de Cambio]],-2)</f>
        <v>192500</v>
      </c>
      <c r="Z18" s="244">
        <f>+ROUND(Tabla2[[#This Row],[Importe Asegurable (US$)]]*Tabla2[[#This Row],[Tipo de Cambio]],-2)</f>
        <v>240700</v>
      </c>
      <c r="AA18" s="245"/>
      <c r="AB18" s="2">
        <f>+Tabla2[[#This Row],[Valor Comercial (US$)]]/Tabla2[[#This Row],[Área techada (m²)4]]</f>
        <v>1150.4000000000001</v>
      </c>
      <c r="AC1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8" s="1" t="s">
        <v>46</v>
      </c>
      <c r="AE18" s="222">
        <f>IF(Tabla2[[#This Row],[Moneda]]="Soles",Tabla2[[#This Row],[Valor de Venta]]/Tabla2[[#This Row],[Área techada (m²)]]/Tabla2[[#This Row],[Tipo de Cambio]],Tabla2[[#This Row],[Valor de Venta]]/Tabla2[[#This Row],[Área techada (m²)]])</f>
        <v>1100.1194743130227</v>
      </c>
      <c r="AF18" s="347">
        <f>VLOOKUP(Tabla2[[#This Row],[VISTA]],DATA!$H$4:$I$17,2,FALSE)</f>
        <v>1150</v>
      </c>
      <c r="AG18" s="221">
        <f>+Tabla2[[#This Row],[Valor Comercial (S/.)]]/Tabla2[[#This Row],[Valor de Venta]]-1</f>
        <v>4.5612510860121525E-2</v>
      </c>
    </row>
    <row r="19" spans="1:33" s="1" customFormat="1" ht="15" customHeight="1" x14ac:dyDescent="0.25">
      <c r="A19" s="225" t="s">
        <v>30</v>
      </c>
      <c r="B19" s="22">
        <v>108</v>
      </c>
      <c r="C19" s="14">
        <v>1</v>
      </c>
      <c r="D19" s="34"/>
      <c r="E19" s="30"/>
      <c r="F19" s="12">
        <f>ROUND(Tabla2[[#This Row],[Área ocupada (m²)]]/20*1.4,2)</f>
        <v>4.4000000000000004</v>
      </c>
      <c r="G19" s="12">
        <v>62.9</v>
      </c>
      <c r="H19" s="12">
        <v>62.9</v>
      </c>
      <c r="I19" s="12">
        <f>ROUND(Tabla2[[#This Row],[Área techada (m²)]]*0.15,2)</f>
        <v>9.44</v>
      </c>
      <c r="J19" s="18" t="s">
        <v>33</v>
      </c>
      <c r="K19" s="7">
        <v>243800</v>
      </c>
      <c r="L19" s="240">
        <f>ROUND(Tabla2[[#This Row],[Área ocupada (m²)3]]/20*1.4,2)</f>
        <v>4.4000000000000004</v>
      </c>
      <c r="M19" s="240">
        <f>ROUND(Tabla2[[#This Row],[Área ocupada (m²)]],2)</f>
        <v>62.9</v>
      </c>
      <c r="N19" s="240">
        <f>ROUND(Tabla2[[#This Row],[Área techada (m²)]],2)</f>
        <v>62.9</v>
      </c>
      <c r="O19" s="243">
        <f>ROUND(Tabla2[[#This Row],[Área techada (m²)4]]*0.15,2)</f>
        <v>9.44</v>
      </c>
      <c r="P19" s="6">
        <f>ROUND(Tabla2[[#This Row],[Área del terreno (m²)2]]*DATA!$F$4,-2)</f>
        <v>3100</v>
      </c>
      <c r="Q19" s="243">
        <f>+Tabla2[[#This Row],[Valor Comercial (US$)]]-Tabla2[[#This Row],[Valor del terreno (US$)]]</f>
        <v>72400</v>
      </c>
      <c r="R1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75500</v>
      </c>
      <c r="S19" s="244">
        <f>ROUND(Tabla2[[#This Row],[Valor Comercial (US$)]]*0.8,-2)</f>
        <v>60400</v>
      </c>
      <c r="T19" s="244">
        <f>IF(Informe!$I$6=DATA!$B$4,R19,ROUND(Tabla2[[#This Row],[Área techada (m²)4]]*DATA!$F$5*1.15,-2))</f>
        <v>75500</v>
      </c>
      <c r="U19" s="8">
        <f t="shared" si="0"/>
        <v>3.3479999999999999</v>
      </c>
      <c r="V19" s="244">
        <f>ROUND(Tabla2[[#This Row],[Valor del terreno (US$)]]*Tabla2[[#This Row],[Tipo de Cambio]],-2)</f>
        <v>10400</v>
      </c>
      <c r="W19" s="244">
        <f>Tabla2[[#This Row],[Valor Comercial (S/.)]]-Tabla2[[#This Row],[Valor del terreno (S/.)]]</f>
        <v>242400</v>
      </c>
      <c r="X19" s="244">
        <f>ROUND(Tabla2[[#This Row],[Valor Comercial (US$)]]*Tabla2[[#This Row],[Tipo de Cambio]],-2)</f>
        <v>252800</v>
      </c>
      <c r="Y19" s="244">
        <f>ROUND(Tabla2[[#This Row],[Valor Realización (US$)]]*Tabla2[[#This Row],[Tipo de Cambio]],-2)</f>
        <v>202200</v>
      </c>
      <c r="Z19" s="244">
        <f>+ROUND(Tabla2[[#This Row],[Importe Asegurable (US$)]]*Tabla2[[#This Row],[Tipo de Cambio]],-2)</f>
        <v>252800</v>
      </c>
      <c r="AA19" s="245"/>
      <c r="AB19" s="2">
        <f>+Tabla2[[#This Row],[Valor Comercial (US$)]]/Tabla2[[#This Row],[Área techada (m²)4]]</f>
        <v>1200.3179650238474</v>
      </c>
      <c r="AC1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9" s="1" t="s">
        <v>45</v>
      </c>
      <c r="AE19" s="222">
        <f>IF(Tabla2[[#This Row],[Moneda]]="Soles",Tabla2[[#This Row],[Valor de Venta]]/Tabla2[[#This Row],[Área techada (m²)]]/Tabla2[[#This Row],[Tipo de Cambio]],Tabla2[[#This Row],[Valor de Venta]]/Tabla2[[#This Row],[Área techada (m²)]])</f>
        <v>1157.7041937573247</v>
      </c>
      <c r="AF19" s="347">
        <f>VLOOKUP(Tabla2[[#This Row],[VISTA]],DATA!$H$4:$I$17,2,FALSE)</f>
        <v>1200</v>
      </c>
      <c r="AG19" s="221">
        <f>+Tabla2[[#This Row],[Valor Comercial (S/.)]]/Tabla2[[#This Row],[Valor de Venta]]-1</f>
        <v>3.6915504511894959E-2</v>
      </c>
    </row>
    <row r="20" spans="1:33" s="1" customFormat="1" ht="15" customHeight="1" x14ac:dyDescent="0.25">
      <c r="A20" s="225" t="s">
        <v>30</v>
      </c>
      <c r="B20" s="22">
        <v>201</v>
      </c>
      <c r="C20" s="14">
        <v>2</v>
      </c>
      <c r="D20" s="34"/>
      <c r="E20" s="29"/>
      <c r="F20" s="12">
        <f>ROUND(Tabla2[[#This Row],[Área ocupada (m²)]]/20*1.4,2)</f>
        <v>4.58</v>
      </c>
      <c r="G20" s="12">
        <v>65.400000000000006</v>
      </c>
      <c r="H20" s="12">
        <v>65.400000000000006</v>
      </c>
      <c r="I20" s="12">
        <f>ROUND(Tabla2[[#This Row],[Área techada (m²)]]*0.15,2)</f>
        <v>9.81</v>
      </c>
      <c r="J20" s="18" t="s">
        <v>33</v>
      </c>
      <c r="K20" s="7">
        <v>218850</v>
      </c>
      <c r="L20" s="240">
        <f>ROUND(Tabla2[[#This Row],[Área ocupada (m²)3]]/20*1.4,2)</f>
        <v>4.58</v>
      </c>
      <c r="M20" s="240">
        <f>ROUND(Tabla2[[#This Row],[Área ocupada (m²)]],2)</f>
        <v>65.400000000000006</v>
      </c>
      <c r="N20" s="240">
        <f>ROUND(Tabla2[[#This Row],[Área techada (m²)]],2)</f>
        <v>65.400000000000006</v>
      </c>
      <c r="O20" s="243">
        <f>ROUND(Tabla2[[#This Row],[Área techada (m²)4]]*0.15,2)</f>
        <v>9.81</v>
      </c>
      <c r="P20" s="6">
        <f>ROUND(Tabla2[[#This Row],[Área del terreno (m²)2]]*DATA!$F$4,-2)</f>
        <v>3200</v>
      </c>
      <c r="Q20" s="243">
        <f>+Tabla2[[#This Row],[Valor Comercial (US$)]]-Tabla2[[#This Row],[Valor del terreno (US$)]]</f>
        <v>65500</v>
      </c>
      <c r="R2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68700</v>
      </c>
      <c r="S20" s="244">
        <f>ROUND(Tabla2[[#This Row],[Valor Comercial (US$)]]*0.8,-2)</f>
        <v>55000</v>
      </c>
      <c r="T20" s="244">
        <f>IF(Informe!$I$6=DATA!$B$4,R20,ROUND(Tabla2[[#This Row],[Área techada (m²)4]]*DATA!$F$5*1.15,-2))</f>
        <v>68700</v>
      </c>
      <c r="U20" s="8">
        <f t="shared" si="0"/>
        <v>3.3479999999999999</v>
      </c>
      <c r="V20" s="244">
        <f>ROUND(Tabla2[[#This Row],[Valor del terreno (US$)]]*Tabla2[[#This Row],[Tipo de Cambio]],-2)</f>
        <v>10700</v>
      </c>
      <c r="W20" s="244">
        <f>Tabla2[[#This Row],[Valor Comercial (S/.)]]-Tabla2[[#This Row],[Valor del terreno (S/.)]]</f>
        <v>219300</v>
      </c>
      <c r="X20" s="244">
        <f>ROUND(Tabla2[[#This Row],[Valor Comercial (US$)]]*Tabla2[[#This Row],[Tipo de Cambio]],-2)</f>
        <v>230000</v>
      </c>
      <c r="Y20" s="244">
        <f>ROUND(Tabla2[[#This Row],[Valor Realización (US$)]]*Tabla2[[#This Row],[Tipo de Cambio]],-2)</f>
        <v>184100</v>
      </c>
      <c r="Z20" s="244">
        <f>+ROUND(Tabla2[[#This Row],[Importe Asegurable (US$)]]*Tabla2[[#This Row],[Tipo de Cambio]],-2)</f>
        <v>230000</v>
      </c>
      <c r="AA20" s="245"/>
      <c r="AB20" s="2">
        <f>+Tabla2[[#This Row],[Valor Comercial (US$)]]/Tabla2[[#This Row],[Área techada (m²)4]]</f>
        <v>1050.4587155963302</v>
      </c>
      <c r="AC2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0" s="1" t="s">
        <v>48</v>
      </c>
      <c r="AE20" s="222">
        <f>IF(Tabla2[[#This Row],[Moneda]]="Soles",Tabla2[[#This Row],[Valor de Venta]]/Tabla2[[#This Row],[Área techada (m²)]]/Tabla2[[#This Row],[Tipo de Cambio]],Tabla2[[#This Row],[Valor de Venta]]/Tabla2[[#This Row],[Área techada (m²)]])</f>
        <v>999.50127695022627</v>
      </c>
      <c r="AF20" s="347">
        <f>VLOOKUP(Tabla2[[#This Row],[VISTA]],DATA!$H$4:$I$17,2,FALSE)</f>
        <v>1050</v>
      </c>
      <c r="AG20" s="221">
        <f>+Tabla2[[#This Row],[Valor Comercial (S/.)]]/Tabla2[[#This Row],[Valor de Venta]]-1</f>
        <v>5.094813799405995E-2</v>
      </c>
    </row>
    <row r="21" spans="1:33" s="1" customFormat="1" ht="15" customHeight="1" x14ac:dyDescent="0.25">
      <c r="A21" s="225" t="s">
        <v>30</v>
      </c>
      <c r="B21" s="22">
        <v>202</v>
      </c>
      <c r="C21" s="14">
        <v>2</v>
      </c>
      <c r="D21" s="34"/>
      <c r="E21" s="27"/>
      <c r="F21" s="12">
        <f>ROUND(Tabla2[[#This Row],[Área ocupada (m²)]]/20*1.4,2)</f>
        <v>4.38</v>
      </c>
      <c r="G21" s="12">
        <v>62.5</v>
      </c>
      <c r="H21" s="12">
        <v>62.5</v>
      </c>
      <c r="I21" s="12">
        <f>ROUND(Tabla2[[#This Row],[Área techada (m²)]]*0.15,2)</f>
        <v>9.3800000000000008</v>
      </c>
      <c r="J21" s="18" t="s">
        <v>33</v>
      </c>
      <c r="K21" s="7">
        <v>201850</v>
      </c>
      <c r="L21" s="240">
        <f>ROUND(Tabla2[[#This Row],[Área ocupada (m²)3]]/20*1.4,2)</f>
        <v>4.38</v>
      </c>
      <c r="M21" s="240">
        <f>ROUND(Tabla2[[#This Row],[Área ocupada (m²)]],2)</f>
        <v>62.5</v>
      </c>
      <c r="N21" s="240">
        <f>ROUND(Tabla2[[#This Row],[Área techada (m²)]],2)</f>
        <v>62.5</v>
      </c>
      <c r="O21" s="243">
        <f>ROUND(Tabla2[[#This Row],[Área techada (m²)4]]*0.15,2)</f>
        <v>9.3800000000000008</v>
      </c>
      <c r="P21" s="6">
        <f>ROUND(Tabla2[[#This Row],[Área del terreno (m²)2]]*DATA!$F$4,-2)</f>
        <v>3100</v>
      </c>
      <c r="Q21" s="243">
        <f>+Tabla2[[#This Row],[Valor Comercial (US$)]]-Tabla2[[#This Row],[Valor del terreno (US$)]]</f>
        <v>59400</v>
      </c>
      <c r="R2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21" s="244">
        <f>ROUND(Tabla2[[#This Row],[Valor Comercial (US$)]]*0.8,-2)</f>
        <v>50000</v>
      </c>
      <c r="T21" s="244">
        <f>IF(Informe!$I$6=DATA!$B$4,R21,ROUND(Tabla2[[#This Row],[Área techada (m²)4]]*DATA!$F$5*1.15,-2))</f>
        <v>62500</v>
      </c>
      <c r="U21" s="8">
        <f t="shared" si="0"/>
        <v>3.3479999999999999</v>
      </c>
      <c r="V21" s="244">
        <f>ROUND(Tabla2[[#This Row],[Valor del terreno (US$)]]*Tabla2[[#This Row],[Tipo de Cambio]],-2)</f>
        <v>10400</v>
      </c>
      <c r="W21" s="244">
        <f>Tabla2[[#This Row],[Valor Comercial (S/.)]]-Tabla2[[#This Row],[Valor del terreno (S/.)]]</f>
        <v>198900</v>
      </c>
      <c r="X21" s="244">
        <f>ROUND(Tabla2[[#This Row],[Valor Comercial (US$)]]*Tabla2[[#This Row],[Tipo de Cambio]],-2)</f>
        <v>209300</v>
      </c>
      <c r="Y21" s="244">
        <f>ROUND(Tabla2[[#This Row],[Valor Realización (US$)]]*Tabla2[[#This Row],[Tipo de Cambio]],-2)</f>
        <v>167400</v>
      </c>
      <c r="Z21" s="244">
        <f>+ROUND(Tabla2[[#This Row],[Importe Asegurable (US$)]]*Tabla2[[#This Row],[Tipo de Cambio]],-2)</f>
        <v>209300</v>
      </c>
      <c r="AA21" s="245"/>
      <c r="AB21" s="2">
        <f>+Tabla2[[#This Row],[Valor Comercial (US$)]]/Tabla2[[#This Row],[Área techada (m²)4]]</f>
        <v>1000</v>
      </c>
      <c r="AC2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1" s="1" t="s">
        <v>49</v>
      </c>
      <c r="AE21" s="222">
        <f>IF(Tabla2[[#This Row],[Moneda]]="Soles",Tabla2[[#This Row],[Valor de Venta]]/Tabla2[[#This Row],[Área techada (m²)]]/Tabla2[[#This Row],[Tipo de Cambio]],Tabla2[[#This Row],[Valor de Venta]]/Tabla2[[#This Row],[Área techada (m²)]])</f>
        <v>964.63560334528074</v>
      </c>
      <c r="AF21" s="347">
        <f>VLOOKUP(Tabla2[[#This Row],[VISTA]],DATA!$H$4:$I$17,2,FALSE)</f>
        <v>1000</v>
      </c>
      <c r="AG21" s="221">
        <f>+Tabla2[[#This Row],[Valor Comercial (S/.)]]/Tabla2[[#This Row],[Valor de Venta]]-1</f>
        <v>3.6908595491701668E-2</v>
      </c>
    </row>
    <row r="22" spans="1:33" s="1" customFormat="1" ht="15" customHeight="1" x14ac:dyDescent="0.25">
      <c r="A22" s="225" t="s">
        <v>30</v>
      </c>
      <c r="B22" s="22">
        <v>203</v>
      </c>
      <c r="C22" s="14">
        <v>2</v>
      </c>
      <c r="D22" s="34"/>
      <c r="E22" s="30"/>
      <c r="F22" s="12">
        <f>ROUND(Tabla2[[#This Row],[Área ocupada (m²)]]/20*1.4,2)</f>
        <v>4.38</v>
      </c>
      <c r="G22" s="12">
        <v>62.5</v>
      </c>
      <c r="H22" s="12">
        <v>62.5</v>
      </c>
      <c r="I22" s="12">
        <f>ROUND(Tabla2[[#This Row],[Área techada (m²)]]*0.15,2)</f>
        <v>9.3800000000000008</v>
      </c>
      <c r="J22" s="18" t="s">
        <v>33</v>
      </c>
      <c r="K22" s="7">
        <v>206850</v>
      </c>
      <c r="L22" s="240">
        <f>ROUND(Tabla2[[#This Row],[Área ocupada (m²)3]]/20*1.4,2)</f>
        <v>4.38</v>
      </c>
      <c r="M22" s="240">
        <f>ROUND(Tabla2[[#This Row],[Área ocupada (m²)]],2)</f>
        <v>62.5</v>
      </c>
      <c r="N22" s="240">
        <f>ROUND(Tabla2[[#This Row],[Área techada (m²)]],2)</f>
        <v>62.5</v>
      </c>
      <c r="O22" s="243">
        <f>ROUND(Tabla2[[#This Row],[Área techada (m²)4]]*0.15,2)</f>
        <v>9.3800000000000008</v>
      </c>
      <c r="P22" s="6">
        <f>ROUND(Tabla2[[#This Row],[Área del terreno (m²)2]]*DATA!$F$4,-2)</f>
        <v>3100</v>
      </c>
      <c r="Q22" s="243">
        <f>+Tabla2[[#This Row],[Valor Comercial (US$)]]-Tabla2[[#This Row],[Valor del terreno (US$)]]</f>
        <v>62500</v>
      </c>
      <c r="R2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65600</v>
      </c>
      <c r="S22" s="244">
        <f>ROUND(Tabla2[[#This Row],[Valor Comercial (US$)]]*0.8,-2)</f>
        <v>52500</v>
      </c>
      <c r="T22" s="244">
        <f>IF(Informe!$I$6=DATA!$B$4,R22,ROUND(Tabla2[[#This Row],[Área techada (m²)4]]*DATA!$F$5*1.15,-2))</f>
        <v>65600</v>
      </c>
      <c r="U22" s="8">
        <f t="shared" si="0"/>
        <v>3.3479999999999999</v>
      </c>
      <c r="V22" s="244">
        <f>ROUND(Tabla2[[#This Row],[Valor del terreno (US$)]]*Tabla2[[#This Row],[Tipo de Cambio]],-2)</f>
        <v>10400</v>
      </c>
      <c r="W22" s="244">
        <f>Tabla2[[#This Row],[Valor Comercial (S/.)]]-Tabla2[[#This Row],[Valor del terreno (S/.)]]</f>
        <v>209200</v>
      </c>
      <c r="X22" s="244">
        <f>ROUND(Tabla2[[#This Row],[Valor Comercial (US$)]]*Tabla2[[#This Row],[Tipo de Cambio]],-2)</f>
        <v>219600</v>
      </c>
      <c r="Y22" s="244">
        <f>ROUND(Tabla2[[#This Row],[Valor Realización (US$)]]*Tabla2[[#This Row],[Tipo de Cambio]],-2)</f>
        <v>175800</v>
      </c>
      <c r="Z22" s="244">
        <f>+ROUND(Tabla2[[#This Row],[Importe Asegurable (US$)]]*Tabla2[[#This Row],[Tipo de Cambio]],-2)</f>
        <v>219600</v>
      </c>
      <c r="AA22" s="245"/>
      <c r="AB22" s="2">
        <f>+Tabla2[[#This Row],[Valor Comercial (US$)]]/Tabla2[[#This Row],[Área techada (m²)4]]</f>
        <v>1049.5999999999999</v>
      </c>
      <c r="AC2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2" s="1" t="s">
        <v>48</v>
      </c>
      <c r="AE22" s="222">
        <f>IF(Tabla2[[#This Row],[Moneda]]="Soles",Tabla2[[#This Row],[Valor de Venta]]/Tabla2[[#This Row],[Área techada (m²)]]/Tabla2[[#This Row],[Tipo de Cambio]],Tabla2[[#This Row],[Valor de Venta]]/Tabla2[[#This Row],[Área techada (m²)]])</f>
        <v>988.53046594982084</v>
      </c>
      <c r="AF22" s="347">
        <f>VLOOKUP(Tabla2[[#This Row],[VISTA]],DATA!$H$4:$I$17,2,FALSE)</f>
        <v>1050</v>
      </c>
      <c r="AG22" s="221">
        <f>+Tabla2[[#This Row],[Valor Comercial (S/.)]]/Tabla2[[#This Row],[Valor de Venta]]-1</f>
        <v>6.1638868745467645E-2</v>
      </c>
    </row>
    <row r="23" spans="1:33" s="1" customFormat="1" ht="15" customHeight="1" x14ac:dyDescent="0.25">
      <c r="A23" s="225" t="s">
        <v>30</v>
      </c>
      <c r="B23" s="22">
        <v>204</v>
      </c>
      <c r="C23" s="14">
        <v>2</v>
      </c>
      <c r="D23" s="27"/>
      <c r="E23" s="30"/>
      <c r="F23" s="12">
        <f>ROUND(Tabla2[[#This Row],[Área ocupada (m²)]]/20*1.4,2)</f>
        <v>4.58</v>
      </c>
      <c r="G23" s="12">
        <v>65.400000000000006</v>
      </c>
      <c r="H23" s="12">
        <v>65.400000000000006</v>
      </c>
      <c r="I23" s="12">
        <f>ROUND(Tabla2[[#This Row],[Área techada (m²)]]*0.15,2)</f>
        <v>9.81</v>
      </c>
      <c r="J23" s="18" t="s">
        <v>33</v>
      </c>
      <c r="K23" s="7">
        <v>226850</v>
      </c>
      <c r="L23" s="240">
        <f>ROUND(Tabla2[[#This Row],[Área ocupada (m²)3]]/20*1.4,2)</f>
        <v>4.58</v>
      </c>
      <c r="M23" s="240">
        <f>ROUND(Tabla2[[#This Row],[Área ocupada (m²)]],2)</f>
        <v>65.400000000000006</v>
      </c>
      <c r="N23" s="240">
        <f>ROUND(Tabla2[[#This Row],[Área techada (m²)]],2)</f>
        <v>65.400000000000006</v>
      </c>
      <c r="O23" s="243">
        <f>ROUND(Tabla2[[#This Row],[Área techada (m²)4]]*0.15,2)</f>
        <v>9.81</v>
      </c>
      <c r="P23" s="6">
        <f>ROUND(Tabla2[[#This Row],[Área del terreno (m²)2]]*DATA!$F$4,-2)</f>
        <v>3200</v>
      </c>
      <c r="Q23" s="243">
        <f>+Tabla2[[#This Row],[Valor Comercial (US$)]]-Tabla2[[#This Row],[Valor del terreno (US$)]]</f>
        <v>68700</v>
      </c>
      <c r="R2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71900</v>
      </c>
      <c r="S23" s="244">
        <f>ROUND(Tabla2[[#This Row],[Valor Comercial (US$)]]*0.8,-2)</f>
        <v>57500</v>
      </c>
      <c r="T23" s="244">
        <f>IF(Informe!$I$6=DATA!$B$4,R23,ROUND(Tabla2[[#This Row],[Área techada (m²)4]]*DATA!$F$5*1.15,-2))</f>
        <v>71900</v>
      </c>
      <c r="U23" s="8">
        <f t="shared" si="0"/>
        <v>3.3479999999999999</v>
      </c>
      <c r="V23" s="244">
        <f>ROUND(Tabla2[[#This Row],[Valor del terreno (US$)]]*Tabla2[[#This Row],[Tipo de Cambio]],-2)</f>
        <v>10700</v>
      </c>
      <c r="W23" s="244">
        <f>Tabla2[[#This Row],[Valor Comercial (S/.)]]-Tabla2[[#This Row],[Valor del terreno (S/.)]]</f>
        <v>230000</v>
      </c>
      <c r="X23" s="244">
        <f>ROUND(Tabla2[[#This Row],[Valor Comercial (US$)]]*Tabla2[[#This Row],[Tipo de Cambio]],-2)</f>
        <v>240700</v>
      </c>
      <c r="Y23" s="244">
        <f>ROUND(Tabla2[[#This Row],[Valor Realización (US$)]]*Tabla2[[#This Row],[Tipo de Cambio]],-2)</f>
        <v>192500</v>
      </c>
      <c r="Z23" s="244">
        <f>+ROUND(Tabla2[[#This Row],[Importe Asegurable (US$)]]*Tabla2[[#This Row],[Tipo de Cambio]],-2)</f>
        <v>240700</v>
      </c>
      <c r="AA23" s="245"/>
      <c r="AB23" s="2">
        <f>+Tabla2[[#This Row],[Valor Comercial (US$)]]/Tabla2[[#This Row],[Área techada (m²)4]]</f>
        <v>1099.3883792048928</v>
      </c>
      <c r="AC2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3" s="1" t="s">
        <v>47</v>
      </c>
      <c r="AE23" s="222">
        <f>IF(Tabla2[[#This Row],[Moneda]]="Soles",Tabla2[[#This Row],[Valor de Venta]]/Tabla2[[#This Row],[Área techada (m²)]]/Tabla2[[#This Row],[Tipo de Cambio]],Tabla2[[#This Row],[Valor de Venta]]/Tabla2[[#This Row],[Área techada (m²)]])</f>
        <v>1036.0377641131315</v>
      </c>
      <c r="AF23" s="347">
        <f>VLOOKUP(Tabla2[[#This Row],[VISTA]],DATA!$H$4:$I$17,2,FALSE)</f>
        <v>1100</v>
      </c>
      <c r="AG23" s="221">
        <f>+Tabla2[[#This Row],[Valor Comercial (S/.)]]/Tabla2[[#This Row],[Valor de Venta]]-1</f>
        <v>6.105355962089476E-2</v>
      </c>
    </row>
    <row r="24" spans="1:33" s="1" customFormat="1" ht="15" customHeight="1" x14ac:dyDescent="0.25">
      <c r="A24" s="225" t="s">
        <v>30</v>
      </c>
      <c r="B24" s="22">
        <v>205</v>
      </c>
      <c r="C24" s="15">
        <v>2</v>
      </c>
      <c r="D24" s="27"/>
      <c r="E24" s="30"/>
      <c r="F24" s="12">
        <f>ROUND(Tabla2[[#This Row],[Área ocupada (m²)]]/20*1.4,2)</f>
        <v>4.58</v>
      </c>
      <c r="G24" s="12">
        <v>65.400000000000006</v>
      </c>
      <c r="H24" s="12">
        <v>65.400000000000006</v>
      </c>
      <c r="I24" s="12">
        <f>ROUND(Tabla2[[#This Row],[Área techada (m²)]]*0.15,2)</f>
        <v>9.81</v>
      </c>
      <c r="J24" s="18" t="s">
        <v>33</v>
      </c>
      <c r="K24" s="7">
        <v>223850</v>
      </c>
      <c r="L24" s="240">
        <f>ROUND(Tabla2[[#This Row],[Área ocupada (m²)3]]/20*1.4,2)</f>
        <v>4.58</v>
      </c>
      <c r="M24" s="240">
        <f>ROUND(Tabla2[[#This Row],[Área ocupada (m²)]],2)</f>
        <v>65.400000000000006</v>
      </c>
      <c r="N24" s="240">
        <f>ROUND(Tabla2[[#This Row],[Área techada (m²)]],2)</f>
        <v>65.400000000000006</v>
      </c>
      <c r="O24" s="243">
        <f>ROUND(Tabla2[[#This Row],[Área techada (m²)4]]*0.15,2)</f>
        <v>9.81</v>
      </c>
      <c r="P24" s="6">
        <f>ROUND(Tabla2[[#This Row],[Área del terreno (m²)2]]*DATA!$F$4,-2)</f>
        <v>3200</v>
      </c>
      <c r="Q24" s="243">
        <f>+Tabla2[[#This Row],[Valor Comercial (US$)]]-Tabla2[[#This Row],[Valor del terreno (US$)]]</f>
        <v>65500</v>
      </c>
      <c r="R2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68700</v>
      </c>
      <c r="S24" s="244">
        <f>ROUND(Tabla2[[#This Row],[Valor Comercial (US$)]]*0.8,-2)</f>
        <v>55000</v>
      </c>
      <c r="T24" s="244">
        <f>IF(Informe!$I$6=DATA!$B$4,R24,ROUND(Tabla2[[#This Row],[Área techada (m²)4]]*DATA!$F$5*1.15,-2))</f>
        <v>68700</v>
      </c>
      <c r="U24" s="8">
        <f t="shared" si="0"/>
        <v>3.3479999999999999</v>
      </c>
      <c r="V24" s="244">
        <f>ROUND(Tabla2[[#This Row],[Valor del terreno (US$)]]*Tabla2[[#This Row],[Tipo de Cambio]],-2)</f>
        <v>10700</v>
      </c>
      <c r="W24" s="244">
        <f>Tabla2[[#This Row],[Valor Comercial (S/.)]]-Tabla2[[#This Row],[Valor del terreno (S/.)]]</f>
        <v>219300</v>
      </c>
      <c r="X24" s="244">
        <f>ROUND(Tabla2[[#This Row],[Valor Comercial (US$)]]*Tabla2[[#This Row],[Tipo de Cambio]],-2)</f>
        <v>230000</v>
      </c>
      <c r="Y24" s="244">
        <f>ROUND(Tabla2[[#This Row],[Valor Realización (US$)]]*Tabla2[[#This Row],[Tipo de Cambio]],-2)</f>
        <v>184100</v>
      </c>
      <c r="Z24" s="244">
        <f>+ROUND(Tabla2[[#This Row],[Importe Asegurable (US$)]]*Tabla2[[#This Row],[Tipo de Cambio]],-2)</f>
        <v>230000</v>
      </c>
      <c r="AA24" s="245"/>
      <c r="AB24" s="2">
        <f>+Tabla2[[#This Row],[Valor Comercial (US$)]]/Tabla2[[#This Row],[Área techada (m²)4]]</f>
        <v>1050.4587155963302</v>
      </c>
      <c r="AC2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4" s="1" t="s">
        <v>48</v>
      </c>
      <c r="AE24" s="222">
        <f>IF(Tabla2[[#This Row],[Moneda]]="Soles",Tabla2[[#This Row],[Valor de Venta]]/Tabla2[[#This Row],[Área techada (m²)]]/Tabla2[[#This Row],[Tipo de Cambio]],Tabla2[[#This Row],[Valor de Venta]]/Tabla2[[#This Row],[Área techada (m²)]])</f>
        <v>1022.336581427042</v>
      </c>
      <c r="AF24" s="347">
        <f>VLOOKUP(Tabla2[[#This Row],[VISTA]],DATA!$H$4:$I$17,2,FALSE)</f>
        <v>1050</v>
      </c>
      <c r="AG24" s="221">
        <f>+Tabla2[[#This Row],[Valor Comercial (S/.)]]/Tabla2[[#This Row],[Valor de Venta]]-1</f>
        <v>2.747375474648206E-2</v>
      </c>
    </row>
    <row r="25" spans="1:33" s="1" customFormat="1" ht="15" customHeight="1" x14ac:dyDescent="0.25">
      <c r="A25" s="225" t="s">
        <v>30</v>
      </c>
      <c r="B25" s="22">
        <v>206</v>
      </c>
      <c r="C25" s="15">
        <v>2</v>
      </c>
      <c r="D25" s="34"/>
      <c r="E25" s="29"/>
      <c r="F25" s="12">
        <f>ROUND(Tabla2[[#This Row],[Área ocupada (m²)]]/20*1.4,2)</f>
        <v>4.38</v>
      </c>
      <c r="G25" s="12">
        <v>62.5</v>
      </c>
      <c r="H25" s="12">
        <v>62.5</v>
      </c>
      <c r="I25" s="12">
        <f>ROUND(Tabla2[[#This Row],[Área techada (m²)]]*0.15,2)</f>
        <v>9.3800000000000008</v>
      </c>
      <c r="J25" s="18" t="s">
        <v>33</v>
      </c>
      <c r="K25" s="7">
        <v>212850</v>
      </c>
      <c r="L25" s="240">
        <f>ROUND(Tabla2[[#This Row],[Área ocupada (m²)3]]/20*1.4,2)</f>
        <v>4.38</v>
      </c>
      <c r="M25" s="240">
        <f>ROUND(Tabla2[[#This Row],[Área ocupada (m²)]],2)</f>
        <v>62.5</v>
      </c>
      <c r="N25" s="240">
        <f>ROUND(Tabla2[[#This Row],[Área techada (m²)]],2)</f>
        <v>62.5</v>
      </c>
      <c r="O25" s="243">
        <f>ROUND(Tabla2[[#This Row],[Área techada (m²)4]]*0.15,2)</f>
        <v>9.3800000000000008</v>
      </c>
      <c r="P25" s="6">
        <f>ROUND(Tabla2[[#This Row],[Área del terreno (m²)2]]*DATA!$F$4,-2)</f>
        <v>3100</v>
      </c>
      <c r="Q25" s="243">
        <f>+Tabla2[[#This Row],[Valor Comercial (US$)]]-Tabla2[[#This Row],[Valor del terreno (US$)]]</f>
        <v>62500</v>
      </c>
      <c r="R2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65600</v>
      </c>
      <c r="S25" s="244">
        <f>ROUND(Tabla2[[#This Row],[Valor Comercial (US$)]]*0.8,-2)</f>
        <v>52500</v>
      </c>
      <c r="T25" s="244">
        <f>IF(Informe!$I$6=DATA!$B$4,R25,ROUND(Tabla2[[#This Row],[Área techada (m²)4]]*DATA!$F$5*1.15,-2))</f>
        <v>65600</v>
      </c>
      <c r="U25" s="8">
        <f t="shared" si="0"/>
        <v>3.3479999999999999</v>
      </c>
      <c r="V25" s="244">
        <f>ROUND(Tabla2[[#This Row],[Valor del terreno (US$)]]*Tabla2[[#This Row],[Tipo de Cambio]],-2)</f>
        <v>10400</v>
      </c>
      <c r="W25" s="244">
        <f>Tabla2[[#This Row],[Valor Comercial (S/.)]]-Tabla2[[#This Row],[Valor del terreno (S/.)]]</f>
        <v>209200</v>
      </c>
      <c r="X25" s="244">
        <f>ROUND(Tabla2[[#This Row],[Valor Comercial (US$)]]*Tabla2[[#This Row],[Tipo de Cambio]],-2)</f>
        <v>219600</v>
      </c>
      <c r="Y25" s="244">
        <f>ROUND(Tabla2[[#This Row],[Valor Realización (US$)]]*Tabla2[[#This Row],[Tipo de Cambio]],-2)</f>
        <v>175800</v>
      </c>
      <c r="Z25" s="244">
        <f>+ROUND(Tabla2[[#This Row],[Importe Asegurable (US$)]]*Tabla2[[#This Row],[Tipo de Cambio]],-2)</f>
        <v>219600</v>
      </c>
      <c r="AA25" s="245"/>
      <c r="AB25" s="2">
        <f>+Tabla2[[#This Row],[Valor Comercial (US$)]]/Tabla2[[#This Row],[Área techada (m²)4]]</f>
        <v>1049.5999999999999</v>
      </c>
      <c r="AC2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5" s="1" t="s">
        <v>48</v>
      </c>
      <c r="AE25" s="222">
        <f>IF(Tabla2[[#This Row],[Moneda]]="Soles",Tabla2[[#This Row],[Valor de Venta]]/Tabla2[[#This Row],[Área techada (m²)]]/Tabla2[[#This Row],[Tipo de Cambio]],Tabla2[[#This Row],[Valor de Venta]]/Tabla2[[#This Row],[Área techada (m²)]])</f>
        <v>1017.2043010752689</v>
      </c>
      <c r="AF25" s="347">
        <f>VLOOKUP(Tabla2[[#This Row],[VISTA]],DATA!$H$4:$I$17,2,FALSE)</f>
        <v>1050</v>
      </c>
      <c r="AG25" s="221">
        <f>+Tabla2[[#This Row],[Valor Comercial (S/.)]]/Tabla2[[#This Row],[Valor de Venta]]-1</f>
        <v>3.1712473572938604E-2</v>
      </c>
    </row>
    <row r="26" spans="1:33" s="1" customFormat="1" ht="15" customHeight="1" x14ac:dyDescent="0.25">
      <c r="A26" s="225" t="s">
        <v>30</v>
      </c>
      <c r="B26" s="22">
        <v>207</v>
      </c>
      <c r="C26" s="15">
        <v>2</v>
      </c>
      <c r="D26" s="27"/>
      <c r="E26" s="29"/>
      <c r="F26" s="12">
        <f>ROUND(Tabla2[[#This Row],[Área ocupada (m²)]]/20*1.4,2)</f>
        <v>4.38</v>
      </c>
      <c r="G26" s="12">
        <v>62.5</v>
      </c>
      <c r="H26" s="12">
        <v>62.5</v>
      </c>
      <c r="I26" s="12">
        <f>ROUND(Tabla2[[#This Row],[Área techada (m²)]]*0.15,2)</f>
        <v>9.3800000000000008</v>
      </c>
      <c r="J26" s="18" t="s">
        <v>33</v>
      </c>
      <c r="K26" s="7">
        <v>203850</v>
      </c>
      <c r="L26" s="240">
        <f>ROUND(Tabla2[[#This Row],[Área ocupada (m²)3]]/20*1.4,2)</f>
        <v>4.38</v>
      </c>
      <c r="M26" s="240">
        <f>ROUND(Tabla2[[#This Row],[Área ocupada (m²)]],2)</f>
        <v>62.5</v>
      </c>
      <c r="N26" s="240">
        <f>ROUND(Tabla2[[#This Row],[Área techada (m²)]],2)</f>
        <v>62.5</v>
      </c>
      <c r="O26" s="243">
        <f>ROUND(Tabla2[[#This Row],[Área techada (m²)4]]*0.15,2)</f>
        <v>9.3800000000000008</v>
      </c>
      <c r="P26" s="6">
        <f>ROUND(Tabla2[[#This Row],[Área del terreno (m²)2]]*DATA!$F$4,-2)</f>
        <v>3100</v>
      </c>
      <c r="Q26" s="243">
        <f>+Tabla2[[#This Row],[Valor Comercial (US$)]]-Tabla2[[#This Row],[Valor del terreno (US$)]]</f>
        <v>59400</v>
      </c>
      <c r="R2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26" s="244">
        <f>ROUND(Tabla2[[#This Row],[Valor Comercial (US$)]]*0.8,-2)</f>
        <v>50000</v>
      </c>
      <c r="T26" s="244">
        <f>IF(Informe!$I$6=DATA!$B$4,R26,ROUND(Tabla2[[#This Row],[Área techada (m²)4]]*DATA!$F$5*1.15,-2))</f>
        <v>62500</v>
      </c>
      <c r="U26" s="8">
        <f t="shared" si="0"/>
        <v>3.3479999999999999</v>
      </c>
      <c r="V26" s="244">
        <f>ROUND(Tabla2[[#This Row],[Valor del terreno (US$)]]*Tabla2[[#This Row],[Tipo de Cambio]],-2)</f>
        <v>10400</v>
      </c>
      <c r="W26" s="244">
        <f>Tabla2[[#This Row],[Valor Comercial (S/.)]]-Tabla2[[#This Row],[Valor del terreno (S/.)]]</f>
        <v>198900</v>
      </c>
      <c r="X26" s="244">
        <f>ROUND(Tabla2[[#This Row],[Valor Comercial (US$)]]*Tabla2[[#This Row],[Tipo de Cambio]],-2)</f>
        <v>209300</v>
      </c>
      <c r="Y26" s="244">
        <f>ROUND(Tabla2[[#This Row],[Valor Realización (US$)]]*Tabla2[[#This Row],[Tipo de Cambio]],-2)</f>
        <v>167400</v>
      </c>
      <c r="Z26" s="244">
        <f>+ROUND(Tabla2[[#This Row],[Importe Asegurable (US$)]]*Tabla2[[#This Row],[Tipo de Cambio]],-2)</f>
        <v>209300</v>
      </c>
      <c r="AA26" s="245"/>
      <c r="AB26" s="2">
        <f>+Tabla2[[#This Row],[Valor Comercial (US$)]]/Tabla2[[#This Row],[Área techada (m²)4]]</f>
        <v>1000</v>
      </c>
      <c r="AC2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6" s="1" t="s">
        <v>49</v>
      </c>
      <c r="AE26" s="222">
        <f>IF(Tabla2[[#This Row],[Moneda]]="Soles",Tabla2[[#This Row],[Valor de Venta]]/Tabla2[[#This Row],[Área techada (m²)]]/Tabla2[[#This Row],[Tipo de Cambio]],Tabla2[[#This Row],[Valor de Venta]]/Tabla2[[#This Row],[Área techada (m²)]])</f>
        <v>974.19354838709683</v>
      </c>
      <c r="AF26" s="347">
        <f>VLOOKUP(Tabla2[[#This Row],[VISTA]],DATA!$H$4:$I$17,2,FALSE)</f>
        <v>1000</v>
      </c>
      <c r="AG26" s="221">
        <f>+Tabla2[[#This Row],[Valor Comercial (S/.)]]/Tabla2[[#This Row],[Valor de Venta]]-1</f>
        <v>2.6735344616139356E-2</v>
      </c>
    </row>
    <row r="27" spans="1:33" s="1" customFormat="1" ht="15" customHeight="1" x14ac:dyDescent="0.25">
      <c r="A27" s="225" t="s">
        <v>30</v>
      </c>
      <c r="B27" s="22">
        <v>208</v>
      </c>
      <c r="C27" s="15">
        <v>2</v>
      </c>
      <c r="D27" s="35"/>
      <c r="E27" s="29"/>
      <c r="F27" s="12">
        <f>ROUND(Tabla2[[#This Row],[Área ocupada (m²)]]/20*1.4,2)</f>
        <v>4.58</v>
      </c>
      <c r="G27" s="12">
        <v>65.400000000000006</v>
      </c>
      <c r="H27" s="12">
        <v>65.400000000000006</v>
      </c>
      <c r="I27" s="12">
        <f>ROUND(Tabla2[[#This Row],[Área techada (m²)]]*0.15,2)</f>
        <v>9.81</v>
      </c>
      <c r="J27" s="18" t="s">
        <v>33</v>
      </c>
      <c r="K27" s="7">
        <v>225850</v>
      </c>
      <c r="L27" s="240">
        <f>ROUND(Tabla2[[#This Row],[Área ocupada (m²)3]]/20*1.4,2)</f>
        <v>4.58</v>
      </c>
      <c r="M27" s="240">
        <f>ROUND(Tabla2[[#This Row],[Área ocupada (m²)]],2)</f>
        <v>65.400000000000006</v>
      </c>
      <c r="N27" s="240">
        <f>ROUND(Tabla2[[#This Row],[Área techada (m²)]],2)</f>
        <v>65.400000000000006</v>
      </c>
      <c r="O27" s="243">
        <f>ROUND(Tabla2[[#This Row],[Área techada (m²)4]]*0.15,2)</f>
        <v>9.81</v>
      </c>
      <c r="P27" s="6">
        <f>ROUND(Tabla2[[#This Row],[Área del terreno (m²)2]]*DATA!$F$4,-2)</f>
        <v>3200</v>
      </c>
      <c r="Q27" s="243">
        <f>+Tabla2[[#This Row],[Valor Comercial (US$)]]-Tabla2[[#This Row],[Valor del terreno (US$)]]</f>
        <v>68700</v>
      </c>
      <c r="R2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71900</v>
      </c>
      <c r="S27" s="244">
        <f>ROUND(Tabla2[[#This Row],[Valor Comercial (US$)]]*0.8,-2)</f>
        <v>57500</v>
      </c>
      <c r="T27" s="244">
        <f>IF(Informe!$I$6=DATA!$B$4,R27,ROUND(Tabla2[[#This Row],[Área techada (m²)4]]*DATA!$F$5*1.15,-2))</f>
        <v>71900</v>
      </c>
      <c r="U27" s="8">
        <f t="shared" si="0"/>
        <v>3.3479999999999999</v>
      </c>
      <c r="V27" s="244">
        <f>ROUND(Tabla2[[#This Row],[Valor del terreno (US$)]]*Tabla2[[#This Row],[Tipo de Cambio]],-2)</f>
        <v>10700</v>
      </c>
      <c r="W27" s="244">
        <f>Tabla2[[#This Row],[Valor Comercial (S/.)]]-Tabla2[[#This Row],[Valor del terreno (S/.)]]</f>
        <v>230000</v>
      </c>
      <c r="X27" s="244">
        <f>ROUND(Tabla2[[#This Row],[Valor Comercial (US$)]]*Tabla2[[#This Row],[Tipo de Cambio]],-2)</f>
        <v>240700</v>
      </c>
      <c r="Y27" s="244">
        <f>ROUND(Tabla2[[#This Row],[Valor Realización (US$)]]*Tabla2[[#This Row],[Tipo de Cambio]],-2)</f>
        <v>192500</v>
      </c>
      <c r="Z27" s="244">
        <f>+ROUND(Tabla2[[#This Row],[Importe Asegurable (US$)]]*Tabla2[[#This Row],[Tipo de Cambio]],-2)</f>
        <v>240700</v>
      </c>
      <c r="AA27" s="245"/>
      <c r="AB27" s="2">
        <f>+Tabla2[[#This Row],[Valor Comercial (US$)]]/Tabla2[[#This Row],[Área techada (m²)4]]</f>
        <v>1099.3883792048928</v>
      </c>
      <c r="AC2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7" s="1" t="s">
        <v>47</v>
      </c>
      <c r="AE27" s="222">
        <f>IF(Tabla2[[#This Row],[Moneda]]="Soles",Tabla2[[#This Row],[Valor de Venta]]/Tabla2[[#This Row],[Área techada (m²)]]/Tabla2[[#This Row],[Tipo de Cambio]],Tabla2[[#This Row],[Valor de Venta]]/Tabla2[[#This Row],[Área techada (m²)]])</f>
        <v>1031.4707032177685</v>
      </c>
      <c r="AF27" s="347">
        <f>VLOOKUP(Tabla2[[#This Row],[VISTA]],DATA!$H$4:$I$17,2,FALSE)</f>
        <v>1100</v>
      </c>
      <c r="AG27" s="221">
        <f>+Tabla2[[#This Row],[Valor Comercial (S/.)]]/Tabla2[[#This Row],[Valor de Venta]]-1</f>
        <v>6.5751605047597916E-2</v>
      </c>
    </row>
    <row r="28" spans="1:33" s="1" customFormat="1" ht="15" customHeight="1" x14ac:dyDescent="0.25">
      <c r="A28" s="225" t="s">
        <v>30</v>
      </c>
      <c r="B28" s="22">
        <v>301</v>
      </c>
      <c r="C28" s="15">
        <v>3</v>
      </c>
      <c r="D28" s="37"/>
      <c r="E28" s="28"/>
      <c r="F28" s="12">
        <f>ROUND(Tabla2[[#This Row],[Área ocupada (m²)]]/20*1.4,2)</f>
        <v>4.58</v>
      </c>
      <c r="G28" s="12">
        <v>65.400000000000006</v>
      </c>
      <c r="H28" s="12">
        <v>65.400000000000006</v>
      </c>
      <c r="I28" s="12">
        <f>ROUND(Tabla2[[#This Row],[Área techada (m²)]]*0.15,2)</f>
        <v>9.81</v>
      </c>
      <c r="J28" s="18" t="s">
        <v>33</v>
      </c>
      <c r="K28" s="7">
        <v>213750</v>
      </c>
      <c r="L28" s="240">
        <f>ROUND(Tabla2[[#This Row],[Área ocupada (m²)3]]/20*1.4,2)</f>
        <v>4.58</v>
      </c>
      <c r="M28" s="240">
        <f>ROUND(Tabla2[[#This Row],[Área ocupada (m²)]],2)</f>
        <v>65.400000000000006</v>
      </c>
      <c r="N28" s="240">
        <f>ROUND(Tabla2[[#This Row],[Área techada (m²)]],2)</f>
        <v>65.400000000000006</v>
      </c>
      <c r="O28" s="243">
        <f>ROUND(Tabla2[[#This Row],[Área techada (m²)4]]*0.15,2)</f>
        <v>9.81</v>
      </c>
      <c r="P28" s="6">
        <f>ROUND(Tabla2[[#This Row],[Área del terreno (m²)2]]*DATA!$F$4,-2)</f>
        <v>3200</v>
      </c>
      <c r="Q28" s="243">
        <f>+Tabla2[[#This Row],[Valor Comercial (US$)]]-Tabla2[[#This Row],[Valor del terreno (US$)]]</f>
        <v>65500</v>
      </c>
      <c r="R2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68700</v>
      </c>
      <c r="S28" s="244">
        <f>ROUND(Tabla2[[#This Row],[Valor Comercial (US$)]]*0.8,-2)</f>
        <v>55000</v>
      </c>
      <c r="T28" s="244">
        <f>IF(Informe!$I$6=DATA!$B$4,R28,ROUND(Tabla2[[#This Row],[Área techada (m²)4]]*DATA!$F$5*1.15,-2))</f>
        <v>68700</v>
      </c>
      <c r="U28" s="8">
        <f t="shared" si="0"/>
        <v>3.3479999999999999</v>
      </c>
      <c r="V28" s="244">
        <f>ROUND(Tabla2[[#This Row],[Valor del terreno (US$)]]*Tabla2[[#This Row],[Tipo de Cambio]],-2)</f>
        <v>10700</v>
      </c>
      <c r="W28" s="244">
        <f>Tabla2[[#This Row],[Valor Comercial (S/.)]]-Tabla2[[#This Row],[Valor del terreno (S/.)]]</f>
        <v>219300</v>
      </c>
      <c r="X28" s="244">
        <f>ROUND(Tabla2[[#This Row],[Valor Comercial (US$)]]*Tabla2[[#This Row],[Tipo de Cambio]],-2)</f>
        <v>230000</v>
      </c>
      <c r="Y28" s="244">
        <f>ROUND(Tabla2[[#This Row],[Valor Realización (US$)]]*Tabla2[[#This Row],[Tipo de Cambio]],-2)</f>
        <v>184100</v>
      </c>
      <c r="Z28" s="244">
        <f>+ROUND(Tabla2[[#This Row],[Importe Asegurable (US$)]]*Tabla2[[#This Row],[Tipo de Cambio]],-2)</f>
        <v>230000</v>
      </c>
      <c r="AA28" s="245"/>
      <c r="AB28" s="2">
        <f>+Tabla2[[#This Row],[Valor Comercial (US$)]]/Tabla2[[#This Row],[Área techada (m²)4]]</f>
        <v>1050.4587155963302</v>
      </c>
      <c r="AC2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8" s="1" t="s">
        <v>48</v>
      </c>
      <c r="AE28" s="222">
        <f>IF(Tabla2[[#This Row],[Moneda]]="Soles",Tabla2[[#This Row],[Valor de Venta]]/Tabla2[[#This Row],[Área techada (m²)]]/Tabla2[[#This Row],[Tipo de Cambio]],Tabla2[[#This Row],[Valor de Venta]]/Tabla2[[#This Row],[Área techada (m²)]])</f>
        <v>976.20926638387425</v>
      </c>
      <c r="AF28" s="347">
        <f>VLOOKUP(Tabla2[[#This Row],[VISTA]],DATA!$H$4:$I$17,2,FALSE)</f>
        <v>1050</v>
      </c>
      <c r="AG28" s="221">
        <f>+Tabla2[[#This Row],[Valor Comercial (S/.)]]/Tabla2[[#This Row],[Valor de Venta]]-1</f>
        <v>7.6023391812865437E-2</v>
      </c>
    </row>
    <row r="29" spans="1:33" s="1" customFormat="1" ht="15" customHeight="1" x14ac:dyDescent="0.25">
      <c r="A29" s="225" t="s">
        <v>30</v>
      </c>
      <c r="B29" s="22">
        <v>302</v>
      </c>
      <c r="C29" s="15">
        <v>3</v>
      </c>
      <c r="D29" s="37"/>
      <c r="E29" s="28"/>
      <c r="F29" s="12">
        <f>ROUND(Tabla2[[#This Row],[Área ocupada (m²)]]/20*1.4,2)</f>
        <v>4.38</v>
      </c>
      <c r="G29" s="12">
        <v>62.5</v>
      </c>
      <c r="H29" s="12">
        <v>62.5</v>
      </c>
      <c r="I29" s="12">
        <f>ROUND(Tabla2[[#This Row],[Área techada (m²)]]*0.15,2)</f>
        <v>9.3800000000000008</v>
      </c>
      <c r="J29" s="18" t="s">
        <v>33</v>
      </c>
      <c r="K29" s="7">
        <v>199750</v>
      </c>
      <c r="L29" s="240">
        <f>ROUND(Tabla2[[#This Row],[Área ocupada (m²)3]]/20*1.4,2)</f>
        <v>4.38</v>
      </c>
      <c r="M29" s="240">
        <f>ROUND(Tabla2[[#This Row],[Área ocupada (m²)]],2)</f>
        <v>62.5</v>
      </c>
      <c r="N29" s="240">
        <f>ROUND(Tabla2[[#This Row],[Área techada (m²)]],2)</f>
        <v>62.5</v>
      </c>
      <c r="O29" s="243">
        <f>ROUND(Tabla2[[#This Row],[Área techada (m²)4]]*0.15,2)</f>
        <v>9.3800000000000008</v>
      </c>
      <c r="P29" s="6">
        <f>ROUND(Tabla2[[#This Row],[Área del terreno (m²)2]]*DATA!$F$4,-2)</f>
        <v>3100</v>
      </c>
      <c r="Q29" s="243">
        <f>+Tabla2[[#This Row],[Valor Comercial (US$)]]-Tabla2[[#This Row],[Valor del terreno (US$)]]</f>
        <v>59400</v>
      </c>
      <c r="R2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29" s="244">
        <f>ROUND(Tabla2[[#This Row],[Valor Comercial (US$)]]*0.8,-2)</f>
        <v>50000</v>
      </c>
      <c r="T29" s="244">
        <f>IF(Informe!$I$6=DATA!$B$4,R29,ROUND(Tabla2[[#This Row],[Área techada (m²)4]]*DATA!$F$5*1.15,-2))</f>
        <v>62500</v>
      </c>
      <c r="U29" s="8">
        <f t="shared" si="0"/>
        <v>3.3479999999999999</v>
      </c>
      <c r="V29" s="244">
        <f>ROUND(Tabla2[[#This Row],[Valor del terreno (US$)]]*Tabla2[[#This Row],[Tipo de Cambio]],-2)</f>
        <v>10400</v>
      </c>
      <c r="W29" s="244">
        <f>Tabla2[[#This Row],[Valor Comercial (S/.)]]-Tabla2[[#This Row],[Valor del terreno (S/.)]]</f>
        <v>198900</v>
      </c>
      <c r="X29" s="244">
        <f>ROUND(Tabla2[[#This Row],[Valor Comercial (US$)]]*Tabla2[[#This Row],[Tipo de Cambio]],-2)</f>
        <v>209300</v>
      </c>
      <c r="Y29" s="244">
        <f>ROUND(Tabla2[[#This Row],[Valor Realización (US$)]]*Tabla2[[#This Row],[Tipo de Cambio]],-2)</f>
        <v>167400</v>
      </c>
      <c r="Z29" s="244">
        <f>+ROUND(Tabla2[[#This Row],[Importe Asegurable (US$)]]*Tabla2[[#This Row],[Tipo de Cambio]],-2)</f>
        <v>209300</v>
      </c>
      <c r="AA29" s="245"/>
      <c r="AB29" s="2">
        <f>+Tabla2[[#This Row],[Valor Comercial (US$)]]/Tabla2[[#This Row],[Área techada (m²)4]]</f>
        <v>1000</v>
      </c>
      <c r="AC2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9" s="1" t="s">
        <v>49</v>
      </c>
      <c r="AE29" s="222">
        <f>IF(Tabla2[[#This Row],[Moneda]]="Soles",Tabla2[[#This Row],[Valor de Venta]]/Tabla2[[#This Row],[Área techada (m²)]]/Tabla2[[#This Row],[Tipo de Cambio]],Tabla2[[#This Row],[Valor de Venta]]/Tabla2[[#This Row],[Área techada (m²)]])</f>
        <v>954.599761051374</v>
      </c>
      <c r="AF29" s="347">
        <f>VLOOKUP(Tabla2[[#This Row],[VISTA]],DATA!$H$4:$I$17,2,FALSE)</f>
        <v>1000</v>
      </c>
      <c r="AG29" s="221">
        <f>+Tabla2[[#This Row],[Valor Comercial (S/.)]]/Tabla2[[#This Row],[Valor de Venta]]-1</f>
        <v>4.7809762202753348E-2</v>
      </c>
    </row>
    <row r="30" spans="1:33" s="1" customFormat="1" ht="15" customHeight="1" x14ac:dyDescent="0.25">
      <c r="A30" s="225" t="s">
        <v>30</v>
      </c>
      <c r="B30" s="22">
        <v>303</v>
      </c>
      <c r="C30" s="15">
        <v>3</v>
      </c>
      <c r="D30" s="34"/>
      <c r="E30" s="20"/>
      <c r="F30" s="12">
        <f>ROUND(Tabla2[[#This Row],[Área ocupada (m²)]]/20*1.4,2)</f>
        <v>4.38</v>
      </c>
      <c r="G30" s="12">
        <v>62.5</v>
      </c>
      <c r="H30" s="12">
        <v>62.5</v>
      </c>
      <c r="I30" s="12">
        <f>ROUND(Tabla2[[#This Row],[Área techada (m²)]]*0.15,2)</f>
        <v>9.3800000000000008</v>
      </c>
      <c r="J30" s="18" t="s">
        <v>33</v>
      </c>
      <c r="K30" s="7">
        <v>204750</v>
      </c>
      <c r="L30" s="240">
        <f>ROUND(Tabla2[[#This Row],[Área ocupada (m²)3]]/20*1.4,2)</f>
        <v>4.38</v>
      </c>
      <c r="M30" s="240">
        <f>ROUND(Tabla2[[#This Row],[Área ocupada (m²)]],2)</f>
        <v>62.5</v>
      </c>
      <c r="N30" s="240">
        <f>ROUND(Tabla2[[#This Row],[Área techada (m²)]],2)</f>
        <v>62.5</v>
      </c>
      <c r="O30" s="243">
        <f>ROUND(Tabla2[[#This Row],[Área techada (m²)4]]*0.15,2)</f>
        <v>9.3800000000000008</v>
      </c>
      <c r="P30" s="6">
        <f>ROUND(Tabla2[[#This Row],[Área del terreno (m²)2]]*DATA!$F$4,-2)</f>
        <v>3100</v>
      </c>
      <c r="Q30" s="243">
        <f>+Tabla2[[#This Row],[Valor Comercial (US$)]]-Tabla2[[#This Row],[Valor del terreno (US$)]]</f>
        <v>62500</v>
      </c>
      <c r="R3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65600</v>
      </c>
      <c r="S30" s="244">
        <f>ROUND(Tabla2[[#This Row],[Valor Comercial (US$)]]*0.8,-2)</f>
        <v>52500</v>
      </c>
      <c r="T30" s="244">
        <f>IF(Informe!$I$6=DATA!$B$4,R30,ROUND(Tabla2[[#This Row],[Área techada (m²)4]]*DATA!$F$5*1.15,-2))</f>
        <v>65600</v>
      </c>
      <c r="U30" s="8">
        <f t="shared" si="0"/>
        <v>3.3479999999999999</v>
      </c>
      <c r="V30" s="244">
        <f>ROUND(Tabla2[[#This Row],[Valor del terreno (US$)]]*Tabla2[[#This Row],[Tipo de Cambio]],-2)</f>
        <v>10400</v>
      </c>
      <c r="W30" s="244">
        <f>Tabla2[[#This Row],[Valor Comercial (S/.)]]-Tabla2[[#This Row],[Valor del terreno (S/.)]]</f>
        <v>209200</v>
      </c>
      <c r="X30" s="244">
        <f>ROUND(Tabla2[[#This Row],[Valor Comercial (US$)]]*Tabla2[[#This Row],[Tipo de Cambio]],-2)</f>
        <v>219600</v>
      </c>
      <c r="Y30" s="244">
        <f>ROUND(Tabla2[[#This Row],[Valor Realización (US$)]]*Tabla2[[#This Row],[Tipo de Cambio]],-2)</f>
        <v>175800</v>
      </c>
      <c r="Z30" s="244">
        <f>+ROUND(Tabla2[[#This Row],[Importe Asegurable (US$)]]*Tabla2[[#This Row],[Tipo de Cambio]],-2)</f>
        <v>219600</v>
      </c>
      <c r="AA30" s="245"/>
      <c r="AB30" s="2">
        <f>+Tabla2[[#This Row],[Valor Comercial (US$)]]/Tabla2[[#This Row],[Área techada (m²)4]]</f>
        <v>1049.5999999999999</v>
      </c>
      <c r="AC3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30" s="1" t="s">
        <v>48</v>
      </c>
      <c r="AE30" s="222">
        <f>IF(Tabla2[[#This Row],[Moneda]]="Soles",Tabla2[[#This Row],[Valor de Venta]]/Tabla2[[#This Row],[Área techada (m²)]]/Tabla2[[#This Row],[Tipo de Cambio]],Tabla2[[#This Row],[Valor de Venta]]/Tabla2[[#This Row],[Área techada (m²)]])</f>
        <v>978.49462365591398</v>
      </c>
      <c r="AF30" s="347">
        <f>VLOOKUP(Tabla2[[#This Row],[VISTA]],DATA!$H$4:$I$17,2,FALSE)</f>
        <v>1050</v>
      </c>
      <c r="AG30" s="221">
        <f>+Tabla2[[#This Row],[Valor Comercial (S/.)]]/Tabla2[[#This Row],[Valor de Venta]]-1</f>
        <v>7.2527472527472492E-2</v>
      </c>
    </row>
    <row r="31" spans="1:33" s="1" customFormat="1" ht="12.75" x14ac:dyDescent="0.25">
      <c r="A31" s="225" t="s">
        <v>30</v>
      </c>
      <c r="B31" s="22">
        <v>304</v>
      </c>
      <c r="C31" s="15">
        <v>3</v>
      </c>
      <c r="D31" s="27"/>
      <c r="E31" s="20"/>
      <c r="F31" s="12">
        <f>ROUND(Tabla2[[#This Row],[Área ocupada (m²)]]/20*1.4,2)</f>
        <v>4.58</v>
      </c>
      <c r="G31" s="12">
        <v>65.400000000000006</v>
      </c>
      <c r="H31" s="12">
        <v>65.400000000000006</v>
      </c>
      <c r="I31" s="12">
        <f>ROUND(Tabla2[[#This Row],[Área techada (m²)]]*0.15,2)</f>
        <v>9.81</v>
      </c>
      <c r="J31" s="18" t="s">
        <v>33</v>
      </c>
      <c r="K31" s="7">
        <v>224750</v>
      </c>
      <c r="L31" s="240">
        <f>ROUND(Tabla2[[#This Row],[Área ocupada (m²)3]]/20*1.4,2)</f>
        <v>4.58</v>
      </c>
      <c r="M31" s="240">
        <f>ROUND(Tabla2[[#This Row],[Área ocupada (m²)]],2)</f>
        <v>65.400000000000006</v>
      </c>
      <c r="N31" s="240">
        <f>ROUND(Tabla2[[#This Row],[Área techada (m²)]],2)</f>
        <v>65.400000000000006</v>
      </c>
      <c r="O31" s="243">
        <f>ROUND(Tabla2[[#This Row],[Área techada (m²)4]]*0.15,2)</f>
        <v>9.81</v>
      </c>
      <c r="P31" s="6">
        <f>ROUND(Tabla2[[#This Row],[Área del terreno (m²)2]]*DATA!$F$4,-2)</f>
        <v>3200</v>
      </c>
      <c r="Q31" s="243">
        <f>+Tabla2[[#This Row],[Valor Comercial (US$)]]-Tabla2[[#This Row],[Valor del terreno (US$)]]</f>
        <v>68700</v>
      </c>
      <c r="R3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71900</v>
      </c>
      <c r="S31" s="244">
        <f>ROUND(Tabla2[[#This Row],[Valor Comercial (US$)]]*0.8,-2)</f>
        <v>57500</v>
      </c>
      <c r="T31" s="244">
        <f>IF(Informe!$I$6=DATA!$B$4,R31,ROUND(Tabla2[[#This Row],[Área techada (m²)4]]*DATA!$F$5*1.15,-2))</f>
        <v>71900</v>
      </c>
      <c r="U31" s="8">
        <f t="shared" si="0"/>
        <v>3.3479999999999999</v>
      </c>
      <c r="V31" s="244">
        <f>ROUND(Tabla2[[#This Row],[Valor del terreno (US$)]]*Tabla2[[#This Row],[Tipo de Cambio]],-2)</f>
        <v>10700</v>
      </c>
      <c r="W31" s="244">
        <f>Tabla2[[#This Row],[Valor Comercial (S/.)]]-Tabla2[[#This Row],[Valor del terreno (S/.)]]</f>
        <v>230000</v>
      </c>
      <c r="X31" s="244">
        <f>ROUND(Tabla2[[#This Row],[Valor Comercial (US$)]]*Tabla2[[#This Row],[Tipo de Cambio]],-2)</f>
        <v>240700</v>
      </c>
      <c r="Y31" s="244">
        <f>ROUND(Tabla2[[#This Row],[Valor Realización (US$)]]*Tabla2[[#This Row],[Tipo de Cambio]],-2)</f>
        <v>192500</v>
      </c>
      <c r="Z31" s="244">
        <f>+ROUND(Tabla2[[#This Row],[Importe Asegurable (US$)]]*Tabla2[[#This Row],[Tipo de Cambio]],-2)</f>
        <v>240700</v>
      </c>
      <c r="AA31" s="245"/>
      <c r="AB31" s="2">
        <f>+Tabla2[[#This Row],[Valor Comercial (US$)]]/Tabla2[[#This Row],[Área techada (m²)4]]</f>
        <v>1099.3883792048928</v>
      </c>
      <c r="AC3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31" s="1" t="s">
        <v>47</v>
      </c>
      <c r="AE31" s="222">
        <f>IF(Tabla2[[#This Row],[Moneda]]="Soles",Tabla2[[#This Row],[Valor de Venta]]/Tabla2[[#This Row],[Área techada (m²)]]/Tabla2[[#This Row],[Tipo de Cambio]],Tabla2[[#This Row],[Valor de Venta]]/Tabla2[[#This Row],[Área techada (m²)]])</f>
        <v>1026.4469362328689</v>
      </c>
      <c r="AF31" s="347">
        <f>VLOOKUP(Tabla2[[#This Row],[VISTA]],DATA!$H$4:$I$17,2,FALSE)</f>
        <v>1100</v>
      </c>
      <c r="AG31" s="221">
        <f>+Tabla2[[#This Row],[Valor Comercial (S/.)]]/Tabla2[[#This Row],[Valor de Venta]]-1</f>
        <v>7.0967741935483941E-2</v>
      </c>
    </row>
    <row r="32" spans="1:33" s="1" customFormat="1" ht="15" customHeight="1" x14ac:dyDescent="0.25">
      <c r="A32" s="225" t="s">
        <v>30</v>
      </c>
      <c r="B32" s="22">
        <v>305</v>
      </c>
      <c r="C32" s="15">
        <v>3</v>
      </c>
      <c r="D32" s="27"/>
      <c r="E32" s="20"/>
      <c r="F32" s="12">
        <f>ROUND(Tabla2[[#This Row],[Área ocupada (m²)]]/20*1.4,2)</f>
        <v>4.58</v>
      </c>
      <c r="G32" s="12">
        <v>65.400000000000006</v>
      </c>
      <c r="H32" s="12">
        <v>65.400000000000006</v>
      </c>
      <c r="I32" s="12">
        <f>ROUND(Tabla2[[#This Row],[Área techada (m²)]]*0.15,2)</f>
        <v>9.81</v>
      </c>
      <c r="J32" s="18" t="s">
        <v>33</v>
      </c>
      <c r="K32" s="7">
        <v>224750</v>
      </c>
      <c r="L32" s="240">
        <f>ROUND(Tabla2[[#This Row],[Área ocupada (m²)3]]/20*1.4,2)</f>
        <v>4.58</v>
      </c>
      <c r="M32" s="240">
        <f>ROUND(Tabla2[[#This Row],[Área ocupada (m²)]],2)</f>
        <v>65.400000000000006</v>
      </c>
      <c r="N32" s="240">
        <f>ROUND(Tabla2[[#This Row],[Área techada (m²)]],2)</f>
        <v>65.400000000000006</v>
      </c>
      <c r="O32" s="243">
        <f>ROUND(Tabla2[[#This Row],[Área techada (m²)4]]*0.15,2)</f>
        <v>9.81</v>
      </c>
      <c r="P32" s="6">
        <f>ROUND(Tabla2[[#This Row],[Área del terreno (m²)2]]*DATA!$F$4,-2)</f>
        <v>3200</v>
      </c>
      <c r="Q32" s="243">
        <f>+Tabla2[[#This Row],[Valor Comercial (US$)]]-Tabla2[[#This Row],[Valor del terreno (US$)]]</f>
        <v>68700</v>
      </c>
      <c r="R3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71900</v>
      </c>
      <c r="S32" s="244">
        <f>ROUND(Tabla2[[#This Row],[Valor Comercial (US$)]]*0.8,-2)</f>
        <v>57500</v>
      </c>
      <c r="T32" s="244">
        <f>IF(Informe!$I$6=DATA!$B$4,R32,ROUND(Tabla2[[#This Row],[Área techada (m²)4]]*DATA!$F$5*1.15,-2))</f>
        <v>71900</v>
      </c>
      <c r="U32" s="8">
        <f t="shared" si="0"/>
        <v>3.3479999999999999</v>
      </c>
      <c r="V32" s="244">
        <f>ROUND(Tabla2[[#This Row],[Valor del terreno (US$)]]*Tabla2[[#This Row],[Tipo de Cambio]],-2)</f>
        <v>10700</v>
      </c>
      <c r="W32" s="244">
        <f>Tabla2[[#This Row],[Valor Comercial (S/.)]]-Tabla2[[#This Row],[Valor del terreno (S/.)]]</f>
        <v>230000</v>
      </c>
      <c r="X32" s="244">
        <f>ROUND(Tabla2[[#This Row],[Valor Comercial (US$)]]*Tabla2[[#This Row],[Tipo de Cambio]],-2)</f>
        <v>240700</v>
      </c>
      <c r="Y32" s="244">
        <f>ROUND(Tabla2[[#This Row],[Valor Realización (US$)]]*Tabla2[[#This Row],[Tipo de Cambio]],-2)</f>
        <v>192500</v>
      </c>
      <c r="Z32" s="244">
        <f>+ROUND(Tabla2[[#This Row],[Importe Asegurable (US$)]]*Tabla2[[#This Row],[Tipo de Cambio]],-2)</f>
        <v>240700</v>
      </c>
      <c r="AA32" s="245"/>
      <c r="AB32" s="2">
        <f>+Tabla2[[#This Row],[Valor Comercial (US$)]]/Tabla2[[#This Row],[Área techada (m²)4]]</f>
        <v>1099.3883792048928</v>
      </c>
      <c r="AC3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32" s="1" t="s">
        <v>47</v>
      </c>
      <c r="AE32" s="222">
        <f>IF(Tabla2[[#This Row],[Moneda]]="Soles",Tabla2[[#This Row],[Valor de Venta]]/Tabla2[[#This Row],[Área techada (m²)]]/Tabla2[[#This Row],[Tipo de Cambio]],Tabla2[[#This Row],[Valor de Venta]]/Tabla2[[#This Row],[Área techada (m²)]])</f>
        <v>1026.4469362328689</v>
      </c>
      <c r="AF32" s="347">
        <f>VLOOKUP(Tabla2[[#This Row],[VISTA]],DATA!$H$4:$I$17,2,FALSE)</f>
        <v>1100</v>
      </c>
      <c r="AG32" s="221">
        <f>+Tabla2[[#This Row],[Valor Comercial (S/.)]]/Tabla2[[#This Row],[Valor de Venta]]-1</f>
        <v>7.0967741935483941E-2</v>
      </c>
    </row>
    <row r="33" spans="1:33" s="1" customFormat="1" ht="15" customHeight="1" x14ac:dyDescent="0.25">
      <c r="A33" s="225" t="s">
        <v>30</v>
      </c>
      <c r="B33" s="22">
        <v>306</v>
      </c>
      <c r="C33" s="15">
        <v>3</v>
      </c>
      <c r="D33" s="27"/>
      <c r="E33" s="20"/>
      <c r="F33" s="12">
        <f>ROUND(Tabla2[[#This Row],[Área ocupada (m²)]]/20*1.4,2)</f>
        <v>4.38</v>
      </c>
      <c r="G33" s="12">
        <v>62.5</v>
      </c>
      <c r="H33" s="12">
        <v>62.5</v>
      </c>
      <c r="I33" s="12">
        <f>ROUND(Tabla2[[#This Row],[Área techada (m²)]]*0.15,2)</f>
        <v>9.3800000000000008</v>
      </c>
      <c r="J33" s="18" t="s">
        <v>33</v>
      </c>
      <c r="K33" s="7">
        <v>210750</v>
      </c>
      <c r="L33" s="240">
        <f>ROUND(Tabla2[[#This Row],[Área ocupada (m²)3]]/20*1.4,2)</f>
        <v>4.38</v>
      </c>
      <c r="M33" s="240">
        <f>ROUND(Tabla2[[#This Row],[Área ocupada (m²)]],2)</f>
        <v>62.5</v>
      </c>
      <c r="N33" s="240">
        <f>ROUND(Tabla2[[#This Row],[Área techada (m²)]],2)</f>
        <v>62.5</v>
      </c>
      <c r="O33" s="243">
        <f>ROUND(Tabla2[[#This Row],[Área techada (m²)4]]*0.15,2)</f>
        <v>9.3800000000000008</v>
      </c>
      <c r="P33" s="6">
        <f>ROUND(Tabla2[[#This Row],[Área del terreno (m²)2]]*DATA!$F$4,-2)</f>
        <v>3100</v>
      </c>
      <c r="Q33" s="243">
        <f>+Tabla2[[#This Row],[Valor Comercial (US$)]]-Tabla2[[#This Row],[Valor del terreno (US$)]]</f>
        <v>62500</v>
      </c>
      <c r="R3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65600</v>
      </c>
      <c r="S33" s="244">
        <f>ROUND(Tabla2[[#This Row],[Valor Comercial (US$)]]*0.8,-2)</f>
        <v>52500</v>
      </c>
      <c r="T33" s="244">
        <f>IF(Informe!$I$6=DATA!$B$4,R33,ROUND(Tabla2[[#This Row],[Área techada (m²)4]]*DATA!$F$5*1.15,-2))</f>
        <v>65600</v>
      </c>
      <c r="U33" s="8">
        <f t="shared" si="0"/>
        <v>3.3479999999999999</v>
      </c>
      <c r="V33" s="244">
        <f>ROUND(Tabla2[[#This Row],[Valor del terreno (US$)]]*Tabla2[[#This Row],[Tipo de Cambio]],-2)</f>
        <v>10400</v>
      </c>
      <c r="W33" s="244">
        <f>Tabla2[[#This Row],[Valor Comercial (S/.)]]-Tabla2[[#This Row],[Valor del terreno (S/.)]]</f>
        <v>209200</v>
      </c>
      <c r="X33" s="244">
        <f>ROUND(Tabla2[[#This Row],[Valor Comercial (US$)]]*Tabla2[[#This Row],[Tipo de Cambio]],-2)</f>
        <v>219600</v>
      </c>
      <c r="Y33" s="244">
        <f>ROUND(Tabla2[[#This Row],[Valor Realización (US$)]]*Tabla2[[#This Row],[Tipo de Cambio]],-2)</f>
        <v>175800</v>
      </c>
      <c r="Z33" s="244">
        <f>+ROUND(Tabla2[[#This Row],[Importe Asegurable (US$)]]*Tabla2[[#This Row],[Tipo de Cambio]],-2)</f>
        <v>219600</v>
      </c>
      <c r="AA33" s="245"/>
      <c r="AB33" s="2">
        <f>+Tabla2[[#This Row],[Valor Comercial (US$)]]/Tabla2[[#This Row],[Área techada (m²)4]]</f>
        <v>1049.5999999999999</v>
      </c>
      <c r="AC3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33" s="1" t="s">
        <v>48</v>
      </c>
      <c r="AE33" s="222">
        <f>IF(Tabla2[[#This Row],[Moneda]]="Soles",Tabla2[[#This Row],[Valor de Venta]]/Tabla2[[#This Row],[Área techada (m²)]]/Tabla2[[#This Row],[Tipo de Cambio]],Tabla2[[#This Row],[Valor de Venta]]/Tabla2[[#This Row],[Área techada (m²)]])</f>
        <v>1007.168458781362</v>
      </c>
      <c r="AF33" s="347">
        <f>VLOOKUP(Tabla2[[#This Row],[VISTA]],DATA!$H$4:$I$17,2,FALSE)</f>
        <v>1050</v>
      </c>
      <c r="AG33" s="221">
        <f>+Tabla2[[#This Row],[Valor Comercial (S/.)]]/Tabla2[[#This Row],[Valor de Venta]]-1</f>
        <v>4.1992882562277511E-2</v>
      </c>
    </row>
    <row r="34" spans="1:33" s="1" customFormat="1" ht="15" customHeight="1" x14ac:dyDescent="0.25">
      <c r="A34" s="225" t="s">
        <v>30</v>
      </c>
      <c r="B34" s="22">
        <v>307</v>
      </c>
      <c r="C34" s="15">
        <v>3</v>
      </c>
      <c r="D34" s="27"/>
      <c r="E34" s="20"/>
      <c r="F34" s="12">
        <f>ROUND(Tabla2[[#This Row],[Área ocupada (m²)]]/20*1.4,2)</f>
        <v>4.38</v>
      </c>
      <c r="G34" s="12">
        <v>62.5</v>
      </c>
      <c r="H34" s="12">
        <v>62.5</v>
      </c>
      <c r="I34" s="12">
        <f>ROUND(Tabla2[[#This Row],[Área techada (m²)]]*0.15,2)</f>
        <v>9.3800000000000008</v>
      </c>
      <c r="J34" s="18" t="s">
        <v>33</v>
      </c>
      <c r="K34" s="7">
        <v>203750</v>
      </c>
      <c r="L34" s="240">
        <f>ROUND(Tabla2[[#This Row],[Área ocupada (m²)3]]/20*1.4,2)</f>
        <v>4.38</v>
      </c>
      <c r="M34" s="240">
        <f>ROUND(Tabla2[[#This Row],[Área ocupada (m²)]],2)</f>
        <v>62.5</v>
      </c>
      <c r="N34" s="240">
        <f>ROUND(Tabla2[[#This Row],[Área techada (m²)]],2)</f>
        <v>62.5</v>
      </c>
      <c r="O34" s="243">
        <f>ROUND(Tabla2[[#This Row],[Área techada (m²)4]]*0.15,2)</f>
        <v>9.3800000000000008</v>
      </c>
      <c r="P34" s="6">
        <f>ROUND(Tabla2[[#This Row],[Área del terreno (m²)2]]*DATA!$F$4,-2)</f>
        <v>3100</v>
      </c>
      <c r="Q34" s="243">
        <f>+Tabla2[[#This Row],[Valor Comercial (US$)]]-Tabla2[[#This Row],[Valor del terreno (US$)]]</f>
        <v>59400</v>
      </c>
      <c r="R3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34" s="244">
        <f>ROUND(Tabla2[[#This Row],[Valor Comercial (US$)]]*0.8,-2)</f>
        <v>50000</v>
      </c>
      <c r="T34" s="244">
        <f>IF(Informe!$I$6=DATA!$B$4,R34,ROUND(Tabla2[[#This Row],[Área techada (m²)4]]*DATA!$F$5*1.15,-2))</f>
        <v>62500</v>
      </c>
      <c r="U34" s="8">
        <f t="shared" si="0"/>
        <v>3.3479999999999999</v>
      </c>
      <c r="V34" s="244">
        <f>ROUND(Tabla2[[#This Row],[Valor del terreno (US$)]]*Tabla2[[#This Row],[Tipo de Cambio]],-2)</f>
        <v>10400</v>
      </c>
      <c r="W34" s="244">
        <f>Tabla2[[#This Row],[Valor Comercial (S/.)]]-Tabla2[[#This Row],[Valor del terreno (S/.)]]</f>
        <v>198900</v>
      </c>
      <c r="X34" s="244">
        <f>ROUND(Tabla2[[#This Row],[Valor Comercial (US$)]]*Tabla2[[#This Row],[Tipo de Cambio]],-2)</f>
        <v>209300</v>
      </c>
      <c r="Y34" s="244">
        <f>ROUND(Tabla2[[#This Row],[Valor Realización (US$)]]*Tabla2[[#This Row],[Tipo de Cambio]],-2)</f>
        <v>167400</v>
      </c>
      <c r="Z34" s="244">
        <f>+ROUND(Tabla2[[#This Row],[Importe Asegurable (US$)]]*Tabla2[[#This Row],[Tipo de Cambio]],-2)</f>
        <v>209300</v>
      </c>
      <c r="AA34" s="245"/>
      <c r="AB34" s="2">
        <f>+Tabla2[[#This Row],[Valor Comercial (US$)]]/Tabla2[[#This Row],[Área techada (m²)4]]</f>
        <v>1000</v>
      </c>
      <c r="AC3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34" s="1" t="s">
        <v>49</v>
      </c>
      <c r="AE34" s="222">
        <f>IF(Tabla2[[#This Row],[Moneda]]="Soles",Tabla2[[#This Row],[Valor de Venta]]/Tabla2[[#This Row],[Área techada (m²)]]/Tabla2[[#This Row],[Tipo de Cambio]],Tabla2[[#This Row],[Valor de Venta]]/Tabla2[[#This Row],[Área techada (m²)]])</f>
        <v>973.71565113500606</v>
      </c>
      <c r="AF34" s="347">
        <f>VLOOKUP(Tabla2[[#This Row],[VISTA]],DATA!$H$4:$I$17,2,FALSE)</f>
        <v>1000</v>
      </c>
      <c r="AG34" s="221">
        <f>+Tabla2[[#This Row],[Valor Comercial (S/.)]]/Tabla2[[#This Row],[Valor de Venta]]-1</f>
        <v>2.7239263803680913E-2</v>
      </c>
    </row>
    <row r="35" spans="1:33" s="1" customFormat="1" ht="15" customHeight="1" x14ac:dyDescent="0.25">
      <c r="A35" s="225" t="s">
        <v>30</v>
      </c>
      <c r="B35" s="22">
        <v>308</v>
      </c>
      <c r="C35" s="15">
        <v>3</v>
      </c>
      <c r="D35" s="27"/>
      <c r="E35" s="20"/>
      <c r="F35" s="12">
        <f>ROUND(Tabla2[[#This Row],[Área ocupada (m²)]]/20*1.4,2)</f>
        <v>4.58</v>
      </c>
      <c r="G35" s="12">
        <v>65.400000000000006</v>
      </c>
      <c r="H35" s="12">
        <v>65.400000000000006</v>
      </c>
      <c r="I35" s="12">
        <f>ROUND(Tabla2[[#This Row],[Área techada (m²)]]*0.15,2)</f>
        <v>9.81</v>
      </c>
      <c r="J35" s="18" t="s">
        <v>33</v>
      </c>
      <c r="K35" s="7">
        <v>223750</v>
      </c>
      <c r="L35" s="240">
        <f>ROUND(Tabla2[[#This Row],[Área ocupada (m²)3]]/20*1.4,2)</f>
        <v>4.58</v>
      </c>
      <c r="M35" s="240">
        <f>ROUND(Tabla2[[#This Row],[Área ocupada (m²)]],2)</f>
        <v>65.400000000000006</v>
      </c>
      <c r="N35" s="240">
        <f>ROUND(Tabla2[[#This Row],[Área techada (m²)]],2)</f>
        <v>65.400000000000006</v>
      </c>
      <c r="O35" s="243">
        <f>ROUND(Tabla2[[#This Row],[Área techada (m²)4]]*0.15,2)</f>
        <v>9.81</v>
      </c>
      <c r="P35" s="6">
        <f>ROUND(Tabla2[[#This Row],[Área del terreno (m²)2]]*DATA!$F$4,-2)</f>
        <v>3200</v>
      </c>
      <c r="Q35" s="243">
        <f>+Tabla2[[#This Row],[Valor Comercial (US$)]]-Tabla2[[#This Row],[Valor del terreno (US$)]]</f>
        <v>65500</v>
      </c>
      <c r="R3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68700</v>
      </c>
      <c r="S35" s="244">
        <f>ROUND(Tabla2[[#This Row],[Valor Comercial (US$)]]*0.8,-2)</f>
        <v>55000</v>
      </c>
      <c r="T35" s="244">
        <f>IF(Informe!$I$6=DATA!$B$4,R35,ROUND(Tabla2[[#This Row],[Área techada (m²)4]]*DATA!$F$5*1.15,-2))</f>
        <v>68700</v>
      </c>
      <c r="U35" s="8">
        <f t="shared" si="0"/>
        <v>3.3479999999999999</v>
      </c>
      <c r="V35" s="244">
        <f>ROUND(Tabla2[[#This Row],[Valor del terreno (US$)]]*Tabla2[[#This Row],[Tipo de Cambio]],-2)</f>
        <v>10700</v>
      </c>
      <c r="W35" s="244">
        <f>Tabla2[[#This Row],[Valor Comercial (S/.)]]-Tabla2[[#This Row],[Valor del terreno (S/.)]]</f>
        <v>219300</v>
      </c>
      <c r="X35" s="244">
        <f>ROUND(Tabla2[[#This Row],[Valor Comercial (US$)]]*Tabla2[[#This Row],[Tipo de Cambio]],-2)</f>
        <v>230000</v>
      </c>
      <c r="Y35" s="244">
        <f>ROUND(Tabla2[[#This Row],[Valor Realización (US$)]]*Tabla2[[#This Row],[Tipo de Cambio]],-2)</f>
        <v>184100</v>
      </c>
      <c r="Z35" s="244">
        <f>+ROUND(Tabla2[[#This Row],[Importe Asegurable (US$)]]*Tabla2[[#This Row],[Tipo de Cambio]],-2)</f>
        <v>230000</v>
      </c>
      <c r="AA35" s="245"/>
      <c r="AB35" s="2">
        <f>+Tabla2[[#This Row],[Valor Comercial (US$)]]/Tabla2[[#This Row],[Área techada (m²)4]]</f>
        <v>1050.4587155963302</v>
      </c>
      <c r="AC3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35" s="1" t="s">
        <v>48</v>
      </c>
      <c r="AE35" s="222">
        <f>IF(Tabla2[[#This Row],[Moneda]]="Soles",Tabla2[[#This Row],[Valor de Venta]]/Tabla2[[#This Row],[Área techada (m²)]]/Tabla2[[#This Row],[Tipo de Cambio]],Tabla2[[#This Row],[Valor de Venta]]/Tabla2[[#This Row],[Área techada (m²)]])</f>
        <v>1021.8798753375057</v>
      </c>
      <c r="AF35" s="347">
        <f>VLOOKUP(Tabla2[[#This Row],[VISTA]],DATA!$H$4:$I$17,2,FALSE)</f>
        <v>1050</v>
      </c>
      <c r="AG35" s="221">
        <f>+Tabla2[[#This Row],[Valor Comercial (S/.)]]/Tabla2[[#This Row],[Valor de Venta]]-1</f>
        <v>2.7932960893854775E-2</v>
      </c>
    </row>
    <row r="36" spans="1:33" s="1" customFormat="1" ht="15" customHeight="1" x14ac:dyDescent="0.25">
      <c r="A36" s="225" t="s">
        <v>30</v>
      </c>
      <c r="B36" s="22">
        <v>401</v>
      </c>
      <c r="C36" s="15">
        <v>4</v>
      </c>
      <c r="D36" s="27"/>
      <c r="E36" s="20"/>
      <c r="F36" s="12">
        <f>ROUND(Tabla2[[#This Row],[Área ocupada (m²)]]/20*1.4,2)</f>
        <v>4.58</v>
      </c>
      <c r="G36" s="12">
        <v>65.400000000000006</v>
      </c>
      <c r="H36" s="12">
        <v>65.400000000000006</v>
      </c>
      <c r="I36" s="12">
        <f>ROUND(Tabla2[[#This Row],[Área techada (m²)]]*0.15,2)</f>
        <v>9.81</v>
      </c>
      <c r="J36" s="18" t="s">
        <v>33</v>
      </c>
      <c r="K36" s="7">
        <v>214650</v>
      </c>
      <c r="L36" s="240">
        <f>ROUND(Tabla2[[#This Row],[Área ocupada (m²)3]]/20*1.4,2)</f>
        <v>4.58</v>
      </c>
      <c r="M36" s="240">
        <f>ROUND(Tabla2[[#This Row],[Área ocupada (m²)]],2)</f>
        <v>65.400000000000006</v>
      </c>
      <c r="N36" s="240">
        <f>ROUND(Tabla2[[#This Row],[Área techada (m²)]],2)</f>
        <v>65.400000000000006</v>
      </c>
      <c r="O36" s="243">
        <f>ROUND(Tabla2[[#This Row],[Área techada (m²)4]]*0.15,2)</f>
        <v>9.81</v>
      </c>
      <c r="P36" s="6">
        <f>ROUND(Tabla2[[#This Row],[Área del terreno (m²)2]]*DATA!$F$4,-2)</f>
        <v>3200</v>
      </c>
      <c r="Q36" s="243">
        <f>+Tabla2[[#This Row],[Valor Comercial (US$)]]-Tabla2[[#This Row],[Valor del terreno (US$)]]</f>
        <v>65500</v>
      </c>
      <c r="R3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68700</v>
      </c>
      <c r="S36" s="244">
        <f>ROUND(Tabla2[[#This Row],[Valor Comercial (US$)]]*0.8,-2)</f>
        <v>55000</v>
      </c>
      <c r="T36" s="244">
        <f>IF(Informe!$I$6=DATA!$B$4,R36,ROUND(Tabla2[[#This Row],[Área techada (m²)4]]*DATA!$F$5*1.15,-2))</f>
        <v>68700</v>
      </c>
      <c r="U36" s="8">
        <f t="shared" si="0"/>
        <v>3.3479999999999999</v>
      </c>
      <c r="V36" s="244">
        <f>ROUND(Tabla2[[#This Row],[Valor del terreno (US$)]]*Tabla2[[#This Row],[Tipo de Cambio]],-2)</f>
        <v>10700</v>
      </c>
      <c r="W36" s="244">
        <f>Tabla2[[#This Row],[Valor Comercial (S/.)]]-Tabla2[[#This Row],[Valor del terreno (S/.)]]</f>
        <v>219300</v>
      </c>
      <c r="X36" s="244">
        <f>ROUND(Tabla2[[#This Row],[Valor Comercial (US$)]]*Tabla2[[#This Row],[Tipo de Cambio]],-2)</f>
        <v>230000</v>
      </c>
      <c r="Y36" s="244">
        <f>ROUND(Tabla2[[#This Row],[Valor Realización (US$)]]*Tabla2[[#This Row],[Tipo de Cambio]],-2)</f>
        <v>184100</v>
      </c>
      <c r="Z36" s="244">
        <f>+ROUND(Tabla2[[#This Row],[Importe Asegurable (US$)]]*Tabla2[[#This Row],[Tipo de Cambio]],-2)</f>
        <v>230000</v>
      </c>
      <c r="AA36" s="245"/>
      <c r="AB36" s="2">
        <f>+Tabla2[[#This Row],[Valor Comercial (US$)]]/Tabla2[[#This Row],[Área techada (m²)4]]</f>
        <v>1050.4587155963302</v>
      </c>
      <c r="AC3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36" s="1" t="s">
        <v>48</v>
      </c>
      <c r="AE36" s="222">
        <f>IF(Tabla2[[#This Row],[Moneda]]="Soles",Tabla2[[#This Row],[Valor de Venta]]/Tabla2[[#This Row],[Área techada (m²)]]/Tabla2[[#This Row],[Tipo de Cambio]],Tabla2[[#This Row],[Valor de Venta]]/Tabla2[[#This Row],[Área techada (m²)]])</f>
        <v>980.31962118970102</v>
      </c>
      <c r="AF36" s="347">
        <f>VLOOKUP(Tabla2[[#This Row],[VISTA]],DATA!$H$4:$I$17,2,FALSE)</f>
        <v>1050</v>
      </c>
      <c r="AG36" s="221">
        <f>+Tabla2[[#This Row],[Valor Comercial (S/.)]]/Tabla2[[#This Row],[Valor de Venta]]-1</f>
        <v>7.1511763335662781E-2</v>
      </c>
    </row>
    <row r="37" spans="1:33" s="1" customFormat="1" ht="15" customHeight="1" x14ac:dyDescent="0.25">
      <c r="A37" s="225" t="s">
        <v>30</v>
      </c>
      <c r="B37" s="22">
        <v>402</v>
      </c>
      <c r="C37" s="15">
        <v>4</v>
      </c>
      <c r="D37" s="34"/>
      <c r="E37" s="29"/>
      <c r="F37" s="12">
        <f>ROUND(Tabla2[[#This Row],[Área ocupada (m²)]]/20*1.4,2)</f>
        <v>4.38</v>
      </c>
      <c r="G37" s="12">
        <v>62.5</v>
      </c>
      <c r="H37" s="12">
        <v>62.5</v>
      </c>
      <c r="I37" s="12">
        <f>ROUND(Tabla2[[#This Row],[Área techada (m²)]]*0.15,2)</f>
        <v>9.3800000000000008</v>
      </c>
      <c r="J37" s="18" t="s">
        <v>33</v>
      </c>
      <c r="K37" s="7">
        <v>201750</v>
      </c>
      <c r="L37" s="240">
        <f>ROUND(Tabla2[[#This Row],[Área ocupada (m²)3]]/20*1.4,2)</f>
        <v>4.38</v>
      </c>
      <c r="M37" s="240">
        <f>ROUND(Tabla2[[#This Row],[Área ocupada (m²)]],2)</f>
        <v>62.5</v>
      </c>
      <c r="N37" s="240">
        <f>ROUND(Tabla2[[#This Row],[Área techada (m²)]],2)</f>
        <v>62.5</v>
      </c>
      <c r="O37" s="243">
        <f>ROUND(Tabla2[[#This Row],[Área techada (m²)4]]*0.15,2)</f>
        <v>9.3800000000000008</v>
      </c>
      <c r="P37" s="6">
        <f>ROUND(Tabla2[[#This Row],[Área del terreno (m²)2]]*DATA!$F$4,-2)</f>
        <v>3100</v>
      </c>
      <c r="Q37" s="243">
        <f>+Tabla2[[#This Row],[Valor Comercial (US$)]]-Tabla2[[#This Row],[Valor del terreno (US$)]]</f>
        <v>59400</v>
      </c>
      <c r="R3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37" s="244">
        <f>ROUND(Tabla2[[#This Row],[Valor Comercial (US$)]]*0.8,-2)</f>
        <v>50000</v>
      </c>
      <c r="T37" s="244">
        <f>IF(Informe!$I$6=DATA!$B$4,R37,ROUND(Tabla2[[#This Row],[Área techada (m²)4]]*DATA!$F$5*1.15,-2))</f>
        <v>62500</v>
      </c>
      <c r="U37" s="8">
        <f t="shared" si="0"/>
        <v>3.3479999999999999</v>
      </c>
      <c r="V37" s="244">
        <f>ROUND(Tabla2[[#This Row],[Valor del terreno (US$)]]*Tabla2[[#This Row],[Tipo de Cambio]],-2)</f>
        <v>10400</v>
      </c>
      <c r="W37" s="244">
        <f>Tabla2[[#This Row],[Valor Comercial (S/.)]]-Tabla2[[#This Row],[Valor del terreno (S/.)]]</f>
        <v>198900</v>
      </c>
      <c r="X37" s="244">
        <f>ROUND(Tabla2[[#This Row],[Valor Comercial (US$)]]*Tabla2[[#This Row],[Tipo de Cambio]],-2)</f>
        <v>209300</v>
      </c>
      <c r="Y37" s="244">
        <f>ROUND(Tabla2[[#This Row],[Valor Realización (US$)]]*Tabla2[[#This Row],[Tipo de Cambio]],-2)</f>
        <v>167400</v>
      </c>
      <c r="Z37" s="244">
        <f>+ROUND(Tabla2[[#This Row],[Importe Asegurable (US$)]]*Tabla2[[#This Row],[Tipo de Cambio]],-2)</f>
        <v>209300</v>
      </c>
      <c r="AA37" s="245"/>
      <c r="AB37" s="2">
        <f>+Tabla2[[#This Row],[Valor Comercial (US$)]]/Tabla2[[#This Row],[Área techada (m²)4]]</f>
        <v>1000</v>
      </c>
      <c r="AC3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37" s="1" t="s">
        <v>49</v>
      </c>
      <c r="AE37" s="222">
        <f>IF(Tabla2[[#This Row],[Moneda]]="Soles",Tabla2[[#This Row],[Valor de Venta]]/Tabla2[[#This Row],[Área techada (m²)]]/Tabla2[[#This Row],[Tipo de Cambio]],Tabla2[[#This Row],[Valor de Venta]]/Tabla2[[#This Row],[Área techada (m²)]])</f>
        <v>964.15770609318997</v>
      </c>
      <c r="AF37" s="347">
        <f>VLOOKUP(Tabla2[[#This Row],[VISTA]],DATA!$H$4:$I$17,2,FALSE)</f>
        <v>1000</v>
      </c>
      <c r="AG37" s="221">
        <f>+Tabla2[[#This Row],[Valor Comercial (S/.)]]/Tabla2[[#This Row],[Valor de Venta]]-1</f>
        <v>3.7422552664188258E-2</v>
      </c>
    </row>
    <row r="38" spans="1:33" s="1" customFormat="1" ht="15" customHeight="1" x14ac:dyDescent="0.25">
      <c r="A38" s="225" t="s">
        <v>30</v>
      </c>
      <c r="B38" s="22">
        <v>403</v>
      </c>
      <c r="C38" s="15">
        <v>4</v>
      </c>
      <c r="D38" s="34"/>
      <c r="E38" s="29"/>
      <c r="F38" s="12">
        <f>ROUND(Tabla2[[#This Row],[Área ocupada (m²)]]/20*1.4,2)</f>
        <v>4.38</v>
      </c>
      <c r="G38" s="12">
        <v>62.5</v>
      </c>
      <c r="H38" s="12">
        <v>62.5</v>
      </c>
      <c r="I38" s="12">
        <f>ROUND(Tabla2[[#This Row],[Área techada (m²)]]*0.15,2)</f>
        <v>9.3800000000000008</v>
      </c>
      <c r="J38" s="18" t="s">
        <v>33</v>
      </c>
      <c r="K38" s="7">
        <v>198750</v>
      </c>
      <c r="L38" s="240">
        <f>ROUND(Tabla2[[#This Row],[Área ocupada (m²)3]]/20*1.4,2)</f>
        <v>4.38</v>
      </c>
      <c r="M38" s="240">
        <f>ROUND(Tabla2[[#This Row],[Área ocupada (m²)]],2)</f>
        <v>62.5</v>
      </c>
      <c r="N38" s="240">
        <f>ROUND(Tabla2[[#This Row],[Área techada (m²)]],2)</f>
        <v>62.5</v>
      </c>
      <c r="O38" s="243">
        <f>ROUND(Tabla2[[#This Row],[Área techada (m²)4]]*0.15,2)</f>
        <v>9.3800000000000008</v>
      </c>
      <c r="P38" s="6">
        <f>ROUND(Tabla2[[#This Row],[Área del terreno (m²)2]]*DATA!$F$4,-2)</f>
        <v>3100</v>
      </c>
      <c r="Q38" s="243">
        <f>+Tabla2[[#This Row],[Valor Comercial (US$)]]-Tabla2[[#This Row],[Valor del terreno (US$)]]</f>
        <v>59400</v>
      </c>
      <c r="R3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38" s="244">
        <f>ROUND(Tabla2[[#This Row],[Valor Comercial (US$)]]*0.8,-2)</f>
        <v>50000</v>
      </c>
      <c r="T38" s="244">
        <f>IF(Informe!$I$6=DATA!$B$4,R38,ROUND(Tabla2[[#This Row],[Área techada (m²)4]]*DATA!$F$5*1.15,-2))</f>
        <v>62500</v>
      </c>
      <c r="U38" s="8">
        <f t="shared" si="0"/>
        <v>3.3479999999999999</v>
      </c>
      <c r="V38" s="244">
        <f>ROUND(Tabla2[[#This Row],[Valor del terreno (US$)]]*Tabla2[[#This Row],[Tipo de Cambio]],-2)</f>
        <v>10400</v>
      </c>
      <c r="W38" s="244">
        <f>Tabla2[[#This Row],[Valor Comercial (S/.)]]-Tabla2[[#This Row],[Valor del terreno (S/.)]]</f>
        <v>198900</v>
      </c>
      <c r="X38" s="244">
        <f>ROUND(Tabla2[[#This Row],[Valor Comercial (US$)]]*Tabla2[[#This Row],[Tipo de Cambio]],-2)</f>
        <v>209300</v>
      </c>
      <c r="Y38" s="244">
        <f>ROUND(Tabla2[[#This Row],[Valor Realización (US$)]]*Tabla2[[#This Row],[Tipo de Cambio]],-2)</f>
        <v>167400</v>
      </c>
      <c r="Z38" s="244">
        <f>+ROUND(Tabla2[[#This Row],[Importe Asegurable (US$)]]*Tabla2[[#This Row],[Tipo de Cambio]],-2)</f>
        <v>209300</v>
      </c>
      <c r="AA38" s="245"/>
      <c r="AB38" s="2">
        <f>+Tabla2[[#This Row],[Valor Comercial (US$)]]/Tabla2[[#This Row],[Área techada (m²)4]]</f>
        <v>1000</v>
      </c>
      <c r="AC3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38" s="1" t="s">
        <v>49</v>
      </c>
      <c r="AE38" s="222">
        <f>IF(Tabla2[[#This Row],[Moneda]]="Soles",Tabla2[[#This Row],[Valor de Venta]]/Tabla2[[#This Row],[Área techada (m²)]]/Tabla2[[#This Row],[Tipo de Cambio]],Tabla2[[#This Row],[Valor de Venta]]/Tabla2[[#This Row],[Área techada (m²)]])</f>
        <v>949.82078853046596</v>
      </c>
      <c r="AF38" s="347">
        <f>VLOOKUP(Tabla2[[#This Row],[VISTA]],DATA!$H$4:$I$17,2,FALSE)</f>
        <v>1000</v>
      </c>
      <c r="AG38" s="221">
        <f>+Tabla2[[#This Row],[Valor Comercial (S/.)]]/Tabla2[[#This Row],[Valor de Venta]]-1</f>
        <v>5.3081761006289252E-2</v>
      </c>
    </row>
    <row r="39" spans="1:33" s="1" customFormat="1" ht="15" customHeight="1" x14ac:dyDescent="0.25">
      <c r="A39" s="225" t="s">
        <v>30</v>
      </c>
      <c r="B39" s="22">
        <v>404</v>
      </c>
      <c r="C39" s="15">
        <v>4</v>
      </c>
      <c r="D39" s="35"/>
      <c r="E39" s="30"/>
      <c r="F39" s="12">
        <f>ROUND(Tabla2[[#This Row],[Área ocupada (m²)]]/20*1.4,2)</f>
        <v>4.58</v>
      </c>
      <c r="G39" s="12">
        <v>65.400000000000006</v>
      </c>
      <c r="H39" s="12">
        <v>65.400000000000006</v>
      </c>
      <c r="I39" s="12">
        <f>ROUND(Tabla2[[#This Row],[Área techada (m²)]]*0.15,2)</f>
        <v>9.81</v>
      </c>
      <c r="J39" s="18" t="s">
        <v>33</v>
      </c>
      <c r="K39" s="7">
        <v>218650</v>
      </c>
      <c r="L39" s="240">
        <f>ROUND(Tabla2[[#This Row],[Área ocupada (m²)3]]/20*1.4,2)</f>
        <v>4.58</v>
      </c>
      <c r="M39" s="240">
        <f>ROUND(Tabla2[[#This Row],[Área ocupada (m²)]],2)</f>
        <v>65.400000000000006</v>
      </c>
      <c r="N39" s="240">
        <f>ROUND(Tabla2[[#This Row],[Área techada (m²)]],2)</f>
        <v>65.400000000000006</v>
      </c>
      <c r="O39" s="243">
        <f>ROUND(Tabla2[[#This Row],[Área techada (m²)4]]*0.15,2)</f>
        <v>9.81</v>
      </c>
      <c r="P39" s="6">
        <f>ROUND(Tabla2[[#This Row],[Área del terreno (m²)2]]*DATA!$F$4,-2)</f>
        <v>3200</v>
      </c>
      <c r="Q39" s="243">
        <f>+Tabla2[[#This Row],[Valor Comercial (US$)]]-Tabla2[[#This Row],[Valor del terreno (US$)]]</f>
        <v>65500</v>
      </c>
      <c r="R3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68700</v>
      </c>
      <c r="S39" s="244">
        <f>ROUND(Tabla2[[#This Row],[Valor Comercial (US$)]]*0.8,-2)</f>
        <v>55000</v>
      </c>
      <c r="T39" s="244">
        <f>IF(Informe!$I$6=DATA!$B$4,R39,ROUND(Tabla2[[#This Row],[Área techada (m²)4]]*DATA!$F$5*1.15,-2))</f>
        <v>68700</v>
      </c>
      <c r="U39" s="8">
        <f t="shared" si="0"/>
        <v>3.3479999999999999</v>
      </c>
      <c r="V39" s="244">
        <f>ROUND(Tabla2[[#This Row],[Valor del terreno (US$)]]*Tabla2[[#This Row],[Tipo de Cambio]],-2)</f>
        <v>10700</v>
      </c>
      <c r="W39" s="244">
        <f>Tabla2[[#This Row],[Valor Comercial (S/.)]]-Tabla2[[#This Row],[Valor del terreno (S/.)]]</f>
        <v>219300</v>
      </c>
      <c r="X39" s="244">
        <f>ROUND(Tabla2[[#This Row],[Valor Comercial (US$)]]*Tabla2[[#This Row],[Tipo de Cambio]],-2)</f>
        <v>230000</v>
      </c>
      <c r="Y39" s="244">
        <f>ROUND(Tabla2[[#This Row],[Valor Realización (US$)]]*Tabla2[[#This Row],[Tipo de Cambio]],-2)</f>
        <v>184100</v>
      </c>
      <c r="Z39" s="244">
        <f>+ROUND(Tabla2[[#This Row],[Importe Asegurable (US$)]]*Tabla2[[#This Row],[Tipo de Cambio]],-2)</f>
        <v>230000</v>
      </c>
      <c r="AA39" s="245"/>
      <c r="AB39" s="2">
        <f>+Tabla2[[#This Row],[Valor Comercial (US$)]]/Tabla2[[#This Row],[Área techada (m²)4]]</f>
        <v>1050.4587155963302</v>
      </c>
      <c r="AC3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39" s="1" t="s">
        <v>48</v>
      </c>
      <c r="AE39" s="222">
        <f>IF(Tabla2[[#This Row],[Moneda]]="Soles",Tabla2[[#This Row],[Valor de Venta]]/Tabla2[[#This Row],[Área techada (m²)]]/Tabla2[[#This Row],[Tipo de Cambio]],Tabla2[[#This Row],[Valor de Venta]]/Tabla2[[#This Row],[Área techada (m²)]])</f>
        <v>998.5878647711537</v>
      </c>
      <c r="AF39" s="347">
        <f>VLOOKUP(Tabla2[[#This Row],[VISTA]],DATA!$H$4:$I$17,2,FALSE)</f>
        <v>1050</v>
      </c>
      <c r="AG39" s="221">
        <f>+Tabla2[[#This Row],[Valor Comercial (S/.)]]/Tabla2[[#This Row],[Valor de Venta]]-1</f>
        <v>5.1909444317402187E-2</v>
      </c>
    </row>
    <row r="40" spans="1:33" s="1" customFormat="1" ht="15" customHeight="1" x14ac:dyDescent="0.25">
      <c r="A40" s="225" t="s">
        <v>30</v>
      </c>
      <c r="B40" s="22">
        <v>405</v>
      </c>
      <c r="C40" s="15">
        <v>4</v>
      </c>
      <c r="D40" s="27"/>
      <c r="E40" s="29"/>
      <c r="F40" s="12">
        <f>ROUND(Tabla2[[#This Row],[Área ocupada (m²)]]/20*1.4,2)</f>
        <v>4.58</v>
      </c>
      <c r="G40" s="12">
        <v>65.400000000000006</v>
      </c>
      <c r="H40" s="12">
        <v>65.400000000000006</v>
      </c>
      <c r="I40" s="12">
        <f>ROUND(Tabla2[[#This Row],[Área techada (m²)]]*0.15,2)</f>
        <v>9.81</v>
      </c>
      <c r="J40" s="18" t="s">
        <v>33</v>
      </c>
      <c r="K40" s="7">
        <v>217650</v>
      </c>
      <c r="L40" s="240">
        <f>ROUND(Tabla2[[#This Row],[Área ocupada (m²)3]]/20*1.4,2)</f>
        <v>4.58</v>
      </c>
      <c r="M40" s="240">
        <f>ROUND(Tabla2[[#This Row],[Área ocupada (m²)]],2)</f>
        <v>65.400000000000006</v>
      </c>
      <c r="N40" s="240">
        <f>ROUND(Tabla2[[#This Row],[Área techada (m²)]],2)</f>
        <v>65.400000000000006</v>
      </c>
      <c r="O40" s="243">
        <f>ROUND(Tabla2[[#This Row],[Área techada (m²)4]]*0.15,2)</f>
        <v>9.81</v>
      </c>
      <c r="P40" s="6">
        <f>ROUND(Tabla2[[#This Row],[Área del terreno (m²)2]]*DATA!$F$4,-2)</f>
        <v>3200</v>
      </c>
      <c r="Q40" s="243">
        <f>+Tabla2[[#This Row],[Valor Comercial (US$)]]-Tabla2[[#This Row],[Valor del terreno (US$)]]</f>
        <v>65500</v>
      </c>
      <c r="R4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68700</v>
      </c>
      <c r="S40" s="244">
        <f>ROUND(Tabla2[[#This Row],[Valor Comercial (US$)]]*0.8,-2)</f>
        <v>55000</v>
      </c>
      <c r="T40" s="244">
        <f>IF(Informe!$I$6=DATA!$B$4,R40,ROUND(Tabla2[[#This Row],[Área techada (m²)4]]*DATA!$F$5*1.15,-2))</f>
        <v>68700</v>
      </c>
      <c r="U40" s="8">
        <f t="shared" si="0"/>
        <v>3.3479999999999999</v>
      </c>
      <c r="V40" s="244">
        <f>ROUND(Tabla2[[#This Row],[Valor del terreno (US$)]]*Tabla2[[#This Row],[Tipo de Cambio]],-2)</f>
        <v>10700</v>
      </c>
      <c r="W40" s="244">
        <f>Tabla2[[#This Row],[Valor Comercial (S/.)]]-Tabla2[[#This Row],[Valor del terreno (S/.)]]</f>
        <v>219300</v>
      </c>
      <c r="X40" s="244">
        <f>ROUND(Tabla2[[#This Row],[Valor Comercial (US$)]]*Tabla2[[#This Row],[Tipo de Cambio]],-2)</f>
        <v>230000</v>
      </c>
      <c r="Y40" s="244">
        <f>ROUND(Tabla2[[#This Row],[Valor Realización (US$)]]*Tabla2[[#This Row],[Tipo de Cambio]],-2)</f>
        <v>184100</v>
      </c>
      <c r="Z40" s="244">
        <f>+ROUND(Tabla2[[#This Row],[Importe Asegurable (US$)]]*Tabla2[[#This Row],[Tipo de Cambio]],-2)</f>
        <v>230000</v>
      </c>
      <c r="AA40" s="245"/>
      <c r="AB40" s="2">
        <f>+Tabla2[[#This Row],[Valor Comercial (US$)]]/Tabla2[[#This Row],[Área techada (m²)4]]</f>
        <v>1050.4587155963302</v>
      </c>
      <c r="AC4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40" s="1" t="s">
        <v>48</v>
      </c>
      <c r="AE40" s="222">
        <f>IF(Tabla2[[#This Row],[Moneda]]="Soles",Tabla2[[#This Row],[Valor de Venta]]/Tabla2[[#This Row],[Área techada (m²)]]/Tabla2[[#This Row],[Tipo de Cambio]],Tabla2[[#This Row],[Valor de Venta]]/Tabla2[[#This Row],[Área techada (m²)]])</f>
        <v>994.02080387579053</v>
      </c>
      <c r="AF40" s="347">
        <f>VLOOKUP(Tabla2[[#This Row],[VISTA]],DATA!$H$4:$I$17,2,FALSE)</f>
        <v>1050</v>
      </c>
      <c r="AG40" s="221">
        <f>+Tabla2[[#This Row],[Valor Comercial (S/.)]]/Tabla2[[#This Row],[Valor de Venta]]-1</f>
        <v>5.6742476453020885E-2</v>
      </c>
    </row>
    <row r="41" spans="1:33" s="1" customFormat="1" ht="15" customHeight="1" x14ac:dyDescent="0.25">
      <c r="A41" s="225" t="s">
        <v>30</v>
      </c>
      <c r="B41" s="22">
        <v>406</v>
      </c>
      <c r="C41" s="15">
        <v>4</v>
      </c>
      <c r="D41" s="27"/>
      <c r="E41" s="29"/>
      <c r="F41" s="12">
        <f>ROUND(Tabla2[[#This Row],[Área ocupada (m²)]]/20*1.4,2)</f>
        <v>4.38</v>
      </c>
      <c r="G41" s="12">
        <v>62.5</v>
      </c>
      <c r="H41" s="12">
        <v>62.5</v>
      </c>
      <c r="I41" s="12">
        <f>ROUND(Tabla2[[#This Row],[Área techada (m²)]]*0.15,2)</f>
        <v>9.3800000000000008</v>
      </c>
      <c r="J41" s="18" t="s">
        <v>33</v>
      </c>
      <c r="K41" s="7">
        <v>208750</v>
      </c>
      <c r="L41" s="240">
        <f>ROUND(Tabla2[[#This Row],[Área ocupada (m²)3]]/20*1.4,2)</f>
        <v>4.38</v>
      </c>
      <c r="M41" s="240">
        <f>ROUND(Tabla2[[#This Row],[Área ocupada (m²)]],2)</f>
        <v>62.5</v>
      </c>
      <c r="N41" s="240">
        <f>ROUND(Tabla2[[#This Row],[Área techada (m²)]],2)</f>
        <v>62.5</v>
      </c>
      <c r="O41" s="243">
        <f>ROUND(Tabla2[[#This Row],[Área techada (m²)4]]*0.15,2)</f>
        <v>9.3800000000000008</v>
      </c>
      <c r="P41" s="6">
        <f>ROUND(Tabla2[[#This Row],[Área del terreno (m²)2]]*DATA!$F$4,-2)</f>
        <v>3100</v>
      </c>
      <c r="Q41" s="243">
        <f>+Tabla2[[#This Row],[Valor Comercial (US$)]]-Tabla2[[#This Row],[Valor del terreno (US$)]]</f>
        <v>62500</v>
      </c>
      <c r="R4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65600</v>
      </c>
      <c r="S41" s="244">
        <f>ROUND(Tabla2[[#This Row],[Valor Comercial (US$)]]*0.8,-2)</f>
        <v>52500</v>
      </c>
      <c r="T41" s="244">
        <f>IF(Informe!$I$6=DATA!$B$4,R41,ROUND(Tabla2[[#This Row],[Área techada (m²)4]]*DATA!$F$5*1.15,-2))</f>
        <v>65600</v>
      </c>
      <c r="U41" s="8">
        <f t="shared" si="0"/>
        <v>3.3479999999999999</v>
      </c>
      <c r="V41" s="244">
        <f>ROUND(Tabla2[[#This Row],[Valor del terreno (US$)]]*Tabla2[[#This Row],[Tipo de Cambio]],-2)</f>
        <v>10400</v>
      </c>
      <c r="W41" s="244">
        <f>Tabla2[[#This Row],[Valor Comercial (S/.)]]-Tabla2[[#This Row],[Valor del terreno (S/.)]]</f>
        <v>209200</v>
      </c>
      <c r="X41" s="244">
        <f>ROUND(Tabla2[[#This Row],[Valor Comercial (US$)]]*Tabla2[[#This Row],[Tipo de Cambio]],-2)</f>
        <v>219600</v>
      </c>
      <c r="Y41" s="244">
        <f>ROUND(Tabla2[[#This Row],[Valor Realización (US$)]]*Tabla2[[#This Row],[Tipo de Cambio]],-2)</f>
        <v>175800</v>
      </c>
      <c r="Z41" s="244">
        <f>+ROUND(Tabla2[[#This Row],[Importe Asegurable (US$)]]*Tabla2[[#This Row],[Tipo de Cambio]],-2)</f>
        <v>219600</v>
      </c>
      <c r="AA41" s="245"/>
      <c r="AB41" s="2">
        <f>+Tabla2[[#This Row],[Valor Comercial (US$)]]/Tabla2[[#This Row],[Área techada (m²)4]]</f>
        <v>1049.5999999999999</v>
      </c>
      <c r="AC4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41" s="1" t="s">
        <v>48</v>
      </c>
      <c r="AE41" s="222">
        <f>IF(Tabla2[[#This Row],[Moneda]]="Soles",Tabla2[[#This Row],[Valor de Venta]]/Tabla2[[#This Row],[Área techada (m²)]]/Tabla2[[#This Row],[Tipo de Cambio]],Tabla2[[#This Row],[Valor de Venta]]/Tabla2[[#This Row],[Área techada (m²)]])</f>
        <v>997.61051373954604</v>
      </c>
      <c r="AF41" s="347">
        <f>VLOOKUP(Tabla2[[#This Row],[VISTA]],DATA!$H$4:$I$17,2,FALSE)</f>
        <v>1050</v>
      </c>
      <c r="AG41" s="221">
        <f>+Tabla2[[#This Row],[Valor Comercial (S/.)]]/Tabla2[[#This Row],[Valor de Venta]]-1</f>
        <v>5.1976047904191525E-2</v>
      </c>
    </row>
    <row r="42" spans="1:33" s="1" customFormat="1" ht="15" customHeight="1" x14ac:dyDescent="0.25">
      <c r="A42" s="225" t="s">
        <v>30</v>
      </c>
      <c r="B42" s="22">
        <v>407</v>
      </c>
      <c r="C42" s="14">
        <v>4</v>
      </c>
      <c r="D42" s="34"/>
      <c r="E42" s="29"/>
      <c r="F42" s="12">
        <f>ROUND(Tabla2[[#This Row],[Área ocupada (m²)]]/20*1.4,2)</f>
        <v>4.38</v>
      </c>
      <c r="G42" s="12">
        <v>62.5</v>
      </c>
      <c r="H42" s="12">
        <v>62.5</v>
      </c>
      <c r="I42" s="12">
        <f>ROUND(Tabla2[[#This Row],[Área techada (m²)]]*0.15,2)</f>
        <v>9.3800000000000008</v>
      </c>
      <c r="J42" s="18" t="s">
        <v>33</v>
      </c>
      <c r="K42" s="7">
        <v>200750</v>
      </c>
      <c r="L42" s="240">
        <f>ROUND(Tabla2[[#This Row],[Área ocupada (m²)3]]/20*1.4,2)</f>
        <v>4.38</v>
      </c>
      <c r="M42" s="240">
        <f>ROUND(Tabla2[[#This Row],[Área ocupada (m²)]],2)</f>
        <v>62.5</v>
      </c>
      <c r="N42" s="240">
        <f>ROUND(Tabla2[[#This Row],[Área techada (m²)]],2)</f>
        <v>62.5</v>
      </c>
      <c r="O42" s="243">
        <f>ROUND(Tabla2[[#This Row],[Área techada (m²)4]]*0.15,2)</f>
        <v>9.3800000000000008</v>
      </c>
      <c r="P42" s="6">
        <f>ROUND(Tabla2[[#This Row],[Área del terreno (m²)2]]*DATA!$F$4,-2)</f>
        <v>3100</v>
      </c>
      <c r="Q42" s="243">
        <f>+Tabla2[[#This Row],[Valor Comercial (US$)]]-Tabla2[[#This Row],[Valor del terreno (US$)]]</f>
        <v>59400</v>
      </c>
      <c r="R4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42" s="244">
        <f>ROUND(Tabla2[[#This Row],[Valor Comercial (US$)]]*0.8,-2)</f>
        <v>50000</v>
      </c>
      <c r="T42" s="244">
        <f>IF(Informe!$I$6=DATA!$B$4,R42,ROUND(Tabla2[[#This Row],[Área techada (m²)4]]*DATA!$F$5*1.15,-2))</f>
        <v>62500</v>
      </c>
      <c r="U42" s="8">
        <f t="shared" si="0"/>
        <v>3.3479999999999999</v>
      </c>
      <c r="V42" s="244">
        <f>ROUND(Tabla2[[#This Row],[Valor del terreno (US$)]]*Tabla2[[#This Row],[Tipo de Cambio]],-2)</f>
        <v>10400</v>
      </c>
      <c r="W42" s="244">
        <f>Tabla2[[#This Row],[Valor Comercial (S/.)]]-Tabla2[[#This Row],[Valor del terreno (S/.)]]</f>
        <v>198900</v>
      </c>
      <c r="X42" s="244">
        <f>ROUND(Tabla2[[#This Row],[Valor Comercial (US$)]]*Tabla2[[#This Row],[Tipo de Cambio]],-2)</f>
        <v>209300</v>
      </c>
      <c r="Y42" s="244">
        <f>ROUND(Tabla2[[#This Row],[Valor Realización (US$)]]*Tabla2[[#This Row],[Tipo de Cambio]],-2)</f>
        <v>167400</v>
      </c>
      <c r="Z42" s="244">
        <f>+ROUND(Tabla2[[#This Row],[Importe Asegurable (US$)]]*Tabla2[[#This Row],[Tipo de Cambio]],-2)</f>
        <v>209300</v>
      </c>
      <c r="AA42" s="245"/>
      <c r="AB42" s="2">
        <f>+Tabla2[[#This Row],[Valor Comercial (US$)]]/Tabla2[[#This Row],[Área techada (m²)4]]</f>
        <v>1000</v>
      </c>
      <c r="AC4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42" s="1" t="s">
        <v>49</v>
      </c>
      <c r="AE42" s="222">
        <f>IF(Tabla2[[#This Row],[Moneda]]="Soles",Tabla2[[#This Row],[Valor de Venta]]/Tabla2[[#This Row],[Área techada (m²)]]/Tabla2[[#This Row],[Tipo de Cambio]],Tabla2[[#This Row],[Valor de Venta]]/Tabla2[[#This Row],[Área techada (m²)]])</f>
        <v>959.37873357228204</v>
      </c>
      <c r="AF42" s="347">
        <f>VLOOKUP(Tabla2[[#This Row],[VISTA]],DATA!$H$4:$I$17,2,FALSE)</f>
        <v>1000</v>
      </c>
      <c r="AG42" s="221">
        <f>+Tabla2[[#This Row],[Valor Comercial (S/.)]]/Tabla2[[#This Row],[Valor de Venta]]-1</f>
        <v>4.2590286425902901E-2</v>
      </c>
    </row>
    <row r="43" spans="1:33" s="1" customFormat="1" ht="15" customHeight="1" x14ac:dyDescent="0.25">
      <c r="A43" s="225" t="s">
        <v>30</v>
      </c>
      <c r="B43" s="22">
        <v>408</v>
      </c>
      <c r="C43" s="14">
        <v>4</v>
      </c>
      <c r="D43" s="38"/>
      <c r="E43" s="29"/>
      <c r="F43" s="12">
        <f>ROUND(Tabla2[[#This Row],[Área ocupada (m²)]]/20*1.4,2)</f>
        <v>4.58</v>
      </c>
      <c r="G43" s="12">
        <v>65.400000000000006</v>
      </c>
      <c r="H43" s="12">
        <v>65.400000000000006</v>
      </c>
      <c r="I43" s="12">
        <f>ROUND(Tabla2[[#This Row],[Área techada (m²)]]*0.15,2)</f>
        <v>9.81</v>
      </c>
      <c r="J43" s="18" t="s">
        <v>33</v>
      </c>
      <c r="K43" s="7">
        <v>221650</v>
      </c>
      <c r="L43" s="240">
        <f>ROUND(Tabla2[[#This Row],[Área ocupada (m²)3]]/20*1.4,2)</f>
        <v>4.58</v>
      </c>
      <c r="M43" s="240">
        <f>ROUND(Tabla2[[#This Row],[Área ocupada (m²)]],2)</f>
        <v>65.400000000000006</v>
      </c>
      <c r="N43" s="240">
        <f>ROUND(Tabla2[[#This Row],[Área techada (m²)]],2)</f>
        <v>65.400000000000006</v>
      </c>
      <c r="O43" s="243">
        <f>ROUND(Tabla2[[#This Row],[Área techada (m²)4]]*0.15,2)</f>
        <v>9.81</v>
      </c>
      <c r="P43" s="6">
        <f>ROUND(Tabla2[[#This Row],[Área del terreno (m²)2]]*DATA!$F$4,-2)</f>
        <v>3200</v>
      </c>
      <c r="Q43" s="243">
        <f>+Tabla2[[#This Row],[Valor Comercial (US$)]]-Tabla2[[#This Row],[Valor del terreno (US$)]]</f>
        <v>65500</v>
      </c>
      <c r="R4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68700</v>
      </c>
      <c r="S43" s="244">
        <f>ROUND(Tabla2[[#This Row],[Valor Comercial (US$)]]*0.8,-2)</f>
        <v>55000</v>
      </c>
      <c r="T43" s="244">
        <f>IF(Informe!$I$6=DATA!$B$4,R43,ROUND(Tabla2[[#This Row],[Área techada (m²)4]]*DATA!$F$5*1.15,-2))</f>
        <v>68700</v>
      </c>
      <c r="U43" s="8">
        <f t="shared" si="0"/>
        <v>3.3479999999999999</v>
      </c>
      <c r="V43" s="244">
        <f>ROUND(Tabla2[[#This Row],[Valor del terreno (US$)]]*Tabla2[[#This Row],[Tipo de Cambio]],-2)</f>
        <v>10700</v>
      </c>
      <c r="W43" s="244">
        <f>Tabla2[[#This Row],[Valor Comercial (S/.)]]-Tabla2[[#This Row],[Valor del terreno (S/.)]]</f>
        <v>219300</v>
      </c>
      <c r="X43" s="244">
        <f>ROUND(Tabla2[[#This Row],[Valor Comercial (US$)]]*Tabla2[[#This Row],[Tipo de Cambio]],-2)</f>
        <v>230000</v>
      </c>
      <c r="Y43" s="244">
        <f>ROUND(Tabla2[[#This Row],[Valor Realización (US$)]]*Tabla2[[#This Row],[Tipo de Cambio]],-2)</f>
        <v>184100</v>
      </c>
      <c r="Z43" s="244">
        <f>+ROUND(Tabla2[[#This Row],[Importe Asegurable (US$)]]*Tabla2[[#This Row],[Tipo de Cambio]],-2)</f>
        <v>230000</v>
      </c>
      <c r="AA43" s="245"/>
      <c r="AB43" s="2">
        <f>+Tabla2[[#This Row],[Valor Comercial (US$)]]/Tabla2[[#This Row],[Área techada (m²)4]]</f>
        <v>1050.4587155963302</v>
      </c>
      <c r="AC4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43" s="1" t="s">
        <v>48</v>
      </c>
      <c r="AE43" s="222">
        <f>IF(Tabla2[[#This Row],[Moneda]]="Soles",Tabla2[[#This Row],[Valor de Venta]]/Tabla2[[#This Row],[Área techada (m²)]]/Tabla2[[#This Row],[Tipo de Cambio]],Tabla2[[#This Row],[Valor de Venta]]/Tabla2[[#This Row],[Área techada (m²)]])</f>
        <v>1012.2890474572431</v>
      </c>
      <c r="AF43" s="347">
        <f>VLOOKUP(Tabla2[[#This Row],[VISTA]],DATA!$H$4:$I$17,2,FALSE)</f>
        <v>1050</v>
      </c>
      <c r="AG43" s="221">
        <f>+Tabla2[[#This Row],[Valor Comercial (S/.)]]/Tabla2[[#This Row],[Valor de Venta]]-1</f>
        <v>3.7672005413941001E-2</v>
      </c>
    </row>
    <row r="44" spans="1:33" s="1" customFormat="1" ht="15" customHeight="1" x14ac:dyDescent="0.25">
      <c r="A44" s="225" t="s">
        <v>30</v>
      </c>
      <c r="B44" s="22">
        <v>501</v>
      </c>
      <c r="C44" s="14">
        <v>5</v>
      </c>
      <c r="D44" s="35"/>
      <c r="E44" s="31"/>
      <c r="F44" s="12">
        <f>ROUND(Tabla2[[#This Row],[Área ocupada (m²)]]/20*1.4,2)</f>
        <v>4.58</v>
      </c>
      <c r="G44" s="12">
        <v>65.400000000000006</v>
      </c>
      <c r="H44" s="12">
        <v>65.400000000000006</v>
      </c>
      <c r="I44" s="12">
        <f>ROUND(Tabla2[[#This Row],[Área techada (m²)]]*0.15,2)</f>
        <v>9.81</v>
      </c>
      <c r="J44" s="18" t="s">
        <v>33</v>
      </c>
      <c r="K44" s="7">
        <v>209550</v>
      </c>
      <c r="L44" s="240">
        <f>ROUND(Tabla2[[#This Row],[Área ocupada (m²)3]]/20*1.4,2)</f>
        <v>4.58</v>
      </c>
      <c r="M44" s="240">
        <f>ROUND(Tabla2[[#This Row],[Área ocupada (m²)]],2)</f>
        <v>65.400000000000006</v>
      </c>
      <c r="N44" s="240">
        <f>ROUND(Tabla2[[#This Row],[Área techada (m²)]],2)</f>
        <v>65.400000000000006</v>
      </c>
      <c r="O44" s="243">
        <f>ROUND(Tabla2[[#This Row],[Área techada (m²)4]]*0.15,2)</f>
        <v>9.81</v>
      </c>
      <c r="P44" s="6">
        <f>ROUND(Tabla2[[#This Row],[Área del terreno (m²)2]]*DATA!$F$4,-2)</f>
        <v>3200</v>
      </c>
      <c r="Q44" s="243">
        <f>+Tabla2[[#This Row],[Valor Comercial (US$)]]-Tabla2[[#This Row],[Valor del terreno (US$)]]</f>
        <v>62200</v>
      </c>
      <c r="R4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65400</v>
      </c>
      <c r="S44" s="244">
        <f>ROUND(Tabla2[[#This Row],[Valor Comercial (US$)]]*0.8,-2)</f>
        <v>52300</v>
      </c>
      <c r="T44" s="244">
        <f>IF(Informe!$I$6=DATA!$B$4,R44,ROUND(Tabla2[[#This Row],[Área techada (m²)4]]*DATA!$F$5*1.15,-2))</f>
        <v>65400</v>
      </c>
      <c r="U44" s="8">
        <f t="shared" si="0"/>
        <v>3.3479999999999999</v>
      </c>
      <c r="V44" s="244">
        <f>ROUND(Tabla2[[#This Row],[Valor del terreno (US$)]]*Tabla2[[#This Row],[Tipo de Cambio]],-2)</f>
        <v>10700</v>
      </c>
      <c r="W44" s="244">
        <f>Tabla2[[#This Row],[Valor Comercial (S/.)]]-Tabla2[[#This Row],[Valor del terreno (S/.)]]</f>
        <v>208300</v>
      </c>
      <c r="X44" s="244">
        <f>ROUND(Tabla2[[#This Row],[Valor Comercial (US$)]]*Tabla2[[#This Row],[Tipo de Cambio]],-2)</f>
        <v>219000</v>
      </c>
      <c r="Y44" s="244">
        <f>ROUND(Tabla2[[#This Row],[Valor Realización (US$)]]*Tabla2[[#This Row],[Tipo de Cambio]],-2)</f>
        <v>175100</v>
      </c>
      <c r="Z44" s="244">
        <f>+ROUND(Tabla2[[#This Row],[Importe Asegurable (US$)]]*Tabla2[[#This Row],[Tipo de Cambio]],-2)</f>
        <v>219000</v>
      </c>
      <c r="AA44" s="245"/>
      <c r="AB44" s="2">
        <f>+Tabla2[[#This Row],[Valor Comercial (US$)]]/Tabla2[[#This Row],[Área techada (m²)4]]</f>
        <v>999.99999999999989</v>
      </c>
      <c r="AC4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44" s="1" t="s">
        <v>49</v>
      </c>
      <c r="AE44" s="222">
        <f>IF(Tabla2[[#This Row],[Moneda]]="Soles",Tabla2[[#This Row],[Valor de Venta]]/Tabla2[[#This Row],[Área techada (m²)]]/Tabla2[[#This Row],[Tipo de Cambio]],Tabla2[[#This Row],[Valor de Venta]]/Tabla2[[#This Row],[Área techada (m²)]])</f>
        <v>957.02761062334889</v>
      </c>
      <c r="AF44" s="347">
        <f>VLOOKUP(Tabla2[[#This Row],[VISTA]],DATA!$H$4:$I$17,2,FALSE)</f>
        <v>1000</v>
      </c>
      <c r="AG44" s="221">
        <f>+Tabla2[[#This Row],[Valor Comercial (S/.)]]/Tabla2[[#This Row],[Valor de Venta]]-1</f>
        <v>4.5096635647816852E-2</v>
      </c>
    </row>
    <row r="45" spans="1:33" s="1" customFormat="1" ht="15" customHeight="1" x14ac:dyDescent="0.25">
      <c r="A45" s="225" t="s">
        <v>30</v>
      </c>
      <c r="B45" s="22">
        <v>502</v>
      </c>
      <c r="C45" s="14">
        <v>5</v>
      </c>
      <c r="D45" s="27"/>
      <c r="E45" s="20"/>
      <c r="F45" s="12">
        <f>ROUND(Tabla2[[#This Row],[Área ocupada (m²)]]/20*1.4,2)</f>
        <v>4.38</v>
      </c>
      <c r="G45" s="12">
        <v>62.5</v>
      </c>
      <c r="H45" s="12">
        <v>62.5</v>
      </c>
      <c r="I45" s="12">
        <f>ROUND(Tabla2[[#This Row],[Área techada (m²)]]*0.15,2)</f>
        <v>9.3800000000000008</v>
      </c>
      <c r="J45" s="18" t="s">
        <v>33</v>
      </c>
      <c r="K45" s="7">
        <v>195750</v>
      </c>
      <c r="L45" s="240">
        <f>ROUND(Tabla2[[#This Row],[Área ocupada (m²)3]]/20*1.4,2)</f>
        <v>4.38</v>
      </c>
      <c r="M45" s="240">
        <f>ROUND(Tabla2[[#This Row],[Área ocupada (m²)]],2)</f>
        <v>62.5</v>
      </c>
      <c r="N45" s="240">
        <f>ROUND(Tabla2[[#This Row],[Área techada (m²)]],2)</f>
        <v>62.5</v>
      </c>
      <c r="O45" s="243">
        <f>ROUND(Tabla2[[#This Row],[Área techada (m²)4]]*0.15,2)</f>
        <v>9.3800000000000008</v>
      </c>
      <c r="P45" s="6">
        <f>ROUND(Tabla2[[#This Row],[Área del terreno (m²)2]]*DATA!$F$4,-2)</f>
        <v>3100</v>
      </c>
      <c r="Q45" s="243">
        <f>+Tabla2[[#This Row],[Valor Comercial (US$)]]-Tabla2[[#This Row],[Valor del terreno (US$)]]</f>
        <v>59400</v>
      </c>
      <c r="R4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45" s="244">
        <f>ROUND(Tabla2[[#This Row],[Valor Comercial (US$)]]*0.8,-2)</f>
        <v>50000</v>
      </c>
      <c r="T45" s="244">
        <f>IF(Informe!$I$6=DATA!$B$4,R45,ROUND(Tabla2[[#This Row],[Área techada (m²)4]]*DATA!$F$5*1.15,-2))</f>
        <v>62500</v>
      </c>
      <c r="U45" s="8">
        <f t="shared" si="0"/>
        <v>3.3479999999999999</v>
      </c>
      <c r="V45" s="244">
        <f>ROUND(Tabla2[[#This Row],[Valor del terreno (US$)]]*Tabla2[[#This Row],[Tipo de Cambio]],-2)</f>
        <v>10400</v>
      </c>
      <c r="W45" s="244">
        <f>Tabla2[[#This Row],[Valor Comercial (S/.)]]-Tabla2[[#This Row],[Valor del terreno (S/.)]]</f>
        <v>198900</v>
      </c>
      <c r="X45" s="244">
        <f>ROUND(Tabla2[[#This Row],[Valor Comercial (US$)]]*Tabla2[[#This Row],[Tipo de Cambio]],-2)</f>
        <v>209300</v>
      </c>
      <c r="Y45" s="244">
        <f>ROUND(Tabla2[[#This Row],[Valor Realización (US$)]]*Tabla2[[#This Row],[Tipo de Cambio]],-2)</f>
        <v>167400</v>
      </c>
      <c r="Z45" s="244">
        <f>+ROUND(Tabla2[[#This Row],[Importe Asegurable (US$)]]*Tabla2[[#This Row],[Tipo de Cambio]],-2)</f>
        <v>209300</v>
      </c>
      <c r="AA45" s="245"/>
      <c r="AB45" s="2">
        <f>+Tabla2[[#This Row],[Valor Comercial (US$)]]/Tabla2[[#This Row],[Área techada (m²)4]]</f>
        <v>1000</v>
      </c>
      <c r="AC4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45" s="1" t="s">
        <v>49</v>
      </c>
      <c r="AE45" s="222">
        <f>IF(Tabla2[[#This Row],[Moneda]]="Soles",Tabla2[[#This Row],[Valor de Venta]]/Tabla2[[#This Row],[Área techada (m²)]]/Tabla2[[#This Row],[Tipo de Cambio]],Tabla2[[#This Row],[Valor de Venta]]/Tabla2[[#This Row],[Área techada (m²)]])</f>
        <v>935.48387096774195</v>
      </c>
      <c r="AF45" s="347">
        <f>VLOOKUP(Tabla2[[#This Row],[VISTA]],DATA!$H$4:$I$17,2,FALSE)</f>
        <v>1000</v>
      </c>
      <c r="AG45" s="221">
        <f>+Tabla2[[#This Row],[Valor Comercial (S/.)]]/Tabla2[[#This Row],[Valor de Venta]]-1</f>
        <v>6.9220945083014129E-2</v>
      </c>
    </row>
    <row r="46" spans="1:33" s="1" customFormat="1" ht="15" customHeight="1" x14ac:dyDescent="0.25">
      <c r="A46" s="225" t="s">
        <v>30</v>
      </c>
      <c r="B46" s="22">
        <v>503</v>
      </c>
      <c r="C46" s="14">
        <v>5</v>
      </c>
      <c r="D46" s="35"/>
      <c r="E46" s="30"/>
      <c r="F46" s="12">
        <f>ROUND(Tabla2[[#This Row],[Área ocupada (m²)]]/20*1.4,2)</f>
        <v>4.38</v>
      </c>
      <c r="G46" s="12">
        <v>62.5</v>
      </c>
      <c r="H46" s="12">
        <v>62.5</v>
      </c>
      <c r="I46" s="12">
        <f>ROUND(Tabla2[[#This Row],[Área techada (m²)]]*0.15,2)</f>
        <v>9.3800000000000008</v>
      </c>
      <c r="J46" s="18" t="s">
        <v>33</v>
      </c>
      <c r="K46" s="7">
        <v>201750</v>
      </c>
      <c r="L46" s="240">
        <f>ROUND(Tabla2[[#This Row],[Área ocupada (m²)3]]/20*1.4,2)</f>
        <v>4.38</v>
      </c>
      <c r="M46" s="240">
        <f>ROUND(Tabla2[[#This Row],[Área ocupada (m²)]],2)</f>
        <v>62.5</v>
      </c>
      <c r="N46" s="240">
        <f>ROUND(Tabla2[[#This Row],[Área techada (m²)]],2)</f>
        <v>62.5</v>
      </c>
      <c r="O46" s="243">
        <f>ROUND(Tabla2[[#This Row],[Área techada (m²)4]]*0.15,2)</f>
        <v>9.3800000000000008</v>
      </c>
      <c r="P46" s="6">
        <f>ROUND(Tabla2[[#This Row],[Área del terreno (m²)2]]*DATA!$F$4,-2)</f>
        <v>3100</v>
      </c>
      <c r="Q46" s="243">
        <f>+Tabla2[[#This Row],[Valor Comercial (US$)]]-Tabla2[[#This Row],[Valor del terreno (US$)]]</f>
        <v>59400</v>
      </c>
      <c r="R4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46" s="244">
        <f>ROUND(Tabla2[[#This Row],[Valor Comercial (US$)]]*0.8,-2)</f>
        <v>50000</v>
      </c>
      <c r="T46" s="244">
        <f>IF(Informe!$I$6=DATA!$B$4,R46,ROUND(Tabla2[[#This Row],[Área techada (m²)4]]*DATA!$F$5*1.15,-2))</f>
        <v>62500</v>
      </c>
      <c r="U46" s="8">
        <f t="shared" si="0"/>
        <v>3.3479999999999999</v>
      </c>
      <c r="V46" s="244">
        <f>ROUND(Tabla2[[#This Row],[Valor del terreno (US$)]]*Tabla2[[#This Row],[Tipo de Cambio]],-2)</f>
        <v>10400</v>
      </c>
      <c r="W46" s="244">
        <f>Tabla2[[#This Row],[Valor Comercial (S/.)]]-Tabla2[[#This Row],[Valor del terreno (S/.)]]</f>
        <v>198900</v>
      </c>
      <c r="X46" s="244">
        <f>ROUND(Tabla2[[#This Row],[Valor Comercial (US$)]]*Tabla2[[#This Row],[Tipo de Cambio]],-2)</f>
        <v>209300</v>
      </c>
      <c r="Y46" s="244">
        <f>ROUND(Tabla2[[#This Row],[Valor Realización (US$)]]*Tabla2[[#This Row],[Tipo de Cambio]],-2)</f>
        <v>167400</v>
      </c>
      <c r="Z46" s="244">
        <f>+ROUND(Tabla2[[#This Row],[Importe Asegurable (US$)]]*Tabla2[[#This Row],[Tipo de Cambio]],-2)</f>
        <v>209300</v>
      </c>
      <c r="AA46" s="245"/>
      <c r="AB46" s="2">
        <f>+Tabla2[[#This Row],[Valor Comercial (US$)]]/Tabla2[[#This Row],[Área techada (m²)4]]</f>
        <v>1000</v>
      </c>
      <c r="AC4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46" s="1" t="s">
        <v>49</v>
      </c>
      <c r="AE46" s="222">
        <f>IF(Tabla2[[#This Row],[Moneda]]="Soles",Tabla2[[#This Row],[Valor de Venta]]/Tabla2[[#This Row],[Área techada (m²)]]/Tabla2[[#This Row],[Tipo de Cambio]],Tabla2[[#This Row],[Valor de Venta]]/Tabla2[[#This Row],[Área techada (m²)]])</f>
        <v>964.15770609318997</v>
      </c>
      <c r="AF46" s="347">
        <f>VLOOKUP(Tabla2[[#This Row],[VISTA]],DATA!$H$4:$I$17,2,FALSE)</f>
        <v>1000</v>
      </c>
      <c r="AG46" s="221">
        <f>+Tabla2[[#This Row],[Valor Comercial (S/.)]]/Tabla2[[#This Row],[Valor de Venta]]-1</f>
        <v>3.7422552664188258E-2</v>
      </c>
    </row>
    <row r="47" spans="1:33" s="1" customFormat="1" ht="15" customHeight="1" x14ac:dyDescent="0.25">
      <c r="A47" s="225" t="s">
        <v>30</v>
      </c>
      <c r="B47" s="22">
        <v>504</v>
      </c>
      <c r="C47" s="14">
        <v>5</v>
      </c>
      <c r="D47" s="27"/>
      <c r="E47" s="30"/>
      <c r="F47" s="12">
        <f>ROUND(Tabla2[[#This Row],[Área ocupada (m²)]]/20*1.4,2)</f>
        <v>4.58</v>
      </c>
      <c r="G47" s="12">
        <v>65.400000000000006</v>
      </c>
      <c r="H47" s="12">
        <v>65.400000000000006</v>
      </c>
      <c r="I47" s="12">
        <f>ROUND(Tabla2[[#This Row],[Área techada (m²)]]*0.15,2)</f>
        <v>9.81</v>
      </c>
      <c r="J47" s="18" t="s">
        <v>33</v>
      </c>
      <c r="K47" s="7">
        <v>223550</v>
      </c>
      <c r="L47" s="240">
        <f>ROUND(Tabla2[[#This Row],[Área ocupada (m²)3]]/20*1.4,2)</f>
        <v>4.58</v>
      </c>
      <c r="M47" s="240">
        <f>ROUND(Tabla2[[#This Row],[Área ocupada (m²)]],2)</f>
        <v>65.400000000000006</v>
      </c>
      <c r="N47" s="240">
        <f>ROUND(Tabla2[[#This Row],[Área techada (m²)]],2)</f>
        <v>65.400000000000006</v>
      </c>
      <c r="O47" s="243">
        <f>ROUND(Tabla2[[#This Row],[Área techada (m²)4]]*0.15,2)</f>
        <v>9.81</v>
      </c>
      <c r="P47" s="6">
        <f>ROUND(Tabla2[[#This Row],[Área del terreno (m²)2]]*DATA!$F$4,-2)</f>
        <v>3200</v>
      </c>
      <c r="Q47" s="243">
        <f>+Tabla2[[#This Row],[Valor Comercial (US$)]]-Tabla2[[#This Row],[Valor del terreno (US$)]]</f>
        <v>65500</v>
      </c>
      <c r="R4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68700</v>
      </c>
      <c r="S47" s="244">
        <f>ROUND(Tabla2[[#This Row],[Valor Comercial (US$)]]*0.8,-2)</f>
        <v>55000</v>
      </c>
      <c r="T47" s="244">
        <f>IF(Informe!$I$6=DATA!$B$4,R47,ROUND(Tabla2[[#This Row],[Área techada (m²)4]]*DATA!$F$5*1.15,-2))</f>
        <v>68700</v>
      </c>
      <c r="U47" s="8">
        <f t="shared" si="0"/>
        <v>3.3479999999999999</v>
      </c>
      <c r="V47" s="244">
        <f>ROUND(Tabla2[[#This Row],[Valor del terreno (US$)]]*Tabla2[[#This Row],[Tipo de Cambio]],-2)</f>
        <v>10700</v>
      </c>
      <c r="W47" s="244">
        <f>Tabla2[[#This Row],[Valor Comercial (S/.)]]-Tabla2[[#This Row],[Valor del terreno (S/.)]]</f>
        <v>219300</v>
      </c>
      <c r="X47" s="244">
        <f>ROUND(Tabla2[[#This Row],[Valor Comercial (US$)]]*Tabla2[[#This Row],[Tipo de Cambio]],-2)</f>
        <v>230000</v>
      </c>
      <c r="Y47" s="244">
        <f>ROUND(Tabla2[[#This Row],[Valor Realización (US$)]]*Tabla2[[#This Row],[Tipo de Cambio]],-2)</f>
        <v>184100</v>
      </c>
      <c r="Z47" s="244">
        <f>+ROUND(Tabla2[[#This Row],[Importe Asegurable (US$)]]*Tabla2[[#This Row],[Tipo de Cambio]],-2)</f>
        <v>230000</v>
      </c>
      <c r="AA47" s="245"/>
      <c r="AB47" s="2">
        <f>+Tabla2[[#This Row],[Valor Comercial (US$)]]/Tabla2[[#This Row],[Área techada (m²)4]]</f>
        <v>1050.4587155963302</v>
      </c>
      <c r="AC4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47" s="1" t="s">
        <v>48</v>
      </c>
      <c r="AE47" s="222">
        <f>IF(Tabla2[[#This Row],[Moneda]]="Soles",Tabla2[[#This Row],[Valor de Venta]]/Tabla2[[#This Row],[Área techada (m²)]]/Tabla2[[#This Row],[Tipo de Cambio]],Tabla2[[#This Row],[Valor de Venta]]/Tabla2[[#This Row],[Área techada (m²)]])</f>
        <v>1020.9664631584332</v>
      </c>
      <c r="AF47" s="347">
        <f>VLOOKUP(Tabla2[[#This Row],[VISTA]],DATA!$H$4:$I$17,2,FALSE)</f>
        <v>1050</v>
      </c>
      <c r="AG47" s="221">
        <f>+Tabla2[[#This Row],[Valor Comercial (S/.)]]/Tabla2[[#This Row],[Valor de Venta]]-1</f>
        <v>2.8852605681055632E-2</v>
      </c>
    </row>
    <row r="48" spans="1:33" s="1" customFormat="1" ht="15" customHeight="1" x14ac:dyDescent="0.25">
      <c r="A48" s="225" t="s">
        <v>30</v>
      </c>
      <c r="B48" s="22">
        <v>505</v>
      </c>
      <c r="C48" s="14">
        <v>5</v>
      </c>
      <c r="D48" s="27"/>
      <c r="E48" s="30"/>
      <c r="F48" s="12">
        <f>ROUND(Tabla2[[#This Row],[Área ocupada (m²)]]/20*1.4,2)</f>
        <v>4.58</v>
      </c>
      <c r="G48" s="12">
        <v>65.400000000000006</v>
      </c>
      <c r="H48" s="12">
        <v>65.400000000000006</v>
      </c>
      <c r="I48" s="12">
        <f>ROUND(Tabla2[[#This Row],[Área techada (m²)]]*0.15,2)</f>
        <v>9.81</v>
      </c>
      <c r="J48" s="18" t="s">
        <v>33</v>
      </c>
      <c r="K48" s="7">
        <v>220550</v>
      </c>
      <c r="L48" s="240">
        <f>ROUND(Tabla2[[#This Row],[Área ocupada (m²)3]]/20*1.4,2)</f>
        <v>4.58</v>
      </c>
      <c r="M48" s="240">
        <f>ROUND(Tabla2[[#This Row],[Área ocupada (m²)]],2)</f>
        <v>65.400000000000006</v>
      </c>
      <c r="N48" s="240">
        <f>ROUND(Tabla2[[#This Row],[Área techada (m²)]],2)</f>
        <v>65.400000000000006</v>
      </c>
      <c r="O48" s="243">
        <f>ROUND(Tabla2[[#This Row],[Área techada (m²)4]]*0.15,2)</f>
        <v>9.81</v>
      </c>
      <c r="P48" s="6">
        <f>ROUND(Tabla2[[#This Row],[Área del terreno (m²)2]]*DATA!$F$4,-2)</f>
        <v>3200</v>
      </c>
      <c r="Q48" s="243">
        <f>+Tabla2[[#This Row],[Valor Comercial (US$)]]-Tabla2[[#This Row],[Valor del terreno (US$)]]</f>
        <v>65500</v>
      </c>
      <c r="R4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68700</v>
      </c>
      <c r="S48" s="244">
        <f>ROUND(Tabla2[[#This Row],[Valor Comercial (US$)]]*0.8,-2)</f>
        <v>55000</v>
      </c>
      <c r="T48" s="244">
        <f>IF(Informe!$I$6=DATA!$B$4,R48,ROUND(Tabla2[[#This Row],[Área techada (m²)4]]*DATA!$F$5*1.15,-2))</f>
        <v>68700</v>
      </c>
      <c r="U48" s="8">
        <f t="shared" si="0"/>
        <v>3.3479999999999999</v>
      </c>
      <c r="V48" s="244">
        <f>ROUND(Tabla2[[#This Row],[Valor del terreno (US$)]]*Tabla2[[#This Row],[Tipo de Cambio]],-2)</f>
        <v>10700</v>
      </c>
      <c r="W48" s="244">
        <f>Tabla2[[#This Row],[Valor Comercial (S/.)]]-Tabla2[[#This Row],[Valor del terreno (S/.)]]</f>
        <v>219300</v>
      </c>
      <c r="X48" s="244">
        <f>ROUND(Tabla2[[#This Row],[Valor Comercial (US$)]]*Tabla2[[#This Row],[Tipo de Cambio]],-2)</f>
        <v>230000</v>
      </c>
      <c r="Y48" s="244">
        <f>ROUND(Tabla2[[#This Row],[Valor Realización (US$)]]*Tabla2[[#This Row],[Tipo de Cambio]],-2)</f>
        <v>184100</v>
      </c>
      <c r="Z48" s="244">
        <f>+ROUND(Tabla2[[#This Row],[Importe Asegurable (US$)]]*Tabla2[[#This Row],[Tipo de Cambio]],-2)</f>
        <v>230000</v>
      </c>
      <c r="AA48" s="245"/>
      <c r="AB48" s="2">
        <f>+Tabla2[[#This Row],[Valor Comercial (US$)]]/Tabla2[[#This Row],[Área techada (m²)4]]</f>
        <v>1050.4587155963302</v>
      </c>
      <c r="AC4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48" s="1" t="s">
        <v>48</v>
      </c>
      <c r="AE48" s="222">
        <f>IF(Tabla2[[#This Row],[Moneda]]="Soles",Tabla2[[#This Row],[Valor de Venta]]/Tabla2[[#This Row],[Área techada (m²)]]/Tabla2[[#This Row],[Tipo de Cambio]],Tabla2[[#This Row],[Valor de Venta]]/Tabla2[[#This Row],[Área techada (m²)]])</f>
        <v>1007.2652804723436</v>
      </c>
      <c r="AF48" s="347">
        <f>VLOOKUP(Tabla2[[#This Row],[VISTA]],DATA!$H$4:$I$17,2,FALSE)</f>
        <v>1050</v>
      </c>
      <c r="AG48" s="221">
        <f>+Tabla2[[#This Row],[Valor Comercial (S/.)]]/Tabla2[[#This Row],[Valor de Venta]]-1</f>
        <v>4.2847426887327122E-2</v>
      </c>
    </row>
    <row r="49" spans="1:33" s="1" customFormat="1" ht="15" customHeight="1" x14ac:dyDescent="0.25">
      <c r="A49" s="225" t="s">
        <v>30</v>
      </c>
      <c r="B49" s="22">
        <v>506</v>
      </c>
      <c r="C49" s="14">
        <v>5</v>
      </c>
      <c r="D49" s="27"/>
      <c r="E49" s="30"/>
      <c r="F49" s="12">
        <f>ROUND(Tabla2[[#This Row],[Área ocupada (m²)]]/20*1.4,2)</f>
        <v>4.38</v>
      </c>
      <c r="G49" s="12">
        <v>62.5</v>
      </c>
      <c r="H49" s="12">
        <v>62.5</v>
      </c>
      <c r="I49" s="12">
        <f>ROUND(Tabla2[[#This Row],[Área techada (m²)]]*0.15,2)</f>
        <v>9.3800000000000008</v>
      </c>
      <c r="J49" s="18" t="s">
        <v>33</v>
      </c>
      <c r="K49" s="7">
        <v>206750</v>
      </c>
      <c r="L49" s="240">
        <f>ROUND(Tabla2[[#This Row],[Área ocupada (m²)3]]/20*1.4,2)</f>
        <v>4.38</v>
      </c>
      <c r="M49" s="240">
        <f>ROUND(Tabla2[[#This Row],[Área ocupada (m²)]],2)</f>
        <v>62.5</v>
      </c>
      <c r="N49" s="240">
        <f>ROUND(Tabla2[[#This Row],[Área techada (m²)]],2)</f>
        <v>62.5</v>
      </c>
      <c r="O49" s="243">
        <f>ROUND(Tabla2[[#This Row],[Área techada (m²)4]]*0.15,2)</f>
        <v>9.3800000000000008</v>
      </c>
      <c r="P49" s="6">
        <f>ROUND(Tabla2[[#This Row],[Área del terreno (m²)2]]*DATA!$F$4,-2)</f>
        <v>3100</v>
      </c>
      <c r="Q49" s="243">
        <f>+Tabla2[[#This Row],[Valor Comercial (US$)]]-Tabla2[[#This Row],[Valor del terreno (US$)]]</f>
        <v>62500</v>
      </c>
      <c r="R4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65600</v>
      </c>
      <c r="S49" s="244">
        <f>ROUND(Tabla2[[#This Row],[Valor Comercial (US$)]]*0.8,-2)</f>
        <v>52500</v>
      </c>
      <c r="T49" s="244">
        <f>IF(Informe!$I$6=DATA!$B$4,R49,ROUND(Tabla2[[#This Row],[Área techada (m²)4]]*DATA!$F$5*1.15,-2))</f>
        <v>65600</v>
      </c>
      <c r="U49" s="8">
        <f t="shared" si="0"/>
        <v>3.3479999999999999</v>
      </c>
      <c r="V49" s="244">
        <f>ROUND(Tabla2[[#This Row],[Valor del terreno (US$)]]*Tabla2[[#This Row],[Tipo de Cambio]],-2)</f>
        <v>10400</v>
      </c>
      <c r="W49" s="244">
        <f>Tabla2[[#This Row],[Valor Comercial (S/.)]]-Tabla2[[#This Row],[Valor del terreno (S/.)]]</f>
        <v>209200</v>
      </c>
      <c r="X49" s="244">
        <f>ROUND(Tabla2[[#This Row],[Valor Comercial (US$)]]*Tabla2[[#This Row],[Tipo de Cambio]],-2)</f>
        <v>219600</v>
      </c>
      <c r="Y49" s="244">
        <f>ROUND(Tabla2[[#This Row],[Valor Realización (US$)]]*Tabla2[[#This Row],[Tipo de Cambio]],-2)</f>
        <v>175800</v>
      </c>
      <c r="Z49" s="244">
        <f>+ROUND(Tabla2[[#This Row],[Importe Asegurable (US$)]]*Tabla2[[#This Row],[Tipo de Cambio]],-2)</f>
        <v>219600</v>
      </c>
      <c r="AA49" s="245"/>
      <c r="AB49" s="2">
        <f>+Tabla2[[#This Row],[Valor Comercial (US$)]]/Tabla2[[#This Row],[Área techada (m²)4]]</f>
        <v>1049.5999999999999</v>
      </c>
      <c r="AC4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49" s="1" t="s">
        <v>48</v>
      </c>
      <c r="AE49" s="222">
        <f>IF(Tabla2[[#This Row],[Moneda]]="Soles",Tabla2[[#This Row],[Valor de Venta]]/Tabla2[[#This Row],[Área techada (m²)]]/Tabla2[[#This Row],[Tipo de Cambio]],Tabla2[[#This Row],[Valor de Venta]]/Tabla2[[#This Row],[Área techada (m²)]])</f>
        <v>988.05256869773007</v>
      </c>
      <c r="AF49" s="347">
        <f>VLOOKUP(Tabla2[[#This Row],[VISTA]],DATA!$H$4:$I$17,2,FALSE)</f>
        <v>1050</v>
      </c>
      <c r="AG49" s="221">
        <f>+Tabla2[[#This Row],[Valor Comercial (S/.)]]/Tabla2[[#This Row],[Valor de Venta]]-1</f>
        <v>6.2152357920193468E-2</v>
      </c>
    </row>
    <row r="50" spans="1:33" s="1" customFormat="1" ht="15" customHeight="1" x14ac:dyDescent="0.25">
      <c r="A50" s="225" t="s">
        <v>30</v>
      </c>
      <c r="B50" s="22">
        <v>507</v>
      </c>
      <c r="C50" s="14">
        <v>5</v>
      </c>
      <c r="D50" s="34"/>
      <c r="E50" s="30"/>
      <c r="F50" s="12">
        <f>ROUND(Tabla2[[#This Row],[Área ocupada (m²)]]/20*1.4,2)</f>
        <v>4.38</v>
      </c>
      <c r="G50" s="12">
        <v>62.5</v>
      </c>
      <c r="H50" s="12">
        <v>62.5</v>
      </c>
      <c r="I50" s="12">
        <f>ROUND(Tabla2[[#This Row],[Área techada (m²)]]*0.15,2)</f>
        <v>9.3800000000000008</v>
      </c>
      <c r="J50" s="18" t="s">
        <v>33</v>
      </c>
      <c r="K50" s="7">
        <v>196750</v>
      </c>
      <c r="L50" s="240">
        <f>ROUND(Tabla2[[#This Row],[Área ocupada (m²)3]]/20*1.4,2)</f>
        <v>4.38</v>
      </c>
      <c r="M50" s="240">
        <f>ROUND(Tabla2[[#This Row],[Área ocupada (m²)]],2)</f>
        <v>62.5</v>
      </c>
      <c r="N50" s="240">
        <f>ROUND(Tabla2[[#This Row],[Área techada (m²)]],2)</f>
        <v>62.5</v>
      </c>
      <c r="O50" s="243">
        <f>ROUND(Tabla2[[#This Row],[Área techada (m²)4]]*0.15,2)</f>
        <v>9.3800000000000008</v>
      </c>
      <c r="P50" s="6">
        <f>ROUND(Tabla2[[#This Row],[Área del terreno (m²)2]]*DATA!$F$4,-2)</f>
        <v>3100</v>
      </c>
      <c r="Q50" s="243">
        <f>+Tabla2[[#This Row],[Valor Comercial (US$)]]-Tabla2[[#This Row],[Valor del terreno (US$)]]</f>
        <v>59400</v>
      </c>
      <c r="R5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50" s="244">
        <f>ROUND(Tabla2[[#This Row],[Valor Comercial (US$)]]*0.8,-2)</f>
        <v>50000</v>
      </c>
      <c r="T50" s="244">
        <f>IF(Informe!$I$6=DATA!$B$4,R50,ROUND(Tabla2[[#This Row],[Área techada (m²)4]]*DATA!$F$5*1.15,-2))</f>
        <v>62500</v>
      </c>
      <c r="U50" s="8">
        <f t="shared" si="0"/>
        <v>3.3479999999999999</v>
      </c>
      <c r="V50" s="244">
        <f>ROUND(Tabla2[[#This Row],[Valor del terreno (US$)]]*Tabla2[[#This Row],[Tipo de Cambio]],-2)</f>
        <v>10400</v>
      </c>
      <c r="W50" s="244">
        <f>Tabla2[[#This Row],[Valor Comercial (S/.)]]-Tabla2[[#This Row],[Valor del terreno (S/.)]]</f>
        <v>198900</v>
      </c>
      <c r="X50" s="244">
        <f>ROUND(Tabla2[[#This Row],[Valor Comercial (US$)]]*Tabla2[[#This Row],[Tipo de Cambio]],-2)</f>
        <v>209300</v>
      </c>
      <c r="Y50" s="244">
        <f>ROUND(Tabla2[[#This Row],[Valor Realización (US$)]]*Tabla2[[#This Row],[Tipo de Cambio]],-2)</f>
        <v>167400</v>
      </c>
      <c r="Z50" s="244">
        <f>+ROUND(Tabla2[[#This Row],[Importe Asegurable (US$)]]*Tabla2[[#This Row],[Tipo de Cambio]],-2)</f>
        <v>209300</v>
      </c>
      <c r="AA50" s="245"/>
      <c r="AB50" s="2">
        <f>+Tabla2[[#This Row],[Valor Comercial (US$)]]/Tabla2[[#This Row],[Área techada (m²)4]]</f>
        <v>1000</v>
      </c>
      <c r="AC5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50" s="1" t="s">
        <v>49</v>
      </c>
      <c r="AE50" s="222">
        <f>IF(Tabla2[[#This Row],[Moneda]]="Soles",Tabla2[[#This Row],[Valor de Venta]]/Tabla2[[#This Row],[Área techada (m²)]]/Tabla2[[#This Row],[Tipo de Cambio]],Tabla2[[#This Row],[Valor de Venta]]/Tabla2[[#This Row],[Área techada (m²)]])</f>
        <v>940.26284348864999</v>
      </c>
      <c r="AF50" s="347">
        <f>VLOOKUP(Tabla2[[#This Row],[VISTA]],DATA!$H$4:$I$17,2,FALSE)</f>
        <v>1000</v>
      </c>
      <c r="AG50" s="221">
        <f>+Tabla2[[#This Row],[Valor Comercial (S/.)]]/Tabla2[[#This Row],[Valor de Venta]]-1</f>
        <v>6.3786531130876734E-2</v>
      </c>
    </row>
    <row r="51" spans="1:33" s="1" customFormat="1" ht="15" customHeight="1" x14ac:dyDescent="0.25">
      <c r="A51" s="225" t="s">
        <v>30</v>
      </c>
      <c r="B51" s="22">
        <v>508</v>
      </c>
      <c r="C51" s="14">
        <v>5</v>
      </c>
      <c r="D51" s="34"/>
      <c r="E51" s="27"/>
      <c r="F51" s="12">
        <f>ROUND(Tabla2[[#This Row],[Área ocupada (m²)]]/20*1.4,2)</f>
        <v>4.58</v>
      </c>
      <c r="G51" s="12">
        <v>65.400000000000006</v>
      </c>
      <c r="H51" s="12">
        <v>65.400000000000006</v>
      </c>
      <c r="I51" s="12">
        <f>ROUND(Tabla2[[#This Row],[Área techada (m²)]]*0.15,2)</f>
        <v>9.81</v>
      </c>
      <c r="J51" s="18" t="s">
        <v>33</v>
      </c>
      <c r="K51" s="7">
        <v>219550</v>
      </c>
      <c r="L51" s="240">
        <f>ROUND(Tabla2[[#This Row],[Área ocupada (m²)3]]/20*1.4,2)</f>
        <v>4.58</v>
      </c>
      <c r="M51" s="240">
        <f>ROUND(Tabla2[[#This Row],[Área ocupada (m²)]],2)</f>
        <v>65.400000000000006</v>
      </c>
      <c r="N51" s="240">
        <f>ROUND(Tabla2[[#This Row],[Área techada (m²)]],2)</f>
        <v>65.400000000000006</v>
      </c>
      <c r="O51" s="243">
        <f>ROUND(Tabla2[[#This Row],[Área techada (m²)4]]*0.15,2)</f>
        <v>9.81</v>
      </c>
      <c r="P51" s="6">
        <f>ROUND(Tabla2[[#This Row],[Área del terreno (m²)2]]*DATA!$F$4,-2)</f>
        <v>3200</v>
      </c>
      <c r="Q51" s="243">
        <f>+Tabla2[[#This Row],[Valor Comercial (US$)]]-Tabla2[[#This Row],[Valor del terreno (US$)]]</f>
        <v>65500</v>
      </c>
      <c r="R5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68700</v>
      </c>
      <c r="S51" s="244">
        <f>ROUND(Tabla2[[#This Row],[Valor Comercial (US$)]]*0.8,-2)</f>
        <v>55000</v>
      </c>
      <c r="T51" s="244">
        <f>IF(Informe!$I$6=DATA!$B$4,R51,ROUND(Tabla2[[#This Row],[Área techada (m²)4]]*DATA!$F$5*1.15,-2))</f>
        <v>68700</v>
      </c>
      <c r="U51" s="8">
        <f t="shared" si="0"/>
        <v>3.3479999999999999</v>
      </c>
      <c r="V51" s="244">
        <f>ROUND(Tabla2[[#This Row],[Valor del terreno (US$)]]*Tabla2[[#This Row],[Tipo de Cambio]],-2)</f>
        <v>10700</v>
      </c>
      <c r="W51" s="244">
        <f>Tabla2[[#This Row],[Valor Comercial (S/.)]]-Tabla2[[#This Row],[Valor del terreno (S/.)]]</f>
        <v>219300</v>
      </c>
      <c r="X51" s="244">
        <f>ROUND(Tabla2[[#This Row],[Valor Comercial (US$)]]*Tabla2[[#This Row],[Tipo de Cambio]],-2)</f>
        <v>230000</v>
      </c>
      <c r="Y51" s="244">
        <f>ROUND(Tabla2[[#This Row],[Valor Realización (US$)]]*Tabla2[[#This Row],[Tipo de Cambio]],-2)</f>
        <v>184100</v>
      </c>
      <c r="Z51" s="244">
        <f>+ROUND(Tabla2[[#This Row],[Importe Asegurable (US$)]]*Tabla2[[#This Row],[Tipo de Cambio]],-2)</f>
        <v>230000</v>
      </c>
      <c r="AA51" s="245"/>
      <c r="AB51" s="2">
        <f>+Tabla2[[#This Row],[Valor Comercial (US$)]]/Tabla2[[#This Row],[Área techada (m²)4]]</f>
        <v>1050.4587155963302</v>
      </c>
      <c r="AC5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51" s="1" t="s">
        <v>48</v>
      </c>
      <c r="AE51" s="222">
        <f>IF(Tabla2[[#This Row],[Moneda]]="Soles",Tabla2[[#This Row],[Valor de Venta]]/Tabla2[[#This Row],[Área techada (m²)]]/Tabla2[[#This Row],[Tipo de Cambio]],Tabla2[[#This Row],[Valor de Venta]]/Tabla2[[#This Row],[Área techada (m²)]])</f>
        <v>1002.6982195769805</v>
      </c>
      <c r="AF51" s="347">
        <f>VLOOKUP(Tabla2[[#This Row],[VISTA]],DATA!$H$4:$I$17,2,FALSE)</f>
        <v>1050</v>
      </c>
      <c r="AG51" s="221">
        <f>+Tabla2[[#This Row],[Valor Comercial (S/.)]]/Tabla2[[#This Row],[Valor de Venta]]-1</f>
        <v>4.759735823274891E-2</v>
      </c>
    </row>
    <row r="52" spans="1:33" s="1" customFormat="1" ht="15" customHeight="1" x14ac:dyDescent="0.25">
      <c r="A52" s="225" t="s">
        <v>30</v>
      </c>
      <c r="B52" s="22">
        <v>601</v>
      </c>
      <c r="C52" s="14">
        <v>6</v>
      </c>
      <c r="D52" s="35"/>
      <c r="E52" s="29"/>
      <c r="F52" s="12">
        <f>ROUND(Tabla2[[#This Row],[Área ocupada (m²)]]/20*1.4,2)</f>
        <v>4.5599999999999996</v>
      </c>
      <c r="G52" s="12">
        <v>65.2</v>
      </c>
      <c r="H52" s="12">
        <v>65.2</v>
      </c>
      <c r="I52" s="12">
        <f>ROUND(Tabla2[[#This Row],[Área techada (m²)]]*0.15,2)</f>
        <v>9.7799999999999994</v>
      </c>
      <c r="J52" s="18" t="s">
        <v>33</v>
      </c>
      <c r="K52" s="7">
        <v>206850</v>
      </c>
      <c r="L52" s="240">
        <f>ROUND(Tabla2[[#This Row],[Área ocupada (m²)3]]/20*1.4,2)</f>
        <v>4.5599999999999996</v>
      </c>
      <c r="M52" s="240">
        <f>ROUND(Tabla2[[#This Row],[Área ocupada (m²)]],2)</f>
        <v>65.2</v>
      </c>
      <c r="N52" s="240">
        <f>ROUND(Tabla2[[#This Row],[Área techada (m²)]],2)</f>
        <v>65.2</v>
      </c>
      <c r="O52" s="243">
        <f>ROUND(Tabla2[[#This Row],[Área techada (m²)4]]*0.15,2)</f>
        <v>9.7799999999999994</v>
      </c>
      <c r="P52" s="6">
        <f>ROUND(Tabla2[[#This Row],[Área del terreno (m²)2]]*DATA!$F$4,-2)</f>
        <v>3200</v>
      </c>
      <c r="Q52" s="243">
        <f>+Tabla2[[#This Row],[Valor Comercial (US$)]]-Tabla2[[#This Row],[Valor del terreno (US$)]]</f>
        <v>62000</v>
      </c>
      <c r="R5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52" s="244">
        <f>ROUND(Tabla2[[#This Row],[Valor Comercial (US$)]]*0.8,-2)</f>
        <v>52200</v>
      </c>
      <c r="T52" s="244">
        <f>IF(Informe!$I$6=DATA!$B$4,R52,ROUND(Tabla2[[#This Row],[Área techada (m²)4]]*DATA!$F$5*1.15,-2))</f>
        <v>65200</v>
      </c>
      <c r="U52" s="8">
        <f t="shared" si="0"/>
        <v>3.3479999999999999</v>
      </c>
      <c r="V52" s="244">
        <f>ROUND(Tabla2[[#This Row],[Valor del terreno (US$)]]*Tabla2[[#This Row],[Tipo de Cambio]],-2)</f>
        <v>10700</v>
      </c>
      <c r="W52" s="244">
        <f>Tabla2[[#This Row],[Valor Comercial (S/.)]]-Tabla2[[#This Row],[Valor del terreno (S/.)]]</f>
        <v>207600</v>
      </c>
      <c r="X52" s="244">
        <f>ROUND(Tabla2[[#This Row],[Valor Comercial (US$)]]*Tabla2[[#This Row],[Tipo de Cambio]],-2)</f>
        <v>218300</v>
      </c>
      <c r="Y52" s="244">
        <f>ROUND(Tabla2[[#This Row],[Valor Realización (US$)]]*Tabla2[[#This Row],[Tipo de Cambio]],-2)</f>
        <v>174800</v>
      </c>
      <c r="Z52" s="244">
        <f>+ROUND(Tabla2[[#This Row],[Importe Asegurable (US$)]]*Tabla2[[#This Row],[Tipo de Cambio]],-2)</f>
        <v>218300</v>
      </c>
      <c r="AA52" s="245"/>
      <c r="AB52" s="2">
        <f>+Tabla2[[#This Row],[Valor Comercial (US$)]]/Tabla2[[#This Row],[Área techada (m²)4]]</f>
        <v>1000</v>
      </c>
      <c r="AC5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52" s="1" t="s">
        <v>49</v>
      </c>
      <c r="AE52" s="222">
        <f>IF(Tabla2[[#This Row],[Moneda]]="Soles",Tabla2[[#This Row],[Valor de Venta]]/Tabla2[[#This Row],[Área techada (m²)]]/Tabla2[[#This Row],[Tipo de Cambio]],Tabla2[[#This Row],[Valor de Venta]]/Tabla2[[#This Row],[Área techada (m²)]])</f>
        <v>947.59438837214418</v>
      </c>
      <c r="AF52" s="347">
        <f>VLOOKUP(Tabla2[[#This Row],[VISTA]],DATA!$H$4:$I$17,2,FALSE)</f>
        <v>1000</v>
      </c>
      <c r="AG52" s="221">
        <f>+Tabla2[[#This Row],[Valor Comercial (S/.)]]/Tabla2[[#This Row],[Valor de Venta]]-1</f>
        <v>5.5354121343968998E-2</v>
      </c>
    </row>
    <row r="53" spans="1:33" s="1" customFormat="1" ht="15" customHeight="1" x14ac:dyDescent="0.25">
      <c r="A53" s="225" t="s">
        <v>30</v>
      </c>
      <c r="B53" s="22">
        <v>602</v>
      </c>
      <c r="C53" s="14">
        <v>6</v>
      </c>
      <c r="D53" s="35"/>
      <c r="E53" s="29"/>
      <c r="F53" s="12">
        <f>ROUND(Tabla2[[#This Row],[Área ocupada (m²)]]/20*1.4,2)</f>
        <v>4.38</v>
      </c>
      <c r="G53" s="12">
        <v>62.5</v>
      </c>
      <c r="H53" s="12">
        <v>62.5</v>
      </c>
      <c r="I53" s="12">
        <f>ROUND(Tabla2[[#This Row],[Área techada (m²)]]*0.15,2)</f>
        <v>9.3800000000000008</v>
      </c>
      <c r="J53" s="18" t="s">
        <v>33</v>
      </c>
      <c r="K53" s="7">
        <v>191750</v>
      </c>
      <c r="L53" s="240">
        <f>ROUND(Tabla2[[#This Row],[Área ocupada (m²)3]]/20*1.4,2)</f>
        <v>4.38</v>
      </c>
      <c r="M53" s="240">
        <f>ROUND(Tabla2[[#This Row],[Área ocupada (m²)]],2)</f>
        <v>62.5</v>
      </c>
      <c r="N53" s="240">
        <f>ROUND(Tabla2[[#This Row],[Área techada (m²)]],2)</f>
        <v>62.5</v>
      </c>
      <c r="O53" s="243">
        <f>ROUND(Tabla2[[#This Row],[Área techada (m²)4]]*0.15,2)</f>
        <v>9.3800000000000008</v>
      </c>
      <c r="P53" s="6">
        <f>ROUND(Tabla2[[#This Row],[Área del terreno (m²)2]]*DATA!$F$4,-2)</f>
        <v>3100</v>
      </c>
      <c r="Q53" s="243">
        <f>+Tabla2[[#This Row],[Valor Comercial (US$)]]-Tabla2[[#This Row],[Valor del terreno (US$)]]</f>
        <v>56300</v>
      </c>
      <c r="R5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53" s="244">
        <f>ROUND(Tabla2[[#This Row],[Valor Comercial (US$)]]*0.8,-2)</f>
        <v>47500</v>
      </c>
      <c r="T53" s="244">
        <f>IF(Informe!$I$6=DATA!$B$4,R53,ROUND(Tabla2[[#This Row],[Área techada (m²)4]]*DATA!$F$5*1.15,-2))</f>
        <v>59400</v>
      </c>
      <c r="U53" s="8">
        <f t="shared" si="0"/>
        <v>3.3479999999999999</v>
      </c>
      <c r="V53" s="244">
        <f>ROUND(Tabla2[[#This Row],[Valor del terreno (US$)]]*Tabla2[[#This Row],[Tipo de Cambio]],-2)</f>
        <v>10400</v>
      </c>
      <c r="W53" s="244">
        <f>Tabla2[[#This Row],[Valor Comercial (S/.)]]-Tabla2[[#This Row],[Valor del terreno (S/.)]]</f>
        <v>188500</v>
      </c>
      <c r="X53" s="244">
        <f>ROUND(Tabla2[[#This Row],[Valor Comercial (US$)]]*Tabla2[[#This Row],[Tipo de Cambio]],-2)</f>
        <v>198900</v>
      </c>
      <c r="Y53" s="244">
        <f>ROUND(Tabla2[[#This Row],[Valor Realización (US$)]]*Tabla2[[#This Row],[Tipo de Cambio]],-2)</f>
        <v>159000</v>
      </c>
      <c r="Z53" s="244">
        <f>+ROUND(Tabla2[[#This Row],[Importe Asegurable (US$)]]*Tabla2[[#This Row],[Tipo de Cambio]],-2)</f>
        <v>198900</v>
      </c>
      <c r="AA53" s="245"/>
      <c r="AB53" s="2">
        <f>+Tabla2[[#This Row],[Valor Comercial (US$)]]/Tabla2[[#This Row],[Área techada (m²)4]]</f>
        <v>950.4</v>
      </c>
      <c r="AC5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53" s="1" t="s">
        <v>50</v>
      </c>
      <c r="AE53" s="222">
        <f>IF(Tabla2[[#This Row],[Moneda]]="Soles",Tabla2[[#This Row],[Valor de Venta]]/Tabla2[[#This Row],[Área techada (m²)]]/Tabla2[[#This Row],[Tipo de Cambio]],Tabla2[[#This Row],[Valor de Venta]]/Tabla2[[#This Row],[Área techada (m²)]])</f>
        <v>916.3679808841099</v>
      </c>
      <c r="AF53" s="347">
        <f>VLOOKUP(Tabla2[[#This Row],[VISTA]],DATA!$H$4:$I$17,2,FALSE)</f>
        <v>950</v>
      </c>
      <c r="AG53" s="221">
        <f>+Tabla2[[#This Row],[Valor Comercial (S/.)]]/Tabla2[[#This Row],[Valor de Venta]]-1</f>
        <v>3.7288135593220417E-2</v>
      </c>
    </row>
    <row r="54" spans="1:33" s="1" customFormat="1" ht="15" customHeight="1" x14ac:dyDescent="0.25">
      <c r="A54" s="225" t="s">
        <v>30</v>
      </c>
      <c r="B54" s="22">
        <v>603</v>
      </c>
      <c r="C54" s="14">
        <v>6</v>
      </c>
      <c r="D54" s="35"/>
      <c r="E54" s="29"/>
      <c r="F54" s="12">
        <f>ROUND(Tabla2[[#This Row],[Área ocupada (m²)]]/20*1.4,2)</f>
        <v>4.38</v>
      </c>
      <c r="G54" s="12">
        <v>62.5</v>
      </c>
      <c r="H54" s="12">
        <v>62.5</v>
      </c>
      <c r="I54" s="12">
        <f>ROUND(Tabla2[[#This Row],[Área techada (m²)]]*0.15,2)</f>
        <v>9.3800000000000008</v>
      </c>
      <c r="J54" s="18" t="s">
        <v>33</v>
      </c>
      <c r="K54" s="7">
        <v>201750</v>
      </c>
      <c r="L54" s="240">
        <f>ROUND(Tabla2[[#This Row],[Área ocupada (m²)3]]/20*1.4,2)</f>
        <v>4.38</v>
      </c>
      <c r="M54" s="240">
        <f>ROUND(Tabla2[[#This Row],[Área ocupada (m²)]],2)</f>
        <v>62.5</v>
      </c>
      <c r="N54" s="240">
        <f>ROUND(Tabla2[[#This Row],[Área techada (m²)]],2)</f>
        <v>62.5</v>
      </c>
      <c r="O54" s="243">
        <f>ROUND(Tabla2[[#This Row],[Área techada (m²)4]]*0.15,2)</f>
        <v>9.3800000000000008</v>
      </c>
      <c r="P54" s="6">
        <f>ROUND(Tabla2[[#This Row],[Área del terreno (m²)2]]*DATA!$F$4,-2)</f>
        <v>3100</v>
      </c>
      <c r="Q54" s="243">
        <f>+Tabla2[[#This Row],[Valor Comercial (US$)]]-Tabla2[[#This Row],[Valor del terreno (US$)]]</f>
        <v>59400</v>
      </c>
      <c r="R5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54" s="244">
        <f>ROUND(Tabla2[[#This Row],[Valor Comercial (US$)]]*0.8,-2)</f>
        <v>50000</v>
      </c>
      <c r="T54" s="244">
        <f>IF(Informe!$I$6=DATA!$B$4,R54,ROUND(Tabla2[[#This Row],[Área techada (m²)4]]*DATA!$F$5*1.15,-2))</f>
        <v>62500</v>
      </c>
      <c r="U54" s="8">
        <f t="shared" si="0"/>
        <v>3.3479999999999999</v>
      </c>
      <c r="V54" s="244">
        <f>ROUND(Tabla2[[#This Row],[Valor del terreno (US$)]]*Tabla2[[#This Row],[Tipo de Cambio]],-2)</f>
        <v>10400</v>
      </c>
      <c r="W54" s="244">
        <f>Tabla2[[#This Row],[Valor Comercial (S/.)]]-Tabla2[[#This Row],[Valor del terreno (S/.)]]</f>
        <v>198900</v>
      </c>
      <c r="X54" s="244">
        <f>ROUND(Tabla2[[#This Row],[Valor Comercial (US$)]]*Tabla2[[#This Row],[Tipo de Cambio]],-2)</f>
        <v>209300</v>
      </c>
      <c r="Y54" s="244">
        <f>ROUND(Tabla2[[#This Row],[Valor Realización (US$)]]*Tabla2[[#This Row],[Tipo de Cambio]],-2)</f>
        <v>167400</v>
      </c>
      <c r="Z54" s="244">
        <f>+ROUND(Tabla2[[#This Row],[Importe Asegurable (US$)]]*Tabla2[[#This Row],[Tipo de Cambio]],-2)</f>
        <v>209300</v>
      </c>
      <c r="AA54" s="245"/>
      <c r="AB54" s="2">
        <f>+Tabla2[[#This Row],[Valor Comercial (US$)]]/Tabla2[[#This Row],[Área techada (m²)4]]</f>
        <v>1000</v>
      </c>
      <c r="AC5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54" s="1" t="s">
        <v>49</v>
      </c>
      <c r="AE54" s="222">
        <f>IF(Tabla2[[#This Row],[Moneda]]="Soles",Tabla2[[#This Row],[Valor de Venta]]/Tabla2[[#This Row],[Área techada (m²)]]/Tabla2[[#This Row],[Tipo de Cambio]],Tabla2[[#This Row],[Valor de Venta]]/Tabla2[[#This Row],[Área techada (m²)]])</f>
        <v>964.15770609318997</v>
      </c>
      <c r="AF54" s="347">
        <f>VLOOKUP(Tabla2[[#This Row],[VISTA]],DATA!$H$4:$I$17,2,FALSE)</f>
        <v>1000</v>
      </c>
      <c r="AG54" s="221">
        <f>+Tabla2[[#This Row],[Valor Comercial (S/.)]]/Tabla2[[#This Row],[Valor de Venta]]-1</f>
        <v>3.7422552664188258E-2</v>
      </c>
    </row>
    <row r="55" spans="1:33" s="1" customFormat="1" ht="15" customHeight="1" x14ac:dyDescent="0.25">
      <c r="A55" s="225" t="s">
        <v>30</v>
      </c>
      <c r="B55" s="22">
        <v>604</v>
      </c>
      <c r="C55" s="14">
        <v>6</v>
      </c>
      <c r="D55" s="35"/>
      <c r="E55" s="29"/>
      <c r="F55" s="12">
        <f>ROUND(Tabla2[[#This Row],[Área ocupada (m²)]]/20*1.4,2)</f>
        <v>4.5599999999999996</v>
      </c>
      <c r="G55" s="12">
        <v>65.2</v>
      </c>
      <c r="H55" s="12">
        <v>65.2</v>
      </c>
      <c r="I55" s="12">
        <f>ROUND(Tabla2[[#This Row],[Área techada (m²)]]*0.15,2)</f>
        <v>9.7799999999999994</v>
      </c>
      <c r="J55" s="18" t="s">
        <v>33</v>
      </c>
      <c r="K55" s="7">
        <v>220850</v>
      </c>
      <c r="L55" s="240">
        <f>ROUND(Tabla2[[#This Row],[Área ocupada (m²)3]]/20*1.4,2)</f>
        <v>4.5599999999999996</v>
      </c>
      <c r="M55" s="240">
        <f>ROUND(Tabla2[[#This Row],[Área ocupada (m²)]],2)</f>
        <v>65.2</v>
      </c>
      <c r="N55" s="240">
        <f>ROUND(Tabla2[[#This Row],[Área techada (m²)]],2)</f>
        <v>65.2</v>
      </c>
      <c r="O55" s="243">
        <f>ROUND(Tabla2[[#This Row],[Área techada (m²)4]]*0.15,2)</f>
        <v>9.7799999999999994</v>
      </c>
      <c r="P55" s="6">
        <f>ROUND(Tabla2[[#This Row],[Área del terreno (m²)2]]*DATA!$F$4,-2)</f>
        <v>3200</v>
      </c>
      <c r="Q55" s="243">
        <f>+Tabla2[[#This Row],[Valor Comercial (US$)]]-Tabla2[[#This Row],[Valor del terreno (US$)]]</f>
        <v>65300</v>
      </c>
      <c r="R5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68500</v>
      </c>
      <c r="S55" s="244">
        <f>ROUND(Tabla2[[#This Row],[Valor Comercial (US$)]]*0.8,-2)</f>
        <v>54800</v>
      </c>
      <c r="T55" s="244">
        <f>IF(Informe!$I$6=DATA!$B$4,R55,ROUND(Tabla2[[#This Row],[Área techada (m²)4]]*DATA!$F$5*1.15,-2))</f>
        <v>68500</v>
      </c>
      <c r="U55" s="8">
        <f t="shared" si="0"/>
        <v>3.3479999999999999</v>
      </c>
      <c r="V55" s="244">
        <f>ROUND(Tabla2[[#This Row],[Valor del terreno (US$)]]*Tabla2[[#This Row],[Tipo de Cambio]],-2)</f>
        <v>10700</v>
      </c>
      <c r="W55" s="244">
        <f>Tabla2[[#This Row],[Valor Comercial (S/.)]]-Tabla2[[#This Row],[Valor del terreno (S/.)]]</f>
        <v>218600</v>
      </c>
      <c r="X55" s="244">
        <f>ROUND(Tabla2[[#This Row],[Valor Comercial (US$)]]*Tabla2[[#This Row],[Tipo de Cambio]],-2)</f>
        <v>229300</v>
      </c>
      <c r="Y55" s="244">
        <f>ROUND(Tabla2[[#This Row],[Valor Realización (US$)]]*Tabla2[[#This Row],[Tipo de Cambio]],-2)</f>
        <v>183500</v>
      </c>
      <c r="Z55" s="244">
        <f>+ROUND(Tabla2[[#This Row],[Importe Asegurable (US$)]]*Tabla2[[#This Row],[Tipo de Cambio]],-2)</f>
        <v>229300</v>
      </c>
      <c r="AA55" s="245"/>
      <c r="AB55" s="2">
        <f>+Tabla2[[#This Row],[Valor Comercial (US$)]]/Tabla2[[#This Row],[Área techada (m²)4]]</f>
        <v>1050.6134969325153</v>
      </c>
      <c r="AC5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55" s="1" t="s">
        <v>48</v>
      </c>
      <c r="AE55" s="222">
        <f>IF(Tabla2[[#This Row],[Moneda]]="Soles",Tabla2[[#This Row],[Valor de Venta]]/Tabla2[[#This Row],[Área techada (m²)]]/Tabla2[[#This Row],[Tipo de Cambio]],Tabla2[[#This Row],[Valor de Venta]]/Tabla2[[#This Row],[Área techada (m²)]])</f>
        <v>1011.7293723567225</v>
      </c>
      <c r="AF55" s="347">
        <f>VLOOKUP(Tabla2[[#This Row],[VISTA]],DATA!$H$4:$I$17,2,FALSE)</f>
        <v>1050</v>
      </c>
      <c r="AG55" s="221">
        <f>+Tabla2[[#This Row],[Valor Comercial (S/.)]]/Tabla2[[#This Row],[Valor de Venta]]-1</f>
        <v>3.8261263300882975E-2</v>
      </c>
    </row>
    <row r="56" spans="1:33" s="1" customFormat="1" ht="15" customHeight="1" x14ac:dyDescent="0.25">
      <c r="A56" s="225" t="s">
        <v>30</v>
      </c>
      <c r="B56" s="22">
        <v>605</v>
      </c>
      <c r="C56" s="14">
        <v>6</v>
      </c>
      <c r="D56" s="35"/>
      <c r="E56" s="29"/>
      <c r="F56" s="12">
        <f>ROUND(Tabla2[[#This Row],[Área ocupada (m²)]]/20*1.4,2)</f>
        <v>4.5599999999999996</v>
      </c>
      <c r="G56" s="12">
        <v>65.2</v>
      </c>
      <c r="H56" s="12">
        <v>65.2</v>
      </c>
      <c r="I56" s="12">
        <f>ROUND(Tabla2[[#This Row],[Área techada (m²)]]*0.15,2)</f>
        <v>9.7799999999999994</v>
      </c>
      <c r="J56" s="18" t="s">
        <v>33</v>
      </c>
      <c r="K56" s="7">
        <v>217850</v>
      </c>
      <c r="L56" s="240">
        <f>ROUND(Tabla2[[#This Row],[Área ocupada (m²)3]]/20*1.4,2)</f>
        <v>4.5599999999999996</v>
      </c>
      <c r="M56" s="240">
        <f>ROUND(Tabla2[[#This Row],[Área ocupada (m²)]],2)</f>
        <v>65.2</v>
      </c>
      <c r="N56" s="240">
        <f>ROUND(Tabla2[[#This Row],[Área techada (m²)]],2)</f>
        <v>65.2</v>
      </c>
      <c r="O56" s="243">
        <f>ROUND(Tabla2[[#This Row],[Área techada (m²)4]]*0.15,2)</f>
        <v>9.7799999999999994</v>
      </c>
      <c r="P56" s="6">
        <f>ROUND(Tabla2[[#This Row],[Área del terreno (m²)2]]*DATA!$F$4,-2)</f>
        <v>3200</v>
      </c>
      <c r="Q56" s="243">
        <f>+Tabla2[[#This Row],[Valor Comercial (US$)]]-Tabla2[[#This Row],[Valor del terreno (US$)]]</f>
        <v>65300</v>
      </c>
      <c r="R5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68500</v>
      </c>
      <c r="S56" s="244">
        <f>ROUND(Tabla2[[#This Row],[Valor Comercial (US$)]]*0.8,-2)</f>
        <v>54800</v>
      </c>
      <c r="T56" s="244">
        <f>IF(Informe!$I$6=DATA!$B$4,R56,ROUND(Tabla2[[#This Row],[Área techada (m²)4]]*DATA!$F$5*1.15,-2))</f>
        <v>68500</v>
      </c>
      <c r="U56" s="8">
        <f t="shared" si="0"/>
        <v>3.3479999999999999</v>
      </c>
      <c r="V56" s="244">
        <f>ROUND(Tabla2[[#This Row],[Valor del terreno (US$)]]*Tabla2[[#This Row],[Tipo de Cambio]],-2)</f>
        <v>10700</v>
      </c>
      <c r="W56" s="244">
        <f>Tabla2[[#This Row],[Valor Comercial (S/.)]]-Tabla2[[#This Row],[Valor del terreno (S/.)]]</f>
        <v>218600</v>
      </c>
      <c r="X56" s="244">
        <f>ROUND(Tabla2[[#This Row],[Valor Comercial (US$)]]*Tabla2[[#This Row],[Tipo de Cambio]],-2)</f>
        <v>229300</v>
      </c>
      <c r="Y56" s="244">
        <f>ROUND(Tabla2[[#This Row],[Valor Realización (US$)]]*Tabla2[[#This Row],[Tipo de Cambio]],-2)</f>
        <v>183500</v>
      </c>
      <c r="Z56" s="244">
        <f>+ROUND(Tabla2[[#This Row],[Importe Asegurable (US$)]]*Tabla2[[#This Row],[Tipo de Cambio]],-2)</f>
        <v>229300</v>
      </c>
      <c r="AA56" s="245"/>
      <c r="AB56" s="2">
        <f>+Tabla2[[#This Row],[Valor Comercial (US$)]]/Tabla2[[#This Row],[Área techada (m²)4]]</f>
        <v>1050.6134969325153</v>
      </c>
      <c r="AC5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56" s="1" t="s">
        <v>48</v>
      </c>
      <c r="AE56" s="222">
        <f>IF(Tabla2[[#This Row],[Moneda]]="Soles",Tabla2[[#This Row],[Valor de Venta]]/Tabla2[[#This Row],[Área techada (m²)]]/Tabla2[[#This Row],[Tipo de Cambio]],Tabla2[[#This Row],[Valor de Venta]]/Tabla2[[#This Row],[Área techada (m²)]])</f>
        <v>997.98616150288422</v>
      </c>
      <c r="AF56" s="347">
        <f>VLOOKUP(Tabla2[[#This Row],[VISTA]],DATA!$H$4:$I$17,2,FALSE)</f>
        <v>1050</v>
      </c>
      <c r="AG56" s="221">
        <f>+Tabla2[[#This Row],[Valor Comercial (S/.)]]/Tabla2[[#This Row],[Valor de Venta]]-1</f>
        <v>5.255910029837052E-2</v>
      </c>
    </row>
    <row r="57" spans="1:33" s="1" customFormat="1" ht="15" customHeight="1" x14ac:dyDescent="0.25">
      <c r="A57" s="225" t="s">
        <v>30</v>
      </c>
      <c r="B57" s="22">
        <v>606</v>
      </c>
      <c r="C57" s="14">
        <v>6</v>
      </c>
      <c r="D57" s="35"/>
      <c r="E57" s="29"/>
      <c r="F57" s="12">
        <f>ROUND(Tabla2[[#This Row],[Área ocupada (m²)]]/20*1.4,2)</f>
        <v>4.38</v>
      </c>
      <c r="G57" s="12">
        <v>62.5</v>
      </c>
      <c r="H57" s="12">
        <v>62.5</v>
      </c>
      <c r="I57" s="12">
        <f>ROUND(Tabla2[[#This Row],[Área techada (m²)]]*0.15,2)</f>
        <v>9.3800000000000008</v>
      </c>
      <c r="J57" s="18" t="s">
        <v>33</v>
      </c>
      <c r="K57" s="7">
        <v>204750</v>
      </c>
      <c r="L57" s="240">
        <f>ROUND(Tabla2[[#This Row],[Área ocupada (m²)3]]/20*1.4,2)</f>
        <v>4.38</v>
      </c>
      <c r="M57" s="240">
        <f>ROUND(Tabla2[[#This Row],[Área ocupada (m²)]],2)</f>
        <v>62.5</v>
      </c>
      <c r="N57" s="240">
        <f>ROUND(Tabla2[[#This Row],[Área techada (m²)]],2)</f>
        <v>62.5</v>
      </c>
      <c r="O57" s="243">
        <f>ROUND(Tabla2[[#This Row],[Área techada (m²)4]]*0.15,2)</f>
        <v>9.3800000000000008</v>
      </c>
      <c r="P57" s="6">
        <f>ROUND(Tabla2[[#This Row],[Área del terreno (m²)2]]*DATA!$F$4,-2)</f>
        <v>3100</v>
      </c>
      <c r="Q57" s="243">
        <f>+Tabla2[[#This Row],[Valor Comercial (US$)]]-Tabla2[[#This Row],[Valor del terreno (US$)]]</f>
        <v>62500</v>
      </c>
      <c r="R5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65600</v>
      </c>
      <c r="S57" s="244">
        <f>ROUND(Tabla2[[#This Row],[Valor Comercial (US$)]]*0.8,-2)</f>
        <v>52500</v>
      </c>
      <c r="T57" s="244">
        <f>IF(Informe!$I$6=DATA!$B$4,R57,ROUND(Tabla2[[#This Row],[Área techada (m²)4]]*DATA!$F$5*1.15,-2))</f>
        <v>65600</v>
      </c>
      <c r="U57" s="8">
        <f t="shared" si="0"/>
        <v>3.3479999999999999</v>
      </c>
      <c r="V57" s="244">
        <f>ROUND(Tabla2[[#This Row],[Valor del terreno (US$)]]*Tabla2[[#This Row],[Tipo de Cambio]],-2)</f>
        <v>10400</v>
      </c>
      <c r="W57" s="244">
        <f>Tabla2[[#This Row],[Valor Comercial (S/.)]]-Tabla2[[#This Row],[Valor del terreno (S/.)]]</f>
        <v>209200</v>
      </c>
      <c r="X57" s="244">
        <f>ROUND(Tabla2[[#This Row],[Valor Comercial (US$)]]*Tabla2[[#This Row],[Tipo de Cambio]],-2)</f>
        <v>219600</v>
      </c>
      <c r="Y57" s="244">
        <f>ROUND(Tabla2[[#This Row],[Valor Realización (US$)]]*Tabla2[[#This Row],[Tipo de Cambio]],-2)</f>
        <v>175800</v>
      </c>
      <c r="Z57" s="244">
        <f>+ROUND(Tabla2[[#This Row],[Importe Asegurable (US$)]]*Tabla2[[#This Row],[Tipo de Cambio]],-2)</f>
        <v>219600</v>
      </c>
      <c r="AA57" s="245"/>
      <c r="AB57" s="2">
        <f>+Tabla2[[#This Row],[Valor Comercial (US$)]]/Tabla2[[#This Row],[Área techada (m²)4]]</f>
        <v>1049.5999999999999</v>
      </c>
      <c r="AC5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57" s="1" t="s">
        <v>48</v>
      </c>
      <c r="AE57" s="222">
        <f>IF(Tabla2[[#This Row],[Moneda]]="Soles",Tabla2[[#This Row],[Valor de Venta]]/Tabla2[[#This Row],[Área techada (m²)]]/Tabla2[[#This Row],[Tipo de Cambio]],Tabla2[[#This Row],[Valor de Venta]]/Tabla2[[#This Row],[Área techada (m²)]])</f>
        <v>978.49462365591398</v>
      </c>
      <c r="AF57" s="347">
        <f>VLOOKUP(Tabla2[[#This Row],[VISTA]],DATA!$H$4:$I$17,2,FALSE)</f>
        <v>1050</v>
      </c>
      <c r="AG57" s="221">
        <f>+Tabla2[[#This Row],[Valor Comercial (S/.)]]/Tabla2[[#This Row],[Valor de Venta]]-1</f>
        <v>7.2527472527472492E-2</v>
      </c>
    </row>
    <row r="58" spans="1:33" s="1" customFormat="1" ht="15" customHeight="1" x14ac:dyDescent="0.25">
      <c r="A58" s="225" t="s">
        <v>30</v>
      </c>
      <c r="B58" s="22">
        <v>607</v>
      </c>
      <c r="C58" s="14">
        <v>6</v>
      </c>
      <c r="D58" s="36"/>
      <c r="E58" s="29"/>
      <c r="F58" s="12">
        <f>ROUND(Tabla2[[#This Row],[Área ocupada (m²)]]/20*1.4,2)</f>
        <v>4.38</v>
      </c>
      <c r="G58" s="12">
        <v>62.5</v>
      </c>
      <c r="H58" s="12">
        <v>62.5</v>
      </c>
      <c r="I58" s="12">
        <f>ROUND(Tabla2[[#This Row],[Área techada (m²)]]*0.15,2)</f>
        <v>9.3800000000000008</v>
      </c>
      <c r="J58" s="18" t="s">
        <v>33</v>
      </c>
      <c r="K58" s="7">
        <v>192750</v>
      </c>
      <c r="L58" s="240">
        <f>ROUND(Tabla2[[#This Row],[Área ocupada (m²)3]]/20*1.4,2)</f>
        <v>4.38</v>
      </c>
      <c r="M58" s="240">
        <f>ROUND(Tabla2[[#This Row],[Área ocupada (m²)]],2)</f>
        <v>62.5</v>
      </c>
      <c r="N58" s="240">
        <f>ROUND(Tabla2[[#This Row],[Área techada (m²)]],2)</f>
        <v>62.5</v>
      </c>
      <c r="O58" s="243">
        <f>ROUND(Tabla2[[#This Row],[Área techada (m²)4]]*0.15,2)</f>
        <v>9.3800000000000008</v>
      </c>
      <c r="P58" s="6">
        <f>ROUND(Tabla2[[#This Row],[Área del terreno (m²)2]]*DATA!$F$4,-2)</f>
        <v>3100</v>
      </c>
      <c r="Q58" s="243">
        <f>+Tabla2[[#This Row],[Valor Comercial (US$)]]-Tabla2[[#This Row],[Valor del terreno (US$)]]</f>
        <v>56300</v>
      </c>
      <c r="R5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58" s="244">
        <f>ROUND(Tabla2[[#This Row],[Valor Comercial (US$)]]*0.8,-2)</f>
        <v>47500</v>
      </c>
      <c r="T58" s="244">
        <f>IF(Informe!$I$6=DATA!$B$4,R58,ROUND(Tabla2[[#This Row],[Área techada (m²)4]]*DATA!$F$5*1.15,-2))</f>
        <v>59400</v>
      </c>
      <c r="U58" s="8">
        <f t="shared" si="0"/>
        <v>3.3479999999999999</v>
      </c>
      <c r="V58" s="244">
        <f>ROUND(Tabla2[[#This Row],[Valor del terreno (US$)]]*Tabla2[[#This Row],[Tipo de Cambio]],-2)</f>
        <v>10400</v>
      </c>
      <c r="W58" s="244">
        <f>Tabla2[[#This Row],[Valor Comercial (S/.)]]-Tabla2[[#This Row],[Valor del terreno (S/.)]]</f>
        <v>188500</v>
      </c>
      <c r="X58" s="244">
        <f>ROUND(Tabla2[[#This Row],[Valor Comercial (US$)]]*Tabla2[[#This Row],[Tipo de Cambio]],-2)</f>
        <v>198900</v>
      </c>
      <c r="Y58" s="244">
        <f>ROUND(Tabla2[[#This Row],[Valor Realización (US$)]]*Tabla2[[#This Row],[Tipo de Cambio]],-2)</f>
        <v>159000</v>
      </c>
      <c r="Z58" s="244">
        <f>+ROUND(Tabla2[[#This Row],[Importe Asegurable (US$)]]*Tabla2[[#This Row],[Tipo de Cambio]],-2)</f>
        <v>198900</v>
      </c>
      <c r="AA58" s="245"/>
      <c r="AB58" s="2">
        <f>+Tabla2[[#This Row],[Valor Comercial (US$)]]/Tabla2[[#This Row],[Área techada (m²)4]]</f>
        <v>950.4</v>
      </c>
      <c r="AC5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58" s="1" t="s">
        <v>50</v>
      </c>
      <c r="AE58" s="222">
        <f>IF(Tabla2[[#This Row],[Moneda]]="Soles",Tabla2[[#This Row],[Valor de Venta]]/Tabla2[[#This Row],[Área techada (m²)]]/Tabla2[[#This Row],[Tipo de Cambio]],Tabla2[[#This Row],[Valor de Venta]]/Tabla2[[#This Row],[Área techada (m²)]])</f>
        <v>921.14695340501794</v>
      </c>
      <c r="AF58" s="347">
        <f>VLOOKUP(Tabla2[[#This Row],[VISTA]],DATA!$H$4:$I$17,2,FALSE)</f>
        <v>950</v>
      </c>
      <c r="AG58" s="221">
        <f>+Tabla2[[#This Row],[Valor Comercial (S/.)]]/Tabla2[[#This Row],[Valor de Venta]]-1</f>
        <v>3.1906614785992327E-2</v>
      </c>
    </row>
    <row r="59" spans="1:33" s="1" customFormat="1" ht="15" customHeight="1" x14ac:dyDescent="0.25">
      <c r="A59" s="225" t="s">
        <v>30</v>
      </c>
      <c r="B59" s="22">
        <v>608</v>
      </c>
      <c r="C59" s="14">
        <v>6</v>
      </c>
      <c r="D59" s="35"/>
      <c r="E59" s="29"/>
      <c r="F59" s="12">
        <f>ROUND(Tabla2[[#This Row],[Área ocupada (m²)]]/20*1.4,2)</f>
        <v>4.5599999999999996</v>
      </c>
      <c r="G59" s="12">
        <v>65.2</v>
      </c>
      <c r="H59" s="12">
        <v>65.2</v>
      </c>
      <c r="I59" s="12">
        <f>ROUND(Tabla2[[#This Row],[Área techada (m²)]]*0.15,2)</f>
        <v>9.7799999999999994</v>
      </c>
      <c r="J59" s="18" t="s">
        <v>33</v>
      </c>
      <c r="K59" s="7">
        <v>216850</v>
      </c>
      <c r="L59" s="240">
        <f>ROUND(Tabla2[[#This Row],[Área ocupada (m²)3]]/20*1.4,2)</f>
        <v>4.5599999999999996</v>
      </c>
      <c r="M59" s="240">
        <f>ROUND(Tabla2[[#This Row],[Área ocupada (m²)]],2)</f>
        <v>65.2</v>
      </c>
      <c r="N59" s="240">
        <f>ROUND(Tabla2[[#This Row],[Área techada (m²)]],2)</f>
        <v>65.2</v>
      </c>
      <c r="O59" s="243">
        <f>ROUND(Tabla2[[#This Row],[Área techada (m²)4]]*0.15,2)</f>
        <v>9.7799999999999994</v>
      </c>
      <c r="P59" s="6">
        <f>ROUND(Tabla2[[#This Row],[Área del terreno (m²)2]]*DATA!$F$4,-2)</f>
        <v>3200</v>
      </c>
      <c r="Q59" s="243">
        <f>+Tabla2[[#This Row],[Valor Comercial (US$)]]-Tabla2[[#This Row],[Valor del terreno (US$)]]</f>
        <v>65300</v>
      </c>
      <c r="R5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68500</v>
      </c>
      <c r="S59" s="244">
        <f>ROUND(Tabla2[[#This Row],[Valor Comercial (US$)]]*0.8,-2)</f>
        <v>54800</v>
      </c>
      <c r="T59" s="244">
        <f>IF(Informe!$I$6=DATA!$B$4,R59,ROUND(Tabla2[[#This Row],[Área techada (m²)4]]*DATA!$F$5*1.15,-2))</f>
        <v>68500</v>
      </c>
      <c r="U59" s="8">
        <f t="shared" si="0"/>
        <v>3.3479999999999999</v>
      </c>
      <c r="V59" s="244">
        <f>ROUND(Tabla2[[#This Row],[Valor del terreno (US$)]]*Tabla2[[#This Row],[Tipo de Cambio]],-2)</f>
        <v>10700</v>
      </c>
      <c r="W59" s="244">
        <f>Tabla2[[#This Row],[Valor Comercial (S/.)]]-Tabla2[[#This Row],[Valor del terreno (S/.)]]</f>
        <v>218600</v>
      </c>
      <c r="X59" s="244">
        <f>ROUND(Tabla2[[#This Row],[Valor Comercial (US$)]]*Tabla2[[#This Row],[Tipo de Cambio]],-2)</f>
        <v>229300</v>
      </c>
      <c r="Y59" s="244">
        <f>ROUND(Tabla2[[#This Row],[Valor Realización (US$)]]*Tabla2[[#This Row],[Tipo de Cambio]],-2)</f>
        <v>183500</v>
      </c>
      <c r="Z59" s="244">
        <f>+ROUND(Tabla2[[#This Row],[Importe Asegurable (US$)]]*Tabla2[[#This Row],[Tipo de Cambio]],-2)</f>
        <v>229300</v>
      </c>
      <c r="AA59" s="245"/>
      <c r="AB59" s="2">
        <f>+Tabla2[[#This Row],[Valor Comercial (US$)]]/Tabla2[[#This Row],[Área techada (m²)4]]</f>
        <v>1050.6134969325153</v>
      </c>
      <c r="AC5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59" s="1" t="s">
        <v>48</v>
      </c>
      <c r="AE59" s="222">
        <f>IF(Tabla2[[#This Row],[Moneda]]="Soles",Tabla2[[#This Row],[Valor de Venta]]/Tabla2[[#This Row],[Área techada (m²)]]/Tabla2[[#This Row],[Tipo de Cambio]],Tabla2[[#This Row],[Valor de Venta]]/Tabla2[[#This Row],[Área techada (m²)]])</f>
        <v>993.40509121827142</v>
      </c>
      <c r="AF59" s="347">
        <f>VLOOKUP(Tabla2[[#This Row],[VISTA]],DATA!$H$4:$I$17,2,FALSE)</f>
        <v>1050</v>
      </c>
      <c r="AG59" s="221">
        <f>+Tabla2[[#This Row],[Valor Comercial (S/.)]]/Tabla2[[#This Row],[Valor de Venta]]-1</f>
        <v>5.7412958266082503E-2</v>
      </c>
    </row>
    <row r="60" spans="1:33" s="1" customFormat="1" ht="15" customHeight="1" x14ac:dyDescent="0.25">
      <c r="A60" s="225" t="s">
        <v>30</v>
      </c>
      <c r="B60" s="22">
        <v>701</v>
      </c>
      <c r="C60" s="14">
        <v>7</v>
      </c>
      <c r="D60" s="35"/>
      <c r="E60" s="29"/>
      <c r="F60" s="12">
        <f>ROUND(Tabla2[[#This Row],[Área ocupada (m²)]]/20*1.4,2)</f>
        <v>4.5599999999999996</v>
      </c>
      <c r="G60" s="12">
        <v>65.2</v>
      </c>
      <c r="H60" s="12">
        <v>65.2</v>
      </c>
      <c r="I60" s="12">
        <f>ROUND(Tabla2[[#This Row],[Área techada (m²)]]*0.15,2)</f>
        <v>9.7799999999999994</v>
      </c>
      <c r="J60" s="18" t="s">
        <v>33</v>
      </c>
      <c r="K60" s="7">
        <v>205750</v>
      </c>
      <c r="L60" s="240">
        <f>ROUND(Tabla2[[#This Row],[Área ocupada (m²)3]]/20*1.4,2)</f>
        <v>4.5599999999999996</v>
      </c>
      <c r="M60" s="240">
        <f>ROUND(Tabla2[[#This Row],[Área ocupada (m²)]],2)</f>
        <v>65.2</v>
      </c>
      <c r="N60" s="240">
        <f>ROUND(Tabla2[[#This Row],[Área techada (m²)]],2)</f>
        <v>65.2</v>
      </c>
      <c r="O60" s="243">
        <f>ROUND(Tabla2[[#This Row],[Área techada (m²)4]]*0.15,2)</f>
        <v>9.7799999999999994</v>
      </c>
      <c r="P60" s="6">
        <f>ROUND(Tabla2[[#This Row],[Área del terreno (m²)2]]*DATA!$F$4,-2)</f>
        <v>3200</v>
      </c>
      <c r="Q60" s="243">
        <f>+Tabla2[[#This Row],[Valor Comercial (US$)]]-Tabla2[[#This Row],[Valor del terreno (US$)]]</f>
        <v>62000</v>
      </c>
      <c r="R6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60" s="244">
        <f>ROUND(Tabla2[[#This Row],[Valor Comercial (US$)]]*0.8,-2)</f>
        <v>52200</v>
      </c>
      <c r="T60" s="244">
        <f>IF(Informe!$I$6=DATA!$B$4,R60,ROUND(Tabla2[[#This Row],[Área techada (m²)4]]*DATA!$F$5*1.15,-2))</f>
        <v>65200</v>
      </c>
      <c r="U60" s="8">
        <f t="shared" si="0"/>
        <v>3.3479999999999999</v>
      </c>
      <c r="V60" s="244">
        <f>ROUND(Tabla2[[#This Row],[Valor del terreno (US$)]]*Tabla2[[#This Row],[Tipo de Cambio]],-2)</f>
        <v>10700</v>
      </c>
      <c r="W60" s="244">
        <f>Tabla2[[#This Row],[Valor Comercial (S/.)]]-Tabla2[[#This Row],[Valor del terreno (S/.)]]</f>
        <v>207600</v>
      </c>
      <c r="X60" s="244">
        <f>ROUND(Tabla2[[#This Row],[Valor Comercial (US$)]]*Tabla2[[#This Row],[Tipo de Cambio]],-2)</f>
        <v>218300</v>
      </c>
      <c r="Y60" s="244">
        <f>ROUND(Tabla2[[#This Row],[Valor Realización (US$)]]*Tabla2[[#This Row],[Tipo de Cambio]],-2)</f>
        <v>174800</v>
      </c>
      <c r="Z60" s="244">
        <f>+ROUND(Tabla2[[#This Row],[Importe Asegurable (US$)]]*Tabla2[[#This Row],[Tipo de Cambio]],-2)</f>
        <v>218300</v>
      </c>
      <c r="AA60" s="245"/>
      <c r="AB60" s="2">
        <f>+Tabla2[[#This Row],[Valor Comercial (US$)]]/Tabla2[[#This Row],[Área techada (m²)4]]</f>
        <v>1000</v>
      </c>
      <c r="AC6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60" s="1" t="s">
        <v>49</v>
      </c>
      <c r="AE60" s="222">
        <f>IF(Tabla2[[#This Row],[Moneda]]="Soles",Tabla2[[#This Row],[Valor de Venta]]/Tabla2[[#This Row],[Área techada (m²)]]/Tabla2[[#This Row],[Tipo de Cambio]],Tabla2[[#This Row],[Valor de Venta]]/Tabla2[[#This Row],[Área techada (m²)]])</f>
        <v>942.55521105907019</v>
      </c>
      <c r="AF60" s="347">
        <f>VLOOKUP(Tabla2[[#This Row],[VISTA]],DATA!$H$4:$I$17,2,FALSE)</f>
        <v>1000</v>
      </c>
      <c r="AG60" s="221">
        <f>+Tabla2[[#This Row],[Valor Comercial (S/.)]]/Tabla2[[#This Row],[Valor de Venta]]-1</f>
        <v>6.0996354799514041E-2</v>
      </c>
    </row>
    <row r="61" spans="1:33" s="1" customFormat="1" ht="15" customHeight="1" x14ac:dyDescent="0.25">
      <c r="A61" s="225" t="s">
        <v>30</v>
      </c>
      <c r="B61" s="22">
        <v>702</v>
      </c>
      <c r="C61" s="14">
        <v>7</v>
      </c>
      <c r="D61" s="35"/>
      <c r="E61" s="29"/>
      <c r="F61" s="12">
        <f>ROUND(Tabla2[[#This Row],[Área ocupada (m²)]]/20*1.4,2)</f>
        <v>4.38</v>
      </c>
      <c r="G61" s="12">
        <v>62.5</v>
      </c>
      <c r="H61" s="12">
        <v>62.5</v>
      </c>
      <c r="I61" s="12">
        <f>ROUND(Tabla2[[#This Row],[Área techada (m²)]]*0.15,2)</f>
        <v>9.3800000000000008</v>
      </c>
      <c r="J61" s="18" t="s">
        <v>33</v>
      </c>
      <c r="K61" s="7">
        <v>194750</v>
      </c>
      <c r="L61" s="240">
        <f>ROUND(Tabla2[[#This Row],[Área ocupada (m²)3]]/20*1.4,2)</f>
        <v>4.38</v>
      </c>
      <c r="M61" s="240">
        <f>ROUND(Tabla2[[#This Row],[Área ocupada (m²)]],2)</f>
        <v>62.5</v>
      </c>
      <c r="N61" s="240">
        <f>ROUND(Tabla2[[#This Row],[Área techada (m²)]],2)</f>
        <v>62.5</v>
      </c>
      <c r="O61" s="243">
        <f>ROUND(Tabla2[[#This Row],[Área techada (m²)4]]*0.15,2)</f>
        <v>9.3800000000000008</v>
      </c>
      <c r="P61" s="6">
        <f>ROUND(Tabla2[[#This Row],[Área del terreno (m²)2]]*DATA!$F$4,-2)</f>
        <v>3100</v>
      </c>
      <c r="Q61" s="243">
        <f>+Tabla2[[#This Row],[Valor Comercial (US$)]]-Tabla2[[#This Row],[Valor del terreno (US$)]]</f>
        <v>59400</v>
      </c>
      <c r="R6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61" s="244">
        <f>ROUND(Tabla2[[#This Row],[Valor Comercial (US$)]]*0.8,-2)</f>
        <v>50000</v>
      </c>
      <c r="T61" s="244">
        <f>IF(Informe!$I$6=DATA!$B$4,R61,ROUND(Tabla2[[#This Row],[Área techada (m²)4]]*DATA!$F$5*1.15,-2))</f>
        <v>62500</v>
      </c>
      <c r="U61" s="8">
        <f t="shared" si="0"/>
        <v>3.3479999999999999</v>
      </c>
      <c r="V61" s="244">
        <f>ROUND(Tabla2[[#This Row],[Valor del terreno (US$)]]*Tabla2[[#This Row],[Tipo de Cambio]],-2)</f>
        <v>10400</v>
      </c>
      <c r="W61" s="244">
        <f>Tabla2[[#This Row],[Valor Comercial (S/.)]]-Tabla2[[#This Row],[Valor del terreno (S/.)]]</f>
        <v>198900</v>
      </c>
      <c r="X61" s="244">
        <f>ROUND(Tabla2[[#This Row],[Valor Comercial (US$)]]*Tabla2[[#This Row],[Tipo de Cambio]],-2)</f>
        <v>209300</v>
      </c>
      <c r="Y61" s="244">
        <f>ROUND(Tabla2[[#This Row],[Valor Realización (US$)]]*Tabla2[[#This Row],[Tipo de Cambio]],-2)</f>
        <v>167400</v>
      </c>
      <c r="Z61" s="244">
        <f>+ROUND(Tabla2[[#This Row],[Importe Asegurable (US$)]]*Tabla2[[#This Row],[Tipo de Cambio]],-2)</f>
        <v>209300</v>
      </c>
      <c r="AA61" s="245"/>
      <c r="AB61" s="2">
        <f>+Tabla2[[#This Row],[Valor Comercial (US$)]]/Tabla2[[#This Row],[Área techada (m²)4]]</f>
        <v>1000</v>
      </c>
      <c r="AC6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61" s="1" t="s">
        <v>49</v>
      </c>
      <c r="AE61" s="222">
        <f>IF(Tabla2[[#This Row],[Moneda]]="Soles",Tabla2[[#This Row],[Valor de Venta]]/Tabla2[[#This Row],[Área techada (m²)]]/Tabla2[[#This Row],[Tipo de Cambio]],Tabla2[[#This Row],[Valor de Venta]]/Tabla2[[#This Row],[Área techada (m²)]])</f>
        <v>930.70489844683402</v>
      </c>
      <c r="AF61" s="347">
        <f>VLOOKUP(Tabla2[[#This Row],[VISTA]],DATA!$H$4:$I$17,2,FALSE)</f>
        <v>1000</v>
      </c>
      <c r="AG61" s="221">
        <f>+Tabla2[[#This Row],[Valor Comercial (S/.)]]/Tabla2[[#This Row],[Valor de Venta]]-1</f>
        <v>7.4711168164313113E-2</v>
      </c>
    </row>
    <row r="62" spans="1:33" s="1" customFormat="1" ht="15" customHeight="1" x14ac:dyDescent="0.25">
      <c r="A62" s="225" t="s">
        <v>30</v>
      </c>
      <c r="B62" s="22">
        <v>703</v>
      </c>
      <c r="C62" s="14">
        <v>7</v>
      </c>
      <c r="D62" s="27"/>
      <c r="E62" s="28"/>
      <c r="F62" s="12">
        <f>ROUND(Tabla2[[#This Row],[Área ocupada (m²)]]/20*1.4,2)</f>
        <v>4.38</v>
      </c>
      <c r="G62" s="12">
        <v>62.5</v>
      </c>
      <c r="H62" s="12">
        <v>62.5</v>
      </c>
      <c r="I62" s="12">
        <f>ROUND(Tabla2[[#This Row],[Área techada (m²)]]*0.15,2)</f>
        <v>9.3800000000000008</v>
      </c>
      <c r="J62" s="18" t="s">
        <v>33</v>
      </c>
      <c r="K62" s="7">
        <v>199750</v>
      </c>
      <c r="L62" s="240">
        <f>ROUND(Tabla2[[#This Row],[Área ocupada (m²)3]]/20*1.4,2)</f>
        <v>4.38</v>
      </c>
      <c r="M62" s="240">
        <f>ROUND(Tabla2[[#This Row],[Área ocupada (m²)]],2)</f>
        <v>62.5</v>
      </c>
      <c r="N62" s="240">
        <f>ROUND(Tabla2[[#This Row],[Área techada (m²)]],2)</f>
        <v>62.5</v>
      </c>
      <c r="O62" s="243">
        <f>ROUND(Tabla2[[#This Row],[Área techada (m²)4]]*0.15,2)</f>
        <v>9.3800000000000008</v>
      </c>
      <c r="P62" s="6">
        <f>ROUND(Tabla2[[#This Row],[Área del terreno (m²)2]]*DATA!$F$4,-2)</f>
        <v>3100</v>
      </c>
      <c r="Q62" s="243">
        <f>+Tabla2[[#This Row],[Valor Comercial (US$)]]-Tabla2[[#This Row],[Valor del terreno (US$)]]</f>
        <v>59400</v>
      </c>
      <c r="R6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62" s="244">
        <f>ROUND(Tabla2[[#This Row],[Valor Comercial (US$)]]*0.8,-2)</f>
        <v>50000</v>
      </c>
      <c r="T62" s="244">
        <f>IF(Informe!$I$6=DATA!$B$4,R62,ROUND(Tabla2[[#This Row],[Área techada (m²)4]]*DATA!$F$5*1.15,-2))</f>
        <v>62500</v>
      </c>
      <c r="U62" s="8">
        <f t="shared" si="0"/>
        <v>3.3479999999999999</v>
      </c>
      <c r="V62" s="244">
        <f>ROUND(Tabla2[[#This Row],[Valor del terreno (US$)]]*Tabla2[[#This Row],[Tipo de Cambio]],-2)</f>
        <v>10400</v>
      </c>
      <c r="W62" s="244">
        <f>Tabla2[[#This Row],[Valor Comercial (S/.)]]-Tabla2[[#This Row],[Valor del terreno (S/.)]]</f>
        <v>198900</v>
      </c>
      <c r="X62" s="244">
        <f>ROUND(Tabla2[[#This Row],[Valor Comercial (US$)]]*Tabla2[[#This Row],[Tipo de Cambio]],-2)</f>
        <v>209300</v>
      </c>
      <c r="Y62" s="244">
        <f>ROUND(Tabla2[[#This Row],[Valor Realización (US$)]]*Tabla2[[#This Row],[Tipo de Cambio]],-2)</f>
        <v>167400</v>
      </c>
      <c r="Z62" s="244">
        <f>+ROUND(Tabla2[[#This Row],[Importe Asegurable (US$)]]*Tabla2[[#This Row],[Tipo de Cambio]],-2)</f>
        <v>209300</v>
      </c>
      <c r="AA62" s="245"/>
      <c r="AB62" s="2">
        <f>+Tabla2[[#This Row],[Valor Comercial (US$)]]/Tabla2[[#This Row],[Área techada (m²)4]]</f>
        <v>1000</v>
      </c>
      <c r="AC6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62" s="1" t="s">
        <v>49</v>
      </c>
      <c r="AE62" s="222">
        <f>IF(Tabla2[[#This Row],[Moneda]]="Soles",Tabla2[[#This Row],[Valor de Venta]]/Tabla2[[#This Row],[Área techada (m²)]]/Tabla2[[#This Row],[Tipo de Cambio]],Tabla2[[#This Row],[Valor de Venta]]/Tabla2[[#This Row],[Área techada (m²)]])</f>
        <v>954.599761051374</v>
      </c>
      <c r="AF62" s="347">
        <f>VLOOKUP(Tabla2[[#This Row],[VISTA]],DATA!$H$4:$I$17,2,FALSE)</f>
        <v>1000</v>
      </c>
      <c r="AG62" s="221">
        <f>+Tabla2[[#This Row],[Valor Comercial (S/.)]]/Tabla2[[#This Row],[Valor de Venta]]-1</f>
        <v>4.7809762202753348E-2</v>
      </c>
    </row>
    <row r="63" spans="1:33" s="1" customFormat="1" ht="15" customHeight="1" x14ac:dyDescent="0.25">
      <c r="A63" s="225" t="s">
        <v>30</v>
      </c>
      <c r="B63" s="22">
        <v>704</v>
      </c>
      <c r="C63" s="14">
        <v>7</v>
      </c>
      <c r="D63" s="36"/>
      <c r="E63" s="29"/>
      <c r="F63" s="12">
        <f>ROUND(Tabla2[[#This Row],[Área ocupada (m²)]]/20*1.4,2)</f>
        <v>4.5599999999999996</v>
      </c>
      <c r="G63" s="12">
        <v>65.2</v>
      </c>
      <c r="H63" s="12">
        <v>65.2</v>
      </c>
      <c r="I63" s="12">
        <f>ROUND(Tabla2[[#This Row],[Área techada (m²)]]*0.15,2)</f>
        <v>9.7799999999999994</v>
      </c>
      <c r="J63" s="18" t="s">
        <v>33</v>
      </c>
      <c r="K63" s="7">
        <v>218750</v>
      </c>
      <c r="L63" s="240">
        <f>ROUND(Tabla2[[#This Row],[Área ocupada (m²)3]]/20*1.4,2)</f>
        <v>4.5599999999999996</v>
      </c>
      <c r="M63" s="240">
        <f>ROUND(Tabla2[[#This Row],[Área ocupada (m²)]],2)</f>
        <v>65.2</v>
      </c>
      <c r="N63" s="240">
        <f>ROUND(Tabla2[[#This Row],[Área techada (m²)]],2)</f>
        <v>65.2</v>
      </c>
      <c r="O63" s="243">
        <f>ROUND(Tabla2[[#This Row],[Área techada (m²)4]]*0.15,2)</f>
        <v>9.7799999999999994</v>
      </c>
      <c r="P63" s="6">
        <f>ROUND(Tabla2[[#This Row],[Área del terreno (m²)2]]*DATA!$F$4,-2)</f>
        <v>3200</v>
      </c>
      <c r="Q63" s="243">
        <f>+Tabla2[[#This Row],[Valor Comercial (US$)]]-Tabla2[[#This Row],[Valor del terreno (US$)]]</f>
        <v>65300</v>
      </c>
      <c r="R6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68500</v>
      </c>
      <c r="S63" s="244">
        <f>ROUND(Tabla2[[#This Row],[Valor Comercial (US$)]]*0.8,-2)</f>
        <v>54800</v>
      </c>
      <c r="T63" s="244">
        <f>IF(Informe!$I$6=DATA!$B$4,R63,ROUND(Tabla2[[#This Row],[Área techada (m²)4]]*DATA!$F$5*1.15,-2))</f>
        <v>68500</v>
      </c>
      <c r="U63" s="8">
        <f t="shared" si="0"/>
        <v>3.3479999999999999</v>
      </c>
      <c r="V63" s="244">
        <f>ROUND(Tabla2[[#This Row],[Valor del terreno (US$)]]*Tabla2[[#This Row],[Tipo de Cambio]],-2)</f>
        <v>10700</v>
      </c>
      <c r="W63" s="244">
        <f>Tabla2[[#This Row],[Valor Comercial (S/.)]]-Tabla2[[#This Row],[Valor del terreno (S/.)]]</f>
        <v>218600</v>
      </c>
      <c r="X63" s="244">
        <f>ROUND(Tabla2[[#This Row],[Valor Comercial (US$)]]*Tabla2[[#This Row],[Tipo de Cambio]],-2)</f>
        <v>229300</v>
      </c>
      <c r="Y63" s="244">
        <f>ROUND(Tabla2[[#This Row],[Valor Realización (US$)]]*Tabla2[[#This Row],[Tipo de Cambio]],-2)</f>
        <v>183500</v>
      </c>
      <c r="Z63" s="244">
        <f>+ROUND(Tabla2[[#This Row],[Importe Asegurable (US$)]]*Tabla2[[#This Row],[Tipo de Cambio]],-2)</f>
        <v>229300</v>
      </c>
      <c r="AA63" s="245"/>
      <c r="AB63" s="2">
        <f>+Tabla2[[#This Row],[Valor Comercial (US$)]]/Tabla2[[#This Row],[Área techada (m²)4]]</f>
        <v>1050.6134969325153</v>
      </c>
      <c r="AC6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63" s="1" t="s">
        <v>48</v>
      </c>
      <c r="AE63" s="222">
        <f>IF(Tabla2[[#This Row],[Moneda]]="Soles",Tabla2[[#This Row],[Valor de Venta]]/Tabla2[[#This Row],[Área techada (m²)]]/Tabla2[[#This Row],[Tipo de Cambio]],Tabla2[[#This Row],[Valor de Venta]]/Tabla2[[#This Row],[Área techada (m²)]])</f>
        <v>1002.1091247590357</v>
      </c>
      <c r="AF63" s="347">
        <f>VLOOKUP(Tabla2[[#This Row],[VISTA]],DATA!$H$4:$I$17,2,FALSE)</f>
        <v>1050</v>
      </c>
      <c r="AG63" s="221">
        <f>+Tabla2[[#This Row],[Valor Comercial (S/.)]]/Tabla2[[#This Row],[Valor de Venta]]-1</f>
        <v>4.8228571428571509E-2</v>
      </c>
    </row>
    <row r="64" spans="1:33" s="1" customFormat="1" ht="15" customHeight="1" x14ac:dyDescent="0.25">
      <c r="A64" s="225" t="s">
        <v>30</v>
      </c>
      <c r="B64" s="22">
        <v>705</v>
      </c>
      <c r="C64" s="14">
        <v>7</v>
      </c>
      <c r="D64" s="35"/>
      <c r="E64" s="29"/>
      <c r="F64" s="12">
        <f>ROUND(Tabla2[[#This Row],[Área ocupada (m²)]]/20*1.4,2)</f>
        <v>4.5599999999999996</v>
      </c>
      <c r="G64" s="12">
        <v>65.2</v>
      </c>
      <c r="H64" s="12">
        <v>65.2</v>
      </c>
      <c r="I64" s="12">
        <f>ROUND(Tabla2[[#This Row],[Área techada (m²)]]*0.15,2)</f>
        <v>9.7799999999999994</v>
      </c>
      <c r="J64" s="18" t="s">
        <v>33</v>
      </c>
      <c r="K64" s="7">
        <v>215750</v>
      </c>
      <c r="L64" s="240">
        <f>ROUND(Tabla2[[#This Row],[Área ocupada (m²)3]]/20*1.4,2)</f>
        <v>4.5599999999999996</v>
      </c>
      <c r="M64" s="240">
        <f>ROUND(Tabla2[[#This Row],[Área ocupada (m²)]],2)</f>
        <v>65.2</v>
      </c>
      <c r="N64" s="240">
        <f>ROUND(Tabla2[[#This Row],[Área techada (m²)]],2)</f>
        <v>65.2</v>
      </c>
      <c r="O64" s="243">
        <f>ROUND(Tabla2[[#This Row],[Área techada (m²)4]]*0.15,2)</f>
        <v>9.7799999999999994</v>
      </c>
      <c r="P64" s="6">
        <f>ROUND(Tabla2[[#This Row],[Área del terreno (m²)2]]*DATA!$F$4,-2)</f>
        <v>3200</v>
      </c>
      <c r="Q64" s="243">
        <f>+Tabla2[[#This Row],[Valor Comercial (US$)]]-Tabla2[[#This Row],[Valor del terreno (US$)]]</f>
        <v>65300</v>
      </c>
      <c r="R6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68500</v>
      </c>
      <c r="S64" s="244">
        <f>ROUND(Tabla2[[#This Row],[Valor Comercial (US$)]]*0.8,-2)</f>
        <v>54800</v>
      </c>
      <c r="T64" s="244">
        <f>IF(Informe!$I$6=DATA!$B$4,R64,ROUND(Tabla2[[#This Row],[Área techada (m²)4]]*DATA!$F$5*1.15,-2))</f>
        <v>68500</v>
      </c>
      <c r="U64" s="8">
        <f t="shared" si="0"/>
        <v>3.3479999999999999</v>
      </c>
      <c r="V64" s="244">
        <f>ROUND(Tabla2[[#This Row],[Valor del terreno (US$)]]*Tabla2[[#This Row],[Tipo de Cambio]],-2)</f>
        <v>10700</v>
      </c>
      <c r="W64" s="244">
        <f>Tabla2[[#This Row],[Valor Comercial (S/.)]]-Tabla2[[#This Row],[Valor del terreno (S/.)]]</f>
        <v>218600</v>
      </c>
      <c r="X64" s="244">
        <f>ROUND(Tabla2[[#This Row],[Valor Comercial (US$)]]*Tabla2[[#This Row],[Tipo de Cambio]],-2)</f>
        <v>229300</v>
      </c>
      <c r="Y64" s="244">
        <f>ROUND(Tabla2[[#This Row],[Valor Realización (US$)]]*Tabla2[[#This Row],[Tipo de Cambio]],-2)</f>
        <v>183500</v>
      </c>
      <c r="Z64" s="244">
        <f>+ROUND(Tabla2[[#This Row],[Importe Asegurable (US$)]]*Tabla2[[#This Row],[Tipo de Cambio]],-2)</f>
        <v>229300</v>
      </c>
      <c r="AA64" s="245"/>
      <c r="AB64" s="2">
        <f>+Tabla2[[#This Row],[Valor Comercial (US$)]]/Tabla2[[#This Row],[Área techada (m²)4]]</f>
        <v>1050.6134969325153</v>
      </c>
      <c r="AC6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64" s="1" t="s">
        <v>48</v>
      </c>
      <c r="AE64" s="222">
        <f>IF(Tabla2[[#This Row],[Moneda]]="Soles",Tabla2[[#This Row],[Valor de Venta]]/Tabla2[[#This Row],[Área techada (m²)]]/Tabla2[[#This Row],[Tipo de Cambio]],Tabla2[[#This Row],[Valor de Venta]]/Tabla2[[#This Row],[Área techada (m²)]])</f>
        <v>988.36591390519754</v>
      </c>
      <c r="AF64" s="347">
        <f>VLOOKUP(Tabla2[[#This Row],[VISTA]],DATA!$H$4:$I$17,2,FALSE)</f>
        <v>1050</v>
      </c>
      <c r="AG64" s="221">
        <f>+Tabla2[[#This Row],[Valor Comercial (S/.)]]/Tabla2[[#This Row],[Valor de Venta]]-1</f>
        <v>6.2804171494785566E-2</v>
      </c>
    </row>
    <row r="65" spans="1:33" s="1" customFormat="1" ht="15" customHeight="1" x14ac:dyDescent="0.25">
      <c r="A65" s="225" t="s">
        <v>30</v>
      </c>
      <c r="B65" s="22">
        <v>706</v>
      </c>
      <c r="C65" s="14">
        <v>7</v>
      </c>
      <c r="D65" s="35"/>
      <c r="E65" s="29"/>
      <c r="F65" s="12">
        <f>ROUND(Tabla2[[#This Row],[Área ocupada (m²)]]/20*1.4,2)</f>
        <v>4.38</v>
      </c>
      <c r="G65" s="12">
        <v>62.5</v>
      </c>
      <c r="H65" s="12">
        <v>62.5</v>
      </c>
      <c r="I65" s="12">
        <f>ROUND(Tabla2[[#This Row],[Área techada (m²)]]*0.15,2)</f>
        <v>9.3800000000000008</v>
      </c>
      <c r="J65" s="18" t="s">
        <v>33</v>
      </c>
      <c r="K65" s="7">
        <v>202750</v>
      </c>
      <c r="L65" s="240">
        <f>ROUND(Tabla2[[#This Row],[Área ocupada (m²)3]]/20*1.4,2)</f>
        <v>4.38</v>
      </c>
      <c r="M65" s="240">
        <f>ROUND(Tabla2[[#This Row],[Área ocupada (m²)]],2)</f>
        <v>62.5</v>
      </c>
      <c r="N65" s="240">
        <f>ROUND(Tabla2[[#This Row],[Área techada (m²)]],2)</f>
        <v>62.5</v>
      </c>
      <c r="O65" s="243">
        <f>ROUND(Tabla2[[#This Row],[Área techada (m²)4]]*0.15,2)</f>
        <v>9.3800000000000008</v>
      </c>
      <c r="P65" s="6">
        <f>ROUND(Tabla2[[#This Row],[Área del terreno (m²)2]]*DATA!$F$4,-2)</f>
        <v>3100</v>
      </c>
      <c r="Q65" s="243">
        <f>+Tabla2[[#This Row],[Valor Comercial (US$)]]-Tabla2[[#This Row],[Valor del terreno (US$)]]</f>
        <v>59400</v>
      </c>
      <c r="R6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65" s="244">
        <f>ROUND(Tabla2[[#This Row],[Valor Comercial (US$)]]*0.8,-2)</f>
        <v>50000</v>
      </c>
      <c r="T65" s="244">
        <f>IF(Informe!$I$6=DATA!$B$4,R65,ROUND(Tabla2[[#This Row],[Área techada (m²)4]]*DATA!$F$5*1.15,-2))</f>
        <v>62500</v>
      </c>
      <c r="U65" s="8">
        <f t="shared" si="0"/>
        <v>3.3479999999999999</v>
      </c>
      <c r="V65" s="244">
        <f>ROUND(Tabla2[[#This Row],[Valor del terreno (US$)]]*Tabla2[[#This Row],[Tipo de Cambio]],-2)</f>
        <v>10400</v>
      </c>
      <c r="W65" s="244">
        <f>Tabla2[[#This Row],[Valor Comercial (S/.)]]-Tabla2[[#This Row],[Valor del terreno (S/.)]]</f>
        <v>198900</v>
      </c>
      <c r="X65" s="244">
        <f>ROUND(Tabla2[[#This Row],[Valor Comercial (US$)]]*Tabla2[[#This Row],[Tipo de Cambio]],-2)</f>
        <v>209300</v>
      </c>
      <c r="Y65" s="244">
        <f>ROUND(Tabla2[[#This Row],[Valor Realización (US$)]]*Tabla2[[#This Row],[Tipo de Cambio]],-2)</f>
        <v>167400</v>
      </c>
      <c r="Z65" s="244">
        <f>+ROUND(Tabla2[[#This Row],[Importe Asegurable (US$)]]*Tabla2[[#This Row],[Tipo de Cambio]],-2)</f>
        <v>209300</v>
      </c>
      <c r="AA65" s="245"/>
      <c r="AB65" s="2">
        <f>+Tabla2[[#This Row],[Valor Comercial (US$)]]/Tabla2[[#This Row],[Área techada (m²)4]]</f>
        <v>1000</v>
      </c>
      <c r="AC6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65" s="1" t="s">
        <v>49</v>
      </c>
      <c r="AE65" s="222">
        <f>IF(Tabla2[[#This Row],[Moneda]]="Soles",Tabla2[[#This Row],[Valor de Venta]]/Tabla2[[#This Row],[Área techada (m²)]]/Tabla2[[#This Row],[Tipo de Cambio]],Tabla2[[#This Row],[Valor de Venta]]/Tabla2[[#This Row],[Área techada (m²)]])</f>
        <v>968.93667861409801</v>
      </c>
      <c r="AF65" s="347">
        <f>VLOOKUP(Tabla2[[#This Row],[VISTA]],DATA!$H$4:$I$17,2,FALSE)</f>
        <v>1000</v>
      </c>
      <c r="AG65" s="221">
        <f>+Tabla2[[#This Row],[Valor Comercial (S/.)]]/Tabla2[[#This Row],[Valor de Venta]]-1</f>
        <v>3.2305795314426566E-2</v>
      </c>
    </row>
    <row r="66" spans="1:33" s="1" customFormat="1" ht="15" customHeight="1" x14ac:dyDescent="0.25">
      <c r="A66" s="225" t="s">
        <v>30</v>
      </c>
      <c r="B66" s="22">
        <v>707</v>
      </c>
      <c r="C66" s="14">
        <v>7</v>
      </c>
      <c r="D66" s="35"/>
      <c r="E66" s="29"/>
      <c r="F66" s="12">
        <f>ROUND(Tabla2[[#This Row],[Área ocupada (m²)]]/20*1.4,2)</f>
        <v>4.38</v>
      </c>
      <c r="G66" s="12">
        <v>62.5</v>
      </c>
      <c r="H66" s="12">
        <v>62.5</v>
      </c>
      <c r="I66" s="12">
        <f>ROUND(Tabla2[[#This Row],[Área techada (m²)]]*0.15,2)</f>
        <v>9.3800000000000008</v>
      </c>
      <c r="J66" s="18" t="s">
        <v>33</v>
      </c>
      <c r="K66" s="7">
        <v>190750</v>
      </c>
      <c r="L66" s="240">
        <f>ROUND(Tabla2[[#This Row],[Área ocupada (m²)3]]/20*1.4,2)</f>
        <v>4.38</v>
      </c>
      <c r="M66" s="240">
        <f>ROUND(Tabla2[[#This Row],[Área ocupada (m²)]],2)</f>
        <v>62.5</v>
      </c>
      <c r="N66" s="240">
        <f>ROUND(Tabla2[[#This Row],[Área techada (m²)]],2)</f>
        <v>62.5</v>
      </c>
      <c r="O66" s="243">
        <f>ROUND(Tabla2[[#This Row],[Área techada (m²)4]]*0.15,2)</f>
        <v>9.3800000000000008</v>
      </c>
      <c r="P66" s="6">
        <f>ROUND(Tabla2[[#This Row],[Área del terreno (m²)2]]*DATA!$F$4,-2)</f>
        <v>3100</v>
      </c>
      <c r="Q66" s="243">
        <f>+Tabla2[[#This Row],[Valor Comercial (US$)]]-Tabla2[[#This Row],[Valor del terreno (US$)]]</f>
        <v>56300</v>
      </c>
      <c r="R6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66" s="244">
        <f>ROUND(Tabla2[[#This Row],[Valor Comercial (US$)]]*0.8,-2)</f>
        <v>47500</v>
      </c>
      <c r="T66" s="244">
        <f>IF(Informe!$I$6=DATA!$B$4,R66,ROUND(Tabla2[[#This Row],[Área techada (m²)4]]*DATA!$F$5*1.15,-2))</f>
        <v>59400</v>
      </c>
      <c r="U66" s="8">
        <f t="shared" si="0"/>
        <v>3.3479999999999999</v>
      </c>
      <c r="V66" s="244">
        <f>ROUND(Tabla2[[#This Row],[Valor del terreno (US$)]]*Tabla2[[#This Row],[Tipo de Cambio]],-2)</f>
        <v>10400</v>
      </c>
      <c r="W66" s="244">
        <f>Tabla2[[#This Row],[Valor Comercial (S/.)]]-Tabla2[[#This Row],[Valor del terreno (S/.)]]</f>
        <v>188500</v>
      </c>
      <c r="X66" s="244">
        <f>ROUND(Tabla2[[#This Row],[Valor Comercial (US$)]]*Tabla2[[#This Row],[Tipo de Cambio]],-2)</f>
        <v>198900</v>
      </c>
      <c r="Y66" s="244">
        <f>ROUND(Tabla2[[#This Row],[Valor Realización (US$)]]*Tabla2[[#This Row],[Tipo de Cambio]],-2)</f>
        <v>159000</v>
      </c>
      <c r="Z66" s="244">
        <f>+ROUND(Tabla2[[#This Row],[Importe Asegurable (US$)]]*Tabla2[[#This Row],[Tipo de Cambio]],-2)</f>
        <v>198900</v>
      </c>
      <c r="AA66" s="245"/>
      <c r="AB66" s="2">
        <f>+Tabla2[[#This Row],[Valor Comercial (US$)]]/Tabla2[[#This Row],[Área techada (m²)4]]</f>
        <v>950.4</v>
      </c>
      <c r="AC6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66" s="1" t="s">
        <v>50</v>
      </c>
      <c r="AE66" s="222">
        <f>IF(Tabla2[[#This Row],[Moneda]]="Soles",Tabla2[[#This Row],[Valor de Venta]]/Tabla2[[#This Row],[Área techada (m²)]]/Tabla2[[#This Row],[Tipo de Cambio]],Tabla2[[#This Row],[Valor de Venta]]/Tabla2[[#This Row],[Área techada (m²)]])</f>
        <v>911.58900836320197</v>
      </c>
      <c r="AF66" s="347">
        <f>VLOOKUP(Tabla2[[#This Row],[VISTA]],DATA!$H$4:$I$17,2,FALSE)</f>
        <v>950</v>
      </c>
      <c r="AG66" s="221">
        <f>+Tabla2[[#This Row],[Valor Comercial (S/.)]]/Tabla2[[#This Row],[Valor de Venta]]-1</f>
        <v>4.2726081258191329E-2</v>
      </c>
    </row>
    <row r="67" spans="1:33" s="1" customFormat="1" ht="15" customHeight="1" x14ac:dyDescent="0.25">
      <c r="A67" s="225" t="s">
        <v>30</v>
      </c>
      <c r="B67" s="22">
        <v>708</v>
      </c>
      <c r="C67" s="14">
        <v>7</v>
      </c>
      <c r="D67" s="35"/>
      <c r="E67" s="29"/>
      <c r="F67" s="12">
        <f>ROUND(Tabla2[[#This Row],[Área ocupada (m²)]]/20*1.4,2)</f>
        <v>4.5599999999999996</v>
      </c>
      <c r="G67" s="12">
        <v>65.2</v>
      </c>
      <c r="H67" s="12">
        <v>65.2</v>
      </c>
      <c r="I67" s="12">
        <f>ROUND(Tabla2[[#This Row],[Área techada (m²)]]*0.15,2)</f>
        <v>9.7799999999999994</v>
      </c>
      <c r="J67" s="18" t="s">
        <v>33</v>
      </c>
      <c r="K67" s="7">
        <v>214750</v>
      </c>
      <c r="L67" s="240">
        <f>ROUND(Tabla2[[#This Row],[Área ocupada (m²)3]]/20*1.4,2)</f>
        <v>4.5599999999999996</v>
      </c>
      <c r="M67" s="240">
        <f>ROUND(Tabla2[[#This Row],[Área ocupada (m²)]],2)</f>
        <v>65.2</v>
      </c>
      <c r="N67" s="240">
        <f>ROUND(Tabla2[[#This Row],[Área techada (m²)]],2)</f>
        <v>65.2</v>
      </c>
      <c r="O67" s="243">
        <f>ROUND(Tabla2[[#This Row],[Área techada (m²)4]]*0.15,2)</f>
        <v>9.7799999999999994</v>
      </c>
      <c r="P67" s="6">
        <f>ROUND(Tabla2[[#This Row],[Área del terreno (m²)2]]*DATA!$F$4,-2)</f>
        <v>3200</v>
      </c>
      <c r="Q67" s="243">
        <f>+Tabla2[[#This Row],[Valor Comercial (US$)]]-Tabla2[[#This Row],[Valor del terreno (US$)]]</f>
        <v>65300</v>
      </c>
      <c r="R6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68500</v>
      </c>
      <c r="S67" s="244">
        <f>ROUND(Tabla2[[#This Row],[Valor Comercial (US$)]]*0.8,-2)</f>
        <v>54800</v>
      </c>
      <c r="T67" s="244">
        <f>IF(Informe!$I$6=DATA!$B$4,R67,ROUND(Tabla2[[#This Row],[Área techada (m²)4]]*DATA!$F$5*1.15,-2))</f>
        <v>68500</v>
      </c>
      <c r="U67" s="8">
        <f t="shared" si="0"/>
        <v>3.3479999999999999</v>
      </c>
      <c r="V67" s="244">
        <f>ROUND(Tabla2[[#This Row],[Valor del terreno (US$)]]*Tabla2[[#This Row],[Tipo de Cambio]],-2)</f>
        <v>10700</v>
      </c>
      <c r="W67" s="244">
        <f>Tabla2[[#This Row],[Valor Comercial (S/.)]]-Tabla2[[#This Row],[Valor del terreno (S/.)]]</f>
        <v>218600</v>
      </c>
      <c r="X67" s="244">
        <f>ROUND(Tabla2[[#This Row],[Valor Comercial (US$)]]*Tabla2[[#This Row],[Tipo de Cambio]],-2)</f>
        <v>229300</v>
      </c>
      <c r="Y67" s="244">
        <f>ROUND(Tabla2[[#This Row],[Valor Realización (US$)]]*Tabla2[[#This Row],[Tipo de Cambio]],-2)</f>
        <v>183500</v>
      </c>
      <c r="Z67" s="244">
        <f>+ROUND(Tabla2[[#This Row],[Importe Asegurable (US$)]]*Tabla2[[#This Row],[Tipo de Cambio]],-2)</f>
        <v>229300</v>
      </c>
      <c r="AA67" s="245"/>
      <c r="AB67" s="2">
        <f>+Tabla2[[#This Row],[Valor Comercial (US$)]]/Tabla2[[#This Row],[Área techada (m²)4]]</f>
        <v>1050.6134969325153</v>
      </c>
      <c r="AC6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67" s="1" t="s">
        <v>48</v>
      </c>
      <c r="AE67" s="222">
        <f>IF(Tabla2[[#This Row],[Moneda]]="Soles",Tabla2[[#This Row],[Valor de Venta]]/Tabla2[[#This Row],[Área techada (m²)]]/Tabla2[[#This Row],[Tipo de Cambio]],Tabla2[[#This Row],[Valor de Venta]]/Tabla2[[#This Row],[Área techada (m²)]])</f>
        <v>983.78484362058464</v>
      </c>
      <c r="AF67" s="347">
        <f>VLOOKUP(Tabla2[[#This Row],[VISTA]],DATA!$H$4:$I$17,2,FALSE)</f>
        <v>1050</v>
      </c>
      <c r="AG67" s="221">
        <f>+Tabla2[[#This Row],[Valor Comercial (S/.)]]/Tabla2[[#This Row],[Valor de Venta]]-1</f>
        <v>6.7753201396973273E-2</v>
      </c>
    </row>
    <row r="68" spans="1:33" s="1" customFormat="1" ht="15" customHeight="1" x14ac:dyDescent="0.25">
      <c r="A68" s="225" t="s">
        <v>30</v>
      </c>
      <c r="B68" s="22">
        <v>801</v>
      </c>
      <c r="C68" s="14">
        <v>8</v>
      </c>
      <c r="D68" s="35"/>
      <c r="E68" s="29"/>
      <c r="F68" s="12">
        <f>ROUND(Tabla2[[#This Row],[Área ocupada (m²)]]/20*1.4,2)</f>
        <v>4.5599999999999996</v>
      </c>
      <c r="G68" s="12">
        <v>65.2</v>
      </c>
      <c r="H68" s="12">
        <v>65.2</v>
      </c>
      <c r="I68" s="12">
        <f>ROUND(Tabla2[[#This Row],[Área techada (m²)]]*0.15,2)</f>
        <v>9.7799999999999994</v>
      </c>
      <c r="J68" s="18" t="s">
        <v>33</v>
      </c>
      <c r="K68" s="7">
        <v>203750</v>
      </c>
      <c r="L68" s="240">
        <f>ROUND(Tabla2[[#This Row],[Área ocupada (m²)3]]/20*1.4,2)</f>
        <v>4.5599999999999996</v>
      </c>
      <c r="M68" s="240">
        <f>ROUND(Tabla2[[#This Row],[Área ocupada (m²)]],2)</f>
        <v>65.2</v>
      </c>
      <c r="N68" s="240">
        <f>ROUND(Tabla2[[#This Row],[Área techada (m²)]],2)</f>
        <v>65.2</v>
      </c>
      <c r="O68" s="243">
        <f>ROUND(Tabla2[[#This Row],[Área techada (m²)4]]*0.15,2)</f>
        <v>9.7799999999999994</v>
      </c>
      <c r="P68" s="6">
        <f>ROUND(Tabla2[[#This Row],[Área del terreno (m²)2]]*DATA!$F$4,-2)</f>
        <v>3200</v>
      </c>
      <c r="Q68" s="243">
        <f>+Tabla2[[#This Row],[Valor Comercial (US$)]]-Tabla2[[#This Row],[Valor del terreno (US$)]]</f>
        <v>62000</v>
      </c>
      <c r="R6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68" s="244">
        <f>ROUND(Tabla2[[#This Row],[Valor Comercial (US$)]]*0.8,-2)</f>
        <v>52200</v>
      </c>
      <c r="T68" s="244">
        <f>IF(Informe!$I$6=DATA!$B$4,R68,ROUND(Tabla2[[#This Row],[Área techada (m²)4]]*DATA!$F$5*1.15,-2))</f>
        <v>65200</v>
      </c>
      <c r="U68" s="8">
        <f t="shared" si="0"/>
        <v>3.3479999999999999</v>
      </c>
      <c r="V68" s="244">
        <f>ROUND(Tabla2[[#This Row],[Valor del terreno (US$)]]*Tabla2[[#This Row],[Tipo de Cambio]],-2)</f>
        <v>10700</v>
      </c>
      <c r="W68" s="244">
        <f>Tabla2[[#This Row],[Valor Comercial (S/.)]]-Tabla2[[#This Row],[Valor del terreno (S/.)]]</f>
        <v>207600</v>
      </c>
      <c r="X68" s="244">
        <f>ROUND(Tabla2[[#This Row],[Valor Comercial (US$)]]*Tabla2[[#This Row],[Tipo de Cambio]],-2)</f>
        <v>218300</v>
      </c>
      <c r="Y68" s="244">
        <f>ROUND(Tabla2[[#This Row],[Valor Realización (US$)]]*Tabla2[[#This Row],[Tipo de Cambio]],-2)</f>
        <v>174800</v>
      </c>
      <c r="Z68" s="244">
        <f>+ROUND(Tabla2[[#This Row],[Importe Asegurable (US$)]]*Tabla2[[#This Row],[Tipo de Cambio]],-2)</f>
        <v>218300</v>
      </c>
      <c r="AA68" s="245"/>
      <c r="AB68" s="2">
        <f>+Tabla2[[#This Row],[Valor Comercial (US$)]]/Tabla2[[#This Row],[Área techada (m²)4]]</f>
        <v>1000</v>
      </c>
      <c r="AC6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68" s="1" t="s">
        <v>49</v>
      </c>
      <c r="AE68" s="222">
        <f>IF(Tabla2[[#This Row],[Moneda]]="Soles",Tabla2[[#This Row],[Valor de Venta]]/Tabla2[[#This Row],[Área techada (m²)]]/Tabla2[[#This Row],[Tipo de Cambio]],Tabla2[[#This Row],[Valor de Venta]]/Tabla2[[#This Row],[Área techada (m²)]])</f>
        <v>933.39307048984472</v>
      </c>
      <c r="AF68" s="347">
        <f>VLOOKUP(Tabla2[[#This Row],[VISTA]],DATA!$H$4:$I$17,2,FALSE)</f>
        <v>1000</v>
      </c>
      <c r="AG68" s="221">
        <f>+Tabla2[[#This Row],[Valor Comercial (S/.)]]/Tabla2[[#This Row],[Valor de Venta]]-1</f>
        <v>7.1411042944785175E-2</v>
      </c>
    </row>
    <row r="69" spans="1:33" s="1" customFormat="1" ht="15" customHeight="1" x14ac:dyDescent="0.25">
      <c r="A69" s="225" t="s">
        <v>30</v>
      </c>
      <c r="B69" s="22">
        <v>802</v>
      </c>
      <c r="C69" s="14">
        <v>8</v>
      </c>
      <c r="D69" s="35"/>
      <c r="E69" s="29"/>
      <c r="F69" s="12">
        <f>ROUND(Tabla2[[#This Row],[Área ocupada (m²)]]/20*1.4,2)</f>
        <v>4.38</v>
      </c>
      <c r="G69" s="12">
        <v>62.5</v>
      </c>
      <c r="H69" s="12">
        <v>62.5</v>
      </c>
      <c r="I69" s="12">
        <f>ROUND(Tabla2[[#This Row],[Área techada (m²)]]*0.15,2)</f>
        <v>9.3800000000000008</v>
      </c>
      <c r="J69" s="18" t="s">
        <v>33</v>
      </c>
      <c r="K69" s="7">
        <v>192850</v>
      </c>
      <c r="L69" s="240">
        <f>ROUND(Tabla2[[#This Row],[Área ocupada (m²)3]]/20*1.4,2)</f>
        <v>4.38</v>
      </c>
      <c r="M69" s="240">
        <f>ROUND(Tabla2[[#This Row],[Área ocupada (m²)]],2)</f>
        <v>62.5</v>
      </c>
      <c r="N69" s="240">
        <f>ROUND(Tabla2[[#This Row],[Área techada (m²)]],2)</f>
        <v>62.5</v>
      </c>
      <c r="O69" s="243">
        <f>ROUND(Tabla2[[#This Row],[Área techada (m²)4]]*0.15,2)</f>
        <v>9.3800000000000008</v>
      </c>
      <c r="P69" s="6">
        <f>ROUND(Tabla2[[#This Row],[Área del terreno (m²)2]]*DATA!$F$4,-2)</f>
        <v>3100</v>
      </c>
      <c r="Q69" s="243">
        <f>+Tabla2[[#This Row],[Valor Comercial (US$)]]-Tabla2[[#This Row],[Valor del terreno (US$)]]</f>
        <v>56300</v>
      </c>
      <c r="R6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69" s="244">
        <f>ROUND(Tabla2[[#This Row],[Valor Comercial (US$)]]*0.8,-2)</f>
        <v>47500</v>
      </c>
      <c r="T69" s="244">
        <f>IF(Informe!$I$6=DATA!$B$4,R69,ROUND(Tabla2[[#This Row],[Área techada (m²)4]]*DATA!$F$5*1.15,-2))</f>
        <v>59400</v>
      </c>
      <c r="U69" s="8">
        <f t="shared" si="0"/>
        <v>3.3479999999999999</v>
      </c>
      <c r="V69" s="244">
        <f>ROUND(Tabla2[[#This Row],[Valor del terreno (US$)]]*Tabla2[[#This Row],[Tipo de Cambio]],-2)</f>
        <v>10400</v>
      </c>
      <c r="W69" s="244">
        <f>Tabla2[[#This Row],[Valor Comercial (S/.)]]-Tabla2[[#This Row],[Valor del terreno (S/.)]]</f>
        <v>188500</v>
      </c>
      <c r="X69" s="244">
        <f>ROUND(Tabla2[[#This Row],[Valor Comercial (US$)]]*Tabla2[[#This Row],[Tipo de Cambio]],-2)</f>
        <v>198900</v>
      </c>
      <c r="Y69" s="244">
        <f>ROUND(Tabla2[[#This Row],[Valor Realización (US$)]]*Tabla2[[#This Row],[Tipo de Cambio]],-2)</f>
        <v>159000</v>
      </c>
      <c r="Z69" s="244">
        <f>+ROUND(Tabla2[[#This Row],[Importe Asegurable (US$)]]*Tabla2[[#This Row],[Tipo de Cambio]],-2)</f>
        <v>198900</v>
      </c>
      <c r="AA69" s="245"/>
      <c r="AB69" s="2">
        <f>+Tabla2[[#This Row],[Valor Comercial (US$)]]/Tabla2[[#This Row],[Área techada (m²)4]]</f>
        <v>950.4</v>
      </c>
      <c r="AC6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69" s="1" t="s">
        <v>50</v>
      </c>
      <c r="AE69" s="222">
        <f>IF(Tabla2[[#This Row],[Moneda]]="Soles",Tabla2[[#This Row],[Valor de Venta]]/Tabla2[[#This Row],[Área techada (m²)]]/Tabla2[[#This Row],[Tipo de Cambio]],Tabla2[[#This Row],[Valor de Venta]]/Tabla2[[#This Row],[Área techada (m²)]])</f>
        <v>921.62485065710871</v>
      </c>
      <c r="AF69" s="347">
        <f>VLOOKUP(Tabla2[[#This Row],[VISTA]],DATA!$H$4:$I$17,2,FALSE)</f>
        <v>950</v>
      </c>
      <c r="AG69" s="221">
        <f>+Tabla2[[#This Row],[Valor Comercial (S/.)]]/Tabla2[[#This Row],[Valor de Venta]]-1</f>
        <v>3.137153227897338E-2</v>
      </c>
    </row>
    <row r="70" spans="1:33" s="1" customFormat="1" ht="15" customHeight="1" x14ac:dyDescent="0.25">
      <c r="A70" s="225" t="s">
        <v>30</v>
      </c>
      <c r="B70" s="22">
        <v>803</v>
      </c>
      <c r="C70" s="14">
        <v>8</v>
      </c>
      <c r="D70" s="35"/>
      <c r="E70" s="29"/>
      <c r="F70" s="12">
        <f>ROUND(Tabla2[[#This Row],[Área ocupada (m²)]]/20*1.4,2)</f>
        <v>4.38</v>
      </c>
      <c r="G70" s="12">
        <v>62.5</v>
      </c>
      <c r="H70" s="12">
        <v>62.5</v>
      </c>
      <c r="I70" s="12">
        <f>ROUND(Tabla2[[#This Row],[Área techada (m²)]]*0.15,2)</f>
        <v>9.3800000000000008</v>
      </c>
      <c r="J70" s="18" t="s">
        <v>33</v>
      </c>
      <c r="K70" s="7">
        <v>197850</v>
      </c>
      <c r="L70" s="240">
        <f>ROUND(Tabla2[[#This Row],[Área ocupada (m²)3]]/20*1.4,2)</f>
        <v>4.38</v>
      </c>
      <c r="M70" s="240">
        <f>ROUND(Tabla2[[#This Row],[Área ocupada (m²)]],2)</f>
        <v>62.5</v>
      </c>
      <c r="N70" s="240">
        <f>ROUND(Tabla2[[#This Row],[Área techada (m²)]],2)</f>
        <v>62.5</v>
      </c>
      <c r="O70" s="243">
        <f>ROUND(Tabla2[[#This Row],[Área techada (m²)4]]*0.15,2)</f>
        <v>9.3800000000000008</v>
      </c>
      <c r="P70" s="6">
        <f>ROUND(Tabla2[[#This Row],[Área del terreno (m²)2]]*DATA!$F$4,-2)</f>
        <v>3100</v>
      </c>
      <c r="Q70" s="243">
        <f>+Tabla2[[#This Row],[Valor Comercial (US$)]]-Tabla2[[#This Row],[Valor del terreno (US$)]]</f>
        <v>59400</v>
      </c>
      <c r="R7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70" s="244">
        <f>ROUND(Tabla2[[#This Row],[Valor Comercial (US$)]]*0.8,-2)</f>
        <v>50000</v>
      </c>
      <c r="T70" s="244">
        <f>IF(Informe!$I$6=DATA!$B$4,R70,ROUND(Tabla2[[#This Row],[Área techada (m²)4]]*DATA!$F$5*1.15,-2))</f>
        <v>62500</v>
      </c>
      <c r="U70" s="8">
        <f t="shared" si="0"/>
        <v>3.3479999999999999</v>
      </c>
      <c r="V70" s="244">
        <f>ROUND(Tabla2[[#This Row],[Valor del terreno (US$)]]*Tabla2[[#This Row],[Tipo de Cambio]],-2)</f>
        <v>10400</v>
      </c>
      <c r="W70" s="244">
        <f>Tabla2[[#This Row],[Valor Comercial (S/.)]]-Tabla2[[#This Row],[Valor del terreno (S/.)]]</f>
        <v>198900</v>
      </c>
      <c r="X70" s="244">
        <f>ROUND(Tabla2[[#This Row],[Valor Comercial (US$)]]*Tabla2[[#This Row],[Tipo de Cambio]],-2)</f>
        <v>209300</v>
      </c>
      <c r="Y70" s="244">
        <f>ROUND(Tabla2[[#This Row],[Valor Realización (US$)]]*Tabla2[[#This Row],[Tipo de Cambio]],-2)</f>
        <v>167400</v>
      </c>
      <c r="Z70" s="244">
        <f>+ROUND(Tabla2[[#This Row],[Importe Asegurable (US$)]]*Tabla2[[#This Row],[Tipo de Cambio]],-2)</f>
        <v>209300</v>
      </c>
      <c r="AA70" s="245"/>
      <c r="AB70" s="2">
        <f>+Tabla2[[#This Row],[Valor Comercial (US$)]]/Tabla2[[#This Row],[Área techada (m²)4]]</f>
        <v>1000</v>
      </c>
      <c r="AC7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70" s="1" t="s">
        <v>49</v>
      </c>
      <c r="AE70" s="222">
        <f>IF(Tabla2[[#This Row],[Moneda]]="Soles",Tabla2[[#This Row],[Valor de Venta]]/Tabla2[[#This Row],[Área techada (m²)]]/Tabla2[[#This Row],[Tipo de Cambio]],Tabla2[[#This Row],[Valor de Venta]]/Tabla2[[#This Row],[Área techada (m²)]])</f>
        <v>945.5197132616488</v>
      </c>
      <c r="AF70" s="347">
        <f>VLOOKUP(Tabla2[[#This Row],[VISTA]],DATA!$H$4:$I$17,2,FALSE)</f>
        <v>1000</v>
      </c>
      <c r="AG70" s="221">
        <f>+Tabla2[[#This Row],[Valor Comercial (S/.)]]/Tabla2[[#This Row],[Valor de Venta]]-1</f>
        <v>5.7872125347485426E-2</v>
      </c>
    </row>
    <row r="71" spans="1:33" s="1" customFormat="1" ht="15" customHeight="1" x14ac:dyDescent="0.25">
      <c r="A71" s="225" t="s">
        <v>30</v>
      </c>
      <c r="B71" s="22">
        <v>804</v>
      </c>
      <c r="C71" s="14">
        <v>8</v>
      </c>
      <c r="D71" s="35"/>
      <c r="E71" s="29"/>
      <c r="F71" s="12">
        <f>ROUND(Tabla2[[#This Row],[Área ocupada (m²)]]/20*1.4,2)</f>
        <v>4.5599999999999996</v>
      </c>
      <c r="G71" s="12">
        <v>65.2</v>
      </c>
      <c r="H71" s="12">
        <v>65.2</v>
      </c>
      <c r="I71" s="12">
        <f>ROUND(Tabla2[[#This Row],[Área techada (m²)]]*0.15,2)</f>
        <v>9.7799999999999994</v>
      </c>
      <c r="J71" s="18" t="s">
        <v>33</v>
      </c>
      <c r="K71" s="7">
        <v>213750</v>
      </c>
      <c r="L71" s="240">
        <f>ROUND(Tabla2[[#This Row],[Área ocupada (m²)3]]/20*1.4,2)</f>
        <v>4.5599999999999996</v>
      </c>
      <c r="M71" s="240">
        <f>ROUND(Tabla2[[#This Row],[Área ocupada (m²)]],2)</f>
        <v>65.2</v>
      </c>
      <c r="N71" s="240">
        <f>ROUND(Tabla2[[#This Row],[Área techada (m²)]],2)</f>
        <v>65.2</v>
      </c>
      <c r="O71" s="243">
        <f>ROUND(Tabla2[[#This Row],[Área techada (m²)4]]*0.15,2)</f>
        <v>9.7799999999999994</v>
      </c>
      <c r="P71" s="6">
        <f>ROUND(Tabla2[[#This Row],[Área del terreno (m²)2]]*DATA!$F$4,-2)</f>
        <v>3200</v>
      </c>
      <c r="Q71" s="243">
        <f>+Tabla2[[#This Row],[Valor Comercial (US$)]]-Tabla2[[#This Row],[Valor del terreno (US$)]]</f>
        <v>65300</v>
      </c>
      <c r="R7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68500</v>
      </c>
      <c r="S71" s="244">
        <f>ROUND(Tabla2[[#This Row],[Valor Comercial (US$)]]*0.8,-2)</f>
        <v>54800</v>
      </c>
      <c r="T71" s="244">
        <f>IF(Informe!$I$6=DATA!$B$4,R71,ROUND(Tabla2[[#This Row],[Área techada (m²)4]]*DATA!$F$5*1.15,-2))</f>
        <v>68500</v>
      </c>
      <c r="U71" s="8">
        <f t="shared" si="0"/>
        <v>3.3479999999999999</v>
      </c>
      <c r="V71" s="244">
        <f>ROUND(Tabla2[[#This Row],[Valor del terreno (US$)]]*Tabla2[[#This Row],[Tipo de Cambio]],-2)</f>
        <v>10700</v>
      </c>
      <c r="W71" s="244">
        <f>Tabla2[[#This Row],[Valor Comercial (S/.)]]-Tabla2[[#This Row],[Valor del terreno (S/.)]]</f>
        <v>218600</v>
      </c>
      <c r="X71" s="244">
        <f>ROUND(Tabla2[[#This Row],[Valor Comercial (US$)]]*Tabla2[[#This Row],[Tipo de Cambio]],-2)</f>
        <v>229300</v>
      </c>
      <c r="Y71" s="244">
        <f>ROUND(Tabla2[[#This Row],[Valor Realización (US$)]]*Tabla2[[#This Row],[Tipo de Cambio]],-2)</f>
        <v>183500</v>
      </c>
      <c r="Z71" s="244">
        <f>+ROUND(Tabla2[[#This Row],[Importe Asegurable (US$)]]*Tabla2[[#This Row],[Tipo de Cambio]],-2)</f>
        <v>229300</v>
      </c>
      <c r="AA71" s="245"/>
      <c r="AB71" s="2">
        <f>+Tabla2[[#This Row],[Valor Comercial (US$)]]/Tabla2[[#This Row],[Área techada (m²)4]]</f>
        <v>1050.6134969325153</v>
      </c>
      <c r="AC7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71" s="1" t="s">
        <v>48</v>
      </c>
      <c r="AE71" s="222">
        <f>IF(Tabla2[[#This Row],[Moneda]]="Soles",Tabla2[[#This Row],[Valor de Venta]]/Tabla2[[#This Row],[Área techada (m²)]]/Tabla2[[#This Row],[Tipo de Cambio]],Tabla2[[#This Row],[Valor de Venta]]/Tabla2[[#This Row],[Área techada (m²)]])</f>
        <v>979.20377333597196</v>
      </c>
      <c r="AF71" s="347">
        <f>VLOOKUP(Tabla2[[#This Row],[VISTA]],DATA!$H$4:$I$17,2,FALSE)</f>
        <v>1050</v>
      </c>
      <c r="AG71" s="221">
        <f>+Tabla2[[#This Row],[Valor Comercial (S/.)]]/Tabla2[[#This Row],[Valor de Venta]]-1</f>
        <v>7.2748538011695896E-2</v>
      </c>
    </row>
    <row r="72" spans="1:33" s="1" customFormat="1" ht="15" customHeight="1" x14ac:dyDescent="0.25">
      <c r="A72" s="225" t="s">
        <v>30</v>
      </c>
      <c r="B72" s="22">
        <v>805</v>
      </c>
      <c r="C72" s="14">
        <v>8</v>
      </c>
      <c r="D72" s="27"/>
      <c r="E72" s="28"/>
      <c r="F72" s="12">
        <f>ROUND(Tabla2[[#This Row],[Área ocupada (m²)]]/20*1.4,2)</f>
        <v>4.5599999999999996</v>
      </c>
      <c r="G72" s="12">
        <v>65.2</v>
      </c>
      <c r="H72" s="12">
        <v>65.2</v>
      </c>
      <c r="I72" s="12">
        <f>ROUND(Tabla2[[#This Row],[Área techada (m²)]]*0.15,2)</f>
        <v>9.7799999999999994</v>
      </c>
      <c r="J72" s="18" t="s">
        <v>33</v>
      </c>
      <c r="K72" s="7">
        <v>213750</v>
      </c>
      <c r="L72" s="240">
        <f>ROUND(Tabla2[[#This Row],[Área ocupada (m²)3]]/20*1.4,2)</f>
        <v>4.5599999999999996</v>
      </c>
      <c r="M72" s="240">
        <f>ROUND(Tabla2[[#This Row],[Área ocupada (m²)]],2)</f>
        <v>65.2</v>
      </c>
      <c r="N72" s="240">
        <f>ROUND(Tabla2[[#This Row],[Área techada (m²)]],2)</f>
        <v>65.2</v>
      </c>
      <c r="O72" s="243">
        <f>ROUND(Tabla2[[#This Row],[Área techada (m²)4]]*0.15,2)</f>
        <v>9.7799999999999994</v>
      </c>
      <c r="P72" s="6">
        <f>ROUND(Tabla2[[#This Row],[Área del terreno (m²)2]]*DATA!$F$4,-2)</f>
        <v>3200</v>
      </c>
      <c r="Q72" s="243">
        <f>+Tabla2[[#This Row],[Valor Comercial (US$)]]-Tabla2[[#This Row],[Valor del terreno (US$)]]</f>
        <v>65300</v>
      </c>
      <c r="R7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68500</v>
      </c>
      <c r="S72" s="244">
        <f>ROUND(Tabla2[[#This Row],[Valor Comercial (US$)]]*0.8,-2)</f>
        <v>54800</v>
      </c>
      <c r="T72" s="244">
        <f>IF(Informe!$I$6=DATA!$B$4,R72,ROUND(Tabla2[[#This Row],[Área techada (m²)4]]*DATA!$F$5*1.15,-2))</f>
        <v>68500</v>
      </c>
      <c r="U72" s="8">
        <f t="shared" si="0"/>
        <v>3.3479999999999999</v>
      </c>
      <c r="V72" s="244">
        <f>ROUND(Tabla2[[#This Row],[Valor del terreno (US$)]]*Tabla2[[#This Row],[Tipo de Cambio]],-2)</f>
        <v>10700</v>
      </c>
      <c r="W72" s="244">
        <f>Tabla2[[#This Row],[Valor Comercial (S/.)]]-Tabla2[[#This Row],[Valor del terreno (S/.)]]</f>
        <v>218600</v>
      </c>
      <c r="X72" s="244">
        <f>ROUND(Tabla2[[#This Row],[Valor Comercial (US$)]]*Tabla2[[#This Row],[Tipo de Cambio]],-2)</f>
        <v>229300</v>
      </c>
      <c r="Y72" s="244">
        <f>ROUND(Tabla2[[#This Row],[Valor Realización (US$)]]*Tabla2[[#This Row],[Tipo de Cambio]],-2)</f>
        <v>183500</v>
      </c>
      <c r="Z72" s="244">
        <f>+ROUND(Tabla2[[#This Row],[Importe Asegurable (US$)]]*Tabla2[[#This Row],[Tipo de Cambio]],-2)</f>
        <v>229300</v>
      </c>
      <c r="AA72" s="245"/>
      <c r="AB72" s="2">
        <f>+Tabla2[[#This Row],[Valor Comercial (US$)]]/Tabla2[[#This Row],[Área techada (m²)4]]</f>
        <v>1050.6134969325153</v>
      </c>
      <c r="AC7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72" s="1" t="s">
        <v>48</v>
      </c>
      <c r="AE72" s="222">
        <f>IF(Tabla2[[#This Row],[Moneda]]="Soles",Tabla2[[#This Row],[Valor de Venta]]/Tabla2[[#This Row],[Área techada (m²)]]/Tabla2[[#This Row],[Tipo de Cambio]],Tabla2[[#This Row],[Valor de Venta]]/Tabla2[[#This Row],[Área techada (m²)]])</f>
        <v>979.20377333597196</v>
      </c>
      <c r="AF72" s="347">
        <f>VLOOKUP(Tabla2[[#This Row],[VISTA]],DATA!$H$4:$I$17,2,FALSE)</f>
        <v>1050</v>
      </c>
      <c r="AG72" s="221">
        <f>+Tabla2[[#This Row],[Valor Comercial (S/.)]]/Tabla2[[#This Row],[Valor de Venta]]-1</f>
        <v>7.2748538011695896E-2</v>
      </c>
    </row>
    <row r="73" spans="1:33" s="1" customFormat="1" ht="15" customHeight="1" x14ac:dyDescent="0.25">
      <c r="A73" s="225" t="s">
        <v>30</v>
      </c>
      <c r="B73" s="22">
        <v>806</v>
      </c>
      <c r="C73" s="14">
        <v>8</v>
      </c>
      <c r="D73" s="35"/>
      <c r="E73" s="29"/>
      <c r="F73" s="12">
        <f>ROUND(Tabla2[[#This Row],[Área ocupada (m²)]]/20*1.4,2)</f>
        <v>4.38</v>
      </c>
      <c r="G73" s="12">
        <v>62.5</v>
      </c>
      <c r="H73" s="12">
        <v>62.5</v>
      </c>
      <c r="I73" s="12">
        <f>ROUND(Tabla2[[#This Row],[Área techada (m²)]]*0.15,2)</f>
        <v>9.3800000000000008</v>
      </c>
      <c r="J73" s="18" t="s">
        <v>33</v>
      </c>
      <c r="K73" s="7">
        <v>200850</v>
      </c>
      <c r="L73" s="240">
        <f>ROUND(Tabla2[[#This Row],[Área ocupada (m²)3]]/20*1.4,2)</f>
        <v>4.38</v>
      </c>
      <c r="M73" s="240">
        <f>ROUND(Tabla2[[#This Row],[Área ocupada (m²)]],2)</f>
        <v>62.5</v>
      </c>
      <c r="N73" s="240">
        <f>ROUND(Tabla2[[#This Row],[Área techada (m²)]],2)</f>
        <v>62.5</v>
      </c>
      <c r="O73" s="243">
        <f>ROUND(Tabla2[[#This Row],[Área techada (m²)4]]*0.15,2)</f>
        <v>9.3800000000000008</v>
      </c>
      <c r="P73" s="6">
        <f>ROUND(Tabla2[[#This Row],[Área del terreno (m²)2]]*DATA!$F$4,-2)</f>
        <v>3100</v>
      </c>
      <c r="Q73" s="243">
        <f>+Tabla2[[#This Row],[Valor Comercial (US$)]]-Tabla2[[#This Row],[Valor del terreno (US$)]]</f>
        <v>59400</v>
      </c>
      <c r="R7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73" s="244">
        <f>ROUND(Tabla2[[#This Row],[Valor Comercial (US$)]]*0.8,-2)</f>
        <v>50000</v>
      </c>
      <c r="T73" s="244">
        <f>IF(Informe!$I$6=DATA!$B$4,R73,ROUND(Tabla2[[#This Row],[Área techada (m²)4]]*DATA!$F$5*1.15,-2))</f>
        <v>62500</v>
      </c>
      <c r="U73" s="8">
        <f t="shared" si="0"/>
        <v>3.3479999999999999</v>
      </c>
      <c r="V73" s="244">
        <f>ROUND(Tabla2[[#This Row],[Valor del terreno (US$)]]*Tabla2[[#This Row],[Tipo de Cambio]],-2)</f>
        <v>10400</v>
      </c>
      <c r="W73" s="244">
        <f>Tabla2[[#This Row],[Valor Comercial (S/.)]]-Tabla2[[#This Row],[Valor del terreno (S/.)]]</f>
        <v>198900</v>
      </c>
      <c r="X73" s="244">
        <f>ROUND(Tabla2[[#This Row],[Valor Comercial (US$)]]*Tabla2[[#This Row],[Tipo de Cambio]],-2)</f>
        <v>209300</v>
      </c>
      <c r="Y73" s="244">
        <f>ROUND(Tabla2[[#This Row],[Valor Realización (US$)]]*Tabla2[[#This Row],[Tipo de Cambio]],-2)</f>
        <v>167400</v>
      </c>
      <c r="Z73" s="244">
        <f>+ROUND(Tabla2[[#This Row],[Importe Asegurable (US$)]]*Tabla2[[#This Row],[Tipo de Cambio]],-2)</f>
        <v>209300</v>
      </c>
      <c r="AA73" s="245"/>
      <c r="AB73" s="2">
        <f>+Tabla2[[#This Row],[Valor Comercial (US$)]]/Tabla2[[#This Row],[Área techada (m²)4]]</f>
        <v>1000</v>
      </c>
      <c r="AC7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73" s="1" t="s">
        <v>49</v>
      </c>
      <c r="AE73" s="222">
        <f>IF(Tabla2[[#This Row],[Moneda]]="Soles",Tabla2[[#This Row],[Valor de Venta]]/Tabla2[[#This Row],[Área techada (m²)]]/Tabla2[[#This Row],[Tipo de Cambio]],Tabla2[[#This Row],[Valor de Venta]]/Tabla2[[#This Row],[Área techada (m²)]])</f>
        <v>959.85663082437281</v>
      </c>
      <c r="AF73" s="347">
        <f>VLOOKUP(Tabla2[[#This Row],[VISTA]],DATA!$H$4:$I$17,2,FALSE)</f>
        <v>1000</v>
      </c>
      <c r="AG73" s="221">
        <f>+Tabla2[[#This Row],[Valor Comercial (S/.)]]/Tabla2[[#This Row],[Valor de Venta]]-1</f>
        <v>4.2071197411003292E-2</v>
      </c>
    </row>
    <row r="74" spans="1:33" s="1" customFormat="1" ht="15" customHeight="1" x14ac:dyDescent="0.25">
      <c r="A74" s="225" t="s">
        <v>30</v>
      </c>
      <c r="B74" s="22">
        <v>807</v>
      </c>
      <c r="C74" s="14">
        <v>8</v>
      </c>
      <c r="D74" s="35"/>
      <c r="E74" s="29"/>
      <c r="F74" s="12">
        <f>ROUND(Tabla2[[#This Row],[Área ocupada (m²)]]/20*1.4,2)</f>
        <v>4.38</v>
      </c>
      <c r="G74" s="12">
        <v>62.5</v>
      </c>
      <c r="H74" s="12">
        <v>62.5</v>
      </c>
      <c r="I74" s="12">
        <f>ROUND(Tabla2[[#This Row],[Área techada (m²)]]*0.15,2)</f>
        <v>9.3800000000000008</v>
      </c>
      <c r="J74" s="18" t="s">
        <v>33</v>
      </c>
      <c r="K74" s="7">
        <v>193850</v>
      </c>
      <c r="L74" s="240">
        <f>ROUND(Tabla2[[#This Row],[Área ocupada (m²)3]]/20*1.4,2)</f>
        <v>4.38</v>
      </c>
      <c r="M74" s="240">
        <f>ROUND(Tabla2[[#This Row],[Área ocupada (m²)]],2)</f>
        <v>62.5</v>
      </c>
      <c r="N74" s="240">
        <f>ROUND(Tabla2[[#This Row],[Área techada (m²)]],2)</f>
        <v>62.5</v>
      </c>
      <c r="O74" s="243">
        <f>ROUND(Tabla2[[#This Row],[Área techada (m²)4]]*0.15,2)</f>
        <v>9.3800000000000008</v>
      </c>
      <c r="P74" s="6">
        <f>ROUND(Tabla2[[#This Row],[Área del terreno (m²)2]]*DATA!$F$4,-2)</f>
        <v>3100</v>
      </c>
      <c r="Q74" s="243">
        <f>+Tabla2[[#This Row],[Valor Comercial (US$)]]-Tabla2[[#This Row],[Valor del terreno (US$)]]</f>
        <v>56300</v>
      </c>
      <c r="R7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74" s="244">
        <f>ROUND(Tabla2[[#This Row],[Valor Comercial (US$)]]*0.8,-2)</f>
        <v>47500</v>
      </c>
      <c r="T74" s="244">
        <f>IF(Informe!$I$6=DATA!$B$4,R74,ROUND(Tabla2[[#This Row],[Área techada (m²)4]]*DATA!$F$5*1.15,-2))</f>
        <v>59400</v>
      </c>
      <c r="U74" s="8">
        <f t="shared" si="0"/>
        <v>3.3479999999999999</v>
      </c>
      <c r="V74" s="244">
        <f>ROUND(Tabla2[[#This Row],[Valor del terreno (US$)]]*Tabla2[[#This Row],[Tipo de Cambio]],-2)</f>
        <v>10400</v>
      </c>
      <c r="W74" s="244">
        <f>Tabla2[[#This Row],[Valor Comercial (S/.)]]-Tabla2[[#This Row],[Valor del terreno (S/.)]]</f>
        <v>188500</v>
      </c>
      <c r="X74" s="244">
        <f>ROUND(Tabla2[[#This Row],[Valor Comercial (US$)]]*Tabla2[[#This Row],[Tipo de Cambio]],-2)</f>
        <v>198900</v>
      </c>
      <c r="Y74" s="244">
        <f>ROUND(Tabla2[[#This Row],[Valor Realización (US$)]]*Tabla2[[#This Row],[Tipo de Cambio]],-2)</f>
        <v>159000</v>
      </c>
      <c r="Z74" s="244">
        <f>+ROUND(Tabla2[[#This Row],[Importe Asegurable (US$)]]*Tabla2[[#This Row],[Tipo de Cambio]],-2)</f>
        <v>198900</v>
      </c>
      <c r="AA74" s="245"/>
      <c r="AB74" s="2">
        <f>+Tabla2[[#This Row],[Valor Comercial (US$)]]/Tabla2[[#This Row],[Área techada (m²)4]]</f>
        <v>950.4</v>
      </c>
      <c r="AC7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74" s="1" t="s">
        <v>50</v>
      </c>
      <c r="AE74" s="222">
        <f>IF(Tabla2[[#This Row],[Moneda]]="Soles",Tabla2[[#This Row],[Valor de Venta]]/Tabla2[[#This Row],[Área techada (m²)]]/Tabla2[[#This Row],[Tipo de Cambio]],Tabla2[[#This Row],[Valor de Venta]]/Tabla2[[#This Row],[Área techada (m²)]])</f>
        <v>926.40382317801675</v>
      </c>
      <c r="AF74" s="347">
        <f>VLOOKUP(Tabla2[[#This Row],[VISTA]],DATA!$H$4:$I$17,2,FALSE)</f>
        <v>950</v>
      </c>
      <c r="AG74" s="221">
        <f>+Tabla2[[#This Row],[Valor Comercial (S/.)]]/Tabla2[[#This Row],[Valor de Venta]]-1</f>
        <v>2.6051070415269439E-2</v>
      </c>
    </row>
    <row r="75" spans="1:33" s="1" customFormat="1" ht="15" customHeight="1" x14ac:dyDescent="0.25">
      <c r="A75" s="225" t="s">
        <v>30</v>
      </c>
      <c r="B75" s="22">
        <v>808</v>
      </c>
      <c r="C75" s="14">
        <v>8</v>
      </c>
      <c r="D75" s="35"/>
      <c r="E75" s="29"/>
      <c r="F75" s="12">
        <f>ROUND(Tabla2[[#This Row],[Área ocupada (m²)]]/20*1.4,2)</f>
        <v>4.5599999999999996</v>
      </c>
      <c r="G75" s="12">
        <v>65.2</v>
      </c>
      <c r="H75" s="12">
        <v>65.2</v>
      </c>
      <c r="I75" s="12">
        <f>ROUND(Tabla2[[#This Row],[Área techada (m²)]]*0.15,2)</f>
        <v>9.7799999999999994</v>
      </c>
      <c r="J75" s="18" t="s">
        <v>33</v>
      </c>
      <c r="K75" s="7">
        <v>235750</v>
      </c>
      <c r="L75" s="240">
        <f>ROUND(Tabla2[[#This Row],[Área ocupada (m²)3]]/20*1.4,2)</f>
        <v>4.5599999999999996</v>
      </c>
      <c r="M75" s="240">
        <f>ROUND(Tabla2[[#This Row],[Área ocupada (m²)]],2)</f>
        <v>65.2</v>
      </c>
      <c r="N75" s="240">
        <f>ROUND(Tabla2[[#This Row],[Área techada (m²)]],2)</f>
        <v>65.2</v>
      </c>
      <c r="O75" s="243">
        <f>ROUND(Tabla2[[#This Row],[Área techada (m²)4]]*0.15,2)</f>
        <v>9.7799999999999994</v>
      </c>
      <c r="P75" s="6">
        <f>ROUND(Tabla2[[#This Row],[Área del terreno (m²)2]]*DATA!$F$4,-2)</f>
        <v>3200</v>
      </c>
      <c r="Q75" s="243">
        <f>+Tabla2[[#This Row],[Valor Comercial (US$)]]-Tabla2[[#This Row],[Valor del terreno (US$)]]</f>
        <v>71800</v>
      </c>
      <c r="R7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75000</v>
      </c>
      <c r="S75" s="244">
        <f>ROUND(Tabla2[[#This Row],[Valor Comercial (US$)]]*0.8,-2)</f>
        <v>60000</v>
      </c>
      <c r="T75" s="244">
        <f>IF(Informe!$I$6=DATA!$B$4,R75,ROUND(Tabla2[[#This Row],[Área techada (m²)4]]*DATA!$F$5*1.15,-2))</f>
        <v>75000</v>
      </c>
      <c r="U75" s="8">
        <f t="shared" si="0"/>
        <v>3.3479999999999999</v>
      </c>
      <c r="V75" s="244">
        <f>ROUND(Tabla2[[#This Row],[Valor del terreno (US$)]]*Tabla2[[#This Row],[Tipo de Cambio]],-2)</f>
        <v>10700</v>
      </c>
      <c r="W75" s="244">
        <f>Tabla2[[#This Row],[Valor Comercial (S/.)]]-Tabla2[[#This Row],[Valor del terreno (S/.)]]</f>
        <v>240400</v>
      </c>
      <c r="X75" s="244">
        <f>ROUND(Tabla2[[#This Row],[Valor Comercial (US$)]]*Tabla2[[#This Row],[Tipo de Cambio]],-2)</f>
        <v>251100</v>
      </c>
      <c r="Y75" s="244">
        <f>ROUND(Tabla2[[#This Row],[Valor Realización (US$)]]*Tabla2[[#This Row],[Tipo de Cambio]],-2)</f>
        <v>200900</v>
      </c>
      <c r="Z75" s="244">
        <f>+ROUND(Tabla2[[#This Row],[Importe Asegurable (US$)]]*Tabla2[[#This Row],[Tipo de Cambio]],-2)</f>
        <v>251100</v>
      </c>
      <c r="AA75" s="245"/>
      <c r="AB75" s="2">
        <f>+Tabla2[[#This Row],[Valor Comercial (US$)]]/Tabla2[[#This Row],[Área techada (m²)4]]</f>
        <v>1150.3067484662577</v>
      </c>
      <c r="AC7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75" s="1" t="s">
        <v>46</v>
      </c>
      <c r="AE75" s="222">
        <f>IF(Tabla2[[#This Row],[Moneda]]="Soles",Tabla2[[#This Row],[Valor de Venta]]/Tabla2[[#This Row],[Área techada (m²)]]/Tabla2[[#This Row],[Tipo de Cambio]],Tabla2[[#This Row],[Valor de Venta]]/Tabla2[[#This Row],[Área techada (m²)]])</f>
        <v>1079.9873195974521</v>
      </c>
      <c r="AF75" s="347">
        <f>VLOOKUP(Tabla2[[#This Row],[VISTA]],DATA!$H$4:$I$17,2,FALSE)</f>
        <v>1150</v>
      </c>
      <c r="AG75" s="221">
        <f>+Tabla2[[#This Row],[Valor Comercial (S/.)]]/Tabla2[[#This Row],[Valor de Venta]]-1</f>
        <v>6.5111346765641676E-2</v>
      </c>
    </row>
    <row r="76" spans="1:33" s="1" customFormat="1" ht="15" customHeight="1" x14ac:dyDescent="0.25">
      <c r="A76" s="225" t="s">
        <v>30</v>
      </c>
      <c r="B76" s="22">
        <v>901</v>
      </c>
      <c r="C76" s="14">
        <v>9</v>
      </c>
      <c r="D76" s="35"/>
      <c r="E76" s="29"/>
      <c r="F76" s="12">
        <f>ROUND(Tabla2[[#This Row],[Área ocupada (m²)]]/20*1.4,2)</f>
        <v>4.5599999999999996</v>
      </c>
      <c r="G76" s="12">
        <v>65.2</v>
      </c>
      <c r="H76" s="12">
        <v>65.2</v>
      </c>
      <c r="I76" s="12">
        <f>ROUND(Tabla2[[#This Row],[Área techada (m²)]]*0.15,2)</f>
        <v>9.7799999999999994</v>
      </c>
      <c r="J76" s="18" t="s">
        <v>33</v>
      </c>
      <c r="K76" s="7">
        <v>203750</v>
      </c>
      <c r="L76" s="240">
        <f>ROUND(Tabla2[[#This Row],[Área ocupada (m²)3]]/20*1.4,2)</f>
        <v>4.5599999999999996</v>
      </c>
      <c r="M76" s="240">
        <f>ROUND(Tabla2[[#This Row],[Área ocupada (m²)]],2)</f>
        <v>65.2</v>
      </c>
      <c r="N76" s="240">
        <f>ROUND(Tabla2[[#This Row],[Área techada (m²)]],2)</f>
        <v>65.2</v>
      </c>
      <c r="O76" s="243">
        <f>ROUND(Tabla2[[#This Row],[Área techada (m²)4]]*0.15,2)</f>
        <v>9.7799999999999994</v>
      </c>
      <c r="P76" s="6">
        <f>ROUND(Tabla2[[#This Row],[Área del terreno (m²)2]]*DATA!$F$4,-2)</f>
        <v>3200</v>
      </c>
      <c r="Q76" s="243">
        <f>+Tabla2[[#This Row],[Valor Comercial (US$)]]-Tabla2[[#This Row],[Valor del terreno (US$)]]</f>
        <v>62000</v>
      </c>
      <c r="R7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76" s="244">
        <f>ROUND(Tabla2[[#This Row],[Valor Comercial (US$)]]*0.8,-2)</f>
        <v>52200</v>
      </c>
      <c r="T76" s="244">
        <f>IF(Informe!$I$6=DATA!$B$4,R76,ROUND(Tabla2[[#This Row],[Área techada (m²)4]]*DATA!$F$5*1.15,-2))</f>
        <v>65200</v>
      </c>
      <c r="U76" s="8">
        <f t="shared" si="0"/>
        <v>3.3479999999999999</v>
      </c>
      <c r="V76" s="244">
        <f>ROUND(Tabla2[[#This Row],[Valor del terreno (US$)]]*Tabla2[[#This Row],[Tipo de Cambio]],-2)</f>
        <v>10700</v>
      </c>
      <c r="W76" s="244">
        <f>Tabla2[[#This Row],[Valor Comercial (S/.)]]-Tabla2[[#This Row],[Valor del terreno (S/.)]]</f>
        <v>207600</v>
      </c>
      <c r="X76" s="244">
        <f>ROUND(Tabla2[[#This Row],[Valor Comercial (US$)]]*Tabla2[[#This Row],[Tipo de Cambio]],-2)</f>
        <v>218300</v>
      </c>
      <c r="Y76" s="244">
        <f>ROUND(Tabla2[[#This Row],[Valor Realización (US$)]]*Tabla2[[#This Row],[Tipo de Cambio]],-2)</f>
        <v>174800</v>
      </c>
      <c r="Z76" s="244">
        <f>+ROUND(Tabla2[[#This Row],[Importe Asegurable (US$)]]*Tabla2[[#This Row],[Tipo de Cambio]],-2)</f>
        <v>218300</v>
      </c>
      <c r="AA76" s="245"/>
      <c r="AB76" s="2">
        <f>+Tabla2[[#This Row],[Valor Comercial (US$)]]/Tabla2[[#This Row],[Área techada (m²)4]]</f>
        <v>1000</v>
      </c>
      <c r="AC7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76" s="1" t="s">
        <v>49</v>
      </c>
      <c r="AE76" s="222">
        <f>IF(Tabla2[[#This Row],[Moneda]]="Soles",Tabla2[[#This Row],[Valor de Venta]]/Tabla2[[#This Row],[Área techada (m²)]]/Tabla2[[#This Row],[Tipo de Cambio]],Tabla2[[#This Row],[Valor de Venta]]/Tabla2[[#This Row],[Área techada (m²)]])</f>
        <v>933.39307048984472</v>
      </c>
      <c r="AF76" s="347">
        <f>VLOOKUP(Tabla2[[#This Row],[VISTA]],DATA!$H$4:$I$17,2,FALSE)</f>
        <v>1000</v>
      </c>
      <c r="AG76" s="221">
        <f>+Tabla2[[#This Row],[Valor Comercial (S/.)]]/Tabla2[[#This Row],[Valor de Venta]]-1</f>
        <v>7.1411042944785175E-2</v>
      </c>
    </row>
    <row r="77" spans="1:33" s="1" customFormat="1" ht="15" customHeight="1" x14ac:dyDescent="0.25">
      <c r="A77" s="225" t="s">
        <v>30</v>
      </c>
      <c r="B77" s="22">
        <v>902</v>
      </c>
      <c r="C77" s="14">
        <v>9</v>
      </c>
      <c r="D77" s="35"/>
      <c r="E77" s="29"/>
      <c r="F77" s="12">
        <f>ROUND(Tabla2[[#This Row],[Área ocupada (m²)]]/20*1.4,2)</f>
        <v>4.38</v>
      </c>
      <c r="G77" s="12">
        <v>62.5</v>
      </c>
      <c r="H77" s="12">
        <v>62.5</v>
      </c>
      <c r="I77" s="12">
        <f>ROUND(Tabla2[[#This Row],[Área techada (m²)]]*0.15,2)</f>
        <v>9.3800000000000008</v>
      </c>
      <c r="J77" s="18" t="s">
        <v>33</v>
      </c>
      <c r="K77" s="7">
        <v>190950</v>
      </c>
      <c r="L77" s="240">
        <f>ROUND(Tabla2[[#This Row],[Área ocupada (m²)3]]/20*1.4,2)</f>
        <v>4.38</v>
      </c>
      <c r="M77" s="240">
        <f>ROUND(Tabla2[[#This Row],[Área ocupada (m²)]],2)</f>
        <v>62.5</v>
      </c>
      <c r="N77" s="240">
        <f>ROUND(Tabla2[[#This Row],[Área techada (m²)]],2)</f>
        <v>62.5</v>
      </c>
      <c r="O77" s="243">
        <f>ROUND(Tabla2[[#This Row],[Área techada (m²)4]]*0.15,2)</f>
        <v>9.3800000000000008</v>
      </c>
      <c r="P77" s="6">
        <f>ROUND(Tabla2[[#This Row],[Área del terreno (m²)2]]*DATA!$F$4,-2)</f>
        <v>3100</v>
      </c>
      <c r="Q77" s="243">
        <f>+Tabla2[[#This Row],[Valor Comercial (US$)]]-Tabla2[[#This Row],[Valor del terreno (US$)]]</f>
        <v>56300</v>
      </c>
      <c r="R7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77" s="244">
        <f>ROUND(Tabla2[[#This Row],[Valor Comercial (US$)]]*0.8,-2)</f>
        <v>47500</v>
      </c>
      <c r="T77" s="244">
        <f>IF(Informe!$I$6=DATA!$B$4,R77,ROUND(Tabla2[[#This Row],[Área techada (m²)4]]*DATA!$F$5*1.15,-2))</f>
        <v>59400</v>
      </c>
      <c r="U77" s="8">
        <f t="shared" ref="U77:U140" si="1">+$G$8</f>
        <v>3.3479999999999999</v>
      </c>
      <c r="V77" s="244">
        <f>ROUND(Tabla2[[#This Row],[Valor del terreno (US$)]]*Tabla2[[#This Row],[Tipo de Cambio]],-2)</f>
        <v>10400</v>
      </c>
      <c r="W77" s="244">
        <f>Tabla2[[#This Row],[Valor Comercial (S/.)]]-Tabla2[[#This Row],[Valor del terreno (S/.)]]</f>
        <v>188500</v>
      </c>
      <c r="X77" s="244">
        <f>ROUND(Tabla2[[#This Row],[Valor Comercial (US$)]]*Tabla2[[#This Row],[Tipo de Cambio]],-2)</f>
        <v>198900</v>
      </c>
      <c r="Y77" s="244">
        <f>ROUND(Tabla2[[#This Row],[Valor Realización (US$)]]*Tabla2[[#This Row],[Tipo de Cambio]],-2)</f>
        <v>159000</v>
      </c>
      <c r="Z77" s="244">
        <f>+ROUND(Tabla2[[#This Row],[Importe Asegurable (US$)]]*Tabla2[[#This Row],[Tipo de Cambio]],-2)</f>
        <v>198900</v>
      </c>
      <c r="AA77" s="245"/>
      <c r="AB77" s="2">
        <f>+Tabla2[[#This Row],[Valor Comercial (US$)]]/Tabla2[[#This Row],[Área techada (m²)4]]</f>
        <v>950.4</v>
      </c>
      <c r="AC7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77" s="1" t="s">
        <v>50</v>
      </c>
      <c r="AE77" s="222">
        <f>IF(Tabla2[[#This Row],[Moneda]]="Soles",Tabla2[[#This Row],[Valor de Venta]]/Tabla2[[#This Row],[Área techada (m²)]]/Tabla2[[#This Row],[Tipo de Cambio]],Tabla2[[#This Row],[Valor de Venta]]/Tabla2[[#This Row],[Área techada (m²)]])</f>
        <v>912.54480286738351</v>
      </c>
      <c r="AF77" s="347">
        <f>VLOOKUP(Tabla2[[#This Row],[VISTA]],DATA!$H$4:$I$17,2,FALSE)</f>
        <v>950</v>
      </c>
      <c r="AG77" s="221">
        <f>+Tabla2[[#This Row],[Valor Comercial (S/.)]]/Tabla2[[#This Row],[Valor de Venta]]-1</f>
        <v>4.1633935585231763E-2</v>
      </c>
    </row>
    <row r="78" spans="1:33" s="1" customFormat="1" ht="15" customHeight="1" x14ac:dyDescent="0.25">
      <c r="A78" s="225" t="s">
        <v>30</v>
      </c>
      <c r="B78" s="22">
        <v>903</v>
      </c>
      <c r="C78" s="14">
        <v>9</v>
      </c>
      <c r="D78" s="35"/>
      <c r="E78" s="29"/>
      <c r="F78" s="12">
        <f>ROUND(Tabla2[[#This Row],[Área ocupada (m²)]]/20*1.4,2)</f>
        <v>4.38</v>
      </c>
      <c r="G78" s="12">
        <v>62.5</v>
      </c>
      <c r="H78" s="12">
        <v>62.5</v>
      </c>
      <c r="I78" s="12">
        <f>ROUND(Tabla2[[#This Row],[Área techada (m²)]]*0.15,2)</f>
        <v>9.3800000000000008</v>
      </c>
      <c r="J78" s="18" t="s">
        <v>33</v>
      </c>
      <c r="K78" s="7">
        <v>195950</v>
      </c>
      <c r="L78" s="240">
        <f>ROUND(Tabla2[[#This Row],[Área ocupada (m²)3]]/20*1.4,2)</f>
        <v>4.38</v>
      </c>
      <c r="M78" s="240">
        <f>ROUND(Tabla2[[#This Row],[Área ocupada (m²)]],2)</f>
        <v>62.5</v>
      </c>
      <c r="N78" s="240">
        <f>ROUND(Tabla2[[#This Row],[Área techada (m²)]],2)</f>
        <v>62.5</v>
      </c>
      <c r="O78" s="243">
        <f>ROUND(Tabla2[[#This Row],[Área techada (m²)4]]*0.15,2)</f>
        <v>9.3800000000000008</v>
      </c>
      <c r="P78" s="6">
        <f>ROUND(Tabla2[[#This Row],[Área del terreno (m²)2]]*DATA!$F$4,-2)</f>
        <v>3100</v>
      </c>
      <c r="Q78" s="243">
        <f>+Tabla2[[#This Row],[Valor Comercial (US$)]]-Tabla2[[#This Row],[Valor del terreno (US$)]]</f>
        <v>59400</v>
      </c>
      <c r="R7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78" s="244">
        <f>ROUND(Tabla2[[#This Row],[Valor Comercial (US$)]]*0.8,-2)</f>
        <v>50000</v>
      </c>
      <c r="T78" s="244">
        <f>IF(Informe!$I$6=DATA!$B$4,R78,ROUND(Tabla2[[#This Row],[Área techada (m²)4]]*DATA!$F$5*1.15,-2))</f>
        <v>62500</v>
      </c>
      <c r="U78" s="8">
        <f t="shared" si="1"/>
        <v>3.3479999999999999</v>
      </c>
      <c r="V78" s="244">
        <f>ROUND(Tabla2[[#This Row],[Valor del terreno (US$)]]*Tabla2[[#This Row],[Tipo de Cambio]],-2)</f>
        <v>10400</v>
      </c>
      <c r="W78" s="244">
        <f>Tabla2[[#This Row],[Valor Comercial (S/.)]]-Tabla2[[#This Row],[Valor del terreno (S/.)]]</f>
        <v>198900</v>
      </c>
      <c r="X78" s="244">
        <f>ROUND(Tabla2[[#This Row],[Valor Comercial (US$)]]*Tabla2[[#This Row],[Tipo de Cambio]],-2)</f>
        <v>209300</v>
      </c>
      <c r="Y78" s="244">
        <f>ROUND(Tabla2[[#This Row],[Valor Realización (US$)]]*Tabla2[[#This Row],[Tipo de Cambio]],-2)</f>
        <v>167400</v>
      </c>
      <c r="Z78" s="244">
        <f>+ROUND(Tabla2[[#This Row],[Importe Asegurable (US$)]]*Tabla2[[#This Row],[Tipo de Cambio]],-2)</f>
        <v>209300</v>
      </c>
      <c r="AA78" s="245"/>
      <c r="AB78" s="2">
        <f>+Tabla2[[#This Row],[Valor Comercial (US$)]]/Tabla2[[#This Row],[Área techada (m²)4]]</f>
        <v>1000</v>
      </c>
      <c r="AC7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78" s="1" t="s">
        <v>49</v>
      </c>
      <c r="AE78" s="222">
        <f>IF(Tabla2[[#This Row],[Moneda]]="Soles",Tabla2[[#This Row],[Valor de Venta]]/Tabla2[[#This Row],[Área techada (m²)]]/Tabla2[[#This Row],[Tipo de Cambio]],Tabla2[[#This Row],[Valor de Venta]]/Tabla2[[#This Row],[Área techada (m²)]])</f>
        <v>936.43966547192349</v>
      </c>
      <c r="AF78" s="347">
        <f>VLOOKUP(Tabla2[[#This Row],[VISTA]],DATA!$H$4:$I$17,2,FALSE)</f>
        <v>1000</v>
      </c>
      <c r="AG78" s="221">
        <f>+Tabla2[[#This Row],[Valor Comercial (S/.)]]/Tabla2[[#This Row],[Valor de Venta]]-1</f>
        <v>6.8129624904312402E-2</v>
      </c>
    </row>
    <row r="79" spans="1:33" s="1" customFormat="1" ht="15" customHeight="1" x14ac:dyDescent="0.25">
      <c r="A79" s="225" t="s">
        <v>30</v>
      </c>
      <c r="B79" s="22">
        <v>904</v>
      </c>
      <c r="C79" s="14">
        <v>9</v>
      </c>
      <c r="D79" s="35"/>
      <c r="E79" s="29"/>
      <c r="F79" s="12">
        <f>ROUND(Tabla2[[#This Row],[Área ocupada (m²)]]/20*1.4,2)</f>
        <v>4.5599999999999996</v>
      </c>
      <c r="G79" s="12">
        <v>65.2</v>
      </c>
      <c r="H79" s="12">
        <v>65.2</v>
      </c>
      <c r="I79" s="12">
        <f>ROUND(Tabla2[[#This Row],[Área techada (m²)]]*0.15,2)</f>
        <v>9.7799999999999994</v>
      </c>
      <c r="J79" s="18" t="s">
        <v>33</v>
      </c>
      <c r="K79" s="7">
        <v>214750</v>
      </c>
      <c r="L79" s="240">
        <f>ROUND(Tabla2[[#This Row],[Área ocupada (m²)3]]/20*1.4,2)</f>
        <v>4.5599999999999996</v>
      </c>
      <c r="M79" s="240">
        <f>ROUND(Tabla2[[#This Row],[Área ocupada (m²)]],2)</f>
        <v>65.2</v>
      </c>
      <c r="N79" s="240">
        <f>ROUND(Tabla2[[#This Row],[Área techada (m²)]],2)</f>
        <v>65.2</v>
      </c>
      <c r="O79" s="243">
        <f>ROUND(Tabla2[[#This Row],[Área techada (m²)4]]*0.15,2)</f>
        <v>9.7799999999999994</v>
      </c>
      <c r="P79" s="6">
        <f>ROUND(Tabla2[[#This Row],[Área del terreno (m²)2]]*DATA!$F$4,-2)</f>
        <v>3200</v>
      </c>
      <c r="Q79" s="243">
        <f>+Tabla2[[#This Row],[Valor Comercial (US$)]]-Tabla2[[#This Row],[Valor del terreno (US$)]]</f>
        <v>65300</v>
      </c>
      <c r="R7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68500</v>
      </c>
      <c r="S79" s="244">
        <f>ROUND(Tabla2[[#This Row],[Valor Comercial (US$)]]*0.8,-2)</f>
        <v>54800</v>
      </c>
      <c r="T79" s="244">
        <f>IF(Informe!$I$6=DATA!$B$4,R79,ROUND(Tabla2[[#This Row],[Área techada (m²)4]]*DATA!$F$5*1.15,-2))</f>
        <v>68500</v>
      </c>
      <c r="U79" s="8">
        <f t="shared" si="1"/>
        <v>3.3479999999999999</v>
      </c>
      <c r="V79" s="244">
        <f>ROUND(Tabla2[[#This Row],[Valor del terreno (US$)]]*Tabla2[[#This Row],[Tipo de Cambio]],-2)</f>
        <v>10700</v>
      </c>
      <c r="W79" s="244">
        <f>Tabla2[[#This Row],[Valor Comercial (S/.)]]-Tabla2[[#This Row],[Valor del terreno (S/.)]]</f>
        <v>218600</v>
      </c>
      <c r="X79" s="244">
        <f>ROUND(Tabla2[[#This Row],[Valor Comercial (US$)]]*Tabla2[[#This Row],[Tipo de Cambio]],-2)</f>
        <v>229300</v>
      </c>
      <c r="Y79" s="244">
        <f>ROUND(Tabla2[[#This Row],[Valor Realización (US$)]]*Tabla2[[#This Row],[Tipo de Cambio]],-2)</f>
        <v>183500</v>
      </c>
      <c r="Z79" s="244">
        <f>+ROUND(Tabla2[[#This Row],[Importe Asegurable (US$)]]*Tabla2[[#This Row],[Tipo de Cambio]],-2)</f>
        <v>229300</v>
      </c>
      <c r="AA79" s="245"/>
      <c r="AB79" s="2">
        <f>+Tabla2[[#This Row],[Valor Comercial (US$)]]/Tabla2[[#This Row],[Área techada (m²)4]]</f>
        <v>1050.6134969325153</v>
      </c>
      <c r="AC7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79" s="1" t="s">
        <v>48</v>
      </c>
      <c r="AE79" s="222">
        <f>IF(Tabla2[[#This Row],[Moneda]]="Soles",Tabla2[[#This Row],[Valor de Venta]]/Tabla2[[#This Row],[Área techada (m²)]]/Tabla2[[#This Row],[Tipo de Cambio]],Tabla2[[#This Row],[Valor de Venta]]/Tabla2[[#This Row],[Área techada (m²)]])</f>
        <v>983.78484362058464</v>
      </c>
      <c r="AF79" s="347">
        <f>VLOOKUP(Tabla2[[#This Row],[VISTA]],DATA!$H$4:$I$17,2,FALSE)</f>
        <v>1050</v>
      </c>
      <c r="AG79" s="221">
        <f>+Tabla2[[#This Row],[Valor Comercial (S/.)]]/Tabla2[[#This Row],[Valor de Venta]]-1</f>
        <v>6.7753201396973273E-2</v>
      </c>
    </row>
    <row r="80" spans="1:33" s="1" customFormat="1" ht="15" customHeight="1" x14ac:dyDescent="0.25">
      <c r="A80" s="225" t="s">
        <v>30</v>
      </c>
      <c r="B80" s="22">
        <v>905</v>
      </c>
      <c r="C80" s="14">
        <v>9</v>
      </c>
      <c r="D80" s="36"/>
      <c r="E80" s="29"/>
      <c r="F80" s="12">
        <f>ROUND(Tabla2[[#This Row],[Área ocupada (m²)]]/20*1.4,2)</f>
        <v>4.5599999999999996</v>
      </c>
      <c r="G80" s="12">
        <v>65.2</v>
      </c>
      <c r="H80" s="12">
        <v>65.2</v>
      </c>
      <c r="I80" s="12">
        <f>ROUND(Tabla2[[#This Row],[Área techada (m²)]]*0.15,2)</f>
        <v>9.7799999999999994</v>
      </c>
      <c r="J80" s="18" t="s">
        <v>33</v>
      </c>
      <c r="K80" s="7">
        <v>208750</v>
      </c>
      <c r="L80" s="240">
        <f>ROUND(Tabla2[[#This Row],[Área ocupada (m²)3]]/20*1.4,2)</f>
        <v>4.5599999999999996</v>
      </c>
      <c r="M80" s="240">
        <f>ROUND(Tabla2[[#This Row],[Área ocupada (m²)]],2)</f>
        <v>65.2</v>
      </c>
      <c r="N80" s="240">
        <f>ROUND(Tabla2[[#This Row],[Área techada (m²)]],2)</f>
        <v>65.2</v>
      </c>
      <c r="O80" s="243">
        <f>ROUND(Tabla2[[#This Row],[Área techada (m²)4]]*0.15,2)</f>
        <v>9.7799999999999994</v>
      </c>
      <c r="P80" s="6">
        <f>ROUND(Tabla2[[#This Row],[Área del terreno (m²)2]]*DATA!$F$4,-2)</f>
        <v>3200</v>
      </c>
      <c r="Q80" s="243">
        <f>+Tabla2[[#This Row],[Valor Comercial (US$)]]-Tabla2[[#This Row],[Valor del terreno (US$)]]</f>
        <v>62000</v>
      </c>
      <c r="R8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80" s="244">
        <f>ROUND(Tabla2[[#This Row],[Valor Comercial (US$)]]*0.8,-2)</f>
        <v>52200</v>
      </c>
      <c r="T80" s="244">
        <f>IF(Informe!$I$6=DATA!$B$4,R80,ROUND(Tabla2[[#This Row],[Área techada (m²)4]]*DATA!$F$5*1.15,-2))</f>
        <v>65200</v>
      </c>
      <c r="U80" s="8">
        <f t="shared" si="1"/>
        <v>3.3479999999999999</v>
      </c>
      <c r="V80" s="244">
        <f>ROUND(Tabla2[[#This Row],[Valor del terreno (US$)]]*Tabla2[[#This Row],[Tipo de Cambio]],-2)</f>
        <v>10700</v>
      </c>
      <c r="W80" s="244">
        <f>Tabla2[[#This Row],[Valor Comercial (S/.)]]-Tabla2[[#This Row],[Valor del terreno (S/.)]]</f>
        <v>207600</v>
      </c>
      <c r="X80" s="244">
        <f>ROUND(Tabla2[[#This Row],[Valor Comercial (US$)]]*Tabla2[[#This Row],[Tipo de Cambio]],-2)</f>
        <v>218300</v>
      </c>
      <c r="Y80" s="244">
        <f>ROUND(Tabla2[[#This Row],[Valor Realización (US$)]]*Tabla2[[#This Row],[Tipo de Cambio]],-2)</f>
        <v>174800</v>
      </c>
      <c r="Z80" s="244">
        <f>+ROUND(Tabla2[[#This Row],[Importe Asegurable (US$)]]*Tabla2[[#This Row],[Tipo de Cambio]],-2)</f>
        <v>218300</v>
      </c>
      <c r="AA80" s="245"/>
      <c r="AB80" s="2">
        <f>+Tabla2[[#This Row],[Valor Comercial (US$)]]/Tabla2[[#This Row],[Área techada (m²)4]]</f>
        <v>1000</v>
      </c>
      <c r="AC8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80" s="1" t="s">
        <v>49</v>
      </c>
      <c r="AE80" s="222">
        <f>IF(Tabla2[[#This Row],[Moneda]]="Soles",Tabla2[[#This Row],[Valor de Venta]]/Tabla2[[#This Row],[Área techada (m²)]]/Tabla2[[#This Row],[Tipo de Cambio]],Tabla2[[#This Row],[Valor de Venta]]/Tabla2[[#This Row],[Área techada (m²)]])</f>
        <v>956.29842191290834</v>
      </c>
      <c r="AF80" s="347">
        <f>VLOOKUP(Tabla2[[#This Row],[VISTA]],DATA!$H$4:$I$17,2,FALSE)</f>
        <v>1000</v>
      </c>
      <c r="AG80" s="221">
        <f>+Tabla2[[#This Row],[Valor Comercial (S/.)]]/Tabla2[[#This Row],[Valor de Venta]]-1</f>
        <v>4.5748502994011897E-2</v>
      </c>
    </row>
    <row r="81" spans="1:33" s="1" customFormat="1" ht="15" customHeight="1" x14ac:dyDescent="0.25">
      <c r="A81" s="225" t="s">
        <v>30</v>
      </c>
      <c r="B81" s="22">
        <v>906</v>
      </c>
      <c r="C81" s="14">
        <v>9</v>
      </c>
      <c r="D81" s="35"/>
      <c r="E81" s="29"/>
      <c r="F81" s="12">
        <f>ROUND(Tabla2[[#This Row],[Área ocupada (m²)]]/20*1.4,2)</f>
        <v>4.38</v>
      </c>
      <c r="G81" s="12">
        <v>62.5</v>
      </c>
      <c r="H81" s="12">
        <v>62.5</v>
      </c>
      <c r="I81" s="12">
        <f>ROUND(Tabla2[[#This Row],[Área techada (m²)]]*0.15,2)</f>
        <v>9.3800000000000008</v>
      </c>
      <c r="J81" s="18" t="s">
        <v>33</v>
      </c>
      <c r="K81" s="7">
        <v>198950</v>
      </c>
      <c r="L81" s="240">
        <f>ROUND(Tabla2[[#This Row],[Área ocupada (m²)3]]/20*1.4,2)</f>
        <v>4.38</v>
      </c>
      <c r="M81" s="240">
        <f>ROUND(Tabla2[[#This Row],[Área ocupada (m²)]],2)</f>
        <v>62.5</v>
      </c>
      <c r="N81" s="240">
        <f>ROUND(Tabla2[[#This Row],[Área techada (m²)]],2)</f>
        <v>62.5</v>
      </c>
      <c r="O81" s="243">
        <f>ROUND(Tabla2[[#This Row],[Área techada (m²)4]]*0.15,2)</f>
        <v>9.3800000000000008</v>
      </c>
      <c r="P81" s="6">
        <f>ROUND(Tabla2[[#This Row],[Área del terreno (m²)2]]*DATA!$F$4,-2)</f>
        <v>3100</v>
      </c>
      <c r="Q81" s="243">
        <f>+Tabla2[[#This Row],[Valor Comercial (US$)]]-Tabla2[[#This Row],[Valor del terreno (US$)]]</f>
        <v>59400</v>
      </c>
      <c r="R8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81" s="244">
        <f>ROUND(Tabla2[[#This Row],[Valor Comercial (US$)]]*0.8,-2)</f>
        <v>50000</v>
      </c>
      <c r="T81" s="244">
        <f>IF(Informe!$I$6=DATA!$B$4,R81,ROUND(Tabla2[[#This Row],[Área techada (m²)4]]*DATA!$F$5*1.15,-2))</f>
        <v>62500</v>
      </c>
      <c r="U81" s="8">
        <f t="shared" si="1"/>
        <v>3.3479999999999999</v>
      </c>
      <c r="V81" s="244">
        <f>ROUND(Tabla2[[#This Row],[Valor del terreno (US$)]]*Tabla2[[#This Row],[Tipo de Cambio]],-2)</f>
        <v>10400</v>
      </c>
      <c r="W81" s="244">
        <f>Tabla2[[#This Row],[Valor Comercial (S/.)]]-Tabla2[[#This Row],[Valor del terreno (S/.)]]</f>
        <v>198900</v>
      </c>
      <c r="X81" s="244">
        <f>ROUND(Tabla2[[#This Row],[Valor Comercial (US$)]]*Tabla2[[#This Row],[Tipo de Cambio]],-2)</f>
        <v>209300</v>
      </c>
      <c r="Y81" s="244">
        <f>ROUND(Tabla2[[#This Row],[Valor Realización (US$)]]*Tabla2[[#This Row],[Tipo de Cambio]],-2)</f>
        <v>167400</v>
      </c>
      <c r="Z81" s="244">
        <f>+ROUND(Tabla2[[#This Row],[Importe Asegurable (US$)]]*Tabla2[[#This Row],[Tipo de Cambio]],-2)</f>
        <v>209300</v>
      </c>
      <c r="AA81" s="245"/>
      <c r="AB81" s="2">
        <f>+Tabla2[[#This Row],[Valor Comercial (US$)]]/Tabla2[[#This Row],[Área techada (m²)4]]</f>
        <v>1000</v>
      </c>
      <c r="AC8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81" s="1" t="s">
        <v>49</v>
      </c>
      <c r="AE81" s="222">
        <f>IF(Tabla2[[#This Row],[Moneda]]="Soles",Tabla2[[#This Row],[Valor de Venta]]/Tabla2[[#This Row],[Área techada (m²)]]/Tabla2[[#This Row],[Tipo de Cambio]],Tabla2[[#This Row],[Valor de Venta]]/Tabla2[[#This Row],[Área techada (m²)]])</f>
        <v>950.7765830346475</v>
      </c>
      <c r="AF81" s="347">
        <f>VLOOKUP(Tabla2[[#This Row],[VISTA]],DATA!$H$4:$I$17,2,FALSE)</f>
        <v>1000</v>
      </c>
      <c r="AG81" s="221">
        <f>+Tabla2[[#This Row],[Valor Comercial (S/.)]]/Tabla2[[#This Row],[Valor de Venta]]-1</f>
        <v>5.2023121387283267E-2</v>
      </c>
    </row>
    <row r="82" spans="1:33" s="1" customFormat="1" ht="15" customHeight="1" x14ac:dyDescent="0.25">
      <c r="A82" s="225" t="s">
        <v>30</v>
      </c>
      <c r="B82" s="22">
        <v>907</v>
      </c>
      <c r="C82" s="14">
        <v>9</v>
      </c>
      <c r="D82" s="35"/>
      <c r="E82" s="29"/>
      <c r="F82" s="12">
        <f>ROUND(Tabla2[[#This Row],[Área ocupada (m²)]]/20*1.4,2)</f>
        <v>4.38</v>
      </c>
      <c r="G82" s="12">
        <v>62.5</v>
      </c>
      <c r="H82" s="12">
        <v>62.5</v>
      </c>
      <c r="I82" s="12">
        <f>ROUND(Tabla2[[#This Row],[Área techada (m²)]]*0.15,2)</f>
        <v>9.3800000000000008</v>
      </c>
      <c r="J82" s="18" t="s">
        <v>33</v>
      </c>
      <c r="K82" s="7">
        <v>192950</v>
      </c>
      <c r="L82" s="240">
        <f>ROUND(Tabla2[[#This Row],[Área ocupada (m²)3]]/20*1.4,2)</f>
        <v>4.38</v>
      </c>
      <c r="M82" s="240">
        <f>ROUND(Tabla2[[#This Row],[Área ocupada (m²)]],2)</f>
        <v>62.5</v>
      </c>
      <c r="N82" s="240">
        <f>ROUND(Tabla2[[#This Row],[Área techada (m²)]],2)</f>
        <v>62.5</v>
      </c>
      <c r="O82" s="243">
        <f>ROUND(Tabla2[[#This Row],[Área techada (m²)4]]*0.15,2)</f>
        <v>9.3800000000000008</v>
      </c>
      <c r="P82" s="6">
        <f>ROUND(Tabla2[[#This Row],[Área del terreno (m²)2]]*DATA!$F$4,-2)</f>
        <v>3100</v>
      </c>
      <c r="Q82" s="243">
        <f>+Tabla2[[#This Row],[Valor Comercial (US$)]]-Tabla2[[#This Row],[Valor del terreno (US$)]]</f>
        <v>56300</v>
      </c>
      <c r="R8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82" s="244">
        <f>ROUND(Tabla2[[#This Row],[Valor Comercial (US$)]]*0.8,-2)</f>
        <v>47500</v>
      </c>
      <c r="T82" s="244">
        <f>IF(Informe!$I$6=DATA!$B$4,R82,ROUND(Tabla2[[#This Row],[Área techada (m²)4]]*DATA!$F$5*1.15,-2))</f>
        <v>59400</v>
      </c>
      <c r="U82" s="8">
        <f t="shared" si="1"/>
        <v>3.3479999999999999</v>
      </c>
      <c r="V82" s="244">
        <f>ROUND(Tabla2[[#This Row],[Valor del terreno (US$)]]*Tabla2[[#This Row],[Tipo de Cambio]],-2)</f>
        <v>10400</v>
      </c>
      <c r="W82" s="244">
        <f>Tabla2[[#This Row],[Valor Comercial (S/.)]]-Tabla2[[#This Row],[Valor del terreno (S/.)]]</f>
        <v>188500</v>
      </c>
      <c r="X82" s="244">
        <f>ROUND(Tabla2[[#This Row],[Valor Comercial (US$)]]*Tabla2[[#This Row],[Tipo de Cambio]],-2)</f>
        <v>198900</v>
      </c>
      <c r="Y82" s="244">
        <f>ROUND(Tabla2[[#This Row],[Valor Realización (US$)]]*Tabla2[[#This Row],[Tipo de Cambio]],-2)</f>
        <v>159000</v>
      </c>
      <c r="Z82" s="244">
        <f>+ROUND(Tabla2[[#This Row],[Importe Asegurable (US$)]]*Tabla2[[#This Row],[Tipo de Cambio]],-2)</f>
        <v>198900</v>
      </c>
      <c r="AA82" s="245"/>
      <c r="AB82" s="2">
        <f>+Tabla2[[#This Row],[Valor Comercial (US$)]]/Tabla2[[#This Row],[Área techada (m²)4]]</f>
        <v>950.4</v>
      </c>
      <c r="AC8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82" s="1" t="s">
        <v>50</v>
      </c>
      <c r="AE82" s="222">
        <f>IF(Tabla2[[#This Row],[Moneda]]="Soles",Tabla2[[#This Row],[Valor de Venta]]/Tabla2[[#This Row],[Área techada (m²)]]/Tabla2[[#This Row],[Tipo de Cambio]],Tabla2[[#This Row],[Valor de Venta]]/Tabla2[[#This Row],[Área techada (m²)]])</f>
        <v>922.10274790919948</v>
      </c>
      <c r="AF82" s="347">
        <f>VLOOKUP(Tabla2[[#This Row],[VISTA]],DATA!$H$4:$I$17,2,FALSE)</f>
        <v>950</v>
      </c>
      <c r="AG82" s="221">
        <f>+Tabla2[[#This Row],[Valor Comercial (S/.)]]/Tabla2[[#This Row],[Valor de Venta]]-1</f>
        <v>3.0837004405286361E-2</v>
      </c>
    </row>
    <row r="83" spans="1:33" s="1" customFormat="1" ht="15" customHeight="1" x14ac:dyDescent="0.25">
      <c r="A83" s="225" t="s">
        <v>30</v>
      </c>
      <c r="B83" s="22">
        <v>908</v>
      </c>
      <c r="C83" s="14">
        <v>9</v>
      </c>
      <c r="D83" s="35"/>
      <c r="E83" s="29"/>
      <c r="F83" s="12">
        <f>ROUND(Tabla2[[#This Row],[Área ocupada (m²)]]/20*1.4,2)</f>
        <v>4.5599999999999996</v>
      </c>
      <c r="G83" s="12">
        <v>65.2</v>
      </c>
      <c r="H83" s="12">
        <v>65.2</v>
      </c>
      <c r="I83" s="12">
        <f>ROUND(Tabla2[[#This Row],[Área techada (m²)]]*0.15,2)</f>
        <v>9.7799999999999994</v>
      </c>
      <c r="J83" s="18" t="s">
        <v>33</v>
      </c>
      <c r="K83" s="7">
        <v>195462</v>
      </c>
      <c r="L83" s="240">
        <f>ROUND(Tabla2[[#This Row],[Área ocupada (m²)3]]/20*1.4,2)</f>
        <v>4.5599999999999996</v>
      </c>
      <c r="M83" s="240">
        <f>ROUND(Tabla2[[#This Row],[Área ocupada (m²)]],2)</f>
        <v>65.2</v>
      </c>
      <c r="N83" s="240">
        <f>ROUND(Tabla2[[#This Row],[Área techada (m²)]],2)</f>
        <v>65.2</v>
      </c>
      <c r="O83" s="243">
        <f>ROUND(Tabla2[[#This Row],[Área techada (m²)4]]*0.15,2)</f>
        <v>9.7799999999999994</v>
      </c>
      <c r="P83" s="6">
        <f>ROUND(Tabla2[[#This Row],[Área del terreno (m²)2]]*DATA!$F$4,-2)</f>
        <v>3200</v>
      </c>
      <c r="Q83" s="243">
        <f>+Tabla2[[#This Row],[Valor Comercial (US$)]]-Tabla2[[#This Row],[Valor del terreno (US$)]]</f>
        <v>58700</v>
      </c>
      <c r="R8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83" s="244">
        <f>ROUND(Tabla2[[#This Row],[Valor Comercial (US$)]]*0.8,-2)</f>
        <v>49500</v>
      </c>
      <c r="T83" s="244">
        <f>IF(Informe!$I$6=DATA!$B$4,R83,ROUND(Tabla2[[#This Row],[Área techada (m²)4]]*DATA!$F$5*1.15,-2))</f>
        <v>61900</v>
      </c>
      <c r="U83" s="8">
        <f t="shared" si="1"/>
        <v>3.3479999999999999</v>
      </c>
      <c r="V83" s="244">
        <f>ROUND(Tabla2[[#This Row],[Valor del terreno (US$)]]*Tabla2[[#This Row],[Tipo de Cambio]],-2)</f>
        <v>10700</v>
      </c>
      <c r="W83" s="244">
        <f>Tabla2[[#This Row],[Valor Comercial (S/.)]]-Tabla2[[#This Row],[Valor del terreno (S/.)]]</f>
        <v>196500</v>
      </c>
      <c r="X83" s="244">
        <f>ROUND(Tabla2[[#This Row],[Valor Comercial (US$)]]*Tabla2[[#This Row],[Tipo de Cambio]],-2)</f>
        <v>207200</v>
      </c>
      <c r="Y83" s="244">
        <f>ROUND(Tabla2[[#This Row],[Valor Realización (US$)]]*Tabla2[[#This Row],[Tipo de Cambio]],-2)</f>
        <v>165700</v>
      </c>
      <c r="Z83" s="244">
        <f>+ROUND(Tabla2[[#This Row],[Importe Asegurable (US$)]]*Tabla2[[#This Row],[Tipo de Cambio]],-2)</f>
        <v>207200</v>
      </c>
      <c r="AA83" s="245"/>
      <c r="AB83" s="2">
        <f>+Tabla2[[#This Row],[Valor Comercial (US$)]]/Tabla2[[#This Row],[Área techada (m²)4]]</f>
        <v>949.38650306748457</v>
      </c>
      <c r="AC8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83" s="1" t="s">
        <v>50</v>
      </c>
      <c r="AE83" s="222">
        <f>IF(Tabla2[[#This Row],[Moneda]]="Soles",Tabla2[[#This Row],[Valor de Venta]]/Tabla2[[#This Row],[Área techada (m²)]]/Tabla2[[#This Row],[Tipo de Cambio]],Tabla2[[#This Row],[Valor de Venta]]/Tabla2[[#This Row],[Área techada (m²)]])</f>
        <v>895.42515997097439</v>
      </c>
      <c r="AF83" s="347">
        <f>VLOOKUP(Tabla2[[#This Row],[VISTA]],DATA!$H$4:$I$17,2,FALSE)</f>
        <v>950</v>
      </c>
      <c r="AG83" s="221">
        <f>+Tabla2[[#This Row],[Valor Comercial (S/.)]]/Tabla2[[#This Row],[Valor de Venta]]-1</f>
        <v>6.0052593342951655E-2</v>
      </c>
    </row>
    <row r="84" spans="1:33" s="1" customFormat="1" ht="12.75" x14ac:dyDescent="0.25">
      <c r="A84" s="225" t="s">
        <v>30</v>
      </c>
      <c r="B84" s="22">
        <v>1001</v>
      </c>
      <c r="C84" s="14">
        <v>10</v>
      </c>
      <c r="D84" s="35"/>
      <c r="E84" s="29"/>
      <c r="F84" s="12">
        <f>ROUND(Tabla2[[#This Row],[Área ocupada (m²)]]/20*1.4,2)</f>
        <v>4.5599999999999996</v>
      </c>
      <c r="G84" s="12">
        <v>65.2</v>
      </c>
      <c r="H84" s="12">
        <v>65.2</v>
      </c>
      <c r="I84" s="12">
        <f>ROUND(Tabla2[[#This Row],[Área techada (m²)]]*0.15,2)</f>
        <v>9.7799999999999994</v>
      </c>
      <c r="J84" s="18" t="s">
        <v>33</v>
      </c>
      <c r="K84" s="7">
        <v>197500</v>
      </c>
      <c r="L84" s="240">
        <f>ROUND(Tabla2[[#This Row],[Área ocupada (m²)3]]/20*1.4,2)</f>
        <v>4.5599999999999996</v>
      </c>
      <c r="M84" s="240">
        <f>ROUND(Tabla2[[#This Row],[Área ocupada (m²)]],2)</f>
        <v>65.2</v>
      </c>
      <c r="N84" s="240">
        <f>ROUND(Tabla2[[#This Row],[Área techada (m²)]],2)</f>
        <v>65.2</v>
      </c>
      <c r="O84" s="243">
        <f>ROUND(Tabla2[[#This Row],[Área techada (m²)4]]*0.15,2)</f>
        <v>9.7799999999999994</v>
      </c>
      <c r="P84" s="6">
        <f>ROUND(Tabla2[[#This Row],[Área del terreno (m²)2]]*DATA!$F$4,-2)</f>
        <v>3200</v>
      </c>
      <c r="Q84" s="243">
        <f>+Tabla2[[#This Row],[Valor Comercial (US$)]]-Tabla2[[#This Row],[Valor del terreno (US$)]]</f>
        <v>58700</v>
      </c>
      <c r="R8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84" s="244">
        <f>ROUND(Tabla2[[#This Row],[Valor Comercial (US$)]]*0.8,-2)</f>
        <v>49500</v>
      </c>
      <c r="T84" s="244">
        <f>IF(Informe!$I$6=DATA!$B$4,R84,ROUND(Tabla2[[#This Row],[Área techada (m²)4]]*DATA!$F$5*1.15,-2))</f>
        <v>61900</v>
      </c>
      <c r="U84" s="8">
        <f t="shared" si="1"/>
        <v>3.3479999999999999</v>
      </c>
      <c r="V84" s="244">
        <f>ROUND(Tabla2[[#This Row],[Valor del terreno (US$)]]*Tabla2[[#This Row],[Tipo de Cambio]],-2)</f>
        <v>10700</v>
      </c>
      <c r="W84" s="244">
        <f>Tabla2[[#This Row],[Valor Comercial (S/.)]]-Tabla2[[#This Row],[Valor del terreno (S/.)]]</f>
        <v>196500</v>
      </c>
      <c r="X84" s="244">
        <f>ROUND(Tabla2[[#This Row],[Valor Comercial (US$)]]*Tabla2[[#This Row],[Tipo de Cambio]],-2)</f>
        <v>207200</v>
      </c>
      <c r="Y84" s="244">
        <f>ROUND(Tabla2[[#This Row],[Valor Realización (US$)]]*Tabla2[[#This Row],[Tipo de Cambio]],-2)</f>
        <v>165700</v>
      </c>
      <c r="Z84" s="244">
        <f>+ROUND(Tabla2[[#This Row],[Importe Asegurable (US$)]]*Tabla2[[#This Row],[Tipo de Cambio]],-2)</f>
        <v>207200</v>
      </c>
      <c r="AA84" s="245"/>
      <c r="AB84" s="2">
        <f>+Tabla2[[#This Row],[Valor Comercial (US$)]]/Tabla2[[#This Row],[Área techada (m²)4]]</f>
        <v>949.38650306748457</v>
      </c>
      <c r="AC8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84" s="1" t="s">
        <v>50</v>
      </c>
      <c r="AE84" s="222">
        <f>IF(Tabla2[[#This Row],[Moneda]]="Soles",Tabla2[[#This Row],[Valor de Venta]]/Tabla2[[#This Row],[Área techada (m²)]]/Tabla2[[#This Row],[Tipo de Cambio]],Tabla2[[#This Row],[Valor de Venta]]/Tabla2[[#This Row],[Área techada (m²)]])</f>
        <v>904.76138121101508</v>
      </c>
      <c r="AF84" s="347">
        <f>VLOOKUP(Tabla2[[#This Row],[VISTA]],DATA!$H$4:$I$17,2,FALSE)</f>
        <v>950</v>
      </c>
      <c r="AG84" s="221">
        <f>+Tabla2[[#This Row],[Valor Comercial (S/.)]]/Tabla2[[#This Row],[Valor de Venta]]-1</f>
        <v>4.9113924050632862E-2</v>
      </c>
    </row>
    <row r="85" spans="1:33" s="1" customFormat="1" ht="15" customHeight="1" x14ac:dyDescent="0.25">
      <c r="A85" s="225" t="s">
        <v>30</v>
      </c>
      <c r="B85" s="22">
        <v>1002</v>
      </c>
      <c r="C85" s="14">
        <v>10</v>
      </c>
      <c r="D85" s="35"/>
      <c r="E85" s="29"/>
      <c r="F85" s="12">
        <f>ROUND(Tabla2[[#This Row],[Área ocupada (m²)]]/20*1.4,2)</f>
        <v>4.38</v>
      </c>
      <c r="G85" s="12">
        <v>62.5</v>
      </c>
      <c r="H85" s="12">
        <v>62.5</v>
      </c>
      <c r="I85" s="12">
        <f>ROUND(Tabla2[[#This Row],[Área techada (m²)]]*0.15,2)</f>
        <v>9.3800000000000008</v>
      </c>
      <c r="J85" s="18" t="s">
        <v>33</v>
      </c>
      <c r="K85" s="7">
        <v>187300</v>
      </c>
      <c r="L85" s="240">
        <f>ROUND(Tabla2[[#This Row],[Área ocupada (m²)3]]/20*1.4,2)</f>
        <v>4.38</v>
      </c>
      <c r="M85" s="240">
        <f>ROUND(Tabla2[[#This Row],[Área ocupada (m²)]],2)</f>
        <v>62.5</v>
      </c>
      <c r="N85" s="240">
        <f>ROUND(Tabla2[[#This Row],[Área techada (m²)]],2)</f>
        <v>62.5</v>
      </c>
      <c r="O85" s="243">
        <f>ROUND(Tabla2[[#This Row],[Área techada (m²)4]]*0.15,2)</f>
        <v>9.3800000000000008</v>
      </c>
      <c r="P85" s="6">
        <f>ROUND(Tabla2[[#This Row],[Área del terreno (m²)2]]*DATA!$F$4,-2)</f>
        <v>3100</v>
      </c>
      <c r="Q85" s="243">
        <f>+Tabla2[[#This Row],[Valor Comercial (US$)]]-Tabla2[[#This Row],[Valor del terreno (US$)]]</f>
        <v>56300</v>
      </c>
      <c r="R8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85" s="244">
        <f>ROUND(Tabla2[[#This Row],[Valor Comercial (US$)]]*0.8,-2)</f>
        <v>47500</v>
      </c>
      <c r="T85" s="244">
        <f>IF(Informe!$I$6=DATA!$B$4,R85,ROUND(Tabla2[[#This Row],[Área techada (m²)4]]*DATA!$F$5*1.15,-2))</f>
        <v>59400</v>
      </c>
      <c r="U85" s="8">
        <f t="shared" si="1"/>
        <v>3.3479999999999999</v>
      </c>
      <c r="V85" s="244">
        <f>ROUND(Tabla2[[#This Row],[Valor del terreno (US$)]]*Tabla2[[#This Row],[Tipo de Cambio]],-2)</f>
        <v>10400</v>
      </c>
      <c r="W85" s="244">
        <f>Tabla2[[#This Row],[Valor Comercial (S/.)]]-Tabla2[[#This Row],[Valor del terreno (S/.)]]</f>
        <v>188500</v>
      </c>
      <c r="X85" s="244">
        <f>ROUND(Tabla2[[#This Row],[Valor Comercial (US$)]]*Tabla2[[#This Row],[Tipo de Cambio]],-2)</f>
        <v>198900</v>
      </c>
      <c r="Y85" s="244">
        <f>ROUND(Tabla2[[#This Row],[Valor Realización (US$)]]*Tabla2[[#This Row],[Tipo de Cambio]],-2)</f>
        <v>159000</v>
      </c>
      <c r="Z85" s="244">
        <f>+ROUND(Tabla2[[#This Row],[Importe Asegurable (US$)]]*Tabla2[[#This Row],[Tipo de Cambio]],-2)</f>
        <v>198900</v>
      </c>
      <c r="AA85" s="245"/>
      <c r="AB85" s="2">
        <f>+Tabla2[[#This Row],[Valor Comercial (US$)]]/Tabla2[[#This Row],[Área techada (m²)4]]</f>
        <v>950.4</v>
      </c>
      <c r="AC8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85" s="1" t="s">
        <v>50</v>
      </c>
      <c r="AE85" s="222">
        <f>IF(Tabla2[[#This Row],[Moneda]]="Soles",Tabla2[[#This Row],[Valor de Venta]]/Tabla2[[#This Row],[Área techada (m²)]]/Tabla2[[#This Row],[Tipo de Cambio]],Tabla2[[#This Row],[Valor de Venta]]/Tabla2[[#This Row],[Área techada (m²)]])</f>
        <v>895.10155316606938</v>
      </c>
      <c r="AF85" s="347">
        <f>VLOOKUP(Tabla2[[#This Row],[VISTA]],DATA!$H$4:$I$17,2,FALSE)</f>
        <v>950</v>
      </c>
      <c r="AG85" s="221">
        <f>+Tabla2[[#This Row],[Valor Comercial (S/.)]]/Tabla2[[#This Row],[Valor de Venta]]-1</f>
        <v>6.1932728243459634E-2</v>
      </c>
    </row>
    <row r="86" spans="1:33" s="1" customFormat="1" ht="15" customHeight="1" x14ac:dyDescent="0.25">
      <c r="A86" s="225" t="s">
        <v>30</v>
      </c>
      <c r="B86" s="22">
        <v>1003</v>
      </c>
      <c r="C86" s="14">
        <v>10</v>
      </c>
      <c r="D86" s="35"/>
      <c r="E86" s="29"/>
      <c r="F86" s="12">
        <f>ROUND(Tabla2[[#This Row],[Área ocupada (m²)]]/20*1.4,2)</f>
        <v>4.38</v>
      </c>
      <c r="G86" s="12">
        <v>62.5</v>
      </c>
      <c r="H86" s="12">
        <v>62.5</v>
      </c>
      <c r="I86" s="12">
        <f>ROUND(Tabla2[[#This Row],[Área techada (m²)]]*0.15,2)</f>
        <v>9.3800000000000008</v>
      </c>
      <c r="J86" s="18" t="s">
        <v>33</v>
      </c>
      <c r="K86" s="7">
        <v>192300</v>
      </c>
      <c r="L86" s="240">
        <f>ROUND(Tabla2[[#This Row],[Área ocupada (m²)3]]/20*1.4,2)</f>
        <v>4.38</v>
      </c>
      <c r="M86" s="240">
        <f>ROUND(Tabla2[[#This Row],[Área ocupada (m²)]],2)</f>
        <v>62.5</v>
      </c>
      <c r="N86" s="240">
        <f>ROUND(Tabla2[[#This Row],[Área techada (m²)]],2)</f>
        <v>62.5</v>
      </c>
      <c r="O86" s="243">
        <f>ROUND(Tabla2[[#This Row],[Área techada (m²)4]]*0.15,2)</f>
        <v>9.3800000000000008</v>
      </c>
      <c r="P86" s="6">
        <f>ROUND(Tabla2[[#This Row],[Área del terreno (m²)2]]*DATA!$F$4,-2)</f>
        <v>3100</v>
      </c>
      <c r="Q86" s="243">
        <f>+Tabla2[[#This Row],[Valor Comercial (US$)]]-Tabla2[[#This Row],[Valor del terreno (US$)]]</f>
        <v>56300</v>
      </c>
      <c r="R8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86" s="244">
        <f>ROUND(Tabla2[[#This Row],[Valor Comercial (US$)]]*0.8,-2)</f>
        <v>47500</v>
      </c>
      <c r="T86" s="244">
        <f>IF(Informe!$I$6=DATA!$B$4,R86,ROUND(Tabla2[[#This Row],[Área techada (m²)4]]*DATA!$F$5*1.15,-2))</f>
        <v>59400</v>
      </c>
      <c r="U86" s="8">
        <f t="shared" si="1"/>
        <v>3.3479999999999999</v>
      </c>
      <c r="V86" s="244">
        <f>ROUND(Tabla2[[#This Row],[Valor del terreno (US$)]]*Tabla2[[#This Row],[Tipo de Cambio]],-2)</f>
        <v>10400</v>
      </c>
      <c r="W86" s="244">
        <f>Tabla2[[#This Row],[Valor Comercial (S/.)]]-Tabla2[[#This Row],[Valor del terreno (S/.)]]</f>
        <v>188500</v>
      </c>
      <c r="X86" s="244">
        <f>ROUND(Tabla2[[#This Row],[Valor Comercial (US$)]]*Tabla2[[#This Row],[Tipo de Cambio]],-2)</f>
        <v>198900</v>
      </c>
      <c r="Y86" s="244">
        <f>ROUND(Tabla2[[#This Row],[Valor Realización (US$)]]*Tabla2[[#This Row],[Tipo de Cambio]],-2)</f>
        <v>159000</v>
      </c>
      <c r="Z86" s="244">
        <f>+ROUND(Tabla2[[#This Row],[Importe Asegurable (US$)]]*Tabla2[[#This Row],[Tipo de Cambio]],-2)</f>
        <v>198900</v>
      </c>
      <c r="AA86" s="245"/>
      <c r="AB86" s="2">
        <f>+Tabla2[[#This Row],[Valor Comercial (US$)]]/Tabla2[[#This Row],[Área techada (m²)4]]</f>
        <v>950.4</v>
      </c>
      <c r="AC8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86" s="1" t="s">
        <v>50</v>
      </c>
      <c r="AE86" s="222">
        <f>IF(Tabla2[[#This Row],[Moneda]]="Soles",Tabla2[[#This Row],[Valor de Venta]]/Tabla2[[#This Row],[Área techada (m²)]]/Tabla2[[#This Row],[Tipo de Cambio]],Tabla2[[#This Row],[Valor de Venta]]/Tabla2[[#This Row],[Área techada (m²)]])</f>
        <v>918.99641577060936</v>
      </c>
      <c r="AF86" s="347">
        <f>VLOOKUP(Tabla2[[#This Row],[VISTA]],DATA!$H$4:$I$17,2,FALSE)</f>
        <v>950</v>
      </c>
      <c r="AG86" s="221">
        <f>+Tabla2[[#This Row],[Valor Comercial (S/.)]]/Tabla2[[#This Row],[Valor de Venta]]-1</f>
        <v>3.4321372854914101E-2</v>
      </c>
    </row>
    <row r="87" spans="1:33" s="1" customFormat="1" ht="15" customHeight="1" x14ac:dyDescent="0.25">
      <c r="A87" s="225" t="s">
        <v>30</v>
      </c>
      <c r="B87" s="22">
        <v>1004</v>
      </c>
      <c r="C87" s="14">
        <v>10</v>
      </c>
      <c r="D87" s="27"/>
      <c r="E87" s="29"/>
      <c r="F87" s="12">
        <f>ROUND(Tabla2[[#This Row],[Área ocupada (m²)]]/20*1.4,2)</f>
        <v>4.5599999999999996</v>
      </c>
      <c r="G87" s="12">
        <v>65.2</v>
      </c>
      <c r="H87" s="12">
        <v>65.2</v>
      </c>
      <c r="I87" s="12">
        <f>ROUND(Tabla2[[#This Row],[Área techada (m²)]]*0.15,2)</f>
        <v>9.7799999999999994</v>
      </c>
      <c r="J87" s="18" t="s">
        <v>33</v>
      </c>
      <c r="K87" s="7">
        <v>211500</v>
      </c>
      <c r="L87" s="240">
        <f>ROUND(Tabla2[[#This Row],[Área ocupada (m²)3]]/20*1.4,2)</f>
        <v>4.5599999999999996</v>
      </c>
      <c r="M87" s="240">
        <f>ROUND(Tabla2[[#This Row],[Área ocupada (m²)]],2)</f>
        <v>65.2</v>
      </c>
      <c r="N87" s="240">
        <f>ROUND(Tabla2[[#This Row],[Área techada (m²)]],2)</f>
        <v>65.2</v>
      </c>
      <c r="O87" s="243">
        <f>ROUND(Tabla2[[#This Row],[Área techada (m²)4]]*0.15,2)</f>
        <v>9.7799999999999994</v>
      </c>
      <c r="P87" s="6">
        <f>ROUND(Tabla2[[#This Row],[Área del terreno (m²)2]]*DATA!$F$4,-2)</f>
        <v>3200</v>
      </c>
      <c r="Q87" s="243">
        <f>+Tabla2[[#This Row],[Valor Comercial (US$)]]-Tabla2[[#This Row],[Valor del terreno (US$)]]</f>
        <v>62000</v>
      </c>
      <c r="R8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87" s="244">
        <f>ROUND(Tabla2[[#This Row],[Valor Comercial (US$)]]*0.8,-2)</f>
        <v>52200</v>
      </c>
      <c r="T87" s="244">
        <f>IF(Informe!$I$6=DATA!$B$4,R87,ROUND(Tabla2[[#This Row],[Área techada (m²)4]]*DATA!$F$5*1.15,-2))</f>
        <v>65200</v>
      </c>
      <c r="U87" s="8">
        <f t="shared" si="1"/>
        <v>3.3479999999999999</v>
      </c>
      <c r="V87" s="244">
        <f>ROUND(Tabla2[[#This Row],[Valor del terreno (US$)]]*Tabla2[[#This Row],[Tipo de Cambio]],-2)</f>
        <v>10700</v>
      </c>
      <c r="W87" s="244">
        <f>Tabla2[[#This Row],[Valor Comercial (S/.)]]-Tabla2[[#This Row],[Valor del terreno (S/.)]]</f>
        <v>207600</v>
      </c>
      <c r="X87" s="244">
        <f>ROUND(Tabla2[[#This Row],[Valor Comercial (US$)]]*Tabla2[[#This Row],[Tipo de Cambio]],-2)</f>
        <v>218300</v>
      </c>
      <c r="Y87" s="244">
        <f>ROUND(Tabla2[[#This Row],[Valor Realización (US$)]]*Tabla2[[#This Row],[Tipo de Cambio]],-2)</f>
        <v>174800</v>
      </c>
      <c r="Z87" s="244">
        <f>+ROUND(Tabla2[[#This Row],[Importe Asegurable (US$)]]*Tabla2[[#This Row],[Tipo de Cambio]],-2)</f>
        <v>218300</v>
      </c>
      <c r="AA87" s="245"/>
      <c r="AB87" s="2">
        <f>+Tabla2[[#This Row],[Valor Comercial (US$)]]/Tabla2[[#This Row],[Área techada (m²)4]]</f>
        <v>1000</v>
      </c>
      <c r="AC8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87" s="1" t="s">
        <v>49</v>
      </c>
      <c r="AE87" s="222">
        <f>IF(Tabla2[[#This Row],[Moneda]]="Soles",Tabla2[[#This Row],[Valor de Venta]]/Tabla2[[#This Row],[Área techada (m²)]]/Tabla2[[#This Row],[Tipo de Cambio]],Tabla2[[#This Row],[Valor de Venta]]/Tabla2[[#This Row],[Área techada (m²)]])</f>
        <v>968.89636519559338</v>
      </c>
      <c r="AF87" s="347">
        <f>VLOOKUP(Tabla2[[#This Row],[VISTA]],DATA!$H$4:$I$17,2,FALSE)</f>
        <v>1000</v>
      </c>
      <c r="AG87" s="221">
        <f>+Tabla2[[#This Row],[Valor Comercial (S/.)]]/Tabla2[[#This Row],[Valor de Venta]]-1</f>
        <v>3.2151300236406666E-2</v>
      </c>
    </row>
    <row r="88" spans="1:33" s="1" customFormat="1" ht="15" customHeight="1" x14ac:dyDescent="0.25">
      <c r="A88" s="225" t="s">
        <v>30</v>
      </c>
      <c r="B88" s="22">
        <v>1005</v>
      </c>
      <c r="C88" s="14">
        <v>10</v>
      </c>
      <c r="D88" s="27"/>
      <c r="E88" s="29"/>
      <c r="F88" s="12">
        <f>ROUND(Tabla2[[#This Row],[Área ocupada (m²)]]/20*1.4,2)</f>
        <v>4.5599999999999996</v>
      </c>
      <c r="G88" s="12">
        <v>65.2</v>
      </c>
      <c r="H88" s="12">
        <v>65.2</v>
      </c>
      <c r="I88" s="12">
        <f>ROUND(Tabla2[[#This Row],[Área techada (m²)]]*0.15,2)</f>
        <v>9.7799999999999994</v>
      </c>
      <c r="J88" s="18" t="s">
        <v>33</v>
      </c>
      <c r="K88" s="7">
        <v>208500</v>
      </c>
      <c r="L88" s="240">
        <f>ROUND(Tabla2[[#This Row],[Área ocupada (m²)3]]/20*1.4,2)</f>
        <v>4.5599999999999996</v>
      </c>
      <c r="M88" s="240">
        <f>ROUND(Tabla2[[#This Row],[Área ocupada (m²)]],2)</f>
        <v>65.2</v>
      </c>
      <c r="N88" s="240">
        <f>ROUND(Tabla2[[#This Row],[Área techada (m²)]],2)</f>
        <v>65.2</v>
      </c>
      <c r="O88" s="243">
        <f>ROUND(Tabla2[[#This Row],[Área techada (m²)4]]*0.15,2)</f>
        <v>9.7799999999999994</v>
      </c>
      <c r="P88" s="6">
        <f>ROUND(Tabla2[[#This Row],[Área del terreno (m²)2]]*DATA!$F$4,-2)</f>
        <v>3200</v>
      </c>
      <c r="Q88" s="243">
        <f>+Tabla2[[#This Row],[Valor Comercial (US$)]]-Tabla2[[#This Row],[Valor del terreno (US$)]]</f>
        <v>62000</v>
      </c>
      <c r="R8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88" s="244">
        <f>ROUND(Tabla2[[#This Row],[Valor Comercial (US$)]]*0.8,-2)</f>
        <v>52200</v>
      </c>
      <c r="T88" s="244">
        <f>IF(Informe!$I$6=DATA!$B$4,R88,ROUND(Tabla2[[#This Row],[Área techada (m²)4]]*DATA!$F$5*1.15,-2))</f>
        <v>65200</v>
      </c>
      <c r="U88" s="8">
        <f t="shared" si="1"/>
        <v>3.3479999999999999</v>
      </c>
      <c r="V88" s="244">
        <f>ROUND(Tabla2[[#This Row],[Valor del terreno (US$)]]*Tabla2[[#This Row],[Tipo de Cambio]],-2)</f>
        <v>10700</v>
      </c>
      <c r="W88" s="244">
        <f>Tabla2[[#This Row],[Valor Comercial (S/.)]]-Tabla2[[#This Row],[Valor del terreno (S/.)]]</f>
        <v>207600</v>
      </c>
      <c r="X88" s="244">
        <f>ROUND(Tabla2[[#This Row],[Valor Comercial (US$)]]*Tabla2[[#This Row],[Tipo de Cambio]],-2)</f>
        <v>218300</v>
      </c>
      <c r="Y88" s="244">
        <f>ROUND(Tabla2[[#This Row],[Valor Realización (US$)]]*Tabla2[[#This Row],[Tipo de Cambio]],-2)</f>
        <v>174800</v>
      </c>
      <c r="Z88" s="244">
        <f>+ROUND(Tabla2[[#This Row],[Importe Asegurable (US$)]]*Tabla2[[#This Row],[Tipo de Cambio]],-2)</f>
        <v>218300</v>
      </c>
      <c r="AA88" s="245"/>
      <c r="AB88" s="2">
        <f>+Tabla2[[#This Row],[Valor Comercial (US$)]]/Tabla2[[#This Row],[Área techada (m²)4]]</f>
        <v>1000</v>
      </c>
      <c r="AC8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88" s="1" t="s">
        <v>49</v>
      </c>
      <c r="AE88" s="222">
        <f>IF(Tabla2[[#This Row],[Moneda]]="Soles",Tabla2[[#This Row],[Valor de Venta]]/Tabla2[[#This Row],[Área techada (m²)]]/Tabla2[[#This Row],[Tipo de Cambio]],Tabla2[[#This Row],[Valor de Venta]]/Tabla2[[#This Row],[Área techada (m²)]])</f>
        <v>955.15315434175511</v>
      </c>
      <c r="AF88" s="347">
        <f>VLOOKUP(Tabla2[[#This Row],[VISTA]],DATA!$H$4:$I$17,2,FALSE)</f>
        <v>1000</v>
      </c>
      <c r="AG88" s="221">
        <f>+Tabla2[[#This Row],[Valor Comercial (S/.)]]/Tabla2[[#This Row],[Valor de Venta]]-1</f>
        <v>4.7002398081534835E-2</v>
      </c>
    </row>
    <row r="89" spans="1:33" s="1" customFormat="1" ht="15" customHeight="1" x14ac:dyDescent="0.25">
      <c r="A89" s="225" t="s">
        <v>30</v>
      </c>
      <c r="B89" s="22">
        <v>1006</v>
      </c>
      <c r="C89" s="14">
        <v>10</v>
      </c>
      <c r="D89" s="27"/>
      <c r="E89" s="20"/>
      <c r="F89" s="12">
        <f>ROUND(Tabla2[[#This Row],[Área ocupada (m²)]]/20*1.4,2)</f>
        <v>4.38</v>
      </c>
      <c r="G89" s="12">
        <v>62.5</v>
      </c>
      <c r="H89" s="12">
        <v>62.5</v>
      </c>
      <c r="I89" s="12">
        <f>ROUND(Tabla2[[#This Row],[Área techada (m²)]]*0.15,2)</f>
        <v>9.3800000000000008</v>
      </c>
      <c r="J89" s="18" t="s">
        <v>33</v>
      </c>
      <c r="K89" s="7">
        <v>198300</v>
      </c>
      <c r="L89" s="240">
        <f>ROUND(Tabla2[[#This Row],[Área ocupada (m²)3]]/20*1.4,2)</f>
        <v>4.38</v>
      </c>
      <c r="M89" s="240">
        <f>ROUND(Tabla2[[#This Row],[Área ocupada (m²)]],2)</f>
        <v>62.5</v>
      </c>
      <c r="N89" s="240">
        <f>ROUND(Tabla2[[#This Row],[Área techada (m²)]],2)</f>
        <v>62.5</v>
      </c>
      <c r="O89" s="243">
        <f>ROUND(Tabla2[[#This Row],[Área techada (m²)4]]*0.15,2)</f>
        <v>9.3800000000000008</v>
      </c>
      <c r="P89" s="6">
        <f>ROUND(Tabla2[[#This Row],[Área del terreno (m²)2]]*DATA!$F$4,-2)</f>
        <v>3100</v>
      </c>
      <c r="Q89" s="243">
        <f>+Tabla2[[#This Row],[Valor Comercial (US$)]]-Tabla2[[#This Row],[Valor del terreno (US$)]]</f>
        <v>59400</v>
      </c>
      <c r="R8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89" s="244">
        <f>ROUND(Tabla2[[#This Row],[Valor Comercial (US$)]]*0.8,-2)</f>
        <v>50000</v>
      </c>
      <c r="T89" s="244">
        <f>IF(Informe!$I$6=DATA!$B$4,R89,ROUND(Tabla2[[#This Row],[Área techada (m²)4]]*DATA!$F$5*1.15,-2))</f>
        <v>62500</v>
      </c>
      <c r="U89" s="8">
        <f t="shared" si="1"/>
        <v>3.3479999999999999</v>
      </c>
      <c r="V89" s="244">
        <f>ROUND(Tabla2[[#This Row],[Valor del terreno (US$)]]*Tabla2[[#This Row],[Tipo de Cambio]],-2)</f>
        <v>10400</v>
      </c>
      <c r="W89" s="244">
        <f>Tabla2[[#This Row],[Valor Comercial (S/.)]]-Tabla2[[#This Row],[Valor del terreno (S/.)]]</f>
        <v>198900</v>
      </c>
      <c r="X89" s="244">
        <f>ROUND(Tabla2[[#This Row],[Valor Comercial (US$)]]*Tabla2[[#This Row],[Tipo de Cambio]],-2)</f>
        <v>209300</v>
      </c>
      <c r="Y89" s="244">
        <f>ROUND(Tabla2[[#This Row],[Valor Realización (US$)]]*Tabla2[[#This Row],[Tipo de Cambio]],-2)</f>
        <v>167400</v>
      </c>
      <c r="Z89" s="244">
        <f>+ROUND(Tabla2[[#This Row],[Importe Asegurable (US$)]]*Tabla2[[#This Row],[Tipo de Cambio]],-2)</f>
        <v>209300</v>
      </c>
      <c r="AA89" s="245"/>
      <c r="AB89" s="2">
        <f>+Tabla2[[#This Row],[Valor Comercial (US$)]]/Tabla2[[#This Row],[Área techada (m²)4]]</f>
        <v>1000</v>
      </c>
      <c r="AC8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89" s="1" t="s">
        <v>49</v>
      </c>
      <c r="AE89" s="222">
        <f>IF(Tabla2[[#This Row],[Moneda]]="Soles",Tabla2[[#This Row],[Valor de Venta]]/Tabla2[[#This Row],[Área techada (m²)]]/Tabla2[[#This Row],[Tipo de Cambio]],Tabla2[[#This Row],[Valor de Venta]]/Tabla2[[#This Row],[Área techada (m²)]])</f>
        <v>947.6702508960575</v>
      </c>
      <c r="AF89" s="347">
        <f>VLOOKUP(Tabla2[[#This Row],[VISTA]],DATA!$H$4:$I$17,2,FALSE)</f>
        <v>1000</v>
      </c>
      <c r="AG89" s="221">
        <f>+Tabla2[[#This Row],[Valor Comercial (S/.)]]/Tabla2[[#This Row],[Valor de Venta]]-1</f>
        <v>5.5471507816439836E-2</v>
      </c>
    </row>
    <row r="90" spans="1:33" s="1" customFormat="1" ht="15" customHeight="1" x14ac:dyDescent="0.25">
      <c r="A90" s="225" t="s">
        <v>30</v>
      </c>
      <c r="B90" s="22">
        <v>1007</v>
      </c>
      <c r="C90" s="14">
        <v>10</v>
      </c>
      <c r="D90" s="34"/>
      <c r="E90" s="29"/>
      <c r="F90" s="12">
        <f>ROUND(Tabla2[[#This Row],[Área ocupada (m²)]]/20*1.4,2)</f>
        <v>4.38</v>
      </c>
      <c r="G90" s="12">
        <v>62.5</v>
      </c>
      <c r="H90" s="12">
        <v>62.5</v>
      </c>
      <c r="I90" s="12">
        <f>ROUND(Tabla2[[#This Row],[Área techada (m²)]]*0.15,2)</f>
        <v>9.3800000000000008</v>
      </c>
      <c r="J90" s="18" t="s">
        <v>33</v>
      </c>
      <c r="K90" s="7">
        <v>188300</v>
      </c>
      <c r="L90" s="240">
        <f>ROUND(Tabla2[[#This Row],[Área ocupada (m²)3]]/20*1.4,2)</f>
        <v>4.38</v>
      </c>
      <c r="M90" s="240">
        <f>ROUND(Tabla2[[#This Row],[Área ocupada (m²)]],2)</f>
        <v>62.5</v>
      </c>
      <c r="N90" s="240">
        <f>ROUND(Tabla2[[#This Row],[Área techada (m²)]],2)</f>
        <v>62.5</v>
      </c>
      <c r="O90" s="243">
        <f>ROUND(Tabla2[[#This Row],[Área techada (m²)4]]*0.15,2)</f>
        <v>9.3800000000000008</v>
      </c>
      <c r="P90" s="6">
        <f>ROUND(Tabla2[[#This Row],[Área del terreno (m²)2]]*DATA!$F$4,-2)</f>
        <v>3100</v>
      </c>
      <c r="Q90" s="243">
        <f>+Tabla2[[#This Row],[Valor Comercial (US$)]]-Tabla2[[#This Row],[Valor del terreno (US$)]]</f>
        <v>56300</v>
      </c>
      <c r="R9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90" s="244">
        <f>ROUND(Tabla2[[#This Row],[Valor Comercial (US$)]]*0.8,-2)</f>
        <v>47500</v>
      </c>
      <c r="T90" s="244">
        <f>IF(Informe!$I$6=DATA!$B$4,R90,ROUND(Tabla2[[#This Row],[Área techada (m²)4]]*DATA!$F$5*1.15,-2))</f>
        <v>59400</v>
      </c>
      <c r="U90" s="8">
        <f t="shared" si="1"/>
        <v>3.3479999999999999</v>
      </c>
      <c r="V90" s="244">
        <f>ROUND(Tabla2[[#This Row],[Valor del terreno (US$)]]*Tabla2[[#This Row],[Tipo de Cambio]],-2)</f>
        <v>10400</v>
      </c>
      <c r="W90" s="244">
        <f>Tabla2[[#This Row],[Valor Comercial (S/.)]]-Tabla2[[#This Row],[Valor del terreno (S/.)]]</f>
        <v>188500</v>
      </c>
      <c r="X90" s="244">
        <f>ROUND(Tabla2[[#This Row],[Valor Comercial (US$)]]*Tabla2[[#This Row],[Tipo de Cambio]],-2)</f>
        <v>198900</v>
      </c>
      <c r="Y90" s="244">
        <f>ROUND(Tabla2[[#This Row],[Valor Realización (US$)]]*Tabla2[[#This Row],[Tipo de Cambio]],-2)</f>
        <v>159000</v>
      </c>
      <c r="Z90" s="244">
        <f>+ROUND(Tabla2[[#This Row],[Importe Asegurable (US$)]]*Tabla2[[#This Row],[Tipo de Cambio]],-2)</f>
        <v>198900</v>
      </c>
      <c r="AA90" s="245"/>
      <c r="AB90" s="2">
        <f>+Tabla2[[#This Row],[Valor Comercial (US$)]]/Tabla2[[#This Row],[Área techada (m²)4]]</f>
        <v>950.4</v>
      </c>
      <c r="AC9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90" s="1" t="s">
        <v>50</v>
      </c>
      <c r="AE90" s="222">
        <f>IF(Tabla2[[#This Row],[Moneda]]="Soles",Tabla2[[#This Row],[Valor de Venta]]/Tabla2[[#This Row],[Área techada (m²)]]/Tabla2[[#This Row],[Tipo de Cambio]],Tabla2[[#This Row],[Valor de Venta]]/Tabla2[[#This Row],[Área techada (m²)]])</f>
        <v>899.88052568697742</v>
      </c>
      <c r="AF90" s="347">
        <f>VLOOKUP(Tabla2[[#This Row],[VISTA]],DATA!$H$4:$I$17,2,FALSE)</f>
        <v>950</v>
      </c>
      <c r="AG90" s="221">
        <f>+Tabla2[[#This Row],[Valor Comercial (S/.)]]/Tabla2[[#This Row],[Valor de Venta]]-1</f>
        <v>5.62931492299521E-2</v>
      </c>
    </row>
    <row r="91" spans="1:33" s="1" customFormat="1" ht="15" customHeight="1" x14ac:dyDescent="0.25">
      <c r="A91" s="225" t="s">
        <v>30</v>
      </c>
      <c r="B91" s="22">
        <v>1008</v>
      </c>
      <c r="C91" s="14">
        <v>10</v>
      </c>
      <c r="D91" s="27"/>
      <c r="E91" s="29"/>
      <c r="F91" s="12">
        <f>ROUND(Tabla2[[#This Row],[Área ocupada (m²)]]/20*1.4,2)</f>
        <v>4.5599999999999996</v>
      </c>
      <c r="G91" s="12">
        <v>65.2</v>
      </c>
      <c r="H91" s="12">
        <v>65.2</v>
      </c>
      <c r="I91" s="12">
        <f>ROUND(Tabla2[[#This Row],[Área techada (m²)]]*0.15,2)</f>
        <v>9.7799999999999994</v>
      </c>
      <c r="J91" s="18" t="s">
        <v>33</v>
      </c>
      <c r="K91" s="7">
        <v>204500</v>
      </c>
      <c r="L91" s="240">
        <f>ROUND(Tabla2[[#This Row],[Área ocupada (m²)3]]/20*1.4,2)</f>
        <v>4.5599999999999996</v>
      </c>
      <c r="M91" s="240">
        <f>ROUND(Tabla2[[#This Row],[Área ocupada (m²)]],2)</f>
        <v>65.2</v>
      </c>
      <c r="N91" s="240">
        <f>ROUND(Tabla2[[#This Row],[Área techada (m²)]],2)</f>
        <v>65.2</v>
      </c>
      <c r="O91" s="243">
        <f>ROUND(Tabla2[[#This Row],[Área techada (m²)4]]*0.15,2)</f>
        <v>9.7799999999999994</v>
      </c>
      <c r="P91" s="6">
        <f>ROUND(Tabla2[[#This Row],[Área del terreno (m²)2]]*DATA!$F$4,-2)</f>
        <v>3200</v>
      </c>
      <c r="Q91" s="243">
        <f>+Tabla2[[#This Row],[Valor Comercial (US$)]]-Tabla2[[#This Row],[Valor del terreno (US$)]]</f>
        <v>62000</v>
      </c>
      <c r="R9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91" s="244">
        <f>ROUND(Tabla2[[#This Row],[Valor Comercial (US$)]]*0.8,-2)</f>
        <v>52200</v>
      </c>
      <c r="T91" s="244">
        <f>IF(Informe!$I$6=DATA!$B$4,R91,ROUND(Tabla2[[#This Row],[Área techada (m²)4]]*DATA!$F$5*1.15,-2))</f>
        <v>65200</v>
      </c>
      <c r="U91" s="8">
        <f t="shared" si="1"/>
        <v>3.3479999999999999</v>
      </c>
      <c r="V91" s="244">
        <f>ROUND(Tabla2[[#This Row],[Valor del terreno (US$)]]*Tabla2[[#This Row],[Tipo de Cambio]],-2)</f>
        <v>10700</v>
      </c>
      <c r="W91" s="244">
        <f>Tabla2[[#This Row],[Valor Comercial (S/.)]]-Tabla2[[#This Row],[Valor del terreno (S/.)]]</f>
        <v>207600</v>
      </c>
      <c r="X91" s="244">
        <f>ROUND(Tabla2[[#This Row],[Valor Comercial (US$)]]*Tabla2[[#This Row],[Tipo de Cambio]],-2)</f>
        <v>218300</v>
      </c>
      <c r="Y91" s="244">
        <f>ROUND(Tabla2[[#This Row],[Valor Realización (US$)]]*Tabla2[[#This Row],[Tipo de Cambio]],-2)</f>
        <v>174800</v>
      </c>
      <c r="Z91" s="244">
        <f>+ROUND(Tabla2[[#This Row],[Importe Asegurable (US$)]]*Tabla2[[#This Row],[Tipo de Cambio]],-2)</f>
        <v>218300</v>
      </c>
      <c r="AA91" s="245"/>
      <c r="AB91" s="2">
        <f>+Tabla2[[#This Row],[Valor Comercial (US$)]]/Tabla2[[#This Row],[Área techada (m²)4]]</f>
        <v>1000</v>
      </c>
      <c r="AC9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91" s="1" t="s">
        <v>49</v>
      </c>
      <c r="AE91" s="222">
        <f>IF(Tabla2[[#This Row],[Moneda]]="Soles",Tabla2[[#This Row],[Valor de Venta]]/Tabla2[[#This Row],[Área techada (m²)]]/Tabla2[[#This Row],[Tipo de Cambio]],Tabla2[[#This Row],[Valor de Venta]]/Tabla2[[#This Row],[Área techada (m²)]])</f>
        <v>936.82887320330428</v>
      </c>
      <c r="AF91" s="347">
        <f>VLOOKUP(Tabla2[[#This Row],[VISTA]],DATA!$H$4:$I$17,2,FALSE)</f>
        <v>1000</v>
      </c>
      <c r="AG91" s="221">
        <f>+Tabla2[[#This Row],[Valor Comercial (S/.)]]/Tabla2[[#This Row],[Valor de Venta]]-1</f>
        <v>6.7481662591686975E-2</v>
      </c>
    </row>
    <row r="92" spans="1:33" s="1" customFormat="1" ht="15" customHeight="1" x14ac:dyDescent="0.25">
      <c r="A92" s="225" t="s">
        <v>30</v>
      </c>
      <c r="B92" s="22">
        <v>1101</v>
      </c>
      <c r="C92" s="14">
        <v>11</v>
      </c>
      <c r="D92" s="27"/>
      <c r="E92" s="29"/>
      <c r="F92" s="12">
        <f>ROUND(Tabla2[[#This Row],[Área ocupada (m²)]]/20*1.4,2)</f>
        <v>4.5599999999999996</v>
      </c>
      <c r="G92" s="12">
        <v>65.2</v>
      </c>
      <c r="H92" s="12">
        <v>65.2</v>
      </c>
      <c r="I92" s="12">
        <f>ROUND(Tabla2[[#This Row],[Área techada (m²)]]*0.15,2)</f>
        <v>9.7799999999999994</v>
      </c>
      <c r="J92" s="18" t="s">
        <v>33</v>
      </c>
      <c r="K92" s="7">
        <v>195500</v>
      </c>
      <c r="L92" s="240">
        <f>ROUND(Tabla2[[#This Row],[Área ocupada (m²)3]]/20*1.4,2)</f>
        <v>4.5599999999999996</v>
      </c>
      <c r="M92" s="240">
        <f>ROUND(Tabla2[[#This Row],[Área ocupada (m²)]],2)</f>
        <v>65.2</v>
      </c>
      <c r="N92" s="240">
        <f>ROUND(Tabla2[[#This Row],[Área techada (m²)]],2)</f>
        <v>65.2</v>
      </c>
      <c r="O92" s="243">
        <f>ROUND(Tabla2[[#This Row],[Área techada (m²)4]]*0.15,2)</f>
        <v>9.7799999999999994</v>
      </c>
      <c r="P92" s="6">
        <f>ROUND(Tabla2[[#This Row],[Área del terreno (m²)2]]*DATA!$F$4,-2)</f>
        <v>3200</v>
      </c>
      <c r="Q92" s="243">
        <f>+Tabla2[[#This Row],[Valor Comercial (US$)]]-Tabla2[[#This Row],[Valor del terreno (US$)]]</f>
        <v>58700</v>
      </c>
      <c r="R9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92" s="244">
        <f>ROUND(Tabla2[[#This Row],[Valor Comercial (US$)]]*0.8,-2)</f>
        <v>49500</v>
      </c>
      <c r="T92" s="244">
        <f>IF(Informe!$I$6=DATA!$B$4,R92,ROUND(Tabla2[[#This Row],[Área techada (m²)4]]*DATA!$F$5*1.15,-2))</f>
        <v>61900</v>
      </c>
      <c r="U92" s="8">
        <f t="shared" si="1"/>
        <v>3.3479999999999999</v>
      </c>
      <c r="V92" s="244">
        <f>ROUND(Tabla2[[#This Row],[Valor del terreno (US$)]]*Tabla2[[#This Row],[Tipo de Cambio]],-2)</f>
        <v>10700</v>
      </c>
      <c r="W92" s="244">
        <f>Tabla2[[#This Row],[Valor Comercial (S/.)]]-Tabla2[[#This Row],[Valor del terreno (S/.)]]</f>
        <v>196500</v>
      </c>
      <c r="X92" s="244">
        <f>ROUND(Tabla2[[#This Row],[Valor Comercial (US$)]]*Tabla2[[#This Row],[Tipo de Cambio]],-2)</f>
        <v>207200</v>
      </c>
      <c r="Y92" s="244">
        <f>ROUND(Tabla2[[#This Row],[Valor Realización (US$)]]*Tabla2[[#This Row],[Tipo de Cambio]],-2)</f>
        <v>165700</v>
      </c>
      <c r="Z92" s="244">
        <f>+ROUND(Tabla2[[#This Row],[Importe Asegurable (US$)]]*Tabla2[[#This Row],[Tipo de Cambio]],-2)</f>
        <v>207200</v>
      </c>
      <c r="AA92" s="245"/>
      <c r="AB92" s="2">
        <f>+Tabla2[[#This Row],[Valor Comercial (US$)]]/Tabla2[[#This Row],[Área techada (m²)4]]</f>
        <v>949.38650306748457</v>
      </c>
      <c r="AC9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92" s="1" t="s">
        <v>50</v>
      </c>
      <c r="AE92" s="222">
        <f>IF(Tabla2[[#This Row],[Moneda]]="Soles",Tabla2[[#This Row],[Valor de Venta]]/Tabla2[[#This Row],[Área techada (m²)]]/Tabla2[[#This Row],[Tipo de Cambio]],Tabla2[[#This Row],[Valor de Venta]]/Tabla2[[#This Row],[Área techada (m²)]])</f>
        <v>895.59924064178961</v>
      </c>
      <c r="AF92" s="347">
        <f>VLOOKUP(Tabla2[[#This Row],[VISTA]],DATA!$H$4:$I$17,2,FALSE)</f>
        <v>950</v>
      </c>
      <c r="AG92" s="221">
        <f>+Tabla2[[#This Row],[Valor Comercial (S/.)]]/Tabla2[[#This Row],[Valor de Venta]]-1</f>
        <v>5.9846547314577947E-2</v>
      </c>
    </row>
    <row r="93" spans="1:33" s="1" customFormat="1" ht="15" customHeight="1" x14ac:dyDescent="0.25">
      <c r="A93" s="225" t="s">
        <v>30</v>
      </c>
      <c r="B93" s="22">
        <v>1102</v>
      </c>
      <c r="C93" s="14">
        <v>11</v>
      </c>
      <c r="D93" s="39"/>
      <c r="E93" s="28"/>
      <c r="F93" s="12">
        <f>ROUND(Tabla2[[#This Row],[Área ocupada (m²)]]/20*1.4,2)</f>
        <v>4.38</v>
      </c>
      <c r="G93" s="12">
        <v>62.5</v>
      </c>
      <c r="H93" s="12">
        <v>62.5</v>
      </c>
      <c r="I93" s="12">
        <f>ROUND(Tabla2[[#This Row],[Área techada (m²)]]*0.15,2)</f>
        <v>9.3800000000000008</v>
      </c>
      <c r="J93" s="18" t="s">
        <v>33</v>
      </c>
      <c r="K93" s="7">
        <v>188300</v>
      </c>
      <c r="L93" s="240">
        <f>ROUND(Tabla2[[#This Row],[Área ocupada (m²)3]]/20*1.4,2)</f>
        <v>4.38</v>
      </c>
      <c r="M93" s="240">
        <f>ROUND(Tabla2[[#This Row],[Área ocupada (m²)]],2)</f>
        <v>62.5</v>
      </c>
      <c r="N93" s="240">
        <f>ROUND(Tabla2[[#This Row],[Área techada (m²)]],2)</f>
        <v>62.5</v>
      </c>
      <c r="O93" s="243">
        <f>ROUND(Tabla2[[#This Row],[Área techada (m²)4]]*0.15,2)</f>
        <v>9.3800000000000008</v>
      </c>
      <c r="P93" s="6">
        <f>ROUND(Tabla2[[#This Row],[Área del terreno (m²)2]]*DATA!$F$4,-2)</f>
        <v>3100</v>
      </c>
      <c r="Q93" s="243">
        <f>+Tabla2[[#This Row],[Valor Comercial (US$)]]-Tabla2[[#This Row],[Valor del terreno (US$)]]</f>
        <v>56300</v>
      </c>
      <c r="R9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93" s="244">
        <f>ROUND(Tabla2[[#This Row],[Valor Comercial (US$)]]*0.8,-2)</f>
        <v>47500</v>
      </c>
      <c r="T93" s="244">
        <f>IF(Informe!$I$6=DATA!$B$4,R93,ROUND(Tabla2[[#This Row],[Área techada (m²)4]]*DATA!$F$5*1.15,-2))</f>
        <v>59400</v>
      </c>
      <c r="U93" s="8">
        <f t="shared" si="1"/>
        <v>3.3479999999999999</v>
      </c>
      <c r="V93" s="244">
        <f>ROUND(Tabla2[[#This Row],[Valor del terreno (US$)]]*Tabla2[[#This Row],[Tipo de Cambio]],-2)</f>
        <v>10400</v>
      </c>
      <c r="W93" s="244">
        <f>Tabla2[[#This Row],[Valor Comercial (S/.)]]-Tabla2[[#This Row],[Valor del terreno (S/.)]]</f>
        <v>188500</v>
      </c>
      <c r="X93" s="244">
        <f>ROUND(Tabla2[[#This Row],[Valor Comercial (US$)]]*Tabla2[[#This Row],[Tipo de Cambio]],-2)</f>
        <v>198900</v>
      </c>
      <c r="Y93" s="244">
        <f>ROUND(Tabla2[[#This Row],[Valor Realización (US$)]]*Tabla2[[#This Row],[Tipo de Cambio]],-2)</f>
        <v>159000</v>
      </c>
      <c r="Z93" s="244">
        <f>+ROUND(Tabla2[[#This Row],[Importe Asegurable (US$)]]*Tabla2[[#This Row],[Tipo de Cambio]],-2)</f>
        <v>198900</v>
      </c>
      <c r="AA93" s="245"/>
      <c r="AB93" s="2">
        <f>+Tabla2[[#This Row],[Valor Comercial (US$)]]/Tabla2[[#This Row],[Área techada (m²)4]]</f>
        <v>950.4</v>
      </c>
      <c r="AC9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93" s="1" t="s">
        <v>50</v>
      </c>
      <c r="AE93" s="222">
        <f>IF(Tabla2[[#This Row],[Moneda]]="Soles",Tabla2[[#This Row],[Valor de Venta]]/Tabla2[[#This Row],[Área techada (m²)]]/Tabla2[[#This Row],[Tipo de Cambio]],Tabla2[[#This Row],[Valor de Venta]]/Tabla2[[#This Row],[Área techada (m²)]])</f>
        <v>899.88052568697742</v>
      </c>
      <c r="AF93" s="347">
        <f>VLOOKUP(Tabla2[[#This Row],[VISTA]],DATA!$H$4:$I$17,2,FALSE)</f>
        <v>950</v>
      </c>
      <c r="AG93" s="221">
        <f>+Tabla2[[#This Row],[Valor Comercial (S/.)]]/Tabla2[[#This Row],[Valor de Venta]]-1</f>
        <v>5.62931492299521E-2</v>
      </c>
    </row>
    <row r="94" spans="1:33" s="1" customFormat="1" ht="15" customHeight="1" x14ac:dyDescent="0.25">
      <c r="A94" s="225" t="s">
        <v>30</v>
      </c>
      <c r="B94" s="22">
        <v>1103</v>
      </c>
      <c r="C94" s="14">
        <v>11</v>
      </c>
      <c r="D94" s="38"/>
      <c r="E94" s="29"/>
      <c r="F94" s="12">
        <f>ROUND(Tabla2[[#This Row],[Área ocupada (m²)]]/20*1.4,2)</f>
        <v>4.38</v>
      </c>
      <c r="G94" s="12">
        <v>62.5</v>
      </c>
      <c r="H94" s="12">
        <v>62.5</v>
      </c>
      <c r="I94" s="12">
        <f>ROUND(Tabla2[[#This Row],[Área techada (m²)]]*0.15,2)</f>
        <v>9.3800000000000008</v>
      </c>
      <c r="J94" s="18" t="s">
        <v>33</v>
      </c>
      <c r="K94" s="7">
        <v>193300</v>
      </c>
      <c r="L94" s="240">
        <f>ROUND(Tabla2[[#This Row],[Área ocupada (m²)3]]/20*1.4,2)</f>
        <v>4.38</v>
      </c>
      <c r="M94" s="240">
        <f>ROUND(Tabla2[[#This Row],[Área ocupada (m²)]],2)</f>
        <v>62.5</v>
      </c>
      <c r="N94" s="240">
        <f>ROUND(Tabla2[[#This Row],[Área techada (m²)]],2)</f>
        <v>62.5</v>
      </c>
      <c r="O94" s="243">
        <f>ROUND(Tabla2[[#This Row],[Área techada (m²)4]]*0.15,2)</f>
        <v>9.3800000000000008</v>
      </c>
      <c r="P94" s="6">
        <f>ROUND(Tabla2[[#This Row],[Área del terreno (m²)2]]*DATA!$F$4,-2)</f>
        <v>3100</v>
      </c>
      <c r="Q94" s="243">
        <f>+Tabla2[[#This Row],[Valor Comercial (US$)]]-Tabla2[[#This Row],[Valor del terreno (US$)]]</f>
        <v>56300</v>
      </c>
      <c r="R9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94" s="244">
        <f>ROUND(Tabla2[[#This Row],[Valor Comercial (US$)]]*0.8,-2)</f>
        <v>47500</v>
      </c>
      <c r="T94" s="244">
        <f>IF(Informe!$I$6=DATA!$B$4,R94,ROUND(Tabla2[[#This Row],[Área techada (m²)4]]*DATA!$F$5*1.15,-2))</f>
        <v>59400</v>
      </c>
      <c r="U94" s="8">
        <f t="shared" si="1"/>
        <v>3.3479999999999999</v>
      </c>
      <c r="V94" s="244">
        <f>ROUND(Tabla2[[#This Row],[Valor del terreno (US$)]]*Tabla2[[#This Row],[Tipo de Cambio]],-2)</f>
        <v>10400</v>
      </c>
      <c r="W94" s="244">
        <f>Tabla2[[#This Row],[Valor Comercial (S/.)]]-Tabla2[[#This Row],[Valor del terreno (S/.)]]</f>
        <v>188500</v>
      </c>
      <c r="X94" s="244">
        <f>ROUND(Tabla2[[#This Row],[Valor Comercial (US$)]]*Tabla2[[#This Row],[Tipo de Cambio]],-2)</f>
        <v>198900</v>
      </c>
      <c r="Y94" s="244">
        <f>ROUND(Tabla2[[#This Row],[Valor Realización (US$)]]*Tabla2[[#This Row],[Tipo de Cambio]],-2)</f>
        <v>159000</v>
      </c>
      <c r="Z94" s="244">
        <f>+ROUND(Tabla2[[#This Row],[Importe Asegurable (US$)]]*Tabla2[[#This Row],[Tipo de Cambio]],-2)</f>
        <v>198900</v>
      </c>
      <c r="AA94" s="245"/>
      <c r="AB94" s="2">
        <f>+Tabla2[[#This Row],[Valor Comercial (US$)]]/Tabla2[[#This Row],[Área techada (m²)4]]</f>
        <v>950.4</v>
      </c>
      <c r="AC9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94" s="1" t="s">
        <v>50</v>
      </c>
      <c r="AE94" s="222">
        <f>IF(Tabla2[[#This Row],[Moneda]]="Soles",Tabla2[[#This Row],[Valor de Venta]]/Tabla2[[#This Row],[Área techada (m²)]]/Tabla2[[#This Row],[Tipo de Cambio]],Tabla2[[#This Row],[Valor de Venta]]/Tabla2[[#This Row],[Área techada (m²)]])</f>
        <v>923.7753882915174</v>
      </c>
      <c r="AF94" s="347">
        <f>VLOOKUP(Tabla2[[#This Row],[VISTA]],DATA!$H$4:$I$17,2,FALSE)</f>
        <v>950</v>
      </c>
      <c r="AG94" s="221">
        <f>+Tabla2[[#This Row],[Valor Comercial (S/.)]]/Tabla2[[#This Row],[Valor de Venta]]-1</f>
        <v>2.8970512157268535E-2</v>
      </c>
    </row>
    <row r="95" spans="1:33" s="1" customFormat="1" ht="15" customHeight="1" x14ac:dyDescent="0.25">
      <c r="A95" s="225" t="s">
        <v>30</v>
      </c>
      <c r="B95" s="22">
        <v>1104</v>
      </c>
      <c r="C95" s="14">
        <v>11</v>
      </c>
      <c r="D95" s="36"/>
      <c r="E95" s="20"/>
      <c r="F95" s="12">
        <f>ROUND(Tabla2[[#This Row],[Área ocupada (m²)]]/20*1.4,2)</f>
        <v>4.5599999999999996</v>
      </c>
      <c r="G95" s="12">
        <v>65.2</v>
      </c>
      <c r="H95" s="12">
        <v>65.2</v>
      </c>
      <c r="I95" s="12">
        <f>ROUND(Tabla2[[#This Row],[Área techada (m²)]]*0.15,2)</f>
        <v>9.7799999999999994</v>
      </c>
      <c r="J95" s="18" t="s">
        <v>33</v>
      </c>
      <c r="K95" s="7">
        <v>206500</v>
      </c>
      <c r="L95" s="240">
        <f>ROUND(Tabla2[[#This Row],[Área ocupada (m²)3]]/20*1.4,2)</f>
        <v>4.5599999999999996</v>
      </c>
      <c r="M95" s="240">
        <f>ROUND(Tabla2[[#This Row],[Área ocupada (m²)]],2)</f>
        <v>65.2</v>
      </c>
      <c r="N95" s="240">
        <f>ROUND(Tabla2[[#This Row],[Área techada (m²)]],2)</f>
        <v>65.2</v>
      </c>
      <c r="O95" s="243">
        <f>ROUND(Tabla2[[#This Row],[Área techada (m²)4]]*0.15,2)</f>
        <v>9.7799999999999994</v>
      </c>
      <c r="P95" s="6">
        <f>ROUND(Tabla2[[#This Row],[Área del terreno (m²)2]]*DATA!$F$4,-2)</f>
        <v>3200</v>
      </c>
      <c r="Q95" s="243">
        <f>+Tabla2[[#This Row],[Valor Comercial (US$)]]-Tabla2[[#This Row],[Valor del terreno (US$)]]</f>
        <v>62000</v>
      </c>
      <c r="R9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95" s="244">
        <f>ROUND(Tabla2[[#This Row],[Valor Comercial (US$)]]*0.8,-2)</f>
        <v>52200</v>
      </c>
      <c r="T95" s="244">
        <f>IF(Informe!$I$6=DATA!$B$4,R95,ROUND(Tabla2[[#This Row],[Área techada (m²)4]]*DATA!$F$5*1.15,-2))</f>
        <v>65200</v>
      </c>
      <c r="U95" s="8">
        <f t="shared" si="1"/>
        <v>3.3479999999999999</v>
      </c>
      <c r="V95" s="244">
        <f>ROUND(Tabla2[[#This Row],[Valor del terreno (US$)]]*Tabla2[[#This Row],[Tipo de Cambio]],-2)</f>
        <v>10700</v>
      </c>
      <c r="W95" s="244">
        <f>Tabla2[[#This Row],[Valor Comercial (S/.)]]-Tabla2[[#This Row],[Valor del terreno (S/.)]]</f>
        <v>207600</v>
      </c>
      <c r="X95" s="244">
        <f>ROUND(Tabla2[[#This Row],[Valor Comercial (US$)]]*Tabla2[[#This Row],[Tipo de Cambio]],-2)</f>
        <v>218300</v>
      </c>
      <c r="Y95" s="244">
        <f>ROUND(Tabla2[[#This Row],[Valor Realización (US$)]]*Tabla2[[#This Row],[Tipo de Cambio]],-2)</f>
        <v>174800</v>
      </c>
      <c r="Z95" s="244">
        <f>+ROUND(Tabla2[[#This Row],[Importe Asegurable (US$)]]*Tabla2[[#This Row],[Tipo de Cambio]],-2)</f>
        <v>218300</v>
      </c>
      <c r="AA95" s="245"/>
      <c r="AB95" s="2">
        <f>+Tabla2[[#This Row],[Valor Comercial (US$)]]/Tabla2[[#This Row],[Área techada (m²)4]]</f>
        <v>1000</v>
      </c>
      <c r="AC9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95" s="1" t="s">
        <v>49</v>
      </c>
      <c r="AE95" s="222">
        <f>IF(Tabla2[[#This Row],[Moneda]]="Soles",Tabla2[[#This Row],[Valor de Venta]]/Tabla2[[#This Row],[Área techada (m²)]]/Tabla2[[#This Row],[Tipo de Cambio]],Tabla2[[#This Row],[Valor de Venta]]/Tabla2[[#This Row],[Área techada (m²)]])</f>
        <v>945.99101377252975</v>
      </c>
      <c r="AF95" s="347">
        <f>VLOOKUP(Tabla2[[#This Row],[VISTA]],DATA!$H$4:$I$17,2,FALSE)</f>
        <v>1000</v>
      </c>
      <c r="AG95" s="221">
        <f>+Tabla2[[#This Row],[Valor Comercial (S/.)]]/Tabla2[[#This Row],[Valor de Venta]]-1</f>
        <v>5.7142857142857162E-2</v>
      </c>
    </row>
    <row r="96" spans="1:33" s="1" customFormat="1" ht="15" customHeight="1" x14ac:dyDescent="0.25">
      <c r="A96" s="225" t="s">
        <v>30</v>
      </c>
      <c r="B96" s="22">
        <v>1105</v>
      </c>
      <c r="C96" s="14">
        <v>11</v>
      </c>
      <c r="D96" s="27"/>
      <c r="E96" s="20"/>
      <c r="F96" s="12">
        <f>ROUND(Tabla2[[#This Row],[Área ocupada (m²)]]/20*1.4,2)</f>
        <v>4.5599999999999996</v>
      </c>
      <c r="G96" s="12">
        <v>65.2</v>
      </c>
      <c r="H96" s="12">
        <v>65.2</v>
      </c>
      <c r="I96" s="12">
        <f>ROUND(Tabla2[[#This Row],[Área techada (m²)]]*0.15,2)</f>
        <v>9.7799999999999994</v>
      </c>
      <c r="J96" s="18" t="s">
        <v>33</v>
      </c>
      <c r="K96" s="7">
        <v>206500</v>
      </c>
      <c r="L96" s="240">
        <f>ROUND(Tabla2[[#This Row],[Área ocupada (m²)3]]/20*1.4,2)</f>
        <v>4.5599999999999996</v>
      </c>
      <c r="M96" s="240">
        <f>ROUND(Tabla2[[#This Row],[Área ocupada (m²)]],2)</f>
        <v>65.2</v>
      </c>
      <c r="N96" s="240">
        <f>ROUND(Tabla2[[#This Row],[Área techada (m²)]],2)</f>
        <v>65.2</v>
      </c>
      <c r="O96" s="243">
        <f>ROUND(Tabla2[[#This Row],[Área techada (m²)4]]*0.15,2)</f>
        <v>9.7799999999999994</v>
      </c>
      <c r="P96" s="6">
        <f>ROUND(Tabla2[[#This Row],[Área del terreno (m²)2]]*DATA!$F$4,-2)</f>
        <v>3200</v>
      </c>
      <c r="Q96" s="243">
        <f>+Tabla2[[#This Row],[Valor Comercial (US$)]]-Tabla2[[#This Row],[Valor del terreno (US$)]]</f>
        <v>62000</v>
      </c>
      <c r="R9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96" s="244">
        <f>ROUND(Tabla2[[#This Row],[Valor Comercial (US$)]]*0.8,-2)</f>
        <v>52200</v>
      </c>
      <c r="T96" s="244">
        <f>IF(Informe!$I$6=DATA!$B$4,R96,ROUND(Tabla2[[#This Row],[Área techada (m²)4]]*DATA!$F$5*1.15,-2))</f>
        <v>65200</v>
      </c>
      <c r="U96" s="8">
        <f t="shared" si="1"/>
        <v>3.3479999999999999</v>
      </c>
      <c r="V96" s="244">
        <f>ROUND(Tabla2[[#This Row],[Valor del terreno (US$)]]*Tabla2[[#This Row],[Tipo de Cambio]],-2)</f>
        <v>10700</v>
      </c>
      <c r="W96" s="244">
        <f>Tabla2[[#This Row],[Valor Comercial (S/.)]]-Tabla2[[#This Row],[Valor del terreno (S/.)]]</f>
        <v>207600</v>
      </c>
      <c r="X96" s="244">
        <f>ROUND(Tabla2[[#This Row],[Valor Comercial (US$)]]*Tabla2[[#This Row],[Tipo de Cambio]],-2)</f>
        <v>218300</v>
      </c>
      <c r="Y96" s="244">
        <f>ROUND(Tabla2[[#This Row],[Valor Realización (US$)]]*Tabla2[[#This Row],[Tipo de Cambio]],-2)</f>
        <v>174800</v>
      </c>
      <c r="Z96" s="244">
        <f>+ROUND(Tabla2[[#This Row],[Importe Asegurable (US$)]]*Tabla2[[#This Row],[Tipo de Cambio]],-2)</f>
        <v>218300</v>
      </c>
      <c r="AA96" s="245"/>
      <c r="AB96" s="2">
        <f>+Tabla2[[#This Row],[Valor Comercial (US$)]]/Tabla2[[#This Row],[Área techada (m²)4]]</f>
        <v>1000</v>
      </c>
      <c r="AC9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96" s="1" t="s">
        <v>49</v>
      </c>
      <c r="AE96" s="222">
        <f>IF(Tabla2[[#This Row],[Moneda]]="Soles",Tabla2[[#This Row],[Valor de Venta]]/Tabla2[[#This Row],[Área techada (m²)]]/Tabla2[[#This Row],[Tipo de Cambio]],Tabla2[[#This Row],[Valor de Venta]]/Tabla2[[#This Row],[Área techada (m²)]])</f>
        <v>945.99101377252975</v>
      </c>
      <c r="AF96" s="347">
        <f>VLOOKUP(Tabla2[[#This Row],[VISTA]],DATA!$H$4:$I$17,2,FALSE)</f>
        <v>1000</v>
      </c>
      <c r="AG96" s="221">
        <f>+Tabla2[[#This Row],[Valor Comercial (S/.)]]/Tabla2[[#This Row],[Valor de Venta]]-1</f>
        <v>5.7142857142857162E-2</v>
      </c>
    </row>
    <row r="97" spans="1:34" s="1" customFormat="1" ht="15" customHeight="1" x14ac:dyDescent="0.25">
      <c r="A97" s="225" t="s">
        <v>30</v>
      </c>
      <c r="B97" s="22">
        <v>1106</v>
      </c>
      <c r="C97" s="14">
        <v>11</v>
      </c>
      <c r="D97" s="27"/>
      <c r="E97" s="20"/>
      <c r="F97" s="12">
        <f>ROUND(Tabla2[[#This Row],[Área ocupada (m²)]]/20*1.4,2)</f>
        <v>4.38</v>
      </c>
      <c r="G97" s="12">
        <v>62.5</v>
      </c>
      <c r="H97" s="12">
        <v>62.5</v>
      </c>
      <c r="I97" s="12">
        <f>ROUND(Tabla2[[#This Row],[Área techada (m²)]]*0.15,2)</f>
        <v>9.3800000000000008</v>
      </c>
      <c r="J97" s="18" t="s">
        <v>33</v>
      </c>
      <c r="K97" s="7">
        <v>196300</v>
      </c>
      <c r="L97" s="240">
        <f>ROUND(Tabla2[[#This Row],[Área ocupada (m²)3]]/20*1.4,2)</f>
        <v>4.38</v>
      </c>
      <c r="M97" s="240">
        <f>ROUND(Tabla2[[#This Row],[Área ocupada (m²)]],2)</f>
        <v>62.5</v>
      </c>
      <c r="N97" s="240">
        <f>ROUND(Tabla2[[#This Row],[Área techada (m²)]],2)</f>
        <v>62.5</v>
      </c>
      <c r="O97" s="243">
        <f>ROUND(Tabla2[[#This Row],[Área techada (m²)4]]*0.15,2)</f>
        <v>9.3800000000000008</v>
      </c>
      <c r="P97" s="6">
        <f>ROUND(Tabla2[[#This Row],[Área del terreno (m²)2]]*DATA!$F$4,-2)</f>
        <v>3100</v>
      </c>
      <c r="Q97" s="243">
        <f>+Tabla2[[#This Row],[Valor Comercial (US$)]]-Tabla2[[#This Row],[Valor del terreno (US$)]]</f>
        <v>59400</v>
      </c>
      <c r="R9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97" s="244">
        <f>ROUND(Tabla2[[#This Row],[Valor Comercial (US$)]]*0.8,-2)</f>
        <v>50000</v>
      </c>
      <c r="T97" s="244">
        <f>IF(Informe!$I$6=DATA!$B$4,R97,ROUND(Tabla2[[#This Row],[Área techada (m²)4]]*DATA!$F$5*1.15,-2))</f>
        <v>62500</v>
      </c>
      <c r="U97" s="8">
        <f t="shared" si="1"/>
        <v>3.3479999999999999</v>
      </c>
      <c r="V97" s="244">
        <f>ROUND(Tabla2[[#This Row],[Valor del terreno (US$)]]*Tabla2[[#This Row],[Tipo de Cambio]],-2)</f>
        <v>10400</v>
      </c>
      <c r="W97" s="244">
        <f>Tabla2[[#This Row],[Valor Comercial (S/.)]]-Tabla2[[#This Row],[Valor del terreno (S/.)]]</f>
        <v>198900</v>
      </c>
      <c r="X97" s="244">
        <f>ROUND(Tabla2[[#This Row],[Valor Comercial (US$)]]*Tabla2[[#This Row],[Tipo de Cambio]],-2)</f>
        <v>209300</v>
      </c>
      <c r="Y97" s="244">
        <f>ROUND(Tabla2[[#This Row],[Valor Realización (US$)]]*Tabla2[[#This Row],[Tipo de Cambio]],-2)</f>
        <v>167400</v>
      </c>
      <c r="Z97" s="244">
        <f>+ROUND(Tabla2[[#This Row],[Importe Asegurable (US$)]]*Tabla2[[#This Row],[Tipo de Cambio]],-2)</f>
        <v>209300</v>
      </c>
      <c r="AA97" s="245"/>
      <c r="AB97" s="2">
        <f>+Tabla2[[#This Row],[Valor Comercial (US$)]]/Tabla2[[#This Row],[Área techada (m²)4]]</f>
        <v>1000</v>
      </c>
      <c r="AC9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97" s="1" t="s">
        <v>49</v>
      </c>
      <c r="AE97" s="222">
        <f>IF(Tabla2[[#This Row],[Moneda]]="Soles",Tabla2[[#This Row],[Valor de Venta]]/Tabla2[[#This Row],[Área techada (m²)]]/Tabla2[[#This Row],[Tipo de Cambio]],Tabla2[[#This Row],[Valor de Venta]]/Tabla2[[#This Row],[Área techada (m²)]])</f>
        <v>938.11230585424141</v>
      </c>
      <c r="AF97" s="347">
        <f>VLOOKUP(Tabla2[[#This Row],[VISTA]],DATA!$H$4:$I$17,2,FALSE)</f>
        <v>1000</v>
      </c>
      <c r="AG97" s="221">
        <f>+Tabla2[[#This Row],[Valor Comercial (S/.)]]/Tabla2[[#This Row],[Valor de Venta]]-1</f>
        <v>6.6225165562913801E-2</v>
      </c>
    </row>
    <row r="98" spans="1:34" s="26" customFormat="1" ht="15" customHeight="1" x14ac:dyDescent="0.25">
      <c r="A98" s="225" t="s">
        <v>30</v>
      </c>
      <c r="B98" s="22">
        <v>1107</v>
      </c>
      <c r="C98" s="21">
        <v>11</v>
      </c>
      <c r="D98" s="40"/>
      <c r="E98" s="32"/>
      <c r="F98" s="12">
        <f>ROUND(Tabla2[[#This Row],[Área ocupada (m²)]]/20*1.4,2)</f>
        <v>4.38</v>
      </c>
      <c r="G98" s="23">
        <v>62.5</v>
      </c>
      <c r="H98" s="23">
        <v>62.5</v>
      </c>
      <c r="I98" s="12">
        <f>ROUND(Tabla2[[#This Row],[Área techada (m²)]]*0.15,2)</f>
        <v>9.3800000000000008</v>
      </c>
      <c r="J98" s="24" t="s">
        <v>33</v>
      </c>
      <c r="K98" s="25">
        <v>189300</v>
      </c>
      <c r="L98" s="240">
        <f>ROUND(Tabla2[[#This Row],[Área ocupada (m²)3]]/20*1.4,2)</f>
        <v>4.38</v>
      </c>
      <c r="M98" s="240">
        <f>ROUND(Tabla2[[#This Row],[Área ocupada (m²)]],2)</f>
        <v>62.5</v>
      </c>
      <c r="N98" s="240">
        <f>ROUND(Tabla2[[#This Row],[Área techada (m²)]],2)</f>
        <v>62.5</v>
      </c>
      <c r="O98" s="243">
        <f>ROUND(Tabla2[[#This Row],[Área techada (m²)4]]*0.15,2)</f>
        <v>9.3800000000000008</v>
      </c>
      <c r="P98" s="6">
        <f>ROUND(Tabla2[[#This Row],[Área del terreno (m²)2]]*DATA!$F$4,-2)</f>
        <v>3100</v>
      </c>
      <c r="Q98" s="243">
        <f>+Tabla2[[#This Row],[Valor Comercial (US$)]]-Tabla2[[#This Row],[Valor del terreno (US$)]]</f>
        <v>56300</v>
      </c>
      <c r="R9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98" s="244">
        <f>ROUND(Tabla2[[#This Row],[Valor Comercial (US$)]]*0.8,-2)</f>
        <v>47500</v>
      </c>
      <c r="T98" s="244">
        <f>IF(Informe!$I$6=DATA!$B$4,R98,ROUND(Tabla2[[#This Row],[Área techada (m²)4]]*DATA!$F$5*1.15,-2))</f>
        <v>59400</v>
      </c>
      <c r="U98" s="8">
        <f t="shared" si="1"/>
        <v>3.3479999999999999</v>
      </c>
      <c r="V98" s="244">
        <f>ROUND(Tabla2[[#This Row],[Valor del terreno (US$)]]*Tabla2[[#This Row],[Tipo de Cambio]],-2)</f>
        <v>10400</v>
      </c>
      <c r="W98" s="244">
        <f>Tabla2[[#This Row],[Valor Comercial (S/.)]]-Tabla2[[#This Row],[Valor del terreno (S/.)]]</f>
        <v>188500</v>
      </c>
      <c r="X98" s="244">
        <f>ROUND(Tabla2[[#This Row],[Valor Comercial (US$)]]*Tabla2[[#This Row],[Tipo de Cambio]],-2)</f>
        <v>198900</v>
      </c>
      <c r="Y98" s="244">
        <f>ROUND(Tabla2[[#This Row],[Valor Realización (US$)]]*Tabla2[[#This Row],[Tipo de Cambio]],-2)</f>
        <v>159000</v>
      </c>
      <c r="Z98" s="244">
        <f>+ROUND(Tabla2[[#This Row],[Importe Asegurable (US$)]]*Tabla2[[#This Row],[Tipo de Cambio]],-2)</f>
        <v>198900</v>
      </c>
      <c r="AA98" s="245"/>
      <c r="AB98" s="2">
        <f>+Tabla2[[#This Row],[Valor Comercial (US$)]]/Tabla2[[#This Row],[Área techada (m²)4]]</f>
        <v>950.4</v>
      </c>
      <c r="AC9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98" s="1" t="s">
        <v>50</v>
      </c>
      <c r="AE98" s="222">
        <f>IF(Tabla2[[#This Row],[Moneda]]="Soles",Tabla2[[#This Row],[Valor de Venta]]/Tabla2[[#This Row],[Área techada (m²)]]/Tabla2[[#This Row],[Tipo de Cambio]],Tabla2[[#This Row],[Valor de Venta]]/Tabla2[[#This Row],[Área techada (m²)]])</f>
        <v>904.65949820788535</v>
      </c>
      <c r="AF98" s="347">
        <f>VLOOKUP(Tabla2[[#This Row],[VISTA]],DATA!$H$4:$I$17,2,FALSE)</f>
        <v>950</v>
      </c>
      <c r="AG98" s="221">
        <f>+Tabla2[[#This Row],[Valor Comercial (S/.)]]/Tabla2[[#This Row],[Valor de Venta]]-1</f>
        <v>5.0713153724247118E-2</v>
      </c>
    </row>
    <row r="99" spans="1:34" s="1" customFormat="1" ht="15" customHeight="1" x14ac:dyDescent="0.25">
      <c r="A99" s="225" t="s">
        <v>30</v>
      </c>
      <c r="B99" s="22">
        <v>1108</v>
      </c>
      <c r="C99" s="14">
        <v>11</v>
      </c>
      <c r="D99" s="27"/>
      <c r="E99" s="20"/>
      <c r="F99" s="12">
        <f>ROUND(Tabla2[[#This Row],[Área ocupada (m²)]]/20*1.4,2)</f>
        <v>4.5599999999999996</v>
      </c>
      <c r="G99" s="12">
        <v>65.2</v>
      </c>
      <c r="H99" s="12">
        <v>65.2</v>
      </c>
      <c r="I99" s="12">
        <f>ROUND(Tabla2[[#This Row],[Área techada (m²)]]*0.15,2)</f>
        <v>9.7799999999999994</v>
      </c>
      <c r="J99" s="18" t="s">
        <v>33</v>
      </c>
      <c r="K99" s="7">
        <v>205500</v>
      </c>
      <c r="L99" s="240">
        <f>ROUND(Tabla2[[#This Row],[Área ocupada (m²)3]]/20*1.4,2)</f>
        <v>4.5599999999999996</v>
      </c>
      <c r="M99" s="240">
        <f>ROUND(Tabla2[[#This Row],[Área ocupada (m²)]],2)</f>
        <v>65.2</v>
      </c>
      <c r="N99" s="240">
        <f>ROUND(Tabla2[[#This Row],[Área techada (m²)]],2)</f>
        <v>65.2</v>
      </c>
      <c r="O99" s="243">
        <f>ROUND(Tabla2[[#This Row],[Área techada (m²)4]]*0.15,2)</f>
        <v>9.7799999999999994</v>
      </c>
      <c r="P99" s="6">
        <f>ROUND(Tabla2[[#This Row],[Área del terreno (m²)2]]*DATA!$F$4,-2)</f>
        <v>3200</v>
      </c>
      <c r="Q99" s="243">
        <f>+Tabla2[[#This Row],[Valor Comercial (US$)]]-Tabla2[[#This Row],[Valor del terreno (US$)]]</f>
        <v>62000</v>
      </c>
      <c r="R9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99" s="244">
        <f>ROUND(Tabla2[[#This Row],[Valor Comercial (US$)]]*0.8,-2)</f>
        <v>52200</v>
      </c>
      <c r="T99" s="244">
        <f>IF(Informe!$I$6=DATA!$B$4,R99,ROUND(Tabla2[[#This Row],[Área techada (m²)4]]*DATA!$F$5*1.15,-2))</f>
        <v>65200</v>
      </c>
      <c r="U99" s="8">
        <f t="shared" si="1"/>
        <v>3.3479999999999999</v>
      </c>
      <c r="V99" s="244">
        <f>ROUND(Tabla2[[#This Row],[Valor del terreno (US$)]]*Tabla2[[#This Row],[Tipo de Cambio]],-2)</f>
        <v>10700</v>
      </c>
      <c r="W99" s="244">
        <f>Tabla2[[#This Row],[Valor Comercial (S/.)]]-Tabla2[[#This Row],[Valor del terreno (S/.)]]</f>
        <v>207600</v>
      </c>
      <c r="X99" s="244">
        <f>ROUND(Tabla2[[#This Row],[Valor Comercial (US$)]]*Tabla2[[#This Row],[Tipo de Cambio]],-2)</f>
        <v>218300</v>
      </c>
      <c r="Y99" s="244">
        <f>ROUND(Tabla2[[#This Row],[Valor Realización (US$)]]*Tabla2[[#This Row],[Tipo de Cambio]],-2)</f>
        <v>174800</v>
      </c>
      <c r="Z99" s="244">
        <f>+ROUND(Tabla2[[#This Row],[Importe Asegurable (US$)]]*Tabla2[[#This Row],[Tipo de Cambio]],-2)</f>
        <v>218300</v>
      </c>
      <c r="AA99" s="245"/>
      <c r="AB99" s="2">
        <f>+Tabla2[[#This Row],[Valor Comercial (US$)]]/Tabla2[[#This Row],[Área techada (m²)4]]</f>
        <v>1000</v>
      </c>
      <c r="AC9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99" s="1" t="s">
        <v>49</v>
      </c>
      <c r="AE99" s="222">
        <f>IF(Tabla2[[#This Row],[Moneda]]="Soles",Tabla2[[#This Row],[Valor de Venta]]/Tabla2[[#This Row],[Área techada (m²)]]/Tabla2[[#This Row],[Tipo de Cambio]],Tabla2[[#This Row],[Valor de Venta]]/Tabla2[[#This Row],[Área techada (m²)]])</f>
        <v>941.40994348791696</v>
      </c>
      <c r="AF99" s="347">
        <f>VLOOKUP(Tabla2[[#This Row],[VISTA]],DATA!$H$4:$I$17,2,FALSE)</f>
        <v>1000</v>
      </c>
      <c r="AG99" s="221">
        <f>+Tabla2[[#This Row],[Valor Comercial (S/.)]]/Tabla2[[#This Row],[Valor de Venta]]-1</f>
        <v>6.2287104622871015E-2</v>
      </c>
    </row>
    <row r="100" spans="1:34" s="1" customFormat="1" ht="15" customHeight="1" x14ac:dyDescent="0.25">
      <c r="A100" s="225" t="s">
        <v>30</v>
      </c>
      <c r="B100" s="22">
        <v>1201</v>
      </c>
      <c r="C100" s="14">
        <v>12</v>
      </c>
      <c r="D100" s="38"/>
      <c r="E100" s="20"/>
      <c r="F100" s="12">
        <f>ROUND(Tabla2[[#This Row],[Área ocupada (m²)]]/20*1.4,2)</f>
        <v>4.5599999999999996</v>
      </c>
      <c r="G100" s="12">
        <v>65.2</v>
      </c>
      <c r="H100" s="12">
        <v>65.2</v>
      </c>
      <c r="I100" s="12">
        <f>ROUND(Tabla2[[#This Row],[Área techada (m²)]]*0.15,2)</f>
        <v>9.7799999999999994</v>
      </c>
      <c r="J100" s="18" t="s">
        <v>33</v>
      </c>
      <c r="K100" s="7">
        <v>193500</v>
      </c>
      <c r="L100" s="240">
        <f>ROUND(Tabla2[[#This Row],[Área ocupada (m²)3]]/20*1.4,2)</f>
        <v>4.5599999999999996</v>
      </c>
      <c r="M100" s="240">
        <f>ROUND(Tabla2[[#This Row],[Área ocupada (m²)]],2)</f>
        <v>65.2</v>
      </c>
      <c r="N100" s="240">
        <f>ROUND(Tabla2[[#This Row],[Área techada (m²)]],2)</f>
        <v>65.2</v>
      </c>
      <c r="O100" s="243">
        <f>ROUND(Tabla2[[#This Row],[Área techada (m²)4]]*0.15,2)</f>
        <v>9.7799999999999994</v>
      </c>
      <c r="P100" s="6">
        <f>ROUND(Tabla2[[#This Row],[Área del terreno (m²)2]]*DATA!$F$4,-2)</f>
        <v>3200</v>
      </c>
      <c r="Q100" s="243">
        <f>+Tabla2[[#This Row],[Valor Comercial (US$)]]-Tabla2[[#This Row],[Valor del terreno (US$)]]</f>
        <v>58700</v>
      </c>
      <c r="R10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00" s="244">
        <f>ROUND(Tabla2[[#This Row],[Valor Comercial (US$)]]*0.8,-2)</f>
        <v>49500</v>
      </c>
      <c r="T100" s="244">
        <f>IF(Informe!$I$6=DATA!$B$4,R100,ROUND(Tabla2[[#This Row],[Área techada (m²)4]]*DATA!$F$5*1.15,-2))</f>
        <v>61900</v>
      </c>
      <c r="U100" s="8">
        <f t="shared" si="1"/>
        <v>3.3479999999999999</v>
      </c>
      <c r="V100" s="244">
        <f>ROUND(Tabla2[[#This Row],[Valor del terreno (US$)]]*Tabla2[[#This Row],[Tipo de Cambio]],-2)</f>
        <v>10700</v>
      </c>
      <c r="W100" s="244">
        <f>Tabla2[[#This Row],[Valor Comercial (S/.)]]-Tabla2[[#This Row],[Valor del terreno (S/.)]]</f>
        <v>196500</v>
      </c>
      <c r="X100" s="244">
        <f>ROUND(Tabla2[[#This Row],[Valor Comercial (US$)]]*Tabla2[[#This Row],[Tipo de Cambio]],-2)</f>
        <v>207200</v>
      </c>
      <c r="Y100" s="244">
        <f>ROUND(Tabla2[[#This Row],[Valor Realización (US$)]]*Tabla2[[#This Row],[Tipo de Cambio]],-2)</f>
        <v>165700</v>
      </c>
      <c r="Z100" s="244">
        <f>+ROUND(Tabla2[[#This Row],[Importe Asegurable (US$)]]*Tabla2[[#This Row],[Tipo de Cambio]],-2)</f>
        <v>207200</v>
      </c>
      <c r="AA100" s="245"/>
      <c r="AB100" s="2">
        <f>+Tabla2[[#This Row],[Valor Comercial (US$)]]/Tabla2[[#This Row],[Área techada (m²)4]]</f>
        <v>949.38650306748457</v>
      </c>
      <c r="AC10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00" s="1" t="s">
        <v>50</v>
      </c>
      <c r="AE100" s="222">
        <f>IF(Tabla2[[#This Row],[Moneda]]="Soles",Tabla2[[#This Row],[Valor de Venta]]/Tabla2[[#This Row],[Área techada (m²)]]/Tabla2[[#This Row],[Tipo de Cambio]],Tabla2[[#This Row],[Valor de Venta]]/Tabla2[[#This Row],[Área techada (m²)]])</f>
        <v>886.43710007256414</v>
      </c>
      <c r="AF100" s="347">
        <f>VLOOKUP(Tabla2[[#This Row],[VISTA]],DATA!$H$4:$I$17,2,FALSE)</f>
        <v>950</v>
      </c>
      <c r="AG100" s="221">
        <f>+Tabla2[[#This Row],[Valor Comercial (S/.)]]/Tabla2[[#This Row],[Valor de Venta]]-1</f>
        <v>7.0801033591731288E-2</v>
      </c>
    </row>
    <row r="101" spans="1:34" s="1" customFormat="1" ht="15" customHeight="1" x14ac:dyDescent="0.25">
      <c r="A101" s="225" t="s">
        <v>30</v>
      </c>
      <c r="B101" s="22">
        <v>1202</v>
      </c>
      <c r="C101" s="14">
        <v>12</v>
      </c>
      <c r="D101" s="27"/>
      <c r="E101" s="33"/>
      <c r="F101" s="12">
        <f>ROUND(Tabla2[[#This Row],[Área ocupada (m²)]]/20*1.4,2)</f>
        <v>4.38</v>
      </c>
      <c r="G101" s="12">
        <v>62.5</v>
      </c>
      <c r="H101" s="12">
        <v>62.5</v>
      </c>
      <c r="I101" s="12">
        <f>ROUND(Tabla2[[#This Row],[Área techada (m²)]]*0.15,2)</f>
        <v>9.3800000000000008</v>
      </c>
      <c r="J101" s="18" t="s">
        <v>33</v>
      </c>
      <c r="K101" s="7">
        <v>186500</v>
      </c>
      <c r="L101" s="240">
        <f>ROUND(Tabla2[[#This Row],[Área ocupada (m²)3]]/20*1.4,2)</f>
        <v>4.38</v>
      </c>
      <c r="M101" s="240">
        <f>ROUND(Tabla2[[#This Row],[Área ocupada (m²)]],2)</f>
        <v>62.5</v>
      </c>
      <c r="N101" s="240">
        <f>ROUND(Tabla2[[#This Row],[Área techada (m²)]],2)</f>
        <v>62.5</v>
      </c>
      <c r="O101" s="243">
        <f>ROUND(Tabla2[[#This Row],[Área techada (m²)4]]*0.15,2)</f>
        <v>9.3800000000000008</v>
      </c>
      <c r="P101" s="6">
        <f>ROUND(Tabla2[[#This Row],[Área del terreno (m²)2]]*DATA!$F$4,-2)</f>
        <v>3100</v>
      </c>
      <c r="Q101" s="243">
        <f>+Tabla2[[#This Row],[Valor Comercial (US$)]]-Tabla2[[#This Row],[Valor del terreno (US$)]]</f>
        <v>56300</v>
      </c>
      <c r="R10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101" s="244">
        <f>ROUND(Tabla2[[#This Row],[Valor Comercial (US$)]]*0.8,-2)</f>
        <v>47500</v>
      </c>
      <c r="T101" s="244">
        <f>IF(Informe!$I$6=DATA!$B$4,R101,ROUND(Tabla2[[#This Row],[Área techada (m²)4]]*DATA!$F$5*1.15,-2))</f>
        <v>59400</v>
      </c>
      <c r="U101" s="8">
        <f t="shared" si="1"/>
        <v>3.3479999999999999</v>
      </c>
      <c r="V101" s="244">
        <f>ROUND(Tabla2[[#This Row],[Valor del terreno (US$)]]*Tabla2[[#This Row],[Tipo de Cambio]],-2)</f>
        <v>10400</v>
      </c>
      <c r="W101" s="244">
        <f>Tabla2[[#This Row],[Valor Comercial (S/.)]]-Tabla2[[#This Row],[Valor del terreno (S/.)]]</f>
        <v>188500</v>
      </c>
      <c r="X101" s="244">
        <f>ROUND(Tabla2[[#This Row],[Valor Comercial (US$)]]*Tabla2[[#This Row],[Tipo de Cambio]],-2)</f>
        <v>198900</v>
      </c>
      <c r="Y101" s="244">
        <f>ROUND(Tabla2[[#This Row],[Valor Realización (US$)]]*Tabla2[[#This Row],[Tipo de Cambio]],-2)</f>
        <v>159000</v>
      </c>
      <c r="Z101" s="244">
        <f>+ROUND(Tabla2[[#This Row],[Importe Asegurable (US$)]]*Tabla2[[#This Row],[Tipo de Cambio]],-2)</f>
        <v>198900</v>
      </c>
      <c r="AA101" s="245"/>
      <c r="AB101" s="2">
        <f>+Tabla2[[#This Row],[Valor Comercial (US$)]]/Tabla2[[#This Row],[Área techada (m²)4]]</f>
        <v>950.4</v>
      </c>
      <c r="AC10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01" s="1" t="s">
        <v>50</v>
      </c>
      <c r="AE101" s="222">
        <f>IF(Tabla2[[#This Row],[Moneda]]="Soles",Tabla2[[#This Row],[Valor de Venta]]/Tabla2[[#This Row],[Área techada (m²)]]/Tabla2[[#This Row],[Tipo de Cambio]],Tabla2[[#This Row],[Valor de Venta]]/Tabla2[[#This Row],[Área techada (m²)]])</f>
        <v>891.27837514934288</v>
      </c>
      <c r="AF101" s="347">
        <f>VLOOKUP(Tabla2[[#This Row],[VISTA]],DATA!$H$4:$I$17,2,FALSE)</f>
        <v>950</v>
      </c>
      <c r="AG101" s="221">
        <f>+Tabla2[[#This Row],[Valor Comercial (S/.)]]/Tabla2[[#This Row],[Valor de Venta]]-1</f>
        <v>6.6487935656836417E-2</v>
      </c>
    </row>
    <row r="102" spans="1:34" s="1" customFormat="1" ht="15" customHeight="1" x14ac:dyDescent="0.25">
      <c r="A102" s="225" t="s">
        <v>30</v>
      </c>
      <c r="B102" s="22">
        <v>1203</v>
      </c>
      <c r="C102" s="14">
        <v>12</v>
      </c>
      <c r="D102" s="35"/>
      <c r="E102" s="30"/>
      <c r="F102" s="12">
        <f>ROUND(Tabla2[[#This Row],[Área ocupada (m²)]]/20*1.4,2)</f>
        <v>4.38</v>
      </c>
      <c r="G102" s="12">
        <v>62.5</v>
      </c>
      <c r="H102" s="12">
        <v>62.5</v>
      </c>
      <c r="I102" s="12">
        <f>ROUND(Tabla2[[#This Row],[Área techada (m²)]]*0.15,2)</f>
        <v>9.3800000000000008</v>
      </c>
      <c r="J102" s="18" t="s">
        <v>33</v>
      </c>
      <c r="K102" s="7">
        <v>191500</v>
      </c>
      <c r="L102" s="240">
        <f>ROUND(Tabla2[[#This Row],[Área ocupada (m²)3]]/20*1.4,2)</f>
        <v>4.38</v>
      </c>
      <c r="M102" s="240">
        <f>ROUND(Tabla2[[#This Row],[Área ocupada (m²)]],2)</f>
        <v>62.5</v>
      </c>
      <c r="N102" s="240">
        <f>ROUND(Tabla2[[#This Row],[Área techada (m²)]],2)</f>
        <v>62.5</v>
      </c>
      <c r="O102" s="243">
        <f>ROUND(Tabla2[[#This Row],[Área techada (m²)4]]*0.15,2)</f>
        <v>9.3800000000000008</v>
      </c>
      <c r="P102" s="6">
        <f>ROUND(Tabla2[[#This Row],[Área del terreno (m²)2]]*DATA!$F$4,-2)</f>
        <v>3100</v>
      </c>
      <c r="Q102" s="243">
        <f>+Tabla2[[#This Row],[Valor Comercial (US$)]]-Tabla2[[#This Row],[Valor del terreno (US$)]]</f>
        <v>56300</v>
      </c>
      <c r="R10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102" s="244">
        <f>ROUND(Tabla2[[#This Row],[Valor Comercial (US$)]]*0.8,-2)</f>
        <v>47500</v>
      </c>
      <c r="T102" s="244">
        <f>IF(Informe!$I$6=DATA!$B$4,R102,ROUND(Tabla2[[#This Row],[Área techada (m²)4]]*DATA!$F$5*1.15,-2))</f>
        <v>59400</v>
      </c>
      <c r="U102" s="8">
        <f t="shared" si="1"/>
        <v>3.3479999999999999</v>
      </c>
      <c r="V102" s="244">
        <f>ROUND(Tabla2[[#This Row],[Valor del terreno (US$)]]*Tabla2[[#This Row],[Tipo de Cambio]],-2)</f>
        <v>10400</v>
      </c>
      <c r="W102" s="244">
        <f>Tabla2[[#This Row],[Valor Comercial (S/.)]]-Tabla2[[#This Row],[Valor del terreno (S/.)]]</f>
        <v>188500</v>
      </c>
      <c r="X102" s="244">
        <f>ROUND(Tabla2[[#This Row],[Valor Comercial (US$)]]*Tabla2[[#This Row],[Tipo de Cambio]],-2)</f>
        <v>198900</v>
      </c>
      <c r="Y102" s="244">
        <f>ROUND(Tabla2[[#This Row],[Valor Realización (US$)]]*Tabla2[[#This Row],[Tipo de Cambio]],-2)</f>
        <v>159000</v>
      </c>
      <c r="Z102" s="244">
        <f>+ROUND(Tabla2[[#This Row],[Importe Asegurable (US$)]]*Tabla2[[#This Row],[Tipo de Cambio]],-2)</f>
        <v>198900</v>
      </c>
      <c r="AA102" s="245"/>
      <c r="AB102" s="2">
        <f>+Tabla2[[#This Row],[Valor Comercial (US$)]]/Tabla2[[#This Row],[Área techada (m²)4]]</f>
        <v>950.4</v>
      </c>
      <c r="AC10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02" s="1" t="s">
        <v>50</v>
      </c>
      <c r="AE102" s="222">
        <f>IF(Tabla2[[#This Row],[Moneda]]="Soles",Tabla2[[#This Row],[Valor de Venta]]/Tabla2[[#This Row],[Área techada (m²)]]/Tabla2[[#This Row],[Tipo de Cambio]],Tabla2[[#This Row],[Valor de Venta]]/Tabla2[[#This Row],[Área techada (m²)]])</f>
        <v>915.17323775388297</v>
      </c>
      <c r="AF102" s="347">
        <f>VLOOKUP(Tabla2[[#This Row],[VISTA]],DATA!$H$4:$I$17,2,FALSE)</f>
        <v>950</v>
      </c>
      <c r="AG102" s="221">
        <f>+Tabla2[[#This Row],[Valor Comercial (S/.)]]/Tabla2[[#This Row],[Valor de Venta]]-1</f>
        <v>3.8642297650130608E-2</v>
      </c>
    </row>
    <row r="103" spans="1:34" s="1" customFormat="1" ht="15" customHeight="1" x14ac:dyDescent="0.25">
      <c r="A103" s="225" t="s">
        <v>30</v>
      </c>
      <c r="B103" s="22">
        <v>1204</v>
      </c>
      <c r="C103" s="14">
        <v>12</v>
      </c>
      <c r="D103" s="35"/>
      <c r="E103" s="29"/>
      <c r="F103" s="12">
        <f>ROUND(Tabla2[[#This Row],[Área ocupada (m²)]]/20*1.4,2)</f>
        <v>4.5599999999999996</v>
      </c>
      <c r="G103" s="12">
        <v>65.2</v>
      </c>
      <c r="H103" s="12">
        <v>65.2</v>
      </c>
      <c r="I103" s="12">
        <f>ROUND(Tabla2[[#This Row],[Área techada (m²)]]*0.15,2)</f>
        <v>9.7799999999999994</v>
      </c>
      <c r="J103" s="18" t="s">
        <v>33</v>
      </c>
      <c r="K103" s="7">
        <v>207500</v>
      </c>
      <c r="L103" s="240">
        <f>ROUND(Tabla2[[#This Row],[Área ocupada (m²)3]]/20*1.4,2)</f>
        <v>4.5599999999999996</v>
      </c>
      <c r="M103" s="240">
        <f>ROUND(Tabla2[[#This Row],[Área ocupada (m²)]],2)</f>
        <v>65.2</v>
      </c>
      <c r="N103" s="240">
        <f>ROUND(Tabla2[[#This Row],[Área techada (m²)]],2)</f>
        <v>65.2</v>
      </c>
      <c r="O103" s="243">
        <f>ROUND(Tabla2[[#This Row],[Área techada (m²)4]]*0.15,2)</f>
        <v>9.7799999999999994</v>
      </c>
      <c r="P103" s="6">
        <f>ROUND(Tabla2[[#This Row],[Área del terreno (m²)2]]*DATA!$F$4,-2)</f>
        <v>3200</v>
      </c>
      <c r="Q103" s="243">
        <f>+Tabla2[[#This Row],[Valor Comercial (US$)]]-Tabla2[[#This Row],[Valor del terreno (US$)]]</f>
        <v>62000</v>
      </c>
      <c r="R10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103" s="244">
        <f>ROUND(Tabla2[[#This Row],[Valor Comercial (US$)]]*0.8,-2)</f>
        <v>52200</v>
      </c>
      <c r="T103" s="244">
        <f>IF(Informe!$I$6=DATA!$B$4,R103,ROUND(Tabla2[[#This Row],[Área techada (m²)4]]*DATA!$F$5*1.15,-2))</f>
        <v>65200</v>
      </c>
      <c r="U103" s="8">
        <f t="shared" si="1"/>
        <v>3.3479999999999999</v>
      </c>
      <c r="V103" s="244">
        <f>ROUND(Tabla2[[#This Row],[Valor del terreno (US$)]]*Tabla2[[#This Row],[Tipo de Cambio]],-2)</f>
        <v>10700</v>
      </c>
      <c r="W103" s="244">
        <f>Tabla2[[#This Row],[Valor Comercial (S/.)]]-Tabla2[[#This Row],[Valor del terreno (S/.)]]</f>
        <v>207600</v>
      </c>
      <c r="X103" s="244">
        <f>ROUND(Tabla2[[#This Row],[Valor Comercial (US$)]]*Tabla2[[#This Row],[Tipo de Cambio]],-2)</f>
        <v>218300</v>
      </c>
      <c r="Y103" s="244">
        <f>ROUND(Tabla2[[#This Row],[Valor Realización (US$)]]*Tabla2[[#This Row],[Tipo de Cambio]],-2)</f>
        <v>174800</v>
      </c>
      <c r="Z103" s="244">
        <f>+ROUND(Tabla2[[#This Row],[Importe Asegurable (US$)]]*Tabla2[[#This Row],[Tipo de Cambio]],-2)</f>
        <v>218300</v>
      </c>
      <c r="AA103" s="245"/>
      <c r="AB103" s="2">
        <f>+Tabla2[[#This Row],[Valor Comercial (US$)]]/Tabla2[[#This Row],[Área techada (m²)4]]</f>
        <v>1000</v>
      </c>
      <c r="AC10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03" s="1" t="s">
        <v>49</v>
      </c>
      <c r="AE103" s="222">
        <f>IF(Tabla2[[#This Row],[Moneda]]="Soles",Tabla2[[#This Row],[Valor de Venta]]/Tabla2[[#This Row],[Área techada (m²)]]/Tabla2[[#This Row],[Tipo de Cambio]],Tabla2[[#This Row],[Valor de Venta]]/Tabla2[[#This Row],[Área techada (m²)]])</f>
        <v>950.57208405714243</v>
      </c>
      <c r="AF103" s="347">
        <f>VLOOKUP(Tabla2[[#This Row],[VISTA]],DATA!$H$4:$I$17,2,FALSE)</f>
        <v>1000</v>
      </c>
      <c r="AG103" s="221">
        <f>+Tabla2[[#This Row],[Valor Comercial (S/.)]]/Tabla2[[#This Row],[Valor de Venta]]-1</f>
        <v>5.2048192771084301E-2</v>
      </c>
    </row>
    <row r="104" spans="1:34" s="9" customFormat="1" ht="15" customHeight="1" x14ac:dyDescent="0.25">
      <c r="A104" s="226" t="s">
        <v>30</v>
      </c>
      <c r="B104" s="32">
        <v>1205</v>
      </c>
      <c r="C104" s="27">
        <v>12</v>
      </c>
      <c r="D104" s="38"/>
      <c r="E104" s="28"/>
      <c r="F104" s="12">
        <f>ROUND(Tabla2[[#This Row],[Área ocupada (m²)]]/20*1.4,2)</f>
        <v>4.5599999999999996</v>
      </c>
      <c r="G104" s="57">
        <v>65.2</v>
      </c>
      <c r="H104" s="57">
        <v>65.2</v>
      </c>
      <c r="I104" s="12">
        <f>ROUND(Tabla2[[#This Row],[Área techada (m²)]]*0.15,2)</f>
        <v>9.7799999999999994</v>
      </c>
      <c r="J104" s="58" t="s">
        <v>33</v>
      </c>
      <c r="K104" s="59">
        <v>201500</v>
      </c>
      <c r="L104" s="240">
        <f>ROUND(Tabla2[[#This Row],[Área ocupada (m²)3]]/20*1.4,2)</f>
        <v>4.5599999999999996</v>
      </c>
      <c r="M104" s="240">
        <f>ROUND(Tabla2[[#This Row],[Área ocupada (m²)]],2)</f>
        <v>65.2</v>
      </c>
      <c r="N104" s="240">
        <f>ROUND(Tabla2[[#This Row],[Área techada (m²)]],2)</f>
        <v>65.2</v>
      </c>
      <c r="O104" s="243">
        <f>ROUND(Tabla2[[#This Row],[Área techada (m²)4]]*0.15,2)</f>
        <v>9.7799999999999994</v>
      </c>
      <c r="P104" s="6">
        <f>ROUND(Tabla2[[#This Row],[Área del terreno (m²)2]]*DATA!$F$4,-2)</f>
        <v>3200</v>
      </c>
      <c r="Q104" s="243">
        <f>+Tabla2[[#This Row],[Valor Comercial (US$)]]-Tabla2[[#This Row],[Valor del terreno (US$)]]</f>
        <v>58700</v>
      </c>
      <c r="R10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04" s="244">
        <f>ROUND(Tabla2[[#This Row],[Valor Comercial (US$)]]*0.8,-2)</f>
        <v>49500</v>
      </c>
      <c r="T104" s="244">
        <f>IF(Informe!$I$6=DATA!$B$4,R104,ROUND(Tabla2[[#This Row],[Área techada (m²)4]]*DATA!$F$5*1.15,-2))</f>
        <v>61900</v>
      </c>
      <c r="U104" s="8">
        <f t="shared" si="1"/>
        <v>3.3479999999999999</v>
      </c>
      <c r="V104" s="244">
        <f>ROUND(Tabla2[[#This Row],[Valor del terreno (US$)]]*Tabla2[[#This Row],[Tipo de Cambio]],-2)</f>
        <v>10700</v>
      </c>
      <c r="W104" s="244">
        <f>Tabla2[[#This Row],[Valor Comercial (S/.)]]-Tabla2[[#This Row],[Valor del terreno (S/.)]]</f>
        <v>196500</v>
      </c>
      <c r="X104" s="244">
        <f>ROUND(Tabla2[[#This Row],[Valor Comercial (US$)]]*Tabla2[[#This Row],[Tipo de Cambio]],-2)</f>
        <v>207200</v>
      </c>
      <c r="Y104" s="244">
        <f>ROUND(Tabla2[[#This Row],[Valor Realización (US$)]]*Tabla2[[#This Row],[Tipo de Cambio]],-2)</f>
        <v>165700</v>
      </c>
      <c r="Z104" s="244">
        <f>+ROUND(Tabla2[[#This Row],[Importe Asegurable (US$)]]*Tabla2[[#This Row],[Tipo de Cambio]],-2)</f>
        <v>207200</v>
      </c>
      <c r="AA104" s="245"/>
      <c r="AB104" s="2">
        <f>+Tabla2[[#This Row],[Valor Comercial (US$)]]/Tabla2[[#This Row],[Área techada (m²)4]]</f>
        <v>949.38650306748457</v>
      </c>
      <c r="AC10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04" s="1" t="s">
        <v>50</v>
      </c>
      <c r="AE104" s="222">
        <f>IF(Tabla2[[#This Row],[Moneda]]="Soles",Tabla2[[#This Row],[Valor de Venta]]/Tabla2[[#This Row],[Área techada (m²)]]/Tabla2[[#This Row],[Tipo de Cambio]],Tabla2[[#This Row],[Valor de Venta]]/Tabla2[[#This Row],[Área techada (m²)]])</f>
        <v>923.08566234946613</v>
      </c>
      <c r="AF104" s="347">
        <f>VLOOKUP(Tabla2[[#This Row],[VISTA]],DATA!$H$4:$I$17,2,FALSE)</f>
        <v>950</v>
      </c>
      <c r="AG104" s="221">
        <f>+Tabla2[[#This Row],[Valor Comercial (S/.)]]/Tabla2[[#This Row],[Valor de Venta]]-1</f>
        <v>2.8287841191066976E-2</v>
      </c>
    </row>
    <row r="105" spans="1:34" s="1" customFormat="1" ht="15" customHeight="1" x14ac:dyDescent="0.25">
      <c r="A105" s="225" t="s">
        <v>30</v>
      </c>
      <c r="B105" s="22">
        <v>1206</v>
      </c>
      <c r="C105" s="14">
        <v>12</v>
      </c>
      <c r="D105" s="27"/>
      <c r="E105" s="28"/>
      <c r="F105" s="12">
        <f>ROUND(Tabla2[[#This Row],[Área ocupada (m²)]]/20*1.4,2)</f>
        <v>4.38</v>
      </c>
      <c r="G105" s="12">
        <v>62.5</v>
      </c>
      <c r="H105" s="12">
        <v>62.5</v>
      </c>
      <c r="I105" s="12">
        <f>ROUND(Tabla2[[#This Row],[Área techada (m²)]]*0.15,2)</f>
        <v>9.3800000000000008</v>
      </c>
      <c r="J105" s="18" t="s">
        <v>33</v>
      </c>
      <c r="K105" s="7">
        <v>194500</v>
      </c>
      <c r="L105" s="240">
        <f>ROUND(Tabla2[[#This Row],[Área ocupada (m²)3]]/20*1.4,2)</f>
        <v>4.38</v>
      </c>
      <c r="M105" s="240">
        <f>ROUND(Tabla2[[#This Row],[Área ocupada (m²)]],2)</f>
        <v>62.5</v>
      </c>
      <c r="N105" s="240">
        <f>ROUND(Tabla2[[#This Row],[Área techada (m²)]],2)</f>
        <v>62.5</v>
      </c>
      <c r="O105" s="243">
        <f>ROUND(Tabla2[[#This Row],[Área techada (m²)4]]*0.15,2)</f>
        <v>9.3800000000000008</v>
      </c>
      <c r="P105" s="6">
        <f>ROUND(Tabla2[[#This Row],[Área del terreno (m²)2]]*DATA!$F$4,-2)</f>
        <v>3100</v>
      </c>
      <c r="Q105" s="243">
        <f>+Tabla2[[#This Row],[Valor Comercial (US$)]]-Tabla2[[#This Row],[Valor del terreno (US$)]]</f>
        <v>59400</v>
      </c>
      <c r="R10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62500</v>
      </c>
      <c r="S105" s="244">
        <f>ROUND(Tabla2[[#This Row],[Valor Comercial (US$)]]*0.8,-2)</f>
        <v>50000</v>
      </c>
      <c r="T105" s="244">
        <f>IF(Informe!$I$6=DATA!$B$4,R105,ROUND(Tabla2[[#This Row],[Área techada (m²)4]]*DATA!$F$5*1.15,-2))</f>
        <v>62500</v>
      </c>
      <c r="U105" s="8">
        <f t="shared" si="1"/>
        <v>3.3479999999999999</v>
      </c>
      <c r="V105" s="244">
        <f>ROUND(Tabla2[[#This Row],[Valor del terreno (US$)]]*Tabla2[[#This Row],[Tipo de Cambio]],-2)</f>
        <v>10400</v>
      </c>
      <c r="W105" s="244">
        <f>Tabla2[[#This Row],[Valor Comercial (S/.)]]-Tabla2[[#This Row],[Valor del terreno (S/.)]]</f>
        <v>198900</v>
      </c>
      <c r="X105" s="244">
        <f>ROUND(Tabla2[[#This Row],[Valor Comercial (US$)]]*Tabla2[[#This Row],[Tipo de Cambio]],-2)</f>
        <v>209300</v>
      </c>
      <c r="Y105" s="244">
        <f>ROUND(Tabla2[[#This Row],[Valor Realización (US$)]]*Tabla2[[#This Row],[Tipo de Cambio]],-2)</f>
        <v>167400</v>
      </c>
      <c r="Z105" s="244">
        <f>+ROUND(Tabla2[[#This Row],[Importe Asegurable (US$)]]*Tabla2[[#This Row],[Tipo de Cambio]],-2)</f>
        <v>209300</v>
      </c>
      <c r="AA105" s="245"/>
      <c r="AB105" s="2">
        <f>+Tabla2[[#This Row],[Valor Comercial (US$)]]/Tabla2[[#This Row],[Área techada (m²)4]]</f>
        <v>1000</v>
      </c>
      <c r="AC10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05" s="1" t="s">
        <v>49</v>
      </c>
      <c r="AE105" s="222">
        <f>IF(Tabla2[[#This Row],[Moneda]]="Soles",Tabla2[[#This Row],[Valor de Venta]]/Tabla2[[#This Row],[Área techada (m²)]]/Tabla2[[#This Row],[Tipo de Cambio]],Tabla2[[#This Row],[Valor de Venta]]/Tabla2[[#This Row],[Área techada (m²)]])</f>
        <v>929.51015531660698</v>
      </c>
      <c r="AF105" s="347">
        <f>VLOOKUP(Tabla2[[#This Row],[VISTA]],DATA!$H$4:$I$17,2,FALSE)</f>
        <v>1000</v>
      </c>
      <c r="AG105" s="221">
        <f>+Tabla2[[#This Row],[Valor Comercial (S/.)]]/Tabla2[[#This Row],[Valor de Venta]]-1</f>
        <v>7.6092544987146571E-2</v>
      </c>
    </row>
    <row r="106" spans="1:34" s="1" customFormat="1" ht="15" customHeight="1" x14ac:dyDescent="0.25">
      <c r="A106" s="225" t="s">
        <v>30</v>
      </c>
      <c r="B106" s="22">
        <v>1207</v>
      </c>
      <c r="C106" s="14">
        <v>12</v>
      </c>
      <c r="D106" s="27"/>
      <c r="E106" s="28"/>
      <c r="F106" s="12">
        <f>ROUND(Tabla2[[#This Row],[Área ocupada (m²)]]/20*1.4,2)</f>
        <v>4.38</v>
      </c>
      <c r="G106" s="12">
        <v>62.5</v>
      </c>
      <c r="H106" s="12">
        <v>62.5</v>
      </c>
      <c r="I106" s="12">
        <f>ROUND(Tabla2[[#This Row],[Área techada (m²)]]*0.15,2)</f>
        <v>9.3800000000000008</v>
      </c>
      <c r="J106" s="18" t="s">
        <v>33</v>
      </c>
      <c r="K106" s="7">
        <v>182500</v>
      </c>
      <c r="L106" s="240">
        <f>ROUND(Tabla2[[#This Row],[Área ocupada (m²)3]]/20*1.4,2)</f>
        <v>4.38</v>
      </c>
      <c r="M106" s="240">
        <f>ROUND(Tabla2[[#This Row],[Área ocupada (m²)]],2)</f>
        <v>62.5</v>
      </c>
      <c r="N106" s="240">
        <f>ROUND(Tabla2[[#This Row],[Área techada (m²)]],2)</f>
        <v>62.5</v>
      </c>
      <c r="O106" s="243">
        <f>ROUND(Tabla2[[#This Row],[Área techada (m²)4]]*0.15,2)</f>
        <v>9.3800000000000008</v>
      </c>
      <c r="P106" s="6">
        <f>ROUND(Tabla2[[#This Row],[Área del terreno (m²)2]]*DATA!$F$4,-2)</f>
        <v>3100</v>
      </c>
      <c r="Q106" s="243">
        <f>+Tabla2[[#This Row],[Valor Comercial (US$)]]-Tabla2[[#This Row],[Valor del terreno (US$)]]</f>
        <v>53200</v>
      </c>
      <c r="R10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06" s="244">
        <f>ROUND(Tabla2[[#This Row],[Valor Comercial (US$)]]*0.8,-2)</f>
        <v>45000</v>
      </c>
      <c r="T106" s="244">
        <f>IF(Informe!$I$6=DATA!$B$4,R106,ROUND(Tabla2[[#This Row],[Área techada (m²)4]]*DATA!$F$5*1.15,-2))</f>
        <v>56300</v>
      </c>
      <c r="U106" s="8">
        <f t="shared" si="1"/>
        <v>3.3479999999999999</v>
      </c>
      <c r="V106" s="244">
        <f>ROUND(Tabla2[[#This Row],[Valor del terreno (US$)]]*Tabla2[[#This Row],[Tipo de Cambio]],-2)</f>
        <v>10400</v>
      </c>
      <c r="W106" s="244">
        <f>Tabla2[[#This Row],[Valor Comercial (S/.)]]-Tabla2[[#This Row],[Valor del terreno (S/.)]]</f>
        <v>178100</v>
      </c>
      <c r="X106" s="244">
        <f>ROUND(Tabla2[[#This Row],[Valor Comercial (US$)]]*Tabla2[[#This Row],[Tipo de Cambio]],-2)</f>
        <v>188500</v>
      </c>
      <c r="Y106" s="244">
        <f>ROUND(Tabla2[[#This Row],[Valor Realización (US$)]]*Tabla2[[#This Row],[Tipo de Cambio]],-2)</f>
        <v>150700</v>
      </c>
      <c r="Z106" s="244">
        <f>+ROUND(Tabla2[[#This Row],[Importe Asegurable (US$)]]*Tabla2[[#This Row],[Tipo de Cambio]],-2)</f>
        <v>188500</v>
      </c>
      <c r="AA106" s="245"/>
      <c r="AB106" s="2">
        <f>+Tabla2[[#This Row],[Valor Comercial (US$)]]/Tabla2[[#This Row],[Área techada (m²)4]]</f>
        <v>900.8</v>
      </c>
      <c r="AC10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06" s="1" t="s">
        <v>51</v>
      </c>
      <c r="AE106" s="222">
        <f>IF(Tabla2[[#This Row],[Moneda]]="Soles",Tabla2[[#This Row],[Valor de Venta]]/Tabla2[[#This Row],[Área techada (m²)]]/Tabla2[[#This Row],[Tipo de Cambio]],Tabla2[[#This Row],[Valor de Venta]]/Tabla2[[#This Row],[Área techada (m²)]])</f>
        <v>872.16248506571094</v>
      </c>
      <c r="AF106" s="347">
        <f>VLOOKUP(Tabla2[[#This Row],[VISTA]],DATA!$H$4:$I$17,2,FALSE)</f>
        <v>900</v>
      </c>
      <c r="AG106" s="221">
        <f>+Tabla2[[#This Row],[Valor Comercial (S/.)]]/Tabla2[[#This Row],[Valor de Venta]]-1</f>
        <v>3.287671232876721E-2</v>
      </c>
    </row>
    <row r="107" spans="1:34" s="1" customFormat="1" ht="15" customHeight="1" x14ac:dyDescent="0.25">
      <c r="A107" s="225" t="s">
        <v>30</v>
      </c>
      <c r="B107" s="22">
        <v>1208</v>
      </c>
      <c r="C107" s="14">
        <v>12</v>
      </c>
      <c r="D107" s="35"/>
      <c r="E107" s="29"/>
      <c r="F107" s="12">
        <f>ROUND(Tabla2[[#This Row],[Área ocupada (m²)]]/20*1.4,2)</f>
        <v>4.5599999999999996</v>
      </c>
      <c r="G107" s="12">
        <v>65.2</v>
      </c>
      <c r="H107" s="12">
        <v>65.2</v>
      </c>
      <c r="I107" s="12">
        <f>ROUND(Tabla2[[#This Row],[Área techada (m²)]]*0.15,2)</f>
        <v>9.7799999999999994</v>
      </c>
      <c r="J107" s="18" t="s">
        <v>33</v>
      </c>
      <c r="K107" s="7">
        <v>198500</v>
      </c>
      <c r="L107" s="240">
        <f>ROUND(Tabla2[[#This Row],[Área ocupada (m²)3]]/20*1.4,2)</f>
        <v>4.5599999999999996</v>
      </c>
      <c r="M107" s="240">
        <f>ROUND(Tabla2[[#This Row],[Área ocupada (m²)]],2)</f>
        <v>65.2</v>
      </c>
      <c r="N107" s="240">
        <f>ROUND(Tabla2[[#This Row],[Área techada (m²)]],2)</f>
        <v>65.2</v>
      </c>
      <c r="O107" s="243">
        <f>ROUND(Tabla2[[#This Row],[Área techada (m²)4]]*0.15,2)</f>
        <v>9.7799999999999994</v>
      </c>
      <c r="P107" s="6">
        <f>ROUND(Tabla2[[#This Row],[Área del terreno (m²)2]]*DATA!$F$4,-2)</f>
        <v>3200</v>
      </c>
      <c r="Q107" s="243">
        <f>+Tabla2[[#This Row],[Valor Comercial (US$)]]-Tabla2[[#This Row],[Valor del terreno (US$)]]</f>
        <v>58700</v>
      </c>
      <c r="R10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07" s="244">
        <f>ROUND(Tabla2[[#This Row],[Valor Comercial (US$)]]*0.8,-2)</f>
        <v>49500</v>
      </c>
      <c r="T107" s="244">
        <f>IF(Informe!$I$6=DATA!$B$4,R107,ROUND(Tabla2[[#This Row],[Área techada (m²)4]]*DATA!$F$5*1.15,-2))</f>
        <v>61900</v>
      </c>
      <c r="U107" s="8">
        <f t="shared" si="1"/>
        <v>3.3479999999999999</v>
      </c>
      <c r="V107" s="244">
        <f>ROUND(Tabla2[[#This Row],[Valor del terreno (US$)]]*Tabla2[[#This Row],[Tipo de Cambio]],-2)</f>
        <v>10700</v>
      </c>
      <c r="W107" s="244">
        <f>Tabla2[[#This Row],[Valor Comercial (S/.)]]-Tabla2[[#This Row],[Valor del terreno (S/.)]]</f>
        <v>196500</v>
      </c>
      <c r="X107" s="244">
        <f>ROUND(Tabla2[[#This Row],[Valor Comercial (US$)]]*Tabla2[[#This Row],[Tipo de Cambio]],-2)</f>
        <v>207200</v>
      </c>
      <c r="Y107" s="244">
        <f>ROUND(Tabla2[[#This Row],[Valor Realización (US$)]]*Tabla2[[#This Row],[Tipo de Cambio]],-2)</f>
        <v>165700</v>
      </c>
      <c r="Z107" s="244">
        <f>+ROUND(Tabla2[[#This Row],[Importe Asegurable (US$)]]*Tabla2[[#This Row],[Tipo de Cambio]],-2)</f>
        <v>207200</v>
      </c>
      <c r="AA107" s="245"/>
      <c r="AB107" s="2">
        <f>+Tabla2[[#This Row],[Valor Comercial (US$)]]/Tabla2[[#This Row],[Área techada (m²)4]]</f>
        <v>949.38650306748457</v>
      </c>
      <c r="AC10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07" s="1" t="s">
        <v>50</v>
      </c>
      <c r="AE107" s="222">
        <f>IF(Tabla2[[#This Row],[Moneda]]="Soles",Tabla2[[#This Row],[Valor de Venta]]/Tabla2[[#This Row],[Área techada (m²)]]/Tabla2[[#This Row],[Tipo de Cambio]],Tabla2[[#This Row],[Valor de Venta]]/Tabla2[[#This Row],[Área techada (m²)]])</f>
        <v>909.34245149562776</v>
      </c>
      <c r="AF107" s="347">
        <f>VLOOKUP(Tabla2[[#This Row],[VISTA]],DATA!$H$4:$I$17,2,FALSE)</f>
        <v>950</v>
      </c>
      <c r="AG107" s="221">
        <f>+Tabla2[[#This Row],[Valor Comercial (S/.)]]/Tabla2[[#This Row],[Valor de Venta]]-1</f>
        <v>4.3828715365239246E-2</v>
      </c>
    </row>
    <row r="108" spans="1:34" s="1" customFormat="1" ht="15" customHeight="1" x14ac:dyDescent="0.25">
      <c r="A108" s="225" t="s">
        <v>30</v>
      </c>
      <c r="B108" s="22">
        <v>1301</v>
      </c>
      <c r="C108" s="14">
        <v>13</v>
      </c>
      <c r="D108" s="35"/>
      <c r="E108" s="30"/>
      <c r="F108" s="12">
        <f>ROUND(Tabla2[[#This Row],[Área ocupada (m²)]]/20*1.4,2)</f>
        <v>4.5599999999999996</v>
      </c>
      <c r="G108" s="12">
        <v>65.2</v>
      </c>
      <c r="H108" s="12">
        <v>65.2</v>
      </c>
      <c r="I108" s="12">
        <f>ROUND(Tabla2[[#This Row],[Área techada (m²)]]*0.15,2)</f>
        <v>9.7799999999999994</v>
      </c>
      <c r="J108" s="18" t="s">
        <v>33</v>
      </c>
      <c r="K108" s="7">
        <v>194600</v>
      </c>
      <c r="L108" s="240">
        <f>ROUND(Tabla2[[#This Row],[Área ocupada (m²)3]]/20*1.4,2)</f>
        <v>4.5599999999999996</v>
      </c>
      <c r="M108" s="240">
        <f>ROUND(Tabla2[[#This Row],[Área ocupada (m²)]],2)</f>
        <v>65.2</v>
      </c>
      <c r="N108" s="240">
        <f>ROUND(Tabla2[[#This Row],[Área techada (m²)]],2)</f>
        <v>65.2</v>
      </c>
      <c r="O108" s="243">
        <f>ROUND(Tabla2[[#This Row],[Área techada (m²)4]]*0.15,2)</f>
        <v>9.7799999999999994</v>
      </c>
      <c r="P108" s="6">
        <f>ROUND(Tabla2[[#This Row],[Área del terreno (m²)2]]*DATA!$F$4,-2)</f>
        <v>3200</v>
      </c>
      <c r="Q108" s="243">
        <f>+Tabla2[[#This Row],[Valor Comercial (US$)]]-Tabla2[[#This Row],[Valor del terreno (US$)]]</f>
        <v>58700</v>
      </c>
      <c r="R10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08" s="244">
        <f>ROUND(Tabla2[[#This Row],[Valor Comercial (US$)]]*0.8,-2)</f>
        <v>49500</v>
      </c>
      <c r="T108" s="244">
        <f>IF(Informe!$I$6=DATA!$B$4,R108,ROUND(Tabla2[[#This Row],[Área techada (m²)4]]*DATA!$F$5*1.15,-2))</f>
        <v>61900</v>
      </c>
      <c r="U108" s="8">
        <f t="shared" si="1"/>
        <v>3.3479999999999999</v>
      </c>
      <c r="V108" s="244">
        <f>ROUND(Tabla2[[#This Row],[Valor del terreno (US$)]]*Tabla2[[#This Row],[Tipo de Cambio]],-2)</f>
        <v>10700</v>
      </c>
      <c r="W108" s="244">
        <f>Tabla2[[#This Row],[Valor Comercial (S/.)]]-Tabla2[[#This Row],[Valor del terreno (S/.)]]</f>
        <v>196500</v>
      </c>
      <c r="X108" s="244">
        <f>ROUND(Tabla2[[#This Row],[Valor Comercial (US$)]]*Tabla2[[#This Row],[Tipo de Cambio]],-2)</f>
        <v>207200</v>
      </c>
      <c r="Y108" s="244">
        <f>ROUND(Tabla2[[#This Row],[Valor Realización (US$)]]*Tabla2[[#This Row],[Tipo de Cambio]],-2)</f>
        <v>165700</v>
      </c>
      <c r="Z108" s="244">
        <f>+ROUND(Tabla2[[#This Row],[Importe Asegurable (US$)]]*Tabla2[[#This Row],[Tipo de Cambio]],-2)</f>
        <v>207200</v>
      </c>
      <c r="AA108" s="245"/>
      <c r="AB108" s="2">
        <f>+Tabla2[[#This Row],[Valor Comercial (US$)]]/Tabla2[[#This Row],[Área techada (m²)4]]</f>
        <v>949.38650306748457</v>
      </c>
      <c r="AC10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08" s="1" t="s">
        <v>50</v>
      </c>
      <c r="AE108" s="222">
        <f>IF(Tabla2[[#This Row],[Moneda]]="Soles",Tabla2[[#This Row],[Valor de Venta]]/Tabla2[[#This Row],[Área techada (m²)]]/Tabla2[[#This Row],[Tipo de Cambio]],Tabla2[[#This Row],[Valor de Venta]]/Tabla2[[#This Row],[Área techada (m²)]])</f>
        <v>891.47627738563824</v>
      </c>
      <c r="AF108" s="347">
        <f>VLOOKUP(Tabla2[[#This Row],[VISTA]],DATA!$H$4:$I$17,2,FALSE)</f>
        <v>950</v>
      </c>
      <c r="AG108" s="221">
        <f>+Tabla2[[#This Row],[Valor Comercial (S/.)]]/Tabla2[[#This Row],[Valor de Venta]]-1</f>
        <v>6.4748201438848962E-2</v>
      </c>
    </row>
    <row r="109" spans="1:34" s="1" customFormat="1" ht="15" customHeight="1" x14ac:dyDescent="0.25">
      <c r="A109" s="225" t="s">
        <v>30</v>
      </c>
      <c r="B109" s="22">
        <v>1302</v>
      </c>
      <c r="C109" s="14">
        <v>13</v>
      </c>
      <c r="D109" s="27"/>
      <c r="E109" s="30"/>
      <c r="F109" s="12">
        <f>ROUND(Tabla2[[#This Row],[Área ocupada (m²)]]/20*1.4,2)</f>
        <v>4.38</v>
      </c>
      <c r="G109" s="12">
        <v>62.5</v>
      </c>
      <c r="H109" s="12">
        <v>62.5</v>
      </c>
      <c r="I109" s="12">
        <f>ROUND(Tabla2[[#This Row],[Área techada (m²)]]*0.15,2)</f>
        <v>9.3800000000000008</v>
      </c>
      <c r="J109" s="18" t="s">
        <v>33</v>
      </c>
      <c r="K109" s="7">
        <v>184600</v>
      </c>
      <c r="L109" s="240">
        <f>ROUND(Tabla2[[#This Row],[Área ocupada (m²)3]]/20*1.4,2)</f>
        <v>4.38</v>
      </c>
      <c r="M109" s="240">
        <f>ROUND(Tabla2[[#This Row],[Área ocupada (m²)]],2)</f>
        <v>62.5</v>
      </c>
      <c r="N109" s="240">
        <f>ROUND(Tabla2[[#This Row],[Área techada (m²)]],2)</f>
        <v>62.5</v>
      </c>
      <c r="O109" s="243">
        <f>ROUND(Tabla2[[#This Row],[Área techada (m²)4]]*0.15,2)</f>
        <v>9.3800000000000008</v>
      </c>
      <c r="P109" s="6">
        <f>ROUND(Tabla2[[#This Row],[Área del terreno (m²)2]]*DATA!$F$4,-2)</f>
        <v>3100</v>
      </c>
      <c r="Q109" s="243">
        <f>+Tabla2[[#This Row],[Valor Comercial (US$)]]-Tabla2[[#This Row],[Valor del terreno (US$)]]</f>
        <v>56300</v>
      </c>
      <c r="R10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109" s="244">
        <f>ROUND(Tabla2[[#This Row],[Valor Comercial (US$)]]*0.8,-2)</f>
        <v>47500</v>
      </c>
      <c r="T109" s="244">
        <f>IF(Informe!$I$6=DATA!$B$4,R109,ROUND(Tabla2[[#This Row],[Área techada (m²)4]]*DATA!$F$5*1.15,-2))</f>
        <v>59400</v>
      </c>
      <c r="U109" s="8">
        <f t="shared" si="1"/>
        <v>3.3479999999999999</v>
      </c>
      <c r="V109" s="244">
        <f>ROUND(Tabla2[[#This Row],[Valor del terreno (US$)]]*Tabla2[[#This Row],[Tipo de Cambio]],-2)</f>
        <v>10400</v>
      </c>
      <c r="W109" s="244">
        <f>Tabla2[[#This Row],[Valor Comercial (S/.)]]-Tabla2[[#This Row],[Valor del terreno (S/.)]]</f>
        <v>188500</v>
      </c>
      <c r="X109" s="244">
        <f>ROUND(Tabla2[[#This Row],[Valor Comercial (US$)]]*Tabla2[[#This Row],[Tipo de Cambio]],-2)</f>
        <v>198900</v>
      </c>
      <c r="Y109" s="244">
        <f>ROUND(Tabla2[[#This Row],[Valor Realización (US$)]]*Tabla2[[#This Row],[Tipo de Cambio]],-2)</f>
        <v>159000</v>
      </c>
      <c r="Z109" s="244">
        <f>+ROUND(Tabla2[[#This Row],[Importe Asegurable (US$)]]*Tabla2[[#This Row],[Tipo de Cambio]],-2)</f>
        <v>198900</v>
      </c>
      <c r="AA109" s="245"/>
      <c r="AB109" s="2">
        <f>+Tabla2[[#This Row],[Valor Comercial (US$)]]/Tabla2[[#This Row],[Área techada (m²)4]]</f>
        <v>950.4</v>
      </c>
      <c r="AC10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09" s="1" t="s">
        <v>50</v>
      </c>
      <c r="AE109" s="222">
        <f>IF(Tabla2[[#This Row],[Moneda]]="Soles",Tabla2[[#This Row],[Valor de Venta]]/Tabla2[[#This Row],[Área techada (m²)]]/Tabla2[[#This Row],[Tipo de Cambio]],Tabla2[[#This Row],[Valor de Venta]]/Tabla2[[#This Row],[Área techada (m²)]])</f>
        <v>882.19832735961768</v>
      </c>
      <c r="AF109" s="347">
        <f>VLOOKUP(Tabla2[[#This Row],[VISTA]],DATA!$H$4:$I$17,2,FALSE)</f>
        <v>950</v>
      </c>
      <c r="AG109" s="221">
        <f>+Tabla2[[#This Row],[Valor Comercial (S/.)]]/Tabla2[[#This Row],[Valor de Venta]]-1</f>
        <v>7.7464788732394263E-2</v>
      </c>
    </row>
    <row r="110" spans="1:34" s="1" customFormat="1" ht="15" customHeight="1" x14ac:dyDescent="0.25">
      <c r="A110" s="225" t="s">
        <v>30</v>
      </c>
      <c r="B110" s="22">
        <v>1303</v>
      </c>
      <c r="C110" s="14">
        <v>13</v>
      </c>
      <c r="D110" s="27"/>
      <c r="E110" s="30"/>
      <c r="F110" s="12">
        <f>ROUND(Tabla2[[#This Row],[Área ocupada (m²)]]/20*1.4,2)</f>
        <v>4.38</v>
      </c>
      <c r="G110" s="12">
        <v>62.5</v>
      </c>
      <c r="H110" s="12">
        <v>62.5</v>
      </c>
      <c r="I110" s="12">
        <f>ROUND(Tabla2[[#This Row],[Área techada (m²)]]*0.15,2)</f>
        <v>9.3800000000000008</v>
      </c>
      <c r="J110" s="18" t="s">
        <v>33</v>
      </c>
      <c r="K110" s="7">
        <v>189600</v>
      </c>
      <c r="L110" s="240">
        <f>ROUND(Tabla2[[#This Row],[Área ocupada (m²)3]]/20*1.4,2)</f>
        <v>4.38</v>
      </c>
      <c r="M110" s="240">
        <f>ROUND(Tabla2[[#This Row],[Área ocupada (m²)]],2)</f>
        <v>62.5</v>
      </c>
      <c r="N110" s="240">
        <f>ROUND(Tabla2[[#This Row],[Área techada (m²)]],2)</f>
        <v>62.5</v>
      </c>
      <c r="O110" s="243">
        <f>ROUND(Tabla2[[#This Row],[Área techada (m²)4]]*0.15,2)</f>
        <v>9.3800000000000008</v>
      </c>
      <c r="P110" s="6">
        <f>ROUND(Tabla2[[#This Row],[Área del terreno (m²)2]]*DATA!$F$4,-2)</f>
        <v>3100</v>
      </c>
      <c r="Q110" s="243">
        <f>+Tabla2[[#This Row],[Valor Comercial (US$)]]-Tabla2[[#This Row],[Valor del terreno (US$)]]</f>
        <v>56300</v>
      </c>
      <c r="R11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110" s="244">
        <f>ROUND(Tabla2[[#This Row],[Valor Comercial (US$)]]*0.8,-2)</f>
        <v>47500</v>
      </c>
      <c r="T110" s="244">
        <f>IF(Informe!$I$6=DATA!$B$4,R110,ROUND(Tabla2[[#This Row],[Área techada (m²)4]]*DATA!$F$5*1.15,-2))</f>
        <v>59400</v>
      </c>
      <c r="U110" s="8">
        <f t="shared" si="1"/>
        <v>3.3479999999999999</v>
      </c>
      <c r="V110" s="244">
        <f>ROUND(Tabla2[[#This Row],[Valor del terreno (US$)]]*Tabla2[[#This Row],[Tipo de Cambio]],-2)</f>
        <v>10400</v>
      </c>
      <c r="W110" s="244">
        <f>Tabla2[[#This Row],[Valor Comercial (S/.)]]-Tabla2[[#This Row],[Valor del terreno (S/.)]]</f>
        <v>188500</v>
      </c>
      <c r="X110" s="244">
        <f>ROUND(Tabla2[[#This Row],[Valor Comercial (US$)]]*Tabla2[[#This Row],[Tipo de Cambio]],-2)</f>
        <v>198900</v>
      </c>
      <c r="Y110" s="244">
        <f>ROUND(Tabla2[[#This Row],[Valor Realización (US$)]]*Tabla2[[#This Row],[Tipo de Cambio]],-2)</f>
        <v>159000</v>
      </c>
      <c r="Z110" s="244">
        <f>+ROUND(Tabla2[[#This Row],[Importe Asegurable (US$)]]*Tabla2[[#This Row],[Tipo de Cambio]],-2)</f>
        <v>198900</v>
      </c>
      <c r="AA110" s="245"/>
      <c r="AB110" s="2">
        <f>+Tabla2[[#This Row],[Valor Comercial (US$)]]/Tabla2[[#This Row],[Área techada (m²)4]]</f>
        <v>950.4</v>
      </c>
      <c r="AC11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10" s="1" t="s">
        <v>50</v>
      </c>
      <c r="AE110" s="222">
        <f>IF(Tabla2[[#This Row],[Moneda]]="Soles",Tabla2[[#This Row],[Valor de Venta]]/Tabla2[[#This Row],[Área techada (m²)]]/Tabla2[[#This Row],[Tipo de Cambio]],Tabla2[[#This Row],[Valor de Venta]]/Tabla2[[#This Row],[Área techada (m²)]])</f>
        <v>906.09318996415766</v>
      </c>
      <c r="AF110" s="347">
        <f>VLOOKUP(Tabla2[[#This Row],[VISTA]],DATA!$H$4:$I$17,2,FALSE)</f>
        <v>950</v>
      </c>
      <c r="AG110" s="221">
        <f>+Tabla2[[#This Row],[Valor Comercial (S/.)]]/Tabla2[[#This Row],[Valor de Venta]]-1</f>
        <v>4.9050632911392444E-2</v>
      </c>
    </row>
    <row r="111" spans="1:34" s="1" customFormat="1" ht="12.75" x14ac:dyDescent="0.25">
      <c r="A111" s="225" t="s">
        <v>30</v>
      </c>
      <c r="B111" s="22">
        <v>1304</v>
      </c>
      <c r="C111" s="14">
        <v>13</v>
      </c>
      <c r="D111" s="27"/>
      <c r="E111" s="20"/>
      <c r="F111" s="12">
        <f>ROUND(Tabla2[[#This Row],[Área ocupada (m²)]]/20*1.4,2)</f>
        <v>4.5599999999999996</v>
      </c>
      <c r="G111" s="12">
        <v>65.2</v>
      </c>
      <c r="H111" s="12">
        <v>65.2</v>
      </c>
      <c r="I111" s="12">
        <f>ROUND(Tabla2[[#This Row],[Área techada (m²)]]*0.15,2)</f>
        <v>9.7799999999999994</v>
      </c>
      <c r="J111" s="18" t="s">
        <v>33</v>
      </c>
      <c r="K111" s="7">
        <v>200600</v>
      </c>
      <c r="L111" s="240">
        <f>ROUND(Tabla2[[#This Row],[Área ocupada (m²)3]]/20*1.4,2)</f>
        <v>4.5599999999999996</v>
      </c>
      <c r="M111" s="240">
        <f>ROUND(Tabla2[[#This Row],[Área ocupada (m²)]],2)</f>
        <v>65.2</v>
      </c>
      <c r="N111" s="240">
        <f>ROUND(Tabla2[[#This Row],[Área techada (m²)]],2)</f>
        <v>65.2</v>
      </c>
      <c r="O111" s="243">
        <f>ROUND(Tabla2[[#This Row],[Área techada (m²)4]]*0.15,2)</f>
        <v>9.7799999999999994</v>
      </c>
      <c r="P111" s="6">
        <f>ROUND(Tabla2[[#This Row],[Área del terreno (m²)2]]*DATA!$F$4,-2)</f>
        <v>3200</v>
      </c>
      <c r="Q111" s="243">
        <f>+Tabla2[[#This Row],[Valor Comercial (US$)]]-Tabla2[[#This Row],[Valor del terreno (US$)]]</f>
        <v>62000</v>
      </c>
      <c r="R11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111" s="244">
        <f>ROUND(Tabla2[[#This Row],[Valor Comercial (US$)]]*0.8,-2)</f>
        <v>52200</v>
      </c>
      <c r="T111" s="244">
        <f>IF(Informe!$I$6=DATA!$B$4,R111,ROUND(Tabla2[[#This Row],[Área techada (m²)4]]*DATA!$F$5*1.15,-2))</f>
        <v>65200</v>
      </c>
      <c r="U111" s="8">
        <f t="shared" si="1"/>
        <v>3.3479999999999999</v>
      </c>
      <c r="V111" s="244">
        <f>ROUND(Tabla2[[#This Row],[Valor del terreno (US$)]]*Tabla2[[#This Row],[Tipo de Cambio]],-2)</f>
        <v>10700</v>
      </c>
      <c r="W111" s="244">
        <f>Tabla2[[#This Row],[Valor Comercial (S/.)]]-Tabla2[[#This Row],[Valor del terreno (S/.)]]</f>
        <v>207600</v>
      </c>
      <c r="X111" s="244">
        <f>ROUND(Tabla2[[#This Row],[Valor Comercial (US$)]]*Tabla2[[#This Row],[Tipo de Cambio]],-2)</f>
        <v>218300</v>
      </c>
      <c r="Y111" s="244">
        <f>ROUND(Tabla2[[#This Row],[Valor Realización (US$)]]*Tabla2[[#This Row],[Tipo de Cambio]],-2)</f>
        <v>174800</v>
      </c>
      <c r="Z111" s="244">
        <f>+ROUND(Tabla2[[#This Row],[Importe Asegurable (US$)]]*Tabla2[[#This Row],[Tipo de Cambio]],-2)</f>
        <v>218300</v>
      </c>
      <c r="AA111" s="245"/>
      <c r="AB111" s="2">
        <f>+Tabla2[[#This Row],[Valor Comercial (US$)]]/Tabla2[[#This Row],[Área techada (m²)4]]</f>
        <v>1000</v>
      </c>
      <c r="AC11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11" s="1" t="s">
        <v>49</v>
      </c>
      <c r="AE111" s="222">
        <f>IF(Tabla2[[#This Row],[Moneda]]="Soles",Tabla2[[#This Row],[Valor de Venta]]/Tabla2[[#This Row],[Área techada (m²)]]/Tabla2[[#This Row],[Tipo de Cambio]],Tabla2[[#This Row],[Valor de Venta]]/Tabla2[[#This Row],[Área techada (m²)]])</f>
        <v>918.96269909331454</v>
      </c>
      <c r="AF111" s="347">
        <f>VLOOKUP(Tabla2[[#This Row],[VISTA]],DATA!$H$4:$I$17,2,FALSE)</f>
        <v>1000</v>
      </c>
      <c r="AG111" s="221">
        <f>+Tabla2[[#This Row],[Valor Comercial (S/.)]]/Tabla2[[#This Row],[Valor de Venta]]-1</f>
        <v>8.8235294117646967E-2</v>
      </c>
      <c r="AH111" s="60"/>
    </row>
    <row r="112" spans="1:34" s="1" customFormat="1" ht="15" customHeight="1" x14ac:dyDescent="0.25">
      <c r="A112" s="225" t="s">
        <v>30</v>
      </c>
      <c r="B112" s="22">
        <v>1305</v>
      </c>
      <c r="C112" s="14">
        <v>13</v>
      </c>
      <c r="D112" s="27"/>
      <c r="E112" s="20"/>
      <c r="F112" s="12">
        <f>ROUND(Tabla2[[#This Row],[Área ocupada (m²)]]/20*1.4,2)</f>
        <v>4.5599999999999996</v>
      </c>
      <c r="G112" s="12">
        <v>65.2</v>
      </c>
      <c r="H112" s="12">
        <v>65.2</v>
      </c>
      <c r="I112" s="12">
        <f>ROUND(Tabla2[[#This Row],[Área techada (m²)]]*0.15,2)</f>
        <v>9.7799999999999994</v>
      </c>
      <c r="J112" s="18" t="s">
        <v>33</v>
      </c>
      <c r="K112" s="7">
        <v>202600</v>
      </c>
      <c r="L112" s="240">
        <f>ROUND(Tabla2[[#This Row],[Área ocupada (m²)3]]/20*1.4,2)</f>
        <v>4.5599999999999996</v>
      </c>
      <c r="M112" s="240">
        <f>ROUND(Tabla2[[#This Row],[Área ocupada (m²)]],2)</f>
        <v>65.2</v>
      </c>
      <c r="N112" s="240">
        <f>ROUND(Tabla2[[#This Row],[Área techada (m²)]],2)</f>
        <v>65.2</v>
      </c>
      <c r="O112" s="243">
        <f>ROUND(Tabla2[[#This Row],[Área techada (m²)4]]*0.15,2)</f>
        <v>9.7799999999999994</v>
      </c>
      <c r="P112" s="6">
        <f>ROUND(Tabla2[[#This Row],[Área del terreno (m²)2]]*DATA!$F$4,-2)</f>
        <v>3200</v>
      </c>
      <c r="Q112" s="243">
        <f>+Tabla2[[#This Row],[Valor Comercial (US$)]]-Tabla2[[#This Row],[Valor del terreno (US$)]]</f>
        <v>62000</v>
      </c>
      <c r="R11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112" s="244">
        <f>ROUND(Tabla2[[#This Row],[Valor Comercial (US$)]]*0.8,-2)</f>
        <v>52200</v>
      </c>
      <c r="T112" s="244">
        <f>IF(Informe!$I$6=DATA!$B$4,R112,ROUND(Tabla2[[#This Row],[Área techada (m²)4]]*DATA!$F$5*1.15,-2))</f>
        <v>65200</v>
      </c>
      <c r="U112" s="8">
        <f t="shared" si="1"/>
        <v>3.3479999999999999</v>
      </c>
      <c r="V112" s="244">
        <f>ROUND(Tabla2[[#This Row],[Valor del terreno (US$)]]*Tabla2[[#This Row],[Tipo de Cambio]],-2)</f>
        <v>10700</v>
      </c>
      <c r="W112" s="244">
        <f>Tabla2[[#This Row],[Valor Comercial (S/.)]]-Tabla2[[#This Row],[Valor del terreno (S/.)]]</f>
        <v>207600</v>
      </c>
      <c r="X112" s="244">
        <f>ROUND(Tabla2[[#This Row],[Valor Comercial (US$)]]*Tabla2[[#This Row],[Tipo de Cambio]],-2)</f>
        <v>218300</v>
      </c>
      <c r="Y112" s="244">
        <f>ROUND(Tabla2[[#This Row],[Valor Realización (US$)]]*Tabla2[[#This Row],[Tipo de Cambio]],-2)</f>
        <v>174800</v>
      </c>
      <c r="Z112" s="244">
        <f>+ROUND(Tabla2[[#This Row],[Importe Asegurable (US$)]]*Tabla2[[#This Row],[Tipo de Cambio]],-2)</f>
        <v>218300</v>
      </c>
      <c r="AA112" s="245"/>
      <c r="AB112" s="2">
        <f>+Tabla2[[#This Row],[Valor Comercial (US$)]]/Tabla2[[#This Row],[Área techada (m²)4]]</f>
        <v>1000</v>
      </c>
      <c r="AC11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12" s="1" t="s">
        <v>49</v>
      </c>
      <c r="AE112" s="222">
        <f>IF(Tabla2[[#This Row],[Moneda]]="Soles",Tabla2[[#This Row],[Valor de Venta]]/Tabla2[[#This Row],[Área techada (m²)]]/Tabla2[[#This Row],[Tipo de Cambio]],Tabla2[[#This Row],[Valor de Venta]]/Tabla2[[#This Row],[Área techada (m²)]])</f>
        <v>928.12483966254001</v>
      </c>
      <c r="AF112" s="347">
        <f>VLOOKUP(Tabla2[[#This Row],[VISTA]],DATA!$H$4:$I$17,2,FALSE)</f>
        <v>1000</v>
      </c>
      <c r="AG112" s="221">
        <f>+Tabla2[[#This Row],[Valor Comercial (S/.)]]/Tabla2[[#This Row],[Valor de Venta]]-1</f>
        <v>7.7492596248766032E-2</v>
      </c>
    </row>
    <row r="113" spans="1:33" s="1" customFormat="1" ht="15" customHeight="1" x14ac:dyDescent="0.25">
      <c r="A113" s="225" t="s">
        <v>30</v>
      </c>
      <c r="B113" s="22">
        <v>1306</v>
      </c>
      <c r="C113" s="14">
        <v>13</v>
      </c>
      <c r="D113" s="27"/>
      <c r="E113" s="20"/>
      <c r="F113" s="12">
        <f>ROUND(Tabla2[[#This Row],[Área ocupada (m²)]]/20*1.4,2)</f>
        <v>4.38</v>
      </c>
      <c r="G113" s="12">
        <v>62.5</v>
      </c>
      <c r="H113" s="12">
        <v>62.5</v>
      </c>
      <c r="I113" s="12">
        <f>ROUND(Tabla2[[#This Row],[Área techada (m²)]]*0.15,2)</f>
        <v>9.3800000000000008</v>
      </c>
      <c r="J113" s="18" t="s">
        <v>33</v>
      </c>
      <c r="K113" s="7">
        <v>192600</v>
      </c>
      <c r="L113" s="240">
        <f>ROUND(Tabla2[[#This Row],[Área ocupada (m²)3]]/20*1.4,2)</f>
        <v>4.38</v>
      </c>
      <c r="M113" s="240">
        <f>ROUND(Tabla2[[#This Row],[Área ocupada (m²)]],2)</f>
        <v>62.5</v>
      </c>
      <c r="N113" s="240">
        <f>ROUND(Tabla2[[#This Row],[Área techada (m²)]],2)</f>
        <v>62.5</v>
      </c>
      <c r="O113" s="243">
        <f>ROUND(Tabla2[[#This Row],[Área techada (m²)4]]*0.15,2)</f>
        <v>9.3800000000000008</v>
      </c>
      <c r="P113" s="6">
        <f>ROUND(Tabla2[[#This Row],[Área del terreno (m²)2]]*DATA!$F$4,-2)</f>
        <v>3100</v>
      </c>
      <c r="Q113" s="243">
        <f>+Tabla2[[#This Row],[Valor Comercial (US$)]]-Tabla2[[#This Row],[Valor del terreno (US$)]]</f>
        <v>56300</v>
      </c>
      <c r="R11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113" s="244">
        <f>ROUND(Tabla2[[#This Row],[Valor Comercial (US$)]]*0.8,-2)</f>
        <v>47500</v>
      </c>
      <c r="T113" s="244">
        <f>IF(Informe!$I$6=DATA!$B$4,R113,ROUND(Tabla2[[#This Row],[Área techada (m²)4]]*DATA!$F$5*1.15,-2))</f>
        <v>59400</v>
      </c>
      <c r="U113" s="8">
        <f t="shared" si="1"/>
        <v>3.3479999999999999</v>
      </c>
      <c r="V113" s="244">
        <f>ROUND(Tabla2[[#This Row],[Valor del terreno (US$)]]*Tabla2[[#This Row],[Tipo de Cambio]],-2)</f>
        <v>10400</v>
      </c>
      <c r="W113" s="244">
        <f>Tabla2[[#This Row],[Valor Comercial (S/.)]]-Tabla2[[#This Row],[Valor del terreno (S/.)]]</f>
        <v>188500</v>
      </c>
      <c r="X113" s="244">
        <f>ROUND(Tabla2[[#This Row],[Valor Comercial (US$)]]*Tabla2[[#This Row],[Tipo de Cambio]],-2)</f>
        <v>198900</v>
      </c>
      <c r="Y113" s="244">
        <f>ROUND(Tabla2[[#This Row],[Valor Realización (US$)]]*Tabla2[[#This Row],[Tipo de Cambio]],-2)</f>
        <v>159000</v>
      </c>
      <c r="Z113" s="244">
        <f>+ROUND(Tabla2[[#This Row],[Importe Asegurable (US$)]]*Tabla2[[#This Row],[Tipo de Cambio]],-2)</f>
        <v>198900</v>
      </c>
      <c r="AA113" s="245"/>
      <c r="AB113" s="2">
        <f>+Tabla2[[#This Row],[Valor Comercial (US$)]]/Tabla2[[#This Row],[Área techada (m²)4]]</f>
        <v>950.4</v>
      </c>
      <c r="AC11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13" s="1" t="s">
        <v>50</v>
      </c>
      <c r="AE113" s="222">
        <f>IF(Tabla2[[#This Row],[Moneda]]="Soles",Tabla2[[#This Row],[Valor de Venta]]/Tabla2[[#This Row],[Área techada (m²)]]/Tabla2[[#This Row],[Tipo de Cambio]],Tabla2[[#This Row],[Valor de Venta]]/Tabla2[[#This Row],[Área techada (m²)]])</f>
        <v>920.43010752688178</v>
      </c>
      <c r="AF113" s="347">
        <f>VLOOKUP(Tabla2[[#This Row],[VISTA]],DATA!$H$4:$I$17,2,FALSE)</f>
        <v>950</v>
      </c>
      <c r="AG113" s="221">
        <f>+Tabla2[[#This Row],[Valor Comercial (S/.)]]/Tabla2[[#This Row],[Valor de Venta]]-1</f>
        <v>3.2710280373831724E-2</v>
      </c>
    </row>
    <row r="114" spans="1:33" s="1" customFormat="1" ht="15" customHeight="1" x14ac:dyDescent="0.25">
      <c r="A114" s="225" t="s">
        <v>30</v>
      </c>
      <c r="B114" s="22">
        <v>1307</v>
      </c>
      <c r="C114" s="14">
        <v>13</v>
      </c>
      <c r="D114" s="37"/>
      <c r="E114" s="28"/>
      <c r="F114" s="12">
        <f>ROUND(Tabla2[[#This Row],[Área ocupada (m²)]]/20*1.4,2)</f>
        <v>4.38</v>
      </c>
      <c r="G114" s="12">
        <v>62.5</v>
      </c>
      <c r="H114" s="12">
        <v>62.5</v>
      </c>
      <c r="I114" s="12">
        <f>ROUND(Tabla2[[#This Row],[Área techada (m²)]]*0.15,2)</f>
        <v>9.3800000000000008</v>
      </c>
      <c r="J114" s="18" t="s">
        <v>33</v>
      </c>
      <c r="K114" s="7">
        <v>185600</v>
      </c>
      <c r="L114" s="240">
        <f>ROUND(Tabla2[[#This Row],[Área ocupada (m²)3]]/20*1.4,2)</f>
        <v>4.38</v>
      </c>
      <c r="M114" s="240">
        <f>ROUND(Tabla2[[#This Row],[Área ocupada (m²)]],2)</f>
        <v>62.5</v>
      </c>
      <c r="N114" s="240">
        <f>ROUND(Tabla2[[#This Row],[Área techada (m²)]],2)</f>
        <v>62.5</v>
      </c>
      <c r="O114" s="243">
        <f>ROUND(Tabla2[[#This Row],[Área techada (m²)4]]*0.15,2)</f>
        <v>9.3800000000000008</v>
      </c>
      <c r="P114" s="6">
        <f>ROUND(Tabla2[[#This Row],[Área del terreno (m²)2]]*DATA!$F$4,-2)</f>
        <v>3100</v>
      </c>
      <c r="Q114" s="243">
        <f>+Tabla2[[#This Row],[Valor Comercial (US$)]]-Tabla2[[#This Row],[Valor del terreno (US$)]]</f>
        <v>56300</v>
      </c>
      <c r="R11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114" s="244">
        <f>ROUND(Tabla2[[#This Row],[Valor Comercial (US$)]]*0.8,-2)</f>
        <v>47500</v>
      </c>
      <c r="T114" s="244">
        <f>IF(Informe!$I$6=DATA!$B$4,R114,ROUND(Tabla2[[#This Row],[Área techada (m²)4]]*DATA!$F$5*1.15,-2))</f>
        <v>59400</v>
      </c>
      <c r="U114" s="8">
        <f t="shared" si="1"/>
        <v>3.3479999999999999</v>
      </c>
      <c r="V114" s="244">
        <f>ROUND(Tabla2[[#This Row],[Valor del terreno (US$)]]*Tabla2[[#This Row],[Tipo de Cambio]],-2)</f>
        <v>10400</v>
      </c>
      <c r="W114" s="244">
        <f>Tabla2[[#This Row],[Valor Comercial (S/.)]]-Tabla2[[#This Row],[Valor del terreno (S/.)]]</f>
        <v>188500</v>
      </c>
      <c r="X114" s="244">
        <f>ROUND(Tabla2[[#This Row],[Valor Comercial (US$)]]*Tabla2[[#This Row],[Tipo de Cambio]],-2)</f>
        <v>198900</v>
      </c>
      <c r="Y114" s="244">
        <f>ROUND(Tabla2[[#This Row],[Valor Realización (US$)]]*Tabla2[[#This Row],[Tipo de Cambio]],-2)</f>
        <v>159000</v>
      </c>
      <c r="Z114" s="244">
        <f>+ROUND(Tabla2[[#This Row],[Importe Asegurable (US$)]]*Tabla2[[#This Row],[Tipo de Cambio]],-2)</f>
        <v>198900</v>
      </c>
      <c r="AA114" s="245"/>
      <c r="AB114" s="2">
        <f>+Tabla2[[#This Row],[Valor Comercial (US$)]]/Tabla2[[#This Row],[Área techada (m²)4]]</f>
        <v>950.4</v>
      </c>
      <c r="AC11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14" s="1" t="s">
        <v>50</v>
      </c>
      <c r="AE114" s="222">
        <f>IF(Tabla2[[#This Row],[Moneda]]="Soles",Tabla2[[#This Row],[Valor de Venta]]/Tabla2[[#This Row],[Área techada (m²)]]/Tabla2[[#This Row],[Tipo de Cambio]],Tabla2[[#This Row],[Valor de Venta]]/Tabla2[[#This Row],[Área techada (m²)]])</f>
        <v>886.97729988052572</v>
      </c>
      <c r="AF114" s="347">
        <f>VLOOKUP(Tabla2[[#This Row],[VISTA]],DATA!$H$4:$I$17,2,FALSE)</f>
        <v>950</v>
      </c>
      <c r="AG114" s="221">
        <f>+Tabla2[[#This Row],[Valor Comercial (S/.)]]/Tabla2[[#This Row],[Valor de Venta]]-1</f>
        <v>7.1659482758620774E-2</v>
      </c>
    </row>
    <row r="115" spans="1:33" s="1" customFormat="1" ht="15" customHeight="1" x14ac:dyDescent="0.25">
      <c r="A115" s="225" t="s">
        <v>30</v>
      </c>
      <c r="B115" s="22">
        <v>1308</v>
      </c>
      <c r="C115" s="14">
        <v>13</v>
      </c>
      <c r="D115" s="27"/>
      <c r="E115" s="28"/>
      <c r="F115" s="12">
        <f>ROUND(Tabla2[[#This Row],[Área ocupada (m²)]]/20*1.4,2)</f>
        <v>4.5599999999999996</v>
      </c>
      <c r="G115" s="12">
        <v>65.2</v>
      </c>
      <c r="H115" s="12">
        <v>65.2</v>
      </c>
      <c r="I115" s="12">
        <f>ROUND(Tabla2[[#This Row],[Área techada (m²)]]*0.15,2)</f>
        <v>9.7799999999999994</v>
      </c>
      <c r="J115" s="18" t="s">
        <v>33</v>
      </c>
      <c r="K115" s="7">
        <v>198600</v>
      </c>
      <c r="L115" s="240">
        <f>ROUND(Tabla2[[#This Row],[Área ocupada (m²)3]]/20*1.4,2)</f>
        <v>4.5599999999999996</v>
      </c>
      <c r="M115" s="240">
        <f>ROUND(Tabla2[[#This Row],[Área ocupada (m²)]],2)</f>
        <v>65.2</v>
      </c>
      <c r="N115" s="240">
        <f>ROUND(Tabla2[[#This Row],[Área techada (m²)]],2)</f>
        <v>65.2</v>
      </c>
      <c r="O115" s="243">
        <f>ROUND(Tabla2[[#This Row],[Área techada (m²)4]]*0.15,2)</f>
        <v>9.7799999999999994</v>
      </c>
      <c r="P115" s="6">
        <f>ROUND(Tabla2[[#This Row],[Área del terreno (m²)2]]*DATA!$F$4,-2)</f>
        <v>3200</v>
      </c>
      <c r="Q115" s="243">
        <f>+Tabla2[[#This Row],[Valor Comercial (US$)]]-Tabla2[[#This Row],[Valor del terreno (US$)]]</f>
        <v>58700</v>
      </c>
      <c r="R11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15" s="244">
        <f>ROUND(Tabla2[[#This Row],[Valor Comercial (US$)]]*0.8,-2)</f>
        <v>49500</v>
      </c>
      <c r="T115" s="244">
        <f>IF(Informe!$I$6=DATA!$B$4,R115,ROUND(Tabla2[[#This Row],[Área techada (m²)4]]*DATA!$F$5*1.15,-2))</f>
        <v>61900</v>
      </c>
      <c r="U115" s="8">
        <f t="shared" si="1"/>
        <v>3.3479999999999999</v>
      </c>
      <c r="V115" s="244">
        <f>ROUND(Tabla2[[#This Row],[Valor del terreno (US$)]]*Tabla2[[#This Row],[Tipo de Cambio]],-2)</f>
        <v>10700</v>
      </c>
      <c r="W115" s="244">
        <f>Tabla2[[#This Row],[Valor Comercial (S/.)]]-Tabla2[[#This Row],[Valor del terreno (S/.)]]</f>
        <v>196500</v>
      </c>
      <c r="X115" s="244">
        <f>ROUND(Tabla2[[#This Row],[Valor Comercial (US$)]]*Tabla2[[#This Row],[Tipo de Cambio]],-2)</f>
        <v>207200</v>
      </c>
      <c r="Y115" s="244">
        <f>ROUND(Tabla2[[#This Row],[Valor Realización (US$)]]*Tabla2[[#This Row],[Tipo de Cambio]],-2)</f>
        <v>165700</v>
      </c>
      <c r="Z115" s="244">
        <f>+ROUND(Tabla2[[#This Row],[Importe Asegurable (US$)]]*Tabla2[[#This Row],[Tipo de Cambio]],-2)</f>
        <v>207200</v>
      </c>
      <c r="AA115" s="245"/>
      <c r="AB115" s="2">
        <f>+Tabla2[[#This Row],[Valor Comercial (US$)]]/Tabla2[[#This Row],[Área techada (m²)4]]</f>
        <v>949.38650306748457</v>
      </c>
      <c r="AC11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15" s="1" t="s">
        <v>50</v>
      </c>
      <c r="AE115" s="222">
        <f>IF(Tabla2[[#This Row],[Moneda]]="Soles",Tabla2[[#This Row],[Valor de Venta]]/Tabla2[[#This Row],[Área techada (m²)]]/Tabla2[[#This Row],[Tipo de Cambio]],Tabla2[[#This Row],[Valor de Venta]]/Tabla2[[#This Row],[Área techada (m²)]])</f>
        <v>909.80055852408907</v>
      </c>
      <c r="AF115" s="347">
        <f>VLOOKUP(Tabla2[[#This Row],[VISTA]],DATA!$H$4:$I$17,2,FALSE)</f>
        <v>950</v>
      </c>
      <c r="AG115" s="221">
        <f>+Tabla2[[#This Row],[Valor Comercial (S/.)]]/Tabla2[[#This Row],[Valor de Venta]]-1</f>
        <v>4.3303121852970694E-2</v>
      </c>
    </row>
    <row r="116" spans="1:33" s="1" customFormat="1" ht="15" customHeight="1" x14ac:dyDescent="0.25">
      <c r="A116" s="225" t="s">
        <v>30</v>
      </c>
      <c r="B116" s="22">
        <v>1401</v>
      </c>
      <c r="C116" s="14">
        <v>14</v>
      </c>
      <c r="D116" s="27"/>
      <c r="E116" s="28"/>
      <c r="F116" s="12">
        <f>ROUND(Tabla2[[#This Row],[Área ocupada (m²)]]/20*1.4,2)</f>
        <v>4.5599999999999996</v>
      </c>
      <c r="G116" s="12">
        <v>65.2</v>
      </c>
      <c r="H116" s="12">
        <v>65.2</v>
      </c>
      <c r="I116" s="12">
        <f>ROUND(Tabla2[[#This Row],[Área techada (m²)]]*0.15,2)</f>
        <v>9.7799999999999994</v>
      </c>
      <c r="J116" s="18" t="s">
        <v>33</v>
      </c>
      <c r="K116" s="7">
        <v>189600</v>
      </c>
      <c r="L116" s="240">
        <f>ROUND(Tabla2[[#This Row],[Área ocupada (m²)3]]/20*1.4,2)</f>
        <v>4.5599999999999996</v>
      </c>
      <c r="M116" s="240">
        <f>ROUND(Tabla2[[#This Row],[Área ocupada (m²)]],2)</f>
        <v>65.2</v>
      </c>
      <c r="N116" s="240">
        <f>ROUND(Tabla2[[#This Row],[Área techada (m²)]],2)</f>
        <v>65.2</v>
      </c>
      <c r="O116" s="243">
        <f>ROUND(Tabla2[[#This Row],[Área techada (m²)4]]*0.15,2)</f>
        <v>9.7799999999999994</v>
      </c>
      <c r="P116" s="6">
        <f>ROUND(Tabla2[[#This Row],[Área del terreno (m²)2]]*DATA!$F$4,-2)</f>
        <v>3200</v>
      </c>
      <c r="Q116" s="243">
        <f>+Tabla2[[#This Row],[Valor Comercial (US$)]]-Tabla2[[#This Row],[Valor del terreno (US$)]]</f>
        <v>55500</v>
      </c>
      <c r="R11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58700</v>
      </c>
      <c r="S116" s="244">
        <f>ROUND(Tabla2[[#This Row],[Valor Comercial (US$)]]*0.8,-2)</f>
        <v>47000</v>
      </c>
      <c r="T116" s="244">
        <f>IF(Informe!$I$6=DATA!$B$4,R116,ROUND(Tabla2[[#This Row],[Área techada (m²)4]]*DATA!$F$5*1.15,-2))</f>
        <v>58700</v>
      </c>
      <c r="U116" s="8">
        <f t="shared" si="1"/>
        <v>3.3479999999999999</v>
      </c>
      <c r="V116" s="244">
        <f>ROUND(Tabla2[[#This Row],[Valor del terreno (US$)]]*Tabla2[[#This Row],[Tipo de Cambio]],-2)</f>
        <v>10700</v>
      </c>
      <c r="W116" s="244">
        <f>Tabla2[[#This Row],[Valor Comercial (S/.)]]-Tabla2[[#This Row],[Valor del terreno (S/.)]]</f>
        <v>185800</v>
      </c>
      <c r="X116" s="244">
        <f>ROUND(Tabla2[[#This Row],[Valor Comercial (US$)]]*Tabla2[[#This Row],[Tipo de Cambio]],-2)</f>
        <v>196500</v>
      </c>
      <c r="Y116" s="244">
        <f>ROUND(Tabla2[[#This Row],[Valor Realización (US$)]]*Tabla2[[#This Row],[Tipo de Cambio]],-2)</f>
        <v>157400</v>
      </c>
      <c r="Z116" s="244">
        <f>+ROUND(Tabla2[[#This Row],[Importe Asegurable (US$)]]*Tabla2[[#This Row],[Tipo de Cambio]],-2)</f>
        <v>196500</v>
      </c>
      <c r="AA116" s="245"/>
      <c r="AB116" s="2">
        <f>+Tabla2[[#This Row],[Valor Comercial (US$)]]/Tabla2[[#This Row],[Área techada (m²)4]]</f>
        <v>900.30674846625766</v>
      </c>
      <c r="AC11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16" s="1" t="s">
        <v>51</v>
      </c>
      <c r="AE116" s="222">
        <f>IF(Tabla2[[#This Row],[Moneda]]="Soles",Tabla2[[#This Row],[Valor de Venta]]/Tabla2[[#This Row],[Área techada (m²)]]/Tabla2[[#This Row],[Tipo de Cambio]],Tabla2[[#This Row],[Valor de Venta]]/Tabla2[[#This Row],[Área techada (m²)]])</f>
        <v>868.57092596257439</v>
      </c>
      <c r="AF116" s="347">
        <f>VLOOKUP(Tabla2[[#This Row],[VISTA]],DATA!$H$4:$I$17,2,FALSE)</f>
        <v>900</v>
      </c>
      <c r="AG116" s="221">
        <f>+Tabla2[[#This Row],[Valor Comercial (S/.)]]/Tabla2[[#This Row],[Valor de Venta]]-1</f>
        <v>3.6392405063291111E-2</v>
      </c>
    </row>
    <row r="117" spans="1:33" s="1" customFormat="1" ht="15" customHeight="1" x14ac:dyDescent="0.25">
      <c r="A117" s="225" t="s">
        <v>30</v>
      </c>
      <c r="B117" s="22">
        <v>1402</v>
      </c>
      <c r="C117" s="14">
        <v>14</v>
      </c>
      <c r="D117" s="27"/>
      <c r="E117" s="28"/>
      <c r="F117" s="12">
        <f>ROUND(Tabla2[[#This Row],[Área ocupada (m²)]]/20*1.4,2)</f>
        <v>4.38</v>
      </c>
      <c r="G117" s="12">
        <v>62.5</v>
      </c>
      <c r="H117" s="12">
        <v>62.5</v>
      </c>
      <c r="I117" s="12">
        <f>ROUND(Tabla2[[#This Row],[Área techada (m²)]]*0.15,2)</f>
        <v>9.3800000000000008</v>
      </c>
      <c r="J117" s="18" t="s">
        <v>33</v>
      </c>
      <c r="K117" s="7">
        <v>182700</v>
      </c>
      <c r="L117" s="240">
        <f>ROUND(Tabla2[[#This Row],[Área ocupada (m²)3]]/20*1.4,2)</f>
        <v>4.38</v>
      </c>
      <c r="M117" s="240">
        <f>ROUND(Tabla2[[#This Row],[Área ocupada (m²)]],2)</f>
        <v>62.5</v>
      </c>
      <c r="N117" s="240">
        <f>ROUND(Tabla2[[#This Row],[Área techada (m²)]],2)</f>
        <v>62.5</v>
      </c>
      <c r="O117" s="243">
        <f>ROUND(Tabla2[[#This Row],[Área techada (m²)4]]*0.15,2)</f>
        <v>9.3800000000000008</v>
      </c>
      <c r="P117" s="6">
        <f>ROUND(Tabla2[[#This Row],[Área del terreno (m²)2]]*DATA!$F$4,-2)</f>
        <v>3100</v>
      </c>
      <c r="Q117" s="243">
        <f>+Tabla2[[#This Row],[Valor Comercial (US$)]]-Tabla2[[#This Row],[Valor del terreno (US$)]]</f>
        <v>53200</v>
      </c>
      <c r="R11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17" s="244">
        <f>ROUND(Tabla2[[#This Row],[Valor Comercial (US$)]]*0.8,-2)</f>
        <v>45000</v>
      </c>
      <c r="T117" s="244">
        <f>IF(Informe!$I$6=DATA!$B$4,R117,ROUND(Tabla2[[#This Row],[Área techada (m²)4]]*DATA!$F$5*1.15,-2))</f>
        <v>56300</v>
      </c>
      <c r="U117" s="8">
        <f t="shared" si="1"/>
        <v>3.3479999999999999</v>
      </c>
      <c r="V117" s="244">
        <f>ROUND(Tabla2[[#This Row],[Valor del terreno (US$)]]*Tabla2[[#This Row],[Tipo de Cambio]],-2)</f>
        <v>10400</v>
      </c>
      <c r="W117" s="244">
        <f>Tabla2[[#This Row],[Valor Comercial (S/.)]]-Tabla2[[#This Row],[Valor del terreno (S/.)]]</f>
        <v>178100</v>
      </c>
      <c r="X117" s="244">
        <f>ROUND(Tabla2[[#This Row],[Valor Comercial (US$)]]*Tabla2[[#This Row],[Tipo de Cambio]],-2)</f>
        <v>188500</v>
      </c>
      <c r="Y117" s="244">
        <f>ROUND(Tabla2[[#This Row],[Valor Realización (US$)]]*Tabla2[[#This Row],[Tipo de Cambio]],-2)</f>
        <v>150700</v>
      </c>
      <c r="Z117" s="244">
        <f>+ROUND(Tabla2[[#This Row],[Importe Asegurable (US$)]]*Tabla2[[#This Row],[Tipo de Cambio]],-2)</f>
        <v>188500</v>
      </c>
      <c r="AA117" s="245"/>
      <c r="AB117" s="2">
        <f>+Tabla2[[#This Row],[Valor Comercial (US$)]]/Tabla2[[#This Row],[Área techada (m²)4]]</f>
        <v>900.8</v>
      </c>
      <c r="AC11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17" s="1" t="s">
        <v>51</v>
      </c>
      <c r="AE117" s="222">
        <f>IF(Tabla2[[#This Row],[Moneda]]="Soles",Tabla2[[#This Row],[Valor de Venta]]/Tabla2[[#This Row],[Área techada (m²)]]/Tabla2[[#This Row],[Tipo de Cambio]],Tabla2[[#This Row],[Valor de Venta]]/Tabla2[[#This Row],[Área techada (m²)]])</f>
        <v>873.11827956989248</v>
      </c>
      <c r="AF117" s="347">
        <f>VLOOKUP(Tabla2[[#This Row],[VISTA]],DATA!$H$4:$I$17,2,FALSE)</f>
        <v>900</v>
      </c>
      <c r="AG117" s="221">
        <f>+Tabla2[[#This Row],[Valor Comercial (S/.)]]/Tabla2[[#This Row],[Valor de Venta]]-1</f>
        <v>3.1746031746031855E-2</v>
      </c>
    </row>
    <row r="118" spans="1:33" s="1" customFormat="1" ht="15" customHeight="1" x14ac:dyDescent="0.25">
      <c r="A118" s="225" t="s">
        <v>30</v>
      </c>
      <c r="B118" s="22">
        <v>1403</v>
      </c>
      <c r="C118" s="14">
        <v>14</v>
      </c>
      <c r="D118" s="27"/>
      <c r="E118" s="28"/>
      <c r="F118" s="12">
        <f>ROUND(Tabla2[[#This Row],[Área ocupada (m²)]]/20*1.4,2)</f>
        <v>4.38</v>
      </c>
      <c r="G118" s="12">
        <v>62.5</v>
      </c>
      <c r="H118" s="12">
        <v>62.5</v>
      </c>
      <c r="I118" s="12">
        <f>ROUND(Tabla2[[#This Row],[Área techada (m²)]]*0.15,2)</f>
        <v>9.3800000000000008</v>
      </c>
      <c r="J118" s="18" t="s">
        <v>33</v>
      </c>
      <c r="K118" s="7">
        <v>187700</v>
      </c>
      <c r="L118" s="240">
        <f>ROUND(Tabla2[[#This Row],[Área ocupada (m²)3]]/20*1.4,2)</f>
        <v>4.38</v>
      </c>
      <c r="M118" s="240">
        <f>ROUND(Tabla2[[#This Row],[Área ocupada (m²)]],2)</f>
        <v>62.5</v>
      </c>
      <c r="N118" s="240">
        <f>ROUND(Tabla2[[#This Row],[Área techada (m²)]],2)</f>
        <v>62.5</v>
      </c>
      <c r="O118" s="243">
        <f>ROUND(Tabla2[[#This Row],[Área techada (m²)4]]*0.15,2)</f>
        <v>9.3800000000000008</v>
      </c>
      <c r="P118" s="6">
        <f>ROUND(Tabla2[[#This Row],[Área del terreno (m²)2]]*DATA!$F$4,-2)</f>
        <v>3100</v>
      </c>
      <c r="Q118" s="243">
        <f>+Tabla2[[#This Row],[Valor Comercial (US$)]]-Tabla2[[#This Row],[Valor del terreno (US$)]]</f>
        <v>56300</v>
      </c>
      <c r="R11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118" s="244">
        <f>ROUND(Tabla2[[#This Row],[Valor Comercial (US$)]]*0.8,-2)</f>
        <v>47500</v>
      </c>
      <c r="T118" s="244">
        <f>IF(Informe!$I$6=DATA!$B$4,R118,ROUND(Tabla2[[#This Row],[Área techada (m²)4]]*DATA!$F$5*1.15,-2))</f>
        <v>59400</v>
      </c>
      <c r="U118" s="8">
        <f t="shared" si="1"/>
        <v>3.3479999999999999</v>
      </c>
      <c r="V118" s="244">
        <f>ROUND(Tabla2[[#This Row],[Valor del terreno (US$)]]*Tabla2[[#This Row],[Tipo de Cambio]],-2)</f>
        <v>10400</v>
      </c>
      <c r="W118" s="244">
        <f>Tabla2[[#This Row],[Valor Comercial (S/.)]]-Tabla2[[#This Row],[Valor del terreno (S/.)]]</f>
        <v>188500</v>
      </c>
      <c r="X118" s="244">
        <f>ROUND(Tabla2[[#This Row],[Valor Comercial (US$)]]*Tabla2[[#This Row],[Tipo de Cambio]],-2)</f>
        <v>198900</v>
      </c>
      <c r="Y118" s="244">
        <f>ROUND(Tabla2[[#This Row],[Valor Realización (US$)]]*Tabla2[[#This Row],[Tipo de Cambio]],-2)</f>
        <v>159000</v>
      </c>
      <c r="Z118" s="244">
        <f>+ROUND(Tabla2[[#This Row],[Importe Asegurable (US$)]]*Tabla2[[#This Row],[Tipo de Cambio]],-2)</f>
        <v>198900</v>
      </c>
      <c r="AA118" s="245"/>
      <c r="AB118" s="2">
        <f>+Tabla2[[#This Row],[Valor Comercial (US$)]]/Tabla2[[#This Row],[Área techada (m²)4]]</f>
        <v>950.4</v>
      </c>
      <c r="AC11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18" s="1" t="s">
        <v>50</v>
      </c>
      <c r="AE118" s="222">
        <f>IF(Tabla2[[#This Row],[Moneda]]="Soles",Tabla2[[#This Row],[Valor de Venta]]/Tabla2[[#This Row],[Área techada (m²)]]/Tabla2[[#This Row],[Tipo de Cambio]],Tabla2[[#This Row],[Valor de Venta]]/Tabla2[[#This Row],[Área techada (m²)]])</f>
        <v>897.01314217443246</v>
      </c>
      <c r="AF118" s="347">
        <f>VLOOKUP(Tabla2[[#This Row],[VISTA]],DATA!$H$4:$I$17,2,FALSE)</f>
        <v>950</v>
      </c>
      <c r="AG118" s="221">
        <f>+Tabla2[[#This Row],[Valor Comercial (S/.)]]/Tabla2[[#This Row],[Valor de Venta]]-1</f>
        <v>5.9669685668620076E-2</v>
      </c>
    </row>
    <row r="119" spans="1:33" s="1" customFormat="1" ht="15" customHeight="1" x14ac:dyDescent="0.25">
      <c r="A119" s="225" t="s">
        <v>30</v>
      </c>
      <c r="B119" s="22">
        <v>1404</v>
      </c>
      <c r="C119" s="14">
        <v>14</v>
      </c>
      <c r="D119" s="27"/>
      <c r="E119" s="28"/>
      <c r="F119" s="12">
        <f>ROUND(Tabla2[[#This Row],[Área ocupada (m²)]]/20*1.4,2)</f>
        <v>4.5599999999999996</v>
      </c>
      <c r="G119" s="12">
        <v>65.2</v>
      </c>
      <c r="H119" s="12">
        <v>65.2</v>
      </c>
      <c r="I119" s="12">
        <f>ROUND(Tabla2[[#This Row],[Área techada (m²)]]*0.15,2)</f>
        <v>9.7799999999999994</v>
      </c>
      <c r="J119" s="18" t="s">
        <v>33</v>
      </c>
      <c r="K119" s="7">
        <v>203600</v>
      </c>
      <c r="L119" s="240">
        <f>ROUND(Tabla2[[#This Row],[Área ocupada (m²)3]]/20*1.4,2)</f>
        <v>4.5599999999999996</v>
      </c>
      <c r="M119" s="240">
        <f>ROUND(Tabla2[[#This Row],[Área ocupada (m²)]],2)</f>
        <v>65.2</v>
      </c>
      <c r="N119" s="240">
        <f>ROUND(Tabla2[[#This Row],[Área techada (m²)]],2)</f>
        <v>65.2</v>
      </c>
      <c r="O119" s="243">
        <f>ROUND(Tabla2[[#This Row],[Área techada (m²)4]]*0.15,2)</f>
        <v>9.7799999999999994</v>
      </c>
      <c r="P119" s="6">
        <f>ROUND(Tabla2[[#This Row],[Área del terreno (m²)2]]*DATA!$F$4,-2)</f>
        <v>3200</v>
      </c>
      <c r="Q119" s="243">
        <f>+Tabla2[[#This Row],[Valor Comercial (US$)]]-Tabla2[[#This Row],[Valor del terreno (US$)]]</f>
        <v>62000</v>
      </c>
      <c r="R11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65200</v>
      </c>
      <c r="S119" s="244">
        <f>ROUND(Tabla2[[#This Row],[Valor Comercial (US$)]]*0.8,-2)</f>
        <v>52200</v>
      </c>
      <c r="T119" s="244">
        <f>IF(Informe!$I$6=DATA!$B$4,R119,ROUND(Tabla2[[#This Row],[Área techada (m²)4]]*DATA!$F$5*1.15,-2))</f>
        <v>65200</v>
      </c>
      <c r="U119" s="8">
        <f t="shared" si="1"/>
        <v>3.3479999999999999</v>
      </c>
      <c r="V119" s="244">
        <f>ROUND(Tabla2[[#This Row],[Valor del terreno (US$)]]*Tabla2[[#This Row],[Tipo de Cambio]],-2)</f>
        <v>10700</v>
      </c>
      <c r="W119" s="244">
        <f>Tabla2[[#This Row],[Valor Comercial (S/.)]]-Tabla2[[#This Row],[Valor del terreno (S/.)]]</f>
        <v>207600</v>
      </c>
      <c r="X119" s="244">
        <f>ROUND(Tabla2[[#This Row],[Valor Comercial (US$)]]*Tabla2[[#This Row],[Tipo de Cambio]],-2)</f>
        <v>218300</v>
      </c>
      <c r="Y119" s="244">
        <f>ROUND(Tabla2[[#This Row],[Valor Realización (US$)]]*Tabla2[[#This Row],[Tipo de Cambio]],-2)</f>
        <v>174800</v>
      </c>
      <c r="Z119" s="244">
        <f>+ROUND(Tabla2[[#This Row],[Importe Asegurable (US$)]]*Tabla2[[#This Row],[Tipo de Cambio]],-2)</f>
        <v>218300</v>
      </c>
      <c r="AA119" s="245"/>
      <c r="AB119" s="2">
        <f>+Tabla2[[#This Row],[Valor Comercial (US$)]]/Tabla2[[#This Row],[Área techada (m²)4]]</f>
        <v>1000</v>
      </c>
      <c r="AC11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19" s="1" t="s">
        <v>49</v>
      </c>
      <c r="AE119" s="222">
        <f>IF(Tabla2[[#This Row],[Moneda]]="Soles",Tabla2[[#This Row],[Valor de Venta]]/Tabla2[[#This Row],[Área techada (m²)]]/Tabla2[[#This Row],[Tipo de Cambio]],Tabla2[[#This Row],[Valor de Venta]]/Tabla2[[#This Row],[Área techada (m²)]])</f>
        <v>932.70590994715269</v>
      </c>
      <c r="AF119" s="347">
        <f>VLOOKUP(Tabla2[[#This Row],[VISTA]],DATA!$H$4:$I$17,2,FALSE)</f>
        <v>1000</v>
      </c>
      <c r="AG119" s="221">
        <f>+Tabla2[[#This Row],[Valor Comercial (S/.)]]/Tabla2[[#This Row],[Valor de Venta]]-1</f>
        <v>7.220039292730851E-2</v>
      </c>
    </row>
    <row r="120" spans="1:33" s="1" customFormat="1" ht="15" customHeight="1" x14ac:dyDescent="0.25">
      <c r="A120" s="225" t="s">
        <v>30</v>
      </c>
      <c r="B120" s="22">
        <v>1405</v>
      </c>
      <c r="C120" s="14">
        <v>14</v>
      </c>
      <c r="D120" s="27"/>
      <c r="E120" s="28"/>
      <c r="F120" s="12">
        <f>ROUND(Tabla2[[#This Row],[Área ocupada (m²)]]/20*1.4,2)</f>
        <v>4.5599999999999996</v>
      </c>
      <c r="G120" s="12">
        <v>65.2</v>
      </c>
      <c r="H120" s="12">
        <v>65.2</v>
      </c>
      <c r="I120" s="12">
        <f>ROUND(Tabla2[[#This Row],[Área techada (m²)]]*0.15,2)</f>
        <v>9.7799999999999994</v>
      </c>
      <c r="J120" s="18" t="s">
        <v>33</v>
      </c>
      <c r="K120" s="7">
        <v>200600</v>
      </c>
      <c r="L120" s="240">
        <f>ROUND(Tabla2[[#This Row],[Área ocupada (m²)3]]/20*1.4,2)</f>
        <v>4.5599999999999996</v>
      </c>
      <c r="M120" s="240">
        <f>ROUND(Tabla2[[#This Row],[Área ocupada (m²)]],2)</f>
        <v>65.2</v>
      </c>
      <c r="N120" s="240">
        <f>ROUND(Tabla2[[#This Row],[Área techada (m²)]],2)</f>
        <v>65.2</v>
      </c>
      <c r="O120" s="243">
        <f>ROUND(Tabla2[[#This Row],[Área techada (m²)4]]*0.15,2)</f>
        <v>9.7799999999999994</v>
      </c>
      <c r="P120" s="6">
        <f>ROUND(Tabla2[[#This Row],[Área del terreno (m²)2]]*DATA!$F$4,-2)</f>
        <v>3200</v>
      </c>
      <c r="Q120" s="243">
        <f>+Tabla2[[#This Row],[Valor Comercial (US$)]]-Tabla2[[#This Row],[Valor del terreno (US$)]]</f>
        <v>58700</v>
      </c>
      <c r="R12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20" s="244">
        <f>ROUND(Tabla2[[#This Row],[Valor Comercial (US$)]]*0.8,-2)</f>
        <v>49500</v>
      </c>
      <c r="T120" s="244">
        <f>IF(Informe!$I$6=DATA!$B$4,R120,ROUND(Tabla2[[#This Row],[Área techada (m²)4]]*DATA!$F$5*1.15,-2))</f>
        <v>61900</v>
      </c>
      <c r="U120" s="8">
        <f t="shared" si="1"/>
        <v>3.3479999999999999</v>
      </c>
      <c r="V120" s="244">
        <f>ROUND(Tabla2[[#This Row],[Valor del terreno (US$)]]*Tabla2[[#This Row],[Tipo de Cambio]],-2)</f>
        <v>10700</v>
      </c>
      <c r="W120" s="244">
        <f>Tabla2[[#This Row],[Valor Comercial (S/.)]]-Tabla2[[#This Row],[Valor del terreno (S/.)]]</f>
        <v>196500</v>
      </c>
      <c r="X120" s="244">
        <f>ROUND(Tabla2[[#This Row],[Valor Comercial (US$)]]*Tabla2[[#This Row],[Tipo de Cambio]],-2)</f>
        <v>207200</v>
      </c>
      <c r="Y120" s="244">
        <f>ROUND(Tabla2[[#This Row],[Valor Realización (US$)]]*Tabla2[[#This Row],[Tipo de Cambio]],-2)</f>
        <v>165700</v>
      </c>
      <c r="Z120" s="244">
        <f>+ROUND(Tabla2[[#This Row],[Importe Asegurable (US$)]]*Tabla2[[#This Row],[Tipo de Cambio]],-2)</f>
        <v>207200</v>
      </c>
      <c r="AA120" s="245"/>
      <c r="AB120" s="2">
        <f>+Tabla2[[#This Row],[Valor Comercial (US$)]]/Tabla2[[#This Row],[Área techada (m²)4]]</f>
        <v>949.38650306748457</v>
      </c>
      <c r="AC12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20" s="1" t="s">
        <v>50</v>
      </c>
      <c r="AE120" s="222">
        <f>IF(Tabla2[[#This Row],[Moneda]]="Soles",Tabla2[[#This Row],[Valor de Venta]]/Tabla2[[#This Row],[Área techada (m²)]]/Tabla2[[#This Row],[Tipo de Cambio]],Tabla2[[#This Row],[Valor de Venta]]/Tabla2[[#This Row],[Área techada (m²)]])</f>
        <v>918.96269909331454</v>
      </c>
      <c r="AF120" s="347">
        <f>VLOOKUP(Tabla2[[#This Row],[VISTA]],DATA!$H$4:$I$17,2,FALSE)</f>
        <v>950</v>
      </c>
      <c r="AG120" s="221">
        <f>+Tabla2[[#This Row],[Valor Comercial (S/.)]]/Tabla2[[#This Row],[Valor de Venta]]-1</f>
        <v>3.2901296111665035E-2</v>
      </c>
    </row>
    <row r="121" spans="1:33" s="1" customFormat="1" ht="15" customHeight="1" x14ac:dyDescent="0.25">
      <c r="A121" s="225" t="s">
        <v>30</v>
      </c>
      <c r="B121" s="22">
        <v>1406</v>
      </c>
      <c r="C121" s="14">
        <v>14</v>
      </c>
      <c r="D121" s="27"/>
      <c r="E121" s="28"/>
      <c r="F121" s="12">
        <f>ROUND(Tabla2[[#This Row],[Área ocupada (m²)]]/20*1.4,2)</f>
        <v>4.38</v>
      </c>
      <c r="G121" s="12">
        <v>62.5</v>
      </c>
      <c r="H121" s="12">
        <v>62.5</v>
      </c>
      <c r="I121" s="12">
        <f>ROUND(Tabla2[[#This Row],[Área techada (m²)]]*0.15,2)</f>
        <v>9.3800000000000008</v>
      </c>
      <c r="J121" s="18" t="s">
        <v>33</v>
      </c>
      <c r="K121" s="7">
        <v>190700</v>
      </c>
      <c r="L121" s="240">
        <f>ROUND(Tabla2[[#This Row],[Área ocupada (m²)3]]/20*1.4,2)</f>
        <v>4.38</v>
      </c>
      <c r="M121" s="240">
        <f>ROUND(Tabla2[[#This Row],[Área ocupada (m²)]],2)</f>
        <v>62.5</v>
      </c>
      <c r="N121" s="240">
        <f>ROUND(Tabla2[[#This Row],[Área techada (m²)]],2)</f>
        <v>62.5</v>
      </c>
      <c r="O121" s="243">
        <f>ROUND(Tabla2[[#This Row],[Área techada (m²)4]]*0.15,2)</f>
        <v>9.3800000000000008</v>
      </c>
      <c r="P121" s="6">
        <f>ROUND(Tabla2[[#This Row],[Área del terreno (m²)2]]*DATA!$F$4,-2)</f>
        <v>3100</v>
      </c>
      <c r="Q121" s="243">
        <f>+Tabla2[[#This Row],[Valor Comercial (US$)]]-Tabla2[[#This Row],[Valor del terreno (US$)]]</f>
        <v>56300</v>
      </c>
      <c r="R12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121" s="244">
        <f>ROUND(Tabla2[[#This Row],[Valor Comercial (US$)]]*0.8,-2)</f>
        <v>47500</v>
      </c>
      <c r="T121" s="244">
        <f>IF(Informe!$I$6=DATA!$B$4,R121,ROUND(Tabla2[[#This Row],[Área techada (m²)4]]*DATA!$F$5*1.15,-2))</f>
        <v>59400</v>
      </c>
      <c r="U121" s="8">
        <f t="shared" si="1"/>
        <v>3.3479999999999999</v>
      </c>
      <c r="V121" s="244">
        <f>ROUND(Tabla2[[#This Row],[Valor del terreno (US$)]]*Tabla2[[#This Row],[Tipo de Cambio]],-2)</f>
        <v>10400</v>
      </c>
      <c r="W121" s="244">
        <f>Tabla2[[#This Row],[Valor Comercial (S/.)]]-Tabla2[[#This Row],[Valor del terreno (S/.)]]</f>
        <v>188500</v>
      </c>
      <c r="X121" s="244">
        <f>ROUND(Tabla2[[#This Row],[Valor Comercial (US$)]]*Tabla2[[#This Row],[Tipo de Cambio]],-2)</f>
        <v>198900</v>
      </c>
      <c r="Y121" s="244">
        <f>ROUND(Tabla2[[#This Row],[Valor Realización (US$)]]*Tabla2[[#This Row],[Tipo de Cambio]],-2)</f>
        <v>159000</v>
      </c>
      <c r="Z121" s="244">
        <f>+ROUND(Tabla2[[#This Row],[Importe Asegurable (US$)]]*Tabla2[[#This Row],[Tipo de Cambio]],-2)</f>
        <v>198900</v>
      </c>
      <c r="AA121" s="245"/>
      <c r="AB121" s="2">
        <f>+Tabla2[[#This Row],[Valor Comercial (US$)]]/Tabla2[[#This Row],[Área techada (m²)4]]</f>
        <v>950.4</v>
      </c>
      <c r="AC12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21" s="1" t="s">
        <v>50</v>
      </c>
      <c r="AE121" s="222">
        <f>IF(Tabla2[[#This Row],[Moneda]]="Soles",Tabla2[[#This Row],[Valor de Venta]]/Tabla2[[#This Row],[Área techada (m²)]]/Tabla2[[#This Row],[Tipo de Cambio]],Tabla2[[#This Row],[Valor de Venta]]/Tabla2[[#This Row],[Área techada (m²)]])</f>
        <v>911.35005973715647</v>
      </c>
      <c r="AF121" s="347">
        <f>VLOOKUP(Tabla2[[#This Row],[VISTA]],DATA!$H$4:$I$17,2,FALSE)</f>
        <v>950</v>
      </c>
      <c r="AG121" s="221">
        <f>+Tabla2[[#This Row],[Valor Comercial (S/.)]]/Tabla2[[#This Row],[Valor de Venta]]-1</f>
        <v>4.2999475616150917E-2</v>
      </c>
    </row>
    <row r="122" spans="1:33" s="1" customFormat="1" ht="15" customHeight="1" x14ac:dyDescent="0.25">
      <c r="A122" s="225" t="s">
        <v>30</v>
      </c>
      <c r="B122" s="22">
        <v>1407</v>
      </c>
      <c r="C122" s="14">
        <v>14</v>
      </c>
      <c r="D122" s="27"/>
      <c r="E122" s="28"/>
      <c r="F122" s="12">
        <f>ROUND(Tabla2[[#This Row],[Área ocupada (m²)]]/20*1.4,2)</f>
        <v>4.38</v>
      </c>
      <c r="G122" s="12">
        <v>62.5</v>
      </c>
      <c r="H122" s="12">
        <v>62.5</v>
      </c>
      <c r="I122" s="12">
        <f>ROUND(Tabla2[[#This Row],[Área techada (m²)]]*0.15,2)</f>
        <v>9.3800000000000008</v>
      </c>
      <c r="J122" s="18" t="s">
        <v>33</v>
      </c>
      <c r="K122" s="7">
        <v>183700</v>
      </c>
      <c r="L122" s="240">
        <f>ROUND(Tabla2[[#This Row],[Área ocupada (m²)3]]/20*1.4,2)</f>
        <v>4.38</v>
      </c>
      <c r="M122" s="240">
        <f>ROUND(Tabla2[[#This Row],[Área ocupada (m²)]],2)</f>
        <v>62.5</v>
      </c>
      <c r="N122" s="240">
        <f>ROUND(Tabla2[[#This Row],[Área techada (m²)]],2)</f>
        <v>62.5</v>
      </c>
      <c r="O122" s="243">
        <f>ROUND(Tabla2[[#This Row],[Área techada (m²)4]]*0.15,2)</f>
        <v>9.3800000000000008</v>
      </c>
      <c r="P122" s="6">
        <f>ROUND(Tabla2[[#This Row],[Área del terreno (m²)2]]*DATA!$F$4,-2)</f>
        <v>3100</v>
      </c>
      <c r="Q122" s="243">
        <f>+Tabla2[[#This Row],[Valor Comercial (US$)]]-Tabla2[[#This Row],[Valor del terreno (US$)]]</f>
        <v>53200</v>
      </c>
      <c r="R12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22" s="244">
        <f>ROUND(Tabla2[[#This Row],[Valor Comercial (US$)]]*0.8,-2)</f>
        <v>45000</v>
      </c>
      <c r="T122" s="244">
        <f>IF(Informe!$I$6=DATA!$B$4,R122,ROUND(Tabla2[[#This Row],[Área techada (m²)4]]*DATA!$F$5*1.15,-2))</f>
        <v>56300</v>
      </c>
      <c r="U122" s="8">
        <f t="shared" si="1"/>
        <v>3.3479999999999999</v>
      </c>
      <c r="V122" s="244">
        <f>ROUND(Tabla2[[#This Row],[Valor del terreno (US$)]]*Tabla2[[#This Row],[Tipo de Cambio]],-2)</f>
        <v>10400</v>
      </c>
      <c r="W122" s="244">
        <f>Tabla2[[#This Row],[Valor Comercial (S/.)]]-Tabla2[[#This Row],[Valor del terreno (S/.)]]</f>
        <v>178100</v>
      </c>
      <c r="X122" s="244">
        <f>ROUND(Tabla2[[#This Row],[Valor Comercial (US$)]]*Tabla2[[#This Row],[Tipo de Cambio]],-2)</f>
        <v>188500</v>
      </c>
      <c r="Y122" s="244">
        <f>ROUND(Tabla2[[#This Row],[Valor Realización (US$)]]*Tabla2[[#This Row],[Tipo de Cambio]],-2)</f>
        <v>150700</v>
      </c>
      <c r="Z122" s="244">
        <f>+ROUND(Tabla2[[#This Row],[Importe Asegurable (US$)]]*Tabla2[[#This Row],[Tipo de Cambio]],-2)</f>
        <v>188500</v>
      </c>
      <c r="AA122" s="245"/>
      <c r="AB122" s="2">
        <f>+Tabla2[[#This Row],[Valor Comercial (US$)]]/Tabla2[[#This Row],[Área techada (m²)4]]</f>
        <v>900.8</v>
      </c>
      <c r="AC12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22" s="1" t="s">
        <v>51</v>
      </c>
      <c r="AE122" s="222">
        <f>IF(Tabla2[[#This Row],[Moneda]]="Soles",Tabla2[[#This Row],[Valor de Venta]]/Tabla2[[#This Row],[Área techada (m²)]]/Tabla2[[#This Row],[Tipo de Cambio]],Tabla2[[#This Row],[Valor de Venta]]/Tabla2[[#This Row],[Área techada (m²)]])</f>
        <v>877.89725209080041</v>
      </c>
      <c r="AF122" s="347">
        <f>VLOOKUP(Tabla2[[#This Row],[VISTA]],DATA!$H$4:$I$17,2,FALSE)</f>
        <v>900</v>
      </c>
      <c r="AG122" s="221">
        <f>+Tabla2[[#This Row],[Valor Comercial (S/.)]]/Tabla2[[#This Row],[Valor de Venta]]-1</f>
        <v>2.6129559063690744E-2</v>
      </c>
    </row>
    <row r="123" spans="1:33" s="1" customFormat="1" ht="15" customHeight="1" x14ac:dyDescent="0.25">
      <c r="A123" s="225" t="s">
        <v>30</v>
      </c>
      <c r="B123" s="22">
        <v>1408</v>
      </c>
      <c r="C123" s="14">
        <v>14</v>
      </c>
      <c r="D123" s="27"/>
      <c r="E123" s="28"/>
      <c r="F123" s="12">
        <f>ROUND(Tabla2[[#This Row],[Área ocupada (m²)]]/20*1.4,2)</f>
        <v>4.5599999999999996</v>
      </c>
      <c r="G123" s="12">
        <v>65.2</v>
      </c>
      <c r="H123" s="12">
        <v>65.2</v>
      </c>
      <c r="I123" s="12">
        <f>ROUND(Tabla2[[#This Row],[Área techada (m²)]]*0.15,2)</f>
        <v>9.7799999999999994</v>
      </c>
      <c r="J123" s="18" t="s">
        <v>33</v>
      </c>
      <c r="K123" s="7">
        <v>194600</v>
      </c>
      <c r="L123" s="240">
        <f>ROUND(Tabla2[[#This Row],[Área ocupada (m²)3]]/20*1.4,2)</f>
        <v>4.5599999999999996</v>
      </c>
      <c r="M123" s="240">
        <f>ROUND(Tabla2[[#This Row],[Área ocupada (m²)]],2)</f>
        <v>65.2</v>
      </c>
      <c r="N123" s="240">
        <f>ROUND(Tabla2[[#This Row],[Área techada (m²)]],2)</f>
        <v>65.2</v>
      </c>
      <c r="O123" s="243">
        <f>ROUND(Tabla2[[#This Row],[Área techada (m²)4]]*0.15,2)</f>
        <v>9.7799999999999994</v>
      </c>
      <c r="P123" s="6">
        <f>ROUND(Tabla2[[#This Row],[Área del terreno (m²)2]]*DATA!$F$4,-2)</f>
        <v>3200</v>
      </c>
      <c r="Q123" s="243">
        <f>+Tabla2[[#This Row],[Valor Comercial (US$)]]-Tabla2[[#This Row],[Valor del terreno (US$)]]</f>
        <v>58700</v>
      </c>
      <c r="R12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23" s="244">
        <f>ROUND(Tabla2[[#This Row],[Valor Comercial (US$)]]*0.8,-2)</f>
        <v>49500</v>
      </c>
      <c r="T123" s="244">
        <f>IF(Informe!$I$6=DATA!$B$4,R123,ROUND(Tabla2[[#This Row],[Área techada (m²)4]]*DATA!$F$5*1.15,-2))</f>
        <v>61900</v>
      </c>
      <c r="U123" s="8">
        <f t="shared" si="1"/>
        <v>3.3479999999999999</v>
      </c>
      <c r="V123" s="244">
        <f>ROUND(Tabla2[[#This Row],[Valor del terreno (US$)]]*Tabla2[[#This Row],[Tipo de Cambio]],-2)</f>
        <v>10700</v>
      </c>
      <c r="W123" s="244">
        <f>Tabla2[[#This Row],[Valor Comercial (S/.)]]-Tabla2[[#This Row],[Valor del terreno (S/.)]]</f>
        <v>196500</v>
      </c>
      <c r="X123" s="244">
        <f>ROUND(Tabla2[[#This Row],[Valor Comercial (US$)]]*Tabla2[[#This Row],[Tipo de Cambio]],-2)</f>
        <v>207200</v>
      </c>
      <c r="Y123" s="244">
        <f>ROUND(Tabla2[[#This Row],[Valor Realización (US$)]]*Tabla2[[#This Row],[Tipo de Cambio]],-2)</f>
        <v>165700</v>
      </c>
      <c r="Z123" s="244">
        <f>+ROUND(Tabla2[[#This Row],[Importe Asegurable (US$)]]*Tabla2[[#This Row],[Tipo de Cambio]],-2)</f>
        <v>207200</v>
      </c>
      <c r="AA123" s="245"/>
      <c r="AB123" s="2">
        <f>+Tabla2[[#This Row],[Valor Comercial (US$)]]/Tabla2[[#This Row],[Área techada (m²)4]]</f>
        <v>949.38650306748457</v>
      </c>
      <c r="AC12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23" s="1" t="s">
        <v>50</v>
      </c>
      <c r="AE123" s="222">
        <f>IF(Tabla2[[#This Row],[Moneda]]="Soles",Tabla2[[#This Row],[Valor de Venta]]/Tabla2[[#This Row],[Área techada (m²)]]/Tabla2[[#This Row],[Tipo de Cambio]],Tabla2[[#This Row],[Valor de Venta]]/Tabla2[[#This Row],[Área techada (m²)]])</f>
        <v>891.47627738563824</v>
      </c>
      <c r="AF123" s="347">
        <f>VLOOKUP(Tabla2[[#This Row],[VISTA]],DATA!$H$4:$I$17,2,FALSE)</f>
        <v>950</v>
      </c>
      <c r="AG123" s="221">
        <f>+Tabla2[[#This Row],[Valor Comercial (S/.)]]/Tabla2[[#This Row],[Valor de Venta]]-1</f>
        <v>6.4748201438848962E-2</v>
      </c>
    </row>
    <row r="124" spans="1:33" s="1" customFormat="1" ht="15" customHeight="1" x14ac:dyDescent="0.25">
      <c r="A124" s="225" t="s">
        <v>30</v>
      </c>
      <c r="B124" s="22">
        <v>1501</v>
      </c>
      <c r="C124" s="14">
        <v>15</v>
      </c>
      <c r="D124" s="27"/>
      <c r="E124" s="28"/>
      <c r="F124" s="12">
        <f>ROUND(Tabla2[[#This Row],[Área ocupada (m²)]]/20*1.4,2)</f>
        <v>4.5599999999999996</v>
      </c>
      <c r="G124" s="12">
        <v>65.2</v>
      </c>
      <c r="H124" s="12">
        <v>65.2</v>
      </c>
      <c r="I124" s="12">
        <f>ROUND(Tabla2[[#This Row],[Área techada (m²)]]*0.15,2)</f>
        <v>9.7799999999999994</v>
      </c>
      <c r="J124" s="18" t="s">
        <v>33</v>
      </c>
      <c r="K124" s="7">
        <v>189800</v>
      </c>
      <c r="L124" s="240">
        <f>ROUND(Tabla2[[#This Row],[Área ocupada (m²)3]]/20*1.4,2)</f>
        <v>4.5599999999999996</v>
      </c>
      <c r="M124" s="240">
        <f>ROUND(Tabla2[[#This Row],[Área ocupada (m²)]],2)</f>
        <v>65.2</v>
      </c>
      <c r="N124" s="240">
        <f>ROUND(Tabla2[[#This Row],[Área techada (m²)]],2)</f>
        <v>65.2</v>
      </c>
      <c r="O124" s="243">
        <f>ROUND(Tabla2[[#This Row],[Área techada (m²)4]]*0.15,2)</f>
        <v>9.7799999999999994</v>
      </c>
      <c r="P124" s="6">
        <f>ROUND(Tabla2[[#This Row],[Área del terreno (m²)2]]*DATA!$F$4,-2)</f>
        <v>3200</v>
      </c>
      <c r="Q124" s="243">
        <f>+Tabla2[[#This Row],[Valor Comercial (US$)]]-Tabla2[[#This Row],[Valor del terreno (US$)]]</f>
        <v>55500</v>
      </c>
      <c r="R12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58700</v>
      </c>
      <c r="S124" s="244">
        <f>ROUND(Tabla2[[#This Row],[Valor Comercial (US$)]]*0.8,-2)</f>
        <v>47000</v>
      </c>
      <c r="T124" s="244">
        <f>IF(Informe!$I$6=DATA!$B$4,R124,ROUND(Tabla2[[#This Row],[Área techada (m²)4]]*DATA!$F$5*1.15,-2))</f>
        <v>58700</v>
      </c>
      <c r="U124" s="8">
        <f t="shared" si="1"/>
        <v>3.3479999999999999</v>
      </c>
      <c r="V124" s="244">
        <f>ROUND(Tabla2[[#This Row],[Valor del terreno (US$)]]*Tabla2[[#This Row],[Tipo de Cambio]],-2)</f>
        <v>10700</v>
      </c>
      <c r="W124" s="244">
        <f>Tabla2[[#This Row],[Valor Comercial (S/.)]]-Tabla2[[#This Row],[Valor del terreno (S/.)]]</f>
        <v>185800</v>
      </c>
      <c r="X124" s="244">
        <f>ROUND(Tabla2[[#This Row],[Valor Comercial (US$)]]*Tabla2[[#This Row],[Tipo de Cambio]],-2)</f>
        <v>196500</v>
      </c>
      <c r="Y124" s="244">
        <f>ROUND(Tabla2[[#This Row],[Valor Realización (US$)]]*Tabla2[[#This Row],[Tipo de Cambio]],-2)</f>
        <v>157400</v>
      </c>
      <c r="Z124" s="244">
        <f>+ROUND(Tabla2[[#This Row],[Importe Asegurable (US$)]]*Tabla2[[#This Row],[Tipo de Cambio]],-2)</f>
        <v>196500</v>
      </c>
      <c r="AA124" s="245"/>
      <c r="AB124" s="2">
        <f>+Tabla2[[#This Row],[Valor Comercial (US$)]]/Tabla2[[#This Row],[Área techada (m²)4]]</f>
        <v>900.30674846625766</v>
      </c>
      <c r="AC12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24" s="1" t="s">
        <v>51</v>
      </c>
      <c r="AE124" s="222">
        <f>IF(Tabla2[[#This Row],[Moneda]]="Soles",Tabla2[[#This Row],[Valor de Venta]]/Tabla2[[#This Row],[Área techada (m²)]]/Tabla2[[#This Row],[Tipo de Cambio]],Tabla2[[#This Row],[Valor de Venta]]/Tabla2[[#This Row],[Área techada (m²)]])</f>
        <v>869.48714001949702</v>
      </c>
      <c r="AF124" s="347">
        <f>VLOOKUP(Tabla2[[#This Row],[VISTA]],DATA!$H$4:$I$17,2,FALSE)</f>
        <v>900</v>
      </c>
      <c r="AG124" s="221">
        <f>+Tabla2[[#This Row],[Valor Comercial (S/.)]]/Tabla2[[#This Row],[Valor de Venta]]-1</f>
        <v>3.5300316122233832E-2</v>
      </c>
    </row>
    <row r="125" spans="1:33" s="1" customFormat="1" ht="15" customHeight="1" x14ac:dyDescent="0.25">
      <c r="A125" s="225" t="s">
        <v>30</v>
      </c>
      <c r="B125" s="22">
        <v>1502</v>
      </c>
      <c r="C125" s="14">
        <v>15</v>
      </c>
      <c r="D125" s="27"/>
      <c r="E125" s="28"/>
      <c r="F125" s="12">
        <f>ROUND(Tabla2[[#This Row],[Área ocupada (m²)]]/20*1.4,2)</f>
        <v>4.38</v>
      </c>
      <c r="G125" s="12">
        <v>62.5</v>
      </c>
      <c r="H125" s="12">
        <v>62.5</v>
      </c>
      <c r="I125" s="12">
        <f>ROUND(Tabla2[[#This Row],[Área techada (m²)]]*0.15,2)</f>
        <v>9.3800000000000008</v>
      </c>
      <c r="J125" s="18" t="s">
        <v>33</v>
      </c>
      <c r="K125" s="7">
        <v>177900</v>
      </c>
      <c r="L125" s="240">
        <f>ROUND(Tabla2[[#This Row],[Área ocupada (m²)3]]/20*1.4,2)</f>
        <v>4.38</v>
      </c>
      <c r="M125" s="240">
        <f>ROUND(Tabla2[[#This Row],[Área ocupada (m²)]],2)</f>
        <v>62.5</v>
      </c>
      <c r="N125" s="240">
        <f>ROUND(Tabla2[[#This Row],[Área techada (m²)]],2)</f>
        <v>62.5</v>
      </c>
      <c r="O125" s="243">
        <f>ROUND(Tabla2[[#This Row],[Área techada (m²)4]]*0.15,2)</f>
        <v>9.3800000000000008</v>
      </c>
      <c r="P125" s="6">
        <f>ROUND(Tabla2[[#This Row],[Área del terreno (m²)2]]*DATA!$F$4,-2)</f>
        <v>3100</v>
      </c>
      <c r="Q125" s="243">
        <f>+Tabla2[[#This Row],[Valor Comercial (US$)]]-Tabla2[[#This Row],[Valor del terreno (US$)]]</f>
        <v>53200</v>
      </c>
      <c r="R12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25" s="244">
        <f>ROUND(Tabla2[[#This Row],[Valor Comercial (US$)]]*0.8,-2)</f>
        <v>45000</v>
      </c>
      <c r="T125" s="244">
        <f>IF(Informe!$I$6=DATA!$B$4,R125,ROUND(Tabla2[[#This Row],[Área techada (m²)4]]*DATA!$F$5*1.15,-2))</f>
        <v>56300</v>
      </c>
      <c r="U125" s="8">
        <f t="shared" si="1"/>
        <v>3.3479999999999999</v>
      </c>
      <c r="V125" s="244">
        <f>ROUND(Tabla2[[#This Row],[Valor del terreno (US$)]]*Tabla2[[#This Row],[Tipo de Cambio]],-2)</f>
        <v>10400</v>
      </c>
      <c r="W125" s="244">
        <f>Tabla2[[#This Row],[Valor Comercial (S/.)]]-Tabla2[[#This Row],[Valor del terreno (S/.)]]</f>
        <v>178100</v>
      </c>
      <c r="X125" s="244">
        <f>ROUND(Tabla2[[#This Row],[Valor Comercial (US$)]]*Tabla2[[#This Row],[Tipo de Cambio]],-2)</f>
        <v>188500</v>
      </c>
      <c r="Y125" s="244">
        <f>ROUND(Tabla2[[#This Row],[Valor Realización (US$)]]*Tabla2[[#This Row],[Tipo de Cambio]],-2)</f>
        <v>150700</v>
      </c>
      <c r="Z125" s="244">
        <f>+ROUND(Tabla2[[#This Row],[Importe Asegurable (US$)]]*Tabla2[[#This Row],[Tipo de Cambio]],-2)</f>
        <v>188500</v>
      </c>
      <c r="AA125" s="245"/>
      <c r="AB125" s="2">
        <f>+Tabla2[[#This Row],[Valor Comercial (US$)]]/Tabla2[[#This Row],[Área techada (m²)4]]</f>
        <v>900.8</v>
      </c>
      <c r="AC12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25" s="1" t="s">
        <v>51</v>
      </c>
      <c r="AE125" s="222">
        <f>IF(Tabla2[[#This Row],[Moneda]]="Soles",Tabla2[[#This Row],[Valor de Venta]]/Tabla2[[#This Row],[Área techada (m²)]]/Tabla2[[#This Row],[Tipo de Cambio]],Tabla2[[#This Row],[Valor de Venta]]/Tabla2[[#This Row],[Área techada (m²)]])</f>
        <v>850.17921146953415</v>
      </c>
      <c r="AF125" s="347">
        <f>VLOOKUP(Tabla2[[#This Row],[VISTA]],DATA!$H$4:$I$17,2,FALSE)</f>
        <v>900</v>
      </c>
      <c r="AG125" s="221">
        <f>+Tabla2[[#This Row],[Valor Comercial (S/.)]]/Tabla2[[#This Row],[Valor de Venta]]-1</f>
        <v>5.9584035975267069E-2</v>
      </c>
    </row>
    <row r="126" spans="1:33" s="1" customFormat="1" ht="15" customHeight="1" x14ac:dyDescent="0.25">
      <c r="A126" s="225" t="s">
        <v>30</v>
      </c>
      <c r="B126" s="22">
        <v>1503</v>
      </c>
      <c r="C126" s="14">
        <v>15</v>
      </c>
      <c r="D126" s="27"/>
      <c r="E126" s="28"/>
      <c r="F126" s="12">
        <f>ROUND(Tabla2[[#This Row],[Área ocupada (m²)]]/20*1.4,2)</f>
        <v>4.38</v>
      </c>
      <c r="G126" s="12">
        <v>62.5</v>
      </c>
      <c r="H126" s="12">
        <v>62.5</v>
      </c>
      <c r="I126" s="12">
        <f>ROUND(Tabla2[[#This Row],[Área techada (m²)]]*0.15,2)</f>
        <v>9.3800000000000008</v>
      </c>
      <c r="J126" s="18" t="s">
        <v>33</v>
      </c>
      <c r="K126" s="7">
        <v>185900</v>
      </c>
      <c r="L126" s="240">
        <f>ROUND(Tabla2[[#This Row],[Área ocupada (m²)3]]/20*1.4,2)</f>
        <v>4.38</v>
      </c>
      <c r="M126" s="240">
        <f>ROUND(Tabla2[[#This Row],[Área ocupada (m²)]],2)</f>
        <v>62.5</v>
      </c>
      <c r="N126" s="240">
        <f>ROUND(Tabla2[[#This Row],[Área techada (m²)]],2)</f>
        <v>62.5</v>
      </c>
      <c r="O126" s="243">
        <f>ROUND(Tabla2[[#This Row],[Área techada (m²)4]]*0.15,2)</f>
        <v>9.3800000000000008</v>
      </c>
      <c r="P126" s="6">
        <f>ROUND(Tabla2[[#This Row],[Área del terreno (m²)2]]*DATA!$F$4,-2)</f>
        <v>3100</v>
      </c>
      <c r="Q126" s="243">
        <f>+Tabla2[[#This Row],[Valor Comercial (US$)]]-Tabla2[[#This Row],[Valor del terreno (US$)]]</f>
        <v>56300</v>
      </c>
      <c r="R12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126" s="244">
        <f>ROUND(Tabla2[[#This Row],[Valor Comercial (US$)]]*0.8,-2)</f>
        <v>47500</v>
      </c>
      <c r="T126" s="244">
        <f>IF(Informe!$I$6=DATA!$B$4,R126,ROUND(Tabla2[[#This Row],[Área techada (m²)4]]*DATA!$F$5*1.15,-2))</f>
        <v>59400</v>
      </c>
      <c r="U126" s="8">
        <f t="shared" si="1"/>
        <v>3.3479999999999999</v>
      </c>
      <c r="V126" s="244">
        <f>ROUND(Tabla2[[#This Row],[Valor del terreno (US$)]]*Tabla2[[#This Row],[Tipo de Cambio]],-2)</f>
        <v>10400</v>
      </c>
      <c r="W126" s="244">
        <f>Tabla2[[#This Row],[Valor Comercial (S/.)]]-Tabla2[[#This Row],[Valor del terreno (S/.)]]</f>
        <v>188500</v>
      </c>
      <c r="X126" s="244">
        <f>ROUND(Tabla2[[#This Row],[Valor Comercial (US$)]]*Tabla2[[#This Row],[Tipo de Cambio]],-2)</f>
        <v>198900</v>
      </c>
      <c r="Y126" s="244">
        <f>ROUND(Tabla2[[#This Row],[Valor Realización (US$)]]*Tabla2[[#This Row],[Tipo de Cambio]],-2)</f>
        <v>159000</v>
      </c>
      <c r="Z126" s="244">
        <f>+ROUND(Tabla2[[#This Row],[Importe Asegurable (US$)]]*Tabla2[[#This Row],[Tipo de Cambio]],-2)</f>
        <v>198900</v>
      </c>
      <c r="AA126" s="245"/>
      <c r="AB126" s="2">
        <f>+Tabla2[[#This Row],[Valor Comercial (US$)]]/Tabla2[[#This Row],[Área techada (m²)4]]</f>
        <v>950.4</v>
      </c>
      <c r="AC12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26" s="1" t="s">
        <v>50</v>
      </c>
      <c r="AE126" s="222">
        <f>IF(Tabla2[[#This Row],[Moneda]]="Soles",Tabla2[[#This Row],[Valor de Venta]]/Tabla2[[#This Row],[Área techada (m²)]]/Tabla2[[#This Row],[Tipo de Cambio]],Tabla2[[#This Row],[Valor de Venta]]/Tabla2[[#This Row],[Área techada (m²)]])</f>
        <v>888.41099163679814</v>
      </c>
      <c r="AF126" s="347">
        <f>VLOOKUP(Tabla2[[#This Row],[VISTA]],DATA!$H$4:$I$17,2,FALSE)</f>
        <v>950</v>
      </c>
      <c r="AG126" s="221">
        <f>+Tabla2[[#This Row],[Valor Comercial (S/.)]]/Tabla2[[#This Row],[Valor de Venta]]-1</f>
        <v>6.9930069930070005E-2</v>
      </c>
    </row>
    <row r="127" spans="1:33" s="1" customFormat="1" ht="15" customHeight="1" x14ac:dyDescent="0.25">
      <c r="A127" s="225" t="s">
        <v>30</v>
      </c>
      <c r="B127" s="22">
        <v>1504</v>
      </c>
      <c r="C127" s="14">
        <v>15</v>
      </c>
      <c r="D127" s="27"/>
      <c r="E127" s="28"/>
      <c r="F127" s="12">
        <f>ROUND(Tabla2[[#This Row],[Área ocupada (m²)]]/20*1.4,2)</f>
        <v>4.5599999999999996</v>
      </c>
      <c r="G127" s="12">
        <v>65.2</v>
      </c>
      <c r="H127" s="12">
        <v>65.2</v>
      </c>
      <c r="I127" s="12">
        <f>ROUND(Tabla2[[#This Row],[Área techada (m²)]]*0.15,2)</f>
        <v>9.7799999999999994</v>
      </c>
      <c r="J127" s="18" t="s">
        <v>33</v>
      </c>
      <c r="K127" s="7">
        <v>201700</v>
      </c>
      <c r="L127" s="240">
        <f>ROUND(Tabla2[[#This Row],[Área ocupada (m²)3]]/20*1.4,2)</f>
        <v>4.5599999999999996</v>
      </c>
      <c r="M127" s="240">
        <f>ROUND(Tabla2[[#This Row],[Área ocupada (m²)]],2)</f>
        <v>65.2</v>
      </c>
      <c r="N127" s="240">
        <f>ROUND(Tabla2[[#This Row],[Área techada (m²)]],2)</f>
        <v>65.2</v>
      </c>
      <c r="O127" s="243">
        <f>ROUND(Tabla2[[#This Row],[Área techada (m²)4]]*0.15,2)</f>
        <v>9.7799999999999994</v>
      </c>
      <c r="P127" s="6">
        <f>ROUND(Tabla2[[#This Row],[Área del terreno (m²)2]]*DATA!$F$4,-2)</f>
        <v>3200</v>
      </c>
      <c r="Q127" s="243">
        <f>+Tabla2[[#This Row],[Valor Comercial (US$)]]-Tabla2[[#This Row],[Valor del terreno (US$)]]</f>
        <v>58700</v>
      </c>
      <c r="R12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27" s="244">
        <f>ROUND(Tabla2[[#This Row],[Valor Comercial (US$)]]*0.8,-2)</f>
        <v>49500</v>
      </c>
      <c r="T127" s="244">
        <f>IF(Informe!$I$6=DATA!$B$4,R127,ROUND(Tabla2[[#This Row],[Área techada (m²)4]]*DATA!$F$5*1.15,-2))</f>
        <v>61900</v>
      </c>
      <c r="U127" s="8">
        <f t="shared" si="1"/>
        <v>3.3479999999999999</v>
      </c>
      <c r="V127" s="244">
        <f>ROUND(Tabla2[[#This Row],[Valor del terreno (US$)]]*Tabla2[[#This Row],[Tipo de Cambio]],-2)</f>
        <v>10700</v>
      </c>
      <c r="W127" s="244">
        <f>Tabla2[[#This Row],[Valor Comercial (S/.)]]-Tabla2[[#This Row],[Valor del terreno (S/.)]]</f>
        <v>196500</v>
      </c>
      <c r="X127" s="244">
        <f>ROUND(Tabla2[[#This Row],[Valor Comercial (US$)]]*Tabla2[[#This Row],[Tipo de Cambio]],-2)</f>
        <v>207200</v>
      </c>
      <c r="Y127" s="244">
        <f>ROUND(Tabla2[[#This Row],[Valor Realización (US$)]]*Tabla2[[#This Row],[Tipo de Cambio]],-2)</f>
        <v>165700</v>
      </c>
      <c r="Z127" s="244">
        <f>+ROUND(Tabla2[[#This Row],[Importe Asegurable (US$)]]*Tabla2[[#This Row],[Tipo de Cambio]],-2)</f>
        <v>207200</v>
      </c>
      <c r="AA127" s="245"/>
      <c r="AB127" s="2">
        <f>+Tabla2[[#This Row],[Valor Comercial (US$)]]/Tabla2[[#This Row],[Área techada (m²)4]]</f>
        <v>949.38650306748457</v>
      </c>
      <c r="AC12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27" s="1" t="s">
        <v>50</v>
      </c>
      <c r="AE127" s="222">
        <f>IF(Tabla2[[#This Row],[Moneda]]="Soles",Tabla2[[#This Row],[Valor de Venta]]/Tabla2[[#This Row],[Área techada (m²)]]/Tabla2[[#This Row],[Tipo de Cambio]],Tabla2[[#This Row],[Valor de Venta]]/Tabla2[[#This Row],[Área techada (m²)]])</f>
        <v>924.00187640638865</v>
      </c>
      <c r="AF127" s="347">
        <f>VLOOKUP(Tabla2[[#This Row],[VISTA]],DATA!$H$4:$I$17,2,FALSE)</f>
        <v>950</v>
      </c>
      <c r="AG127" s="221">
        <f>+Tabla2[[#This Row],[Valor Comercial (S/.)]]/Tabla2[[#This Row],[Valor de Venta]]-1</f>
        <v>2.7268220128904286E-2</v>
      </c>
    </row>
    <row r="128" spans="1:33" s="1" customFormat="1" ht="15" customHeight="1" x14ac:dyDescent="0.25">
      <c r="A128" s="225" t="s">
        <v>30</v>
      </c>
      <c r="B128" s="22">
        <v>1505</v>
      </c>
      <c r="C128" s="14">
        <v>15</v>
      </c>
      <c r="D128" s="38"/>
      <c r="E128" s="28"/>
      <c r="F128" s="12">
        <f>ROUND(Tabla2[[#This Row],[Área ocupada (m²)]]/20*1.4,2)</f>
        <v>4.5599999999999996</v>
      </c>
      <c r="G128" s="12">
        <v>65.2</v>
      </c>
      <c r="H128" s="12">
        <v>65.2</v>
      </c>
      <c r="I128" s="12">
        <f>ROUND(Tabla2[[#This Row],[Área techada (m²)]]*0.15,2)</f>
        <v>9.7799999999999994</v>
      </c>
      <c r="J128" s="18" t="s">
        <v>33</v>
      </c>
      <c r="K128" s="7">
        <v>198700</v>
      </c>
      <c r="L128" s="240">
        <f>ROUND(Tabla2[[#This Row],[Área ocupada (m²)3]]/20*1.4,2)</f>
        <v>4.5599999999999996</v>
      </c>
      <c r="M128" s="240">
        <f>ROUND(Tabla2[[#This Row],[Área ocupada (m²)]],2)</f>
        <v>65.2</v>
      </c>
      <c r="N128" s="240">
        <f>ROUND(Tabla2[[#This Row],[Área techada (m²)]],2)</f>
        <v>65.2</v>
      </c>
      <c r="O128" s="243">
        <f>ROUND(Tabla2[[#This Row],[Área techada (m²)4]]*0.15,2)</f>
        <v>9.7799999999999994</v>
      </c>
      <c r="P128" s="6">
        <f>ROUND(Tabla2[[#This Row],[Área del terreno (m²)2]]*DATA!$F$4,-2)</f>
        <v>3200</v>
      </c>
      <c r="Q128" s="243">
        <f>+Tabla2[[#This Row],[Valor Comercial (US$)]]-Tabla2[[#This Row],[Valor del terreno (US$)]]</f>
        <v>58700</v>
      </c>
      <c r="R12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28" s="244">
        <f>ROUND(Tabla2[[#This Row],[Valor Comercial (US$)]]*0.8,-2)</f>
        <v>49500</v>
      </c>
      <c r="T128" s="244">
        <f>IF(Informe!$I$6=DATA!$B$4,R128,ROUND(Tabla2[[#This Row],[Área techada (m²)4]]*DATA!$F$5*1.15,-2))</f>
        <v>61900</v>
      </c>
      <c r="U128" s="8">
        <f t="shared" si="1"/>
        <v>3.3479999999999999</v>
      </c>
      <c r="V128" s="244">
        <f>ROUND(Tabla2[[#This Row],[Valor del terreno (US$)]]*Tabla2[[#This Row],[Tipo de Cambio]],-2)</f>
        <v>10700</v>
      </c>
      <c r="W128" s="244">
        <f>Tabla2[[#This Row],[Valor Comercial (S/.)]]-Tabla2[[#This Row],[Valor del terreno (S/.)]]</f>
        <v>196500</v>
      </c>
      <c r="X128" s="244">
        <f>ROUND(Tabla2[[#This Row],[Valor Comercial (US$)]]*Tabla2[[#This Row],[Tipo de Cambio]],-2)</f>
        <v>207200</v>
      </c>
      <c r="Y128" s="244">
        <f>ROUND(Tabla2[[#This Row],[Valor Realización (US$)]]*Tabla2[[#This Row],[Tipo de Cambio]],-2)</f>
        <v>165700</v>
      </c>
      <c r="Z128" s="244">
        <f>+ROUND(Tabla2[[#This Row],[Importe Asegurable (US$)]]*Tabla2[[#This Row],[Tipo de Cambio]],-2)</f>
        <v>207200</v>
      </c>
      <c r="AA128" s="245"/>
      <c r="AB128" s="2">
        <f>+Tabla2[[#This Row],[Valor Comercial (US$)]]/Tabla2[[#This Row],[Área techada (m²)4]]</f>
        <v>949.38650306748457</v>
      </c>
      <c r="AC12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28" s="1" t="s">
        <v>50</v>
      </c>
      <c r="AE128" s="222">
        <f>IF(Tabla2[[#This Row],[Moneda]]="Soles",Tabla2[[#This Row],[Valor de Venta]]/Tabla2[[#This Row],[Área techada (m²)]]/Tabla2[[#This Row],[Tipo de Cambio]],Tabla2[[#This Row],[Valor de Venta]]/Tabla2[[#This Row],[Área techada (m²)]])</f>
        <v>910.25866555255038</v>
      </c>
      <c r="AF128" s="347">
        <f>VLOOKUP(Tabla2[[#This Row],[VISTA]],DATA!$H$4:$I$17,2,FALSE)</f>
        <v>950</v>
      </c>
      <c r="AG128" s="221">
        <f>+Tabla2[[#This Row],[Valor Comercial (S/.)]]/Tabla2[[#This Row],[Valor de Venta]]-1</f>
        <v>4.277805737292395E-2</v>
      </c>
    </row>
    <row r="129" spans="1:33" s="1" customFormat="1" ht="15" customHeight="1" x14ac:dyDescent="0.25">
      <c r="A129" s="225" t="s">
        <v>30</v>
      </c>
      <c r="B129" s="22">
        <v>1506</v>
      </c>
      <c r="C129" s="14">
        <v>15</v>
      </c>
      <c r="D129" s="27"/>
      <c r="E129" s="28"/>
      <c r="F129" s="12">
        <f>ROUND(Tabla2[[#This Row],[Área ocupada (m²)]]/20*1.4,2)</f>
        <v>4.38</v>
      </c>
      <c r="G129" s="12">
        <v>62.5</v>
      </c>
      <c r="H129" s="12">
        <v>62.5</v>
      </c>
      <c r="I129" s="12">
        <f>ROUND(Tabla2[[#This Row],[Área techada (m²)]]*0.15,2)</f>
        <v>9.3800000000000008</v>
      </c>
      <c r="J129" s="18" t="s">
        <v>33</v>
      </c>
      <c r="K129" s="7">
        <v>188900</v>
      </c>
      <c r="L129" s="240">
        <f>ROUND(Tabla2[[#This Row],[Área ocupada (m²)3]]/20*1.4,2)</f>
        <v>4.38</v>
      </c>
      <c r="M129" s="240">
        <f>ROUND(Tabla2[[#This Row],[Área ocupada (m²)]],2)</f>
        <v>62.5</v>
      </c>
      <c r="N129" s="240">
        <f>ROUND(Tabla2[[#This Row],[Área techada (m²)]],2)</f>
        <v>62.5</v>
      </c>
      <c r="O129" s="243">
        <f>ROUND(Tabla2[[#This Row],[Área techada (m²)4]]*0.15,2)</f>
        <v>9.3800000000000008</v>
      </c>
      <c r="P129" s="6">
        <f>ROUND(Tabla2[[#This Row],[Área del terreno (m²)2]]*DATA!$F$4,-2)</f>
        <v>3100</v>
      </c>
      <c r="Q129" s="243">
        <f>+Tabla2[[#This Row],[Valor Comercial (US$)]]-Tabla2[[#This Row],[Valor del terreno (US$)]]</f>
        <v>56300</v>
      </c>
      <c r="R12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129" s="244">
        <f>ROUND(Tabla2[[#This Row],[Valor Comercial (US$)]]*0.8,-2)</f>
        <v>47500</v>
      </c>
      <c r="T129" s="244">
        <f>IF(Informe!$I$6=DATA!$B$4,R129,ROUND(Tabla2[[#This Row],[Área techada (m²)4]]*DATA!$F$5*1.15,-2))</f>
        <v>59400</v>
      </c>
      <c r="U129" s="8">
        <f t="shared" si="1"/>
        <v>3.3479999999999999</v>
      </c>
      <c r="V129" s="244">
        <f>ROUND(Tabla2[[#This Row],[Valor del terreno (US$)]]*Tabla2[[#This Row],[Tipo de Cambio]],-2)</f>
        <v>10400</v>
      </c>
      <c r="W129" s="244">
        <f>Tabla2[[#This Row],[Valor Comercial (S/.)]]-Tabla2[[#This Row],[Valor del terreno (S/.)]]</f>
        <v>188500</v>
      </c>
      <c r="X129" s="244">
        <f>ROUND(Tabla2[[#This Row],[Valor Comercial (US$)]]*Tabla2[[#This Row],[Tipo de Cambio]],-2)</f>
        <v>198900</v>
      </c>
      <c r="Y129" s="244">
        <f>ROUND(Tabla2[[#This Row],[Valor Realización (US$)]]*Tabla2[[#This Row],[Tipo de Cambio]],-2)</f>
        <v>159000</v>
      </c>
      <c r="Z129" s="244">
        <f>+ROUND(Tabla2[[#This Row],[Importe Asegurable (US$)]]*Tabla2[[#This Row],[Tipo de Cambio]],-2)</f>
        <v>198900</v>
      </c>
      <c r="AA129" s="245"/>
      <c r="AB129" s="2">
        <f>+Tabla2[[#This Row],[Valor Comercial (US$)]]/Tabla2[[#This Row],[Área techada (m²)4]]</f>
        <v>950.4</v>
      </c>
      <c r="AC12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29" s="1" t="s">
        <v>50</v>
      </c>
      <c r="AE129" s="222">
        <f>IF(Tabla2[[#This Row],[Moneda]]="Soles",Tabla2[[#This Row],[Valor de Venta]]/Tabla2[[#This Row],[Área techada (m²)]]/Tabla2[[#This Row],[Tipo de Cambio]],Tabla2[[#This Row],[Valor de Venta]]/Tabla2[[#This Row],[Área techada (m²)]])</f>
        <v>902.74790919952216</v>
      </c>
      <c r="AF129" s="347">
        <f>VLOOKUP(Tabla2[[#This Row],[VISTA]],DATA!$H$4:$I$17,2,FALSE)</f>
        <v>950</v>
      </c>
      <c r="AG129" s="221">
        <f>+Tabla2[[#This Row],[Valor Comercial (S/.)]]/Tabla2[[#This Row],[Valor de Venta]]-1</f>
        <v>5.2938062466913793E-2</v>
      </c>
    </row>
    <row r="130" spans="1:33" s="1" customFormat="1" ht="15" customHeight="1" x14ac:dyDescent="0.25">
      <c r="A130" s="225" t="s">
        <v>30</v>
      </c>
      <c r="B130" s="22">
        <v>1507</v>
      </c>
      <c r="C130" s="14">
        <v>15</v>
      </c>
      <c r="D130" s="27"/>
      <c r="E130" s="28"/>
      <c r="F130" s="12">
        <f>ROUND(Tabla2[[#This Row],[Área ocupada (m²)]]/20*1.4,2)</f>
        <v>4.38</v>
      </c>
      <c r="G130" s="12">
        <v>62.5</v>
      </c>
      <c r="H130" s="12">
        <v>62.5</v>
      </c>
      <c r="I130" s="12">
        <f>ROUND(Tabla2[[#This Row],[Área techada (m²)]]*0.15,2)</f>
        <v>9.3800000000000008</v>
      </c>
      <c r="J130" s="18" t="s">
        <v>33</v>
      </c>
      <c r="K130" s="7">
        <v>175900</v>
      </c>
      <c r="L130" s="240">
        <f>ROUND(Tabla2[[#This Row],[Área ocupada (m²)3]]/20*1.4,2)</f>
        <v>4.38</v>
      </c>
      <c r="M130" s="240">
        <f>ROUND(Tabla2[[#This Row],[Área ocupada (m²)]],2)</f>
        <v>62.5</v>
      </c>
      <c r="N130" s="240">
        <f>ROUND(Tabla2[[#This Row],[Área techada (m²)]],2)</f>
        <v>62.5</v>
      </c>
      <c r="O130" s="243">
        <f>ROUND(Tabla2[[#This Row],[Área techada (m²)4]]*0.15,2)</f>
        <v>9.3800000000000008</v>
      </c>
      <c r="P130" s="6">
        <f>ROUND(Tabla2[[#This Row],[Área del terreno (m²)2]]*DATA!$F$4,-2)</f>
        <v>3100</v>
      </c>
      <c r="Q130" s="243">
        <f>+Tabla2[[#This Row],[Valor Comercial (US$)]]-Tabla2[[#This Row],[Valor del terreno (US$)]]</f>
        <v>53200</v>
      </c>
      <c r="R13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30" s="244">
        <f>ROUND(Tabla2[[#This Row],[Valor Comercial (US$)]]*0.8,-2)</f>
        <v>45000</v>
      </c>
      <c r="T130" s="244">
        <f>IF(Informe!$I$6=DATA!$B$4,R130,ROUND(Tabla2[[#This Row],[Área techada (m²)4]]*DATA!$F$5*1.15,-2))</f>
        <v>56300</v>
      </c>
      <c r="U130" s="8">
        <f t="shared" si="1"/>
        <v>3.3479999999999999</v>
      </c>
      <c r="V130" s="244">
        <f>ROUND(Tabla2[[#This Row],[Valor del terreno (US$)]]*Tabla2[[#This Row],[Tipo de Cambio]],-2)</f>
        <v>10400</v>
      </c>
      <c r="W130" s="244">
        <f>Tabla2[[#This Row],[Valor Comercial (S/.)]]-Tabla2[[#This Row],[Valor del terreno (S/.)]]</f>
        <v>178100</v>
      </c>
      <c r="X130" s="244">
        <f>ROUND(Tabla2[[#This Row],[Valor Comercial (US$)]]*Tabla2[[#This Row],[Tipo de Cambio]],-2)</f>
        <v>188500</v>
      </c>
      <c r="Y130" s="244">
        <f>ROUND(Tabla2[[#This Row],[Valor Realización (US$)]]*Tabla2[[#This Row],[Tipo de Cambio]],-2)</f>
        <v>150700</v>
      </c>
      <c r="Z130" s="244">
        <f>+ROUND(Tabla2[[#This Row],[Importe Asegurable (US$)]]*Tabla2[[#This Row],[Tipo de Cambio]],-2)</f>
        <v>188500</v>
      </c>
      <c r="AA130" s="245"/>
      <c r="AB130" s="2">
        <f>+Tabla2[[#This Row],[Valor Comercial (US$)]]/Tabla2[[#This Row],[Área techada (m²)4]]</f>
        <v>900.8</v>
      </c>
      <c r="AC13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30" s="1" t="s">
        <v>51</v>
      </c>
      <c r="AE130" s="222">
        <f>IF(Tabla2[[#This Row],[Moneda]]="Soles",Tabla2[[#This Row],[Valor de Venta]]/Tabla2[[#This Row],[Área techada (m²)]]/Tabla2[[#This Row],[Tipo de Cambio]],Tabla2[[#This Row],[Valor de Venta]]/Tabla2[[#This Row],[Área techada (m²)]])</f>
        <v>840.62126642771807</v>
      </c>
      <c r="AF130" s="347">
        <f>VLOOKUP(Tabla2[[#This Row],[VISTA]],DATA!$H$4:$I$17,2,FALSE)</f>
        <v>900</v>
      </c>
      <c r="AG130" s="221">
        <f>+Tabla2[[#This Row],[Valor Comercial (S/.)]]/Tabla2[[#This Row],[Valor de Venta]]-1</f>
        <v>7.1631608868675478E-2</v>
      </c>
    </row>
    <row r="131" spans="1:33" s="1" customFormat="1" ht="15" customHeight="1" x14ac:dyDescent="0.25">
      <c r="A131" s="225" t="s">
        <v>30</v>
      </c>
      <c r="B131" s="22">
        <v>1508</v>
      </c>
      <c r="C131" s="14">
        <v>15</v>
      </c>
      <c r="D131" s="27"/>
      <c r="E131" s="28"/>
      <c r="F131" s="12">
        <f>ROUND(Tabla2[[#This Row],[Área ocupada (m²)]]/20*1.4,2)</f>
        <v>4.5599999999999996</v>
      </c>
      <c r="G131" s="12">
        <v>65.2</v>
      </c>
      <c r="H131" s="12">
        <v>65.2</v>
      </c>
      <c r="I131" s="12">
        <f>ROUND(Tabla2[[#This Row],[Área techada (m²)]]*0.15,2)</f>
        <v>9.7799999999999994</v>
      </c>
      <c r="J131" s="18" t="s">
        <v>33</v>
      </c>
      <c r="K131" s="7">
        <v>194700</v>
      </c>
      <c r="L131" s="240">
        <f>ROUND(Tabla2[[#This Row],[Área ocupada (m²)3]]/20*1.4,2)</f>
        <v>4.5599999999999996</v>
      </c>
      <c r="M131" s="240">
        <f>ROUND(Tabla2[[#This Row],[Área ocupada (m²)]],2)</f>
        <v>65.2</v>
      </c>
      <c r="N131" s="240">
        <f>ROUND(Tabla2[[#This Row],[Área techada (m²)]],2)</f>
        <v>65.2</v>
      </c>
      <c r="O131" s="243">
        <f>ROUND(Tabla2[[#This Row],[Área techada (m²)4]]*0.15,2)</f>
        <v>9.7799999999999994</v>
      </c>
      <c r="P131" s="6">
        <f>ROUND(Tabla2[[#This Row],[Área del terreno (m²)2]]*DATA!$F$4,-2)</f>
        <v>3200</v>
      </c>
      <c r="Q131" s="243">
        <f>+Tabla2[[#This Row],[Valor Comercial (US$)]]-Tabla2[[#This Row],[Valor del terreno (US$)]]</f>
        <v>58700</v>
      </c>
      <c r="R13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31" s="244">
        <f>ROUND(Tabla2[[#This Row],[Valor Comercial (US$)]]*0.8,-2)</f>
        <v>49500</v>
      </c>
      <c r="T131" s="244">
        <f>IF(Informe!$I$6=DATA!$B$4,R131,ROUND(Tabla2[[#This Row],[Área techada (m²)4]]*DATA!$F$5*1.15,-2))</f>
        <v>61900</v>
      </c>
      <c r="U131" s="8">
        <f t="shared" si="1"/>
        <v>3.3479999999999999</v>
      </c>
      <c r="V131" s="244">
        <f>ROUND(Tabla2[[#This Row],[Valor del terreno (US$)]]*Tabla2[[#This Row],[Tipo de Cambio]],-2)</f>
        <v>10700</v>
      </c>
      <c r="W131" s="244">
        <f>Tabla2[[#This Row],[Valor Comercial (S/.)]]-Tabla2[[#This Row],[Valor del terreno (S/.)]]</f>
        <v>196500</v>
      </c>
      <c r="X131" s="244">
        <f>ROUND(Tabla2[[#This Row],[Valor Comercial (US$)]]*Tabla2[[#This Row],[Tipo de Cambio]],-2)</f>
        <v>207200</v>
      </c>
      <c r="Y131" s="244">
        <f>ROUND(Tabla2[[#This Row],[Valor Realización (US$)]]*Tabla2[[#This Row],[Tipo de Cambio]],-2)</f>
        <v>165700</v>
      </c>
      <c r="Z131" s="244">
        <f>+ROUND(Tabla2[[#This Row],[Importe Asegurable (US$)]]*Tabla2[[#This Row],[Tipo de Cambio]],-2)</f>
        <v>207200</v>
      </c>
      <c r="AA131" s="245"/>
      <c r="AB131" s="2">
        <f>+Tabla2[[#This Row],[Valor Comercial (US$)]]/Tabla2[[#This Row],[Área techada (m²)4]]</f>
        <v>949.38650306748457</v>
      </c>
      <c r="AC13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31" s="1" t="s">
        <v>50</v>
      </c>
      <c r="AE131" s="222">
        <f>IF(Tabla2[[#This Row],[Moneda]]="Soles",Tabla2[[#This Row],[Valor de Venta]]/Tabla2[[#This Row],[Área techada (m²)]]/Tabla2[[#This Row],[Tipo de Cambio]],Tabla2[[#This Row],[Valor de Venta]]/Tabla2[[#This Row],[Área techada (m²)]])</f>
        <v>891.93438441409944</v>
      </c>
      <c r="AF131" s="347">
        <f>VLOOKUP(Tabla2[[#This Row],[VISTA]],DATA!$H$4:$I$17,2,FALSE)</f>
        <v>950</v>
      </c>
      <c r="AG131" s="221">
        <f>+Tabla2[[#This Row],[Valor Comercial (S/.)]]/Tabla2[[#This Row],[Valor de Venta]]-1</f>
        <v>6.4201335387776171E-2</v>
      </c>
    </row>
    <row r="132" spans="1:33" s="1" customFormat="1" ht="15" customHeight="1" x14ac:dyDescent="0.25">
      <c r="A132" s="225" t="s">
        <v>30</v>
      </c>
      <c r="B132" s="22">
        <v>1601</v>
      </c>
      <c r="C132" s="14">
        <v>16</v>
      </c>
      <c r="D132" s="27"/>
      <c r="E132" s="28"/>
      <c r="F132" s="12">
        <f>ROUND(Tabla2[[#This Row],[Área ocupada (m²)]]/20*1.4,2)</f>
        <v>4.5599999999999996</v>
      </c>
      <c r="G132" s="12">
        <v>65.2</v>
      </c>
      <c r="H132" s="12">
        <v>65.2</v>
      </c>
      <c r="I132" s="12">
        <f>ROUND(Tabla2[[#This Row],[Área techada (m²)]]*0.15,2)</f>
        <v>9.7799999999999994</v>
      </c>
      <c r="J132" s="18" t="s">
        <v>33</v>
      </c>
      <c r="K132" s="7">
        <v>185800</v>
      </c>
      <c r="L132" s="240">
        <f>ROUND(Tabla2[[#This Row],[Área ocupada (m²)3]]/20*1.4,2)</f>
        <v>4.5599999999999996</v>
      </c>
      <c r="M132" s="240">
        <f>ROUND(Tabla2[[#This Row],[Área ocupada (m²)]],2)</f>
        <v>65.2</v>
      </c>
      <c r="N132" s="240">
        <f>ROUND(Tabla2[[#This Row],[Área techada (m²)]],2)</f>
        <v>65.2</v>
      </c>
      <c r="O132" s="243">
        <f>ROUND(Tabla2[[#This Row],[Área techada (m²)4]]*0.15,2)</f>
        <v>9.7799999999999994</v>
      </c>
      <c r="P132" s="6">
        <f>ROUND(Tabla2[[#This Row],[Área del terreno (m²)2]]*DATA!$F$4,-2)</f>
        <v>3200</v>
      </c>
      <c r="Q132" s="243">
        <f>+Tabla2[[#This Row],[Valor Comercial (US$)]]-Tabla2[[#This Row],[Valor del terreno (US$)]]</f>
        <v>55500</v>
      </c>
      <c r="R13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58700</v>
      </c>
      <c r="S132" s="244">
        <f>ROUND(Tabla2[[#This Row],[Valor Comercial (US$)]]*0.8,-2)</f>
        <v>47000</v>
      </c>
      <c r="T132" s="244">
        <f>IF(Informe!$I$6=DATA!$B$4,R132,ROUND(Tabla2[[#This Row],[Área techada (m²)4]]*DATA!$F$5*1.15,-2))</f>
        <v>58700</v>
      </c>
      <c r="U132" s="8">
        <f t="shared" si="1"/>
        <v>3.3479999999999999</v>
      </c>
      <c r="V132" s="244">
        <f>ROUND(Tabla2[[#This Row],[Valor del terreno (US$)]]*Tabla2[[#This Row],[Tipo de Cambio]],-2)</f>
        <v>10700</v>
      </c>
      <c r="W132" s="244">
        <f>Tabla2[[#This Row],[Valor Comercial (S/.)]]-Tabla2[[#This Row],[Valor del terreno (S/.)]]</f>
        <v>185800</v>
      </c>
      <c r="X132" s="244">
        <f>ROUND(Tabla2[[#This Row],[Valor Comercial (US$)]]*Tabla2[[#This Row],[Tipo de Cambio]],-2)</f>
        <v>196500</v>
      </c>
      <c r="Y132" s="244">
        <f>ROUND(Tabla2[[#This Row],[Valor Realización (US$)]]*Tabla2[[#This Row],[Tipo de Cambio]],-2)</f>
        <v>157400</v>
      </c>
      <c r="Z132" s="244">
        <f>+ROUND(Tabla2[[#This Row],[Importe Asegurable (US$)]]*Tabla2[[#This Row],[Tipo de Cambio]],-2)</f>
        <v>196500</v>
      </c>
      <c r="AA132" s="245"/>
      <c r="AB132" s="2">
        <f>+Tabla2[[#This Row],[Valor Comercial (US$)]]/Tabla2[[#This Row],[Área techada (m²)4]]</f>
        <v>900.30674846625766</v>
      </c>
      <c r="AC13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32" s="1" t="s">
        <v>51</v>
      </c>
      <c r="AE132" s="222">
        <f>IF(Tabla2[[#This Row],[Moneda]]="Soles",Tabla2[[#This Row],[Valor de Venta]]/Tabla2[[#This Row],[Área techada (m²)]]/Tabla2[[#This Row],[Tipo de Cambio]],Tabla2[[#This Row],[Valor de Venta]]/Tabla2[[#This Row],[Área techada (m²)]])</f>
        <v>851.16285888104608</v>
      </c>
      <c r="AF132" s="347">
        <f>VLOOKUP(Tabla2[[#This Row],[VISTA]],DATA!$H$4:$I$17,2,FALSE)</f>
        <v>900</v>
      </c>
      <c r="AG132" s="221">
        <f>+Tabla2[[#This Row],[Valor Comercial (S/.)]]/Tabla2[[#This Row],[Valor de Venta]]-1</f>
        <v>5.7588805166846058E-2</v>
      </c>
    </row>
    <row r="133" spans="1:33" s="1" customFormat="1" ht="15" customHeight="1" x14ac:dyDescent="0.25">
      <c r="A133" s="225" t="s">
        <v>30</v>
      </c>
      <c r="B133" s="22">
        <v>1602</v>
      </c>
      <c r="C133" s="14">
        <v>16</v>
      </c>
      <c r="D133" s="27"/>
      <c r="E133" s="28"/>
      <c r="F133" s="12">
        <f>ROUND(Tabla2[[#This Row],[Área ocupada (m²)]]/20*1.4,2)</f>
        <v>4.38</v>
      </c>
      <c r="G133" s="12">
        <v>62.5</v>
      </c>
      <c r="H133" s="12">
        <v>62.5</v>
      </c>
      <c r="I133" s="12">
        <f>ROUND(Tabla2[[#This Row],[Área techada (m²)]]*0.15,2)</f>
        <v>9.3800000000000008</v>
      </c>
      <c r="J133" s="18" t="s">
        <v>33</v>
      </c>
      <c r="K133" s="7">
        <v>176100</v>
      </c>
      <c r="L133" s="240">
        <f>ROUND(Tabla2[[#This Row],[Área ocupada (m²)3]]/20*1.4,2)</f>
        <v>4.38</v>
      </c>
      <c r="M133" s="240">
        <f>ROUND(Tabla2[[#This Row],[Área ocupada (m²)]],2)</f>
        <v>62.5</v>
      </c>
      <c r="N133" s="240">
        <f>ROUND(Tabla2[[#This Row],[Área techada (m²)]],2)</f>
        <v>62.5</v>
      </c>
      <c r="O133" s="243">
        <f>ROUND(Tabla2[[#This Row],[Área techada (m²)4]]*0.15,2)</f>
        <v>9.3800000000000008</v>
      </c>
      <c r="P133" s="6">
        <f>ROUND(Tabla2[[#This Row],[Área del terreno (m²)2]]*DATA!$F$4,-2)</f>
        <v>3100</v>
      </c>
      <c r="Q133" s="243">
        <f>+Tabla2[[#This Row],[Valor Comercial (US$)]]-Tabla2[[#This Row],[Valor del terreno (US$)]]</f>
        <v>53200</v>
      </c>
      <c r="R13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33" s="244">
        <f>ROUND(Tabla2[[#This Row],[Valor Comercial (US$)]]*0.8,-2)</f>
        <v>45000</v>
      </c>
      <c r="T133" s="244">
        <f>IF(Informe!$I$6=DATA!$B$4,R133,ROUND(Tabla2[[#This Row],[Área techada (m²)4]]*DATA!$F$5*1.15,-2))</f>
        <v>56300</v>
      </c>
      <c r="U133" s="8">
        <f t="shared" si="1"/>
        <v>3.3479999999999999</v>
      </c>
      <c r="V133" s="244">
        <f>ROUND(Tabla2[[#This Row],[Valor del terreno (US$)]]*Tabla2[[#This Row],[Tipo de Cambio]],-2)</f>
        <v>10400</v>
      </c>
      <c r="W133" s="244">
        <f>Tabla2[[#This Row],[Valor Comercial (S/.)]]-Tabla2[[#This Row],[Valor del terreno (S/.)]]</f>
        <v>178100</v>
      </c>
      <c r="X133" s="244">
        <f>ROUND(Tabla2[[#This Row],[Valor Comercial (US$)]]*Tabla2[[#This Row],[Tipo de Cambio]],-2)</f>
        <v>188500</v>
      </c>
      <c r="Y133" s="244">
        <f>ROUND(Tabla2[[#This Row],[Valor Realización (US$)]]*Tabla2[[#This Row],[Tipo de Cambio]],-2)</f>
        <v>150700</v>
      </c>
      <c r="Z133" s="244">
        <f>+ROUND(Tabla2[[#This Row],[Importe Asegurable (US$)]]*Tabla2[[#This Row],[Tipo de Cambio]],-2)</f>
        <v>188500</v>
      </c>
      <c r="AA133" s="245"/>
      <c r="AB133" s="2">
        <f>+Tabla2[[#This Row],[Valor Comercial (US$)]]/Tabla2[[#This Row],[Área techada (m²)4]]</f>
        <v>900.8</v>
      </c>
      <c r="AC13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33" s="1" t="s">
        <v>51</v>
      </c>
      <c r="AE133" s="222">
        <f>IF(Tabla2[[#This Row],[Moneda]]="Soles",Tabla2[[#This Row],[Valor de Venta]]/Tabla2[[#This Row],[Área techada (m²)]]/Tabla2[[#This Row],[Tipo de Cambio]],Tabla2[[#This Row],[Valor de Venta]]/Tabla2[[#This Row],[Área techada (m²)]])</f>
        <v>841.57706093189961</v>
      </c>
      <c r="AF133" s="347">
        <f>VLOOKUP(Tabla2[[#This Row],[VISTA]],DATA!$H$4:$I$17,2,FALSE)</f>
        <v>900</v>
      </c>
      <c r="AG133" s="221">
        <f>+Tabla2[[#This Row],[Valor Comercial (S/.)]]/Tabla2[[#This Row],[Valor de Venta]]-1</f>
        <v>7.041453719477575E-2</v>
      </c>
    </row>
    <row r="134" spans="1:33" s="1" customFormat="1" ht="15" customHeight="1" x14ac:dyDescent="0.25">
      <c r="A134" s="225" t="s">
        <v>30</v>
      </c>
      <c r="B134" s="22">
        <v>1603</v>
      </c>
      <c r="C134" s="14">
        <v>16</v>
      </c>
      <c r="D134" s="27"/>
      <c r="E134" s="28"/>
      <c r="F134" s="12">
        <f>ROUND(Tabla2[[#This Row],[Área ocupada (m²)]]/20*1.4,2)</f>
        <v>4.38</v>
      </c>
      <c r="G134" s="12">
        <v>62.5</v>
      </c>
      <c r="H134" s="12">
        <v>62.5</v>
      </c>
      <c r="I134" s="12">
        <f>ROUND(Tabla2[[#This Row],[Área techada (m²)]]*0.15,2)</f>
        <v>9.3800000000000008</v>
      </c>
      <c r="J134" s="18" t="s">
        <v>33</v>
      </c>
      <c r="K134" s="7">
        <v>179100</v>
      </c>
      <c r="L134" s="240">
        <f>ROUND(Tabla2[[#This Row],[Área ocupada (m²)3]]/20*1.4,2)</f>
        <v>4.38</v>
      </c>
      <c r="M134" s="240">
        <f>ROUND(Tabla2[[#This Row],[Área ocupada (m²)]],2)</f>
        <v>62.5</v>
      </c>
      <c r="N134" s="240">
        <f>ROUND(Tabla2[[#This Row],[Área techada (m²)]],2)</f>
        <v>62.5</v>
      </c>
      <c r="O134" s="243">
        <f>ROUND(Tabla2[[#This Row],[Área techada (m²)4]]*0.15,2)</f>
        <v>9.3800000000000008</v>
      </c>
      <c r="P134" s="6">
        <f>ROUND(Tabla2[[#This Row],[Área del terreno (m²)2]]*DATA!$F$4,-2)</f>
        <v>3100</v>
      </c>
      <c r="Q134" s="243">
        <f>+Tabla2[[#This Row],[Valor Comercial (US$)]]-Tabla2[[#This Row],[Valor del terreno (US$)]]</f>
        <v>53200</v>
      </c>
      <c r="R13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34" s="244">
        <f>ROUND(Tabla2[[#This Row],[Valor Comercial (US$)]]*0.8,-2)</f>
        <v>45000</v>
      </c>
      <c r="T134" s="244">
        <f>IF(Informe!$I$6=DATA!$B$4,R134,ROUND(Tabla2[[#This Row],[Área techada (m²)4]]*DATA!$F$5*1.15,-2))</f>
        <v>56300</v>
      </c>
      <c r="U134" s="8">
        <f t="shared" si="1"/>
        <v>3.3479999999999999</v>
      </c>
      <c r="V134" s="244">
        <f>ROUND(Tabla2[[#This Row],[Valor del terreno (US$)]]*Tabla2[[#This Row],[Tipo de Cambio]],-2)</f>
        <v>10400</v>
      </c>
      <c r="W134" s="244">
        <f>Tabla2[[#This Row],[Valor Comercial (S/.)]]-Tabla2[[#This Row],[Valor del terreno (S/.)]]</f>
        <v>178100</v>
      </c>
      <c r="X134" s="244">
        <f>ROUND(Tabla2[[#This Row],[Valor Comercial (US$)]]*Tabla2[[#This Row],[Tipo de Cambio]],-2)</f>
        <v>188500</v>
      </c>
      <c r="Y134" s="244">
        <f>ROUND(Tabla2[[#This Row],[Valor Realización (US$)]]*Tabla2[[#This Row],[Tipo de Cambio]],-2)</f>
        <v>150700</v>
      </c>
      <c r="Z134" s="244">
        <f>+ROUND(Tabla2[[#This Row],[Importe Asegurable (US$)]]*Tabla2[[#This Row],[Tipo de Cambio]],-2)</f>
        <v>188500</v>
      </c>
      <c r="AA134" s="245"/>
      <c r="AB134" s="2">
        <f>+Tabla2[[#This Row],[Valor Comercial (US$)]]/Tabla2[[#This Row],[Área techada (m²)4]]</f>
        <v>900.8</v>
      </c>
      <c r="AC13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34" s="1" t="s">
        <v>51</v>
      </c>
      <c r="AE134" s="222">
        <f>IF(Tabla2[[#This Row],[Moneda]]="Soles",Tabla2[[#This Row],[Valor de Venta]]/Tabla2[[#This Row],[Área techada (m²)]]/Tabla2[[#This Row],[Tipo de Cambio]],Tabla2[[#This Row],[Valor de Venta]]/Tabla2[[#This Row],[Área techada (m²)]])</f>
        <v>855.91397849462362</v>
      </c>
      <c r="AF134" s="347">
        <f>VLOOKUP(Tabla2[[#This Row],[VISTA]],DATA!$H$4:$I$17,2,FALSE)</f>
        <v>900</v>
      </c>
      <c r="AG134" s="221">
        <f>+Tabla2[[#This Row],[Valor Comercial (S/.)]]/Tabla2[[#This Row],[Valor de Venta]]-1</f>
        <v>5.2484645449469625E-2</v>
      </c>
    </row>
    <row r="135" spans="1:33" s="1" customFormat="1" ht="15" customHeight="1" x14ac:dyDescent="0.25">
      <c r="A135" s="225" t="s">
        <v>30</v>
      </c>
      <c r="B135" s="22">
        <v>1604</v>
      </c>
      <c r="C135" s="14">
        <v>16</v>
      </c>
      <c r="D135" s="27"/>
      <c r="E135" s="28"/>
      <c r="F135" s="12">
        <f>ROUND(Tabla2[[#This Row],[Área ocupada (m²)]]/20*1.4,2)</f>
        <v>4.5599999999999996</v>
      </c>
      <c r="G135" s="12">
        <v>65.2</v>
      </c>
      <c r="H135" s="12">
        <v>65.2</v>
      </c>
      <c r="I135" s="12">
        <f>ROUND(Tabla2[[#This Row],[Área techada (m²)]]*0.15,2)</f>
        <v>9.7799999999999994</v>
      </c>
      <c r="J135" s="18" t="s">
        <v>33</v>
      </c>
      <c r="K135" s="7">
        <v>199800</v>
      </c>
      <c r="L135" s="240">
        <f>ROUND(Tabla2[[#This Row],[Área ocupada (m²)3]]/20*1.4,2)</f>
        <v>4.5599999999999996</v>
      </c>
      <c r="M135" s="240">
        <f>ROUND(Tabla2[[#This Row],[Área ocupada (m²)]],2)</f>
        <v>65.2</v>
      </c>
      <c r="N135" s="240">
        <f>ROUND(Tabla2[[#This Row],[Área techada (m²)]],2)</f>
        <v>65.2</v>
      </c>
      <c r="O135" s="243">
        <f>ROUND(Tabla2[[#This Row],[Área techada (m²)4]]*0.15,2)</f>
        <v>9.7799999999999994</v>
      </c>
      <c r="P135" s="6">
        <f>ROUND(Tabla2[[#This Row],[Área del terreno (m²)2]]*DATA!$F$4,-2)</f>
        <v>3200</v>
      </c>
      <c r="Q135" s="243">
        <f>+Tabla2[[#This Row],[Valor Comercial (US$)]]-Tabla2[[#This Row],[Valor del terreno (US$)]]</f>
        <v>58700</v>
      </c>
      <c r="R13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35" s="244">
        <f>ROUND(Tabla2[[#This Row],[Valor Comercial (US$)]]*0.8,-2)</f>
        <v>49500</v>
      </c>
      <c r="T135" s="244">
        <f>IF(Informe!$I$6=DATA!$B$4,R135,ROUND(Tabla2[[#This Row],[Área techada (m²)4]]*DATA!$F$5*1.15,-2))</f>
        <v>61900</v>
      </c>
      <c r="U135" s="8">
        <f t="shared" si="1"/>
        <v>3.3479999999999999</v>
      </c>
      <c r="V135" s="244">
        <f>ROUND(Tabla2[[#This Row],[Valor del terreno (US$)]]*Tabla2[[#This Row],[Tipo de Cambio]],-2)</f>
        <v>10700</v>
      </c>
      <c r="W135" s="244">
        <f>Tabla2[[#This Row],[Valor Comercial (S/.)]]-Tabla2[[#This Row],[Valor del terreno (S/.)]]</f>
        <v>196500</v>
      </c>
      <c r="X135" s="244">
        <f>ROUND(Tabla2[[#This Row],[Valor Comercial (US$)]]*Tabla2[[#This Row],[Tipo de Cambio]],-2)</f>
        <v>207200</v>
      </c>
      <c r="Y135" s="244">
        <f>ROUND(Tabla2[[#This Row],[Valor Realización (US$)]]*Tabla2[[#This Row],[Tipo de Cambio]],-2)</f>
        <v>165700</v>
      </c>
      <c r="Z135" s="244">
        <f>+ROUND(Tabla2[[#This Row],[Importe Asegurable (US$)]]*Tabla2[[#This Row],[Tipo de Cambio]],-2)</f>
        <v>207200</v>
      </c>
      <c r="AA135" s="245"/>
      <c r="AB135" s="2">
        <f>+Tabla2[[#This Row],[Valor Comercial (US$)]]/Tabla2[[#This Row],[Área techada (m²)4]]</f>
        <v>949.38650306748457</v>
      </c>
      <c r="AC13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35" s="1" t="s">
        <v>50</v>
      </c>
      <c r="AE135" s="222">
        <f>IF(Tabla2[[#This Row],[Moneda]]="Soles",Tabla2[[#This Row],[Valor de Venta]]/Tabla2[[#This Row],[Área techada (m²)]]/Tabla2[[#This Row],[Tipo de Cambio]],Tabla2[[#This Row],[Valor de Venta]]/Tabla2[[#This Row],[Área techada (m²)]])</f>
        <v>915.29784286562438</v>
      </c>
      <c r="AF135" s="347">
        <f>VLOOKUP(Tabla2[[#This Row],[VISTA]],DATA!$H$4:$I$17,2,FALSE)</f>
        <v>950</v>
      </c>
      <c r="AG135" s="221">
        <f>+Tabla2[[#This Row],[Valor Comercial (S/.)]]/Tabla2[[#This Row],[Valor de Venta]]-1</f>
        <v>3.7037037037036979E-2</v>
      </c>
    </row>
    <row r="136" spans="1:33" s="1" customFormat="1" ht="15" customHeight="1" x14ac:dyDescent="0.25">
      <c r="A136" s="225" t="s">
        <v>30</v>
      </c>
      <c r="B136" s="22">
        <v>1605</v>
      </c>
      <c r="C136" s="14">
        <v>16</v>
      </c>
      <c r="D136" s="27"/>
      <c r="E136" s="28"/>
      <c r="F136" s="12">
        <f>ROUND(Tabla2[[#This Row],[Área ocupada (m²)]]/20*1.4,2)</f>
        <v>4.5599999999999996</v>
      </c>
      <c r="G136" s="12">
        <v>65.2</v>
      </c>
      <c r="H136" s="12">
        <v>65.2</v>
      </c>
      <c r="I136" s="12">
        <f>ROUND(Tabla2[[#This Row],[Área techada (m²)]]*0.15,2)</f>
        <v>9.7799999999999994</v>
      </c>
      <c r="J136" s="18" t="s">
        <v>33</v>
      </c>
      <c r="K136" s="7">
        <v>196800</v>
      </c>
      <c r="L136" s="240">
        <f>ROUND(Tabla2[[#This Row],[Área ocupada (m²)3]]/20*1.4,2)</f>
        <v>4.5599999999999996</v>
      </c>
      <c r="M136" s="240">
        <f>ROUND(Tabla2[[#This Row],[Área ocupada (m²)]],2)</f>
        <v>65.2</v>
      </c>
      <c r="N136" s="240">
        <f>ROUND(Tabla2[[#This Row],[Área techada (m²)]],2)</f>
        <v>65.2</v>
      </c>
      <c r="O136" s="243">
        <f>ROUND(Tabla2[[#This Row],[Área techada (m²)4]]*0.15,2)</f>
        <v>9.7799999999999994</v>
      </c>
      <c r="P136" s="6">
        <f>ROUND(Tabla2[[#This Row],[Área del terreno (m²)2]]*DATA!$F$4,-2)</f>
        <v>3200</v>
      </c>
      <c r="Q136" s="243">
        <f>+Tabla2[[#This Row],[Valor Comercial (US$)]]-Tabla2[[#This Row],[Valor del terreno (US$)]]</f>
        <v>58700</v>
      </c>
      <c r="R13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36" s="244">
        <f>ROUND(Tabla2[[#This Row],[Valor Comercial (US$)]]*0.8,-2)</f>
        <v>49500</v>
      </c>
      <c r="T136" s="244">
        <f>IF(Informe!$I$6=DATA!$B$4,R136,ROUND(Tabla2[[#This Row],[Área techada (m²)4]]*DATA!$F$5*1.15,-2))</f>
        <v>61900</v>
      </c>
      <c r="U136" s="8">
        <f t="shared" si="1"/>
        <v>3.3479999999999999</v>
      </c>
      <c r="V136" s="244">
        <f>ROUND(Tabla2[[#This Row],[Valor del terreno (US$)]]*Tabla2[[#This Row],[Tipo de Cambio]],-2)</f>
        <v>10700</v>
      </c>
      <c r="W136" s="244">
        <f>Tabla2[[#This Row],[Valor Comercial (S/.)]]-Tabla2[[#This Row],[Valor del terreno (S/.)]]</f>
        <v>196500</v>
      </c>
      <c r="X136" s="244">
        <f>ROUND(Tabla2[[#This Row],[Valor Comercial (US$)]]*Tabla2[[#This Row],[Tipo de Cambio]],-2)</f>
        <v>207200</v>
      </c>
      <c r="Y136" s="244">
        <f>ROUND(Tabla2[[#This Row],[Valor Realización (US$)]]*Tabla2[[#This Row],[Tipo de Cambio]],-2)</f>
        <v>165700</v>
      </c>
      <c r="Z136" s="244">
        <f>+ROUND(Tabla2[[#This Row],[Importe Asegurable (US$)]]*Tabla2[[#This Row],[Tipo de Cambio]],-2)</f>
        <v>207200</v>
      </c>
      <c r="AA136" s="245"/>
      <c r="AB136" s="2">
        <f>+Tabla2[[#This Row],[Valor Comercial (US$)]]/Tabla2[[#This Row],[Área techada (m²)4]]</f>
        <v>949.38650306748457</v>
      </c>
      <c r="AC13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36" s="1" t="s">
        <v>50</v>
      </c>
      <c r="AE136" s="222">
        <f>IF(Tabla2[[#This Row],[Moneda]]="Soles",Tabla2[[#This Row],[Valor de Venta]]/Tabla2[[#This Row],[Área techada (m²)]]/Tabla2[[#This Row],[Tipo de Cambio]],Tabla2[[#This Row],[Valor de Venta]]/Tabla2[[#This Row],[Área techada (m²)]])</f>
        <v>901.55463201178623</v>
      </c>
      <c r="AF136" s="347">
        <f>VLOOKUP(Tabla2[[#This Row],[VISTA]],DATA!$H$4:$I$17,2,FALSE)</f>
        <v>950</v>
      </c>
      <c r="AG136" s="221">
        <f>+Tabla2[[#This Row],[Valor Comercial (S/.)]]/Tabla2[[#This Row],[Valor de Venta]]-1</f>
        <v>5.2845528455284452E-2</v>
      </c>
    </row>
    <row r="137" spans="1:33" s="1" customFormat="1" ht="15" customHeight="1" x14ac:dyDescent="0.25">
      <c r="A137" s="225" t="s">
        <v>30</v>
      </c>
      <c r="B137" s="22">
        <v>1606</v>
      </c>
      <c r="C137" s="14">
        <v>16</v>
      </c>
      <c r="D137" s="27"/>
      <c r="E137" s="28"/>
      <c r="F137" s="12">
        <f>ROUND(Tabla2[[#This Row],[Área ocupada (m²)]]/20*1.4,2)</f>
        <v>4.38</v>
      </c>
      <c r="G137" s="12">
        <v>62.5</v>
      </c>
      <c r="H137" s="12">
        <v>62.5</v>
      </c>
      <c r="I137" s="12">
        <f>ROUND(Tabla2[[#This Row],[Área techada (m²)]]*0.15,2)</f>
        <v>9.3800000000000008</v>
      </c>
      <c r="J137" s="18" t="s">
        <v>33</v>
      </c>
      <c r="K137" s="7">
        <v>182100</v>
      </c>
      <c r="L137" s="240">
        <f>ROUND(Tabla2[[#This Row],[Área ocupada (m²)3]]/20*1.4,2)</f>
        <v>4.38</v>
      </c>
      <c r="M137" s="240">
        <f>ROUND(Tabla2[[#This Row],[Área ocupada (m²)]],2)</f>
        <v>62.5</v>
      </c>
      <c r="N137" s="240">
        <f>ROUND(Tabla2[[#This Row],[Área techada (m²)]],2)</f>
        <v>62.5</v>
      </c>
      <c r="O137" s="243">
        <f>ROUND(Tabla2[[#This Row],[Área techada (m²)4]]*0.15,2)</f>
        <v>9.3800000000000008</v>
      </c>
      <c r="P137" s="6">
        <f>ROUND(Tabla2[[#This Row],[Área del terreno (m²)2]]*DATA!$F$4,-2)</f>
        <v>3100</v>
      </c>
      <c r="Q137" s="243">
        <f>+Tabla2[[#This Row],[Valor Comercial (US$)]]-Tabla2[[#This Row],[Valor del terreno (US$)]]</f>
        <v>53200</v>
      </c>
      <c r="R13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37" s="244">
        <f>ROUND(Tabla2[[#This Row],[Valor Comercial (US$)]]*0.8,-2)</f>
        <v>45000</v>
      </c>
      <c r="T137" s="244">
        <f>IF(Informe!$I$6=DATA!$B$4,R137,ROUND(Tabla2[[#This Row],[Área techada (m²)4]]*DATA!$F$5*1.15,-2))</f>
        <v>56300</v>
      </c>
      <c r="U137" s="8">
        <f t="shared" si="1"/>
        <v>3.3479999999999999</v>
      </c>
      <c r="V137" s="244">
        <f>ROUND(Tabla2[[#This Row],[Valor del terreno (US$)]]*Tabla2[[#This Row],[Tipo de Cambio]],-2)</f>
        <v>10400</v>
      </c>
      <c r="W137" s="244">
        <f>Tabla2[[#This Row],[Valor Comercial (S/.)]]-Tabla2[[#This Row],[Valor del terreno (S/.)]]</f>
        <v>178100</v>
      </c>
      <c r="X137" s="244">
        <f>ROUND(Tabla2[[#This Row],[Valor Comercial (US$)]]*Tabla2[[#This Row],[Tipo de Cambio]],-2)</f>
        <v>188500</v>
      </c>
      <c r="Y137" s="244">
        <f>ROUND(Tabla2[[#This Row],[Valor Realización (US$)]]*Tabla2[[#This Row],[Tipo de Cambio]],-2)</f>
        <v>150700</v>
      </c>
      <c r="Z137" s="244">
        <f>+ROUND(Tabla2[[#This Row],[Importe Asegurable (US$)]]*Tabla2[[#This Row],[Tipo de Cambio]],-2)</f>
        <v>188500</v>
      </c>
      <c r="AA137" s="245"/>
      <c r="AB137" s="2">
        <f>+Tabla2[[#This Row],[Valor Comercial (US$)]]/Tabla2[[#This Row],[Área techada (m²)4]]</f>
        <v>900.8</v>
      </c>
      <c r="AC13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37" s="1" t="s">
        <v>51</v>
      </c>
      <c r="AE137" s="222">
        <f>IF(Tabla2[[#This Row],[Moneda]]="Soles",Tabla2[[#This Row],[Valor de Venta]]/Tabla2[[#This Row],[Área techada (m²)]]/Tabla2[[#This Row],[Tipo de Cambio]],Tabla2[[#This Row],[Valor de Venta]]/Tabla2[[#This Row],[Área techada (m²)]])</f>
        <v>870.25089605734763</v>
      </c>
      <c r="AF137" s="347">
        <f>VLOOKUP(Tabla2[[#This Row],[VISTA]],DATA!$H$4:$I$17,2,FALSE)</f>
        <v>900</v>
      </c>
      <c r="AG137" s="221">
        <f>+Tabla2[[#This Row],[Valor Comercial (S/.)]]/Tabla2[[#This Row],[Valor de Venta]]-1</f>
        <v>3.5145524437122377E-2</v>
      </c>
    </row>
    <row r="138" spans="1:33" s="1" customFormat="1" ht="15" customHeight="1" x14ac:dyDescent="0.25">
      <c r="A138" s="225" t="s">
        <v>30</v>
      </c>
      <c r="B138" s="22">
        <v>1607</v>
      </c>
      <c r="C138" s="14">
        <v>16</v>
      </c>
      <c r="D138" s="34"/>
      <c r="E138" s="30"/>
      <c r="F138" s="12">
        <f>ROUND(Tabla2[[#This Row],[Área ocupada (m²)]]/20*1.4,2)</f>
        <v>4.38</v>
      </c>
      <c r="G138" s="12">
        <v>62.5</v>
      </c>
      <c r="H138" s="12">
        <v>62.5</v>
      </c>
      <c r="I138" s="12">
        <f>ROUND(Tabla2[[#This Row],[Área techada (m²)]]*0.15,2)</f>
        <v>9.3800000000000008</v>
      </c>
      <c r="J138" s="18" t="s">
        <v>33</v>
      </c>
      <c r="K138" s="7">
        <v>177100</v>
      </c>
      <c r="L138" s="240">
        <f>ROUND(Tabla2[[#This Row],[Área ocupada (m²)3]]/20*1.4,2)</f>
        <v>4.38</v>
      </c>
      <c r="M138" s="240">
        <f>ROUND(Tabla2[[#This Row],[Área ocupada (m²)]],2)</f>
        <v>62.5</v>
      </c>
      <c r="N138" s="240">
        <f>ROUND(Tabla2[[#This Row],[Área techada (m²)]],2)</f>
        <v>62.5</v>
      </c>
      <c r="O138" s="243">
        <f>ROUND(Tabla2[[#This Row],[Área techada (m²)4]]*0.15,2)</f>
        <v>9.3800000000000008</v>
      </c>
      <c r="P138" s="6">
        <f>ROUND(Tabla2[[#This Row],[Área del terreno (m²)2]]*DATA!$F$4,-2)</f>
        <v>3100</v>
      </c>
      <c r="Q138" s="243">
        <f>+Tabla2[[#This Row],[Valor Comercial (US$)]]-Tabla2[[#This Row],[Valor del terreno (US$)]]</f>
        <v>53200</v>
      </c>
      <c r="R13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38" s="244">
        <f>ROUND(Tabla2[[#This Row],[Valor Comercial (US$)]]*0.8,-2)</f>
        <v>45000</v>
      </c>
      <c r="T138" s="244">
        <f>IF(Informe!$I$6=DATA!$B$4,R138,ROUND(Tabla2[[#This Row],[Área techada (m²)4]]*DATA!$F$5*1.15,-2))</f>
        <v>56300</v>
      </c>
      <c r="U138" s="8">
        <f t="shared" si="1"/>
        <v>3.3479999999999999</v>
      </c>
      <c r="V138" s="244">
        <f>ROUND(Tabla2[[#This Row],[Valor del terreno (US$)]]*Tabla2[[#This Row],[Tipo de Cambio]],-2)</f>
        <v>10400</v>
      </c>
      <c r="W138" s="244">
        <f>Tabla2[[#This Row],[Valor Comercial (S/.)]]-Tabla2[[#This Row],[Valor del terreno (S/.)]]</f>
        <v>178100</v>
      </c>
      <c r="X138" s="244">
        <f>ROUND(Tabla2[[#This Row],[Valor Comercial (US$)]]*Tabla2[[#This Row],[Tipo de Cambio]],-2)</f>
        <v>188500</v>
      </c>
      <c r="Y138" s="244">
        <f>ROUND(Tabla2[[#This Row],[Valor Realización (US$)]]*Tabla2[[#This Row],[Tipo de Cambio]],-2)</f>
        <v>150700</v>
      </c>
      <c r="Z138" s="244">
        <f>+ROUND(Tabla2[[#This Row],[Importe Asegurable (US$)]]*Tabla2[[#This Row],[Tipo de Cambio]],-2)</f>
        <v>188500</v>
      </c>
      <c r="AA138" s="245"/>
      <c r="AB138" s="2">
        <f>+Tabla2[[#This Row],[Valor Comercial (US$)]]/Tabla2[[#This Row],[Área techada (m²)4]]</f>
        <v>900.8</v>
      </c>
      <c r="AC13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38" s="1" t="s">
        <v>51</v>
      </c>
      <c r="AE138" s="222">
        <f>IF(Tabla2[[#This Row],[Moneda]]="Soles",Tabla2[[#This Row],[Valor de Venta]]/Tabla2[[#This Row],[Área techada (m²)]]/Tabla2[[#This Row],[Tipo de Cambio]],Tabla2[[#This Row],[Valor de Venta]]/Tabla2[[#This Row],[Área techada (m²)]])</f>
        <v>846.35603345280765</v>
      </c>
      <c r="AF138" s="347">
        <f>VLOOKUP(Tabla2[[#This Row],[VISTA]],DATA!$H$4:$I$17,2,FALSE)</f>
        <v>900</v>
      </c>
      <c r="AG138" s="221">
        <f>+Tabla2[[#This Row],[Valor Comercial (S/.)]]/Tabla2[[#This Row],[Valor de Venta]]-1</f>
        <v>6.4370412196499194E-2</v>
      </c>
    </row>
    <row r="139" spans="1:33" s="1" customFormat="1" ht="15" customHeight="1" x14ac:dyDescent="0.25">
      <c r="A139" s="225" t="s">
        <v>30</v>
      </c>
      <c r="B139" s="22">
        <v>1608</v>
      </c>
      <c r="C139" s="14">
        <v>16</v>
      </c>
      <c r="D139" s="27"/>
      <c r="E139" s="28"/>
      <c r="F139" s="12">
        <f>ROUND(Tabla2[[#This Row],[Área ocupada (m²)]]/20*1.4,2)</f>
        <v>4.5599999999999996</v>
      </c>
      <c r="G139" s="12">
        <v>65.2</v>
      </c>
      <c r="H139" s="12">
        <v>65.2</v>
      </c>
      <c r="I139" s="12">
        <f>ROUND(Tabla2[[#This Row],[Área techada (m²)]]*0.15,2)</f>
        <v>9.7799999999999994</v>
      </c>
      <c r="J139" s="18" t="s">
        <v>33</v>
      </c>
      <c r="K139" s="7">
        <v>192800</v>
      </c>
      <c r="L139" s="240">
        <f>ROUND(Tabla2[[#This Row],[Área ocupada (m²)3]]/20*1.4,2)</f>
        <v>4.5599999999999996</v>
      </c>
      <c r="M139" s="240">
        <f>ROUND(Tabla2[[#This Row],[Área ocupada (m²)]],2)</f>
        <v>65.2</v>
      </c>
      <c r="N139" s="240">
        <f>ROUND(Tabla2[[#This Row],[Área techada (m²)]],2)</f>
        <v>65.2</v>
      </c>
      <c r="O139" s="243">
        <f>ROUND(Tabla2[[#This Row],[Área techada (m²)4]]*0.15,2)</f>
        <v>9.7799999999999994</v>
      </c>
      <c r="P139" s="6">
        <f>ROUND(Tabla2[[#This Row],[Área del terreno (m²)2]]*DATA!$F$4,-2)</f>
        <v>3200</v>
      </c>
      <c r="Q139" s="243">
        <f>+Tabla2[[#This Row],[Valor Comercial (US$)]]-Tabla2[[#This Row],[Valor del terreno (US$)]]</f>
        <v>58700</v>
      </c>
      <c r="R13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39" s="244">
        <f>ROUND(Tabla2[[#This Row],[Valor Comercial (US$)]]*0.8,-2)</f>
        <v>49500</v>
      </c>
      <c r="T139" s="244">
        <f>IF(Informe!$I$6=DATA!$B$4,R139,ROUND(Tabla2[[#This Row],[Área techada (m²)4]]*DATA!$F$5*1.15,-2))</f>
        <v>61900</v>
      </c>
      <c r="U139" s="8">
        <f t="shared" si="1"/>
        <v>3.3479999999999999</v>
      </c>
      <c r="V139" s="244">
        <f>ROUND(Tabla2[[#This Row],[Valor del terreno (US$)]]*Tabla2[[#This Row],[Tipo de Cambio]],-2)</f>
        <v>10700</v>
      </c>
      <c r="W139" s="244">
        <f>Tabla2[[#This Row],[Valor Comercial (S/.)]]-Tabla2[[#This Row],[Valor del terreno (S/.)]]</f>
        <v>196500</v>
      </c>
      <c r="X139" s="244">
        <f>ROUND(Tabla2[[#This Row],[Valor Comercial (US$)]]*Tabla2[[#This Row],[Tipo de Cambio]],-2)</f>
        <v>207200</v>
      </c>
      <c r="Y139" s="244">
        <f>ROUND(Tabla2[[#This Row],[Valor Realización (US$)]]*Tabla2[[#This Row],[Tipo de Cambio]],-2)</f>
        <v>165700</v>
      </c>
      <c r="Z139" s="244">
        <f>+ROUND(Tabla2[[#This Row],[Importe Asegurable (US$)]]*Tabla2[[#This Row],[Tipo de Cambio]],-2)</f>
        <v>207200</v>
      </c>
      <c r="AA139" s="245"/>
      <c r="AB139" s="2">
        <f>+Tabla2[[#This Row],[Valor Comercial (US$)]]/Tabla2[[#This Row],[Área techada (m²)4]]</f>
        <v>949.38650306748457</v>
      </c>
      <c r="AC13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39" s="1" t="s">
        <v>50</v>
      </c>
      <c r="AE139" s="222">
        <f>IF(Tabla2[[#This Row],[Moneda]]="Soles",Tabla2[[#This Row],[Valor de Venta]]/Tabla2[[#This Row],[Área techada (m²)]]/Tabla2[[#This Row],[Tipo de Cambio]],Tabla2[[#This Row],[Valor de Venta]]/Tabla2[[#This Row],[Área techada (m²)]])</f>
        <v>883.23035087333528</v>
      </c>
      <c r="AF139" s="347">
        <f>VLOOKUP(Tabla2[[#This Row],[VISTA]],DATA!$H$4:$I$17,2,FALSE)</f>
        <v>950</v>
      </c>
      <c r="AG139" s="221">
        <f>+Tabla2[[#This Row],[Valor Comercial (S/.)]]/Tabla2[[#This Row],[Valor de Venta]]-1</f>
        <v>7.4688796680497882E-2</v>
      </c>
    </row>
    <row r="140" spans="1:33" s="1" customFormat="1" ht="15" customHeight="1" x14ac:dyDescent="0.25">
      <c r="A140" s="225" t="s">
        <v>30</v>
      </c>
      <c r="B140" s="22">
        <v>1701</v>
      </c>
      <c r="C140" s="14">
        <v>17</v>
      </c>
      <c r="D140" s="27"/>
      <c r="E140" s="28"/>
      <c r="F140" s="12">
        <f>ROUND(Tabla2[[#This Row],[Área ocupada (m²)]]/20*1.4,2)</f>
        <v>4.5599999999999996</v>
      </c>
      <c r="G140" s="12">
        <v>65.2</v>
      </c>
      <c r="H140" s="12">
        <v>65.2</v>
      </c>
      <c r="I140" s="12">
        <f>ROUND(Tabla2[[#This Row],[Área techada (m²)]]*0.15,2)</f>
        <v>9.7799999999999994</v>
      </c>
      <c r="J140" s="18" t="s">
        <v>33</v>
      </c>
      <c r="K140" s="7">
        <v>187000</v>
      </c>
      <c r="L140" s="240">
        <f>ROUND(Tabla2[[#This Row],[Área ocupada (m²)3]]/20*1.4,2)</f>
        <v>4.5599999999999996</v>
      </c>
      <c r="M140" s="240">
        <f>ROUND(Tabla2[[#This Row],[Área ocupada (m²)]],2)</f>
        <v>65.2</v>
      </c>
      <c r="N140" s="240">
        <f>ROUND(Tabla2[[#This Row],[Área techada (m²)]],2)</f>
        <v>65.2</v>
      </c>
      <c r="O140" s="243">
        <f>ROUND(Tabla2[[#This Row],[Área techada (m²)4]]*0.15,2)</f>
        <v>9.7799999999999994</v>
      </c>
      <c r="P140" s="6">
        <f>ROUND(Tabla2[[#This Row],[Área del terreno (m²)2]]*DATA!$F$4,-2)</f>
        <v>3200</v>
      </c>
      <c r="Q140" s="243">
        <f>+Tabla2[[#This Row],[Valor Comercial (US$)]]-Tabla2[[#This Row],[Valor del terreno (US$)]]</f>
        <v>55500</v>
      </c>
      <c r="R14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58700</v>
      </c>
      <c r="S140" s="244">
        <f>ROUND(Tabla2[[#This Row],[Valor Comercial (US$)]]*0.8,-2)</f>
        <v>47000</v>
      </c>
      <c r="T140" s="244">
        <f>IF(Informe!$I$6=DATA!$B$4,R140,ROUND(Tabla2[[#This Row],[Área techada (m²)4]]*DATA!$F$5*1.15,-2))</f>
        <v>58700</v>
      </c>
      <c r="U140" s="8">
        <f t="shared" si="1"/>
        <v>3.3479999999999999</v>
      </c>
      <c r="V140" s="244">
        <f>ROUND(Tabla2[[#This Row],[Valor del terreno (US$)]]*Tabla2[[#This Row],[Tipo de Cambio]],-2)</f>
        <v>10700</v>
      </c>
      <c r="W140" s="244">
        <f>Tabla2[[#This Row],[Valor Comercial (S/.)]]-Tabla2[[#This Row],[Valor del terreno (S/.)]]</f>
        <v>185800</v>
      </c>
      <c r="X140" s="244">
        <f>ROUND(Tabla2[[#This Row],[Valor Comercial (US$)]]*Tabla2[[#This Row],[Tipo de Cambio]],-2)</f>
        <v>196500</v>
      </c>
      <c r="Y140" s="244">
        <f>ROUND(Tabla2[[#This Row],[Valor Realización (US$)]]*Tabla2[[#This Row],[Tipo de Cambio]],-2)</f>
        <v>157400</v>
      </c>
      <c r="Z140" s="244">
        <f>+ROUND(Tabla2[[#This Row],[Importe Asegurable (US$)]]*Tabla2[[#This Row],[Tipo de Cambio]],-2)</f>
        <v>196500</v>
      </c>
      <c r="AA140" s="245"/>
      <c r="AB140" s="2">
        <f>+Tabla2[[#This Row],[Valor Comercial (US$)]]/Tabla2[[#This Row],[Área techada (m²)4]]</f>
        <v>900.30674846625766</v>
      </c>
      <c r="AC14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40" s="1" t="s">
        <v>51</v>
      </c>
      <c r="AE140" s="222">
        <f>IF(Tabla2[[#This Row],[Moneda]]="Soles",Tabla2[[#This Row],[Valor de Venta]]/Tabla2[[#This Row],[Área techada (m²)]]/Tabla2[[#This Row],[Tipo de Cambio]],Tabla2[[#This Row],[Valor de Venta]]/Tabla2[[#This Row],[Área techada (m²)]])</f>
        <v>856.66014322258127</v>
      </c>
      <c r="AF140" s="347">
        <f>VLOOKUP(Tabla2[[#This Row],[VISTA]],DATA!$H$4:$I$17,2,FALSE)</f>
        <v>900</v>
      </c>
      <c r="AG140" s="221">
        <f>+Tabla2[[#This Row],[Valor Comercial (S/.)]]/Tabla2[[#This Row],[Valor de Venta]]-1</f>
        <v>5.0802139037433136E-2</v>
      </c>
    </row>
    <row r="141" spans="1:33" s="1" customFormat="1" ht="15" customHeight="1" x14ac:dyDescent="0.25">
      <c r="A141" s="225" t="s">
        <v>30</v>
      </c>
      <c r="B141" s="22">
        <v>1702</v>
      </c>
      <c r="C141" s="14">
        <v>17</v>
      </c>
      <c r="D141" s="27"/>
      <c r="E141" s="28"/>
      <c r="F141" s="12">
        <f>ROUND(Tabla2[[#This Row],[Área ocupada (m²)]]/20*1.4,2)</f>
        <v>4.38</v>
      </c>
      <c r="G141" s="12">
        <v>62.5</v>
      </c>
      <c r="H141" s="12">
        <v>62.5</v>
      </c>
      <c r="I141" s="12">
        <f>ROUND(Tabla2[[#This Row],[Área techada (m²)]]*0.15,2)</f>
        <v>9.3800000000000008</v>
      </c>
      <c r="J141" s="18" t="s">
        <v>33</v>
      </c>
      <c r="K141" s="7">
        <v>174300</v>
      </c>
      <c r="L141" s="240">
        <f>ROUND(Tabla2[[#This Row],[Área ocupada (m²)3]]/20*1.4,2)</f>
        <v>4.38</v>
      </c>
      <c r="M141" s="240">
        <f>ROUND(Tabla2[[#This Row],[Área ocupada (m²)]],2)</f>
        <v>62.5</v>
      </c>
      <c r="N141" s="240">
        <f>ROUND(Tabla2[[#This Row],[Área techada (m²)]],2)</f>
        <v>62.5</v>
      </c>
      <c r="O141" s="243">
        <f>ROUND(Tabla2[[#This Row],[Área techada (m²)4]]*0.15,2)</f>
        <v>9.3800000000000008</v>
      </c>
      <c r="P141" s="6">
        <f>ROUND(Tabla2[[#This Row],[Área del terreno (m²)2]]*DATA!$F$4,-2)</f>
        <v>3100</v>
      </c>
      <c r="Q141" s="243">
        <f>+Tabla2[[#This Row],[Valor Comercial (US$)]]-Tabla2[[#This Row],[Valor del terreno (US$)]]</f>
        <v>53200</v>
      </c>
      <c r="R14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41" s="244">
        <f>ROUND(Tabla2[[#This Row],[Valor Comercial (US$)]]*0.8,-2)</f>
        <v>45000</v>
      </c>
      <c r="T141" s="244">
        <f>IF(Informe!$I$6=DATA!$B$4,R141,ROUND(Tabla2[[#This Row],[Área techada (m²)4]]*DATA!$F$5*1.15,-2))</f>
        <v>56300</v>
      </c>
      <c r="U141" s="8">
        <f t="shared" ref="U141:U204" si="2">+$G$8</f>
        <v>3.3479999999999999</v>
      </c>
      <c r="V141" s="244">
        <f>ROUND(Tabla2[[#This Row],[Valor del terreno (US$)]]*Tabla2[[#This Row],[Tipo de Cambio]],-2)</f>
        <v>10400</v>
      </c>
      <c r="W141" s="244">
        <f>Tabla2[[#This Row],[Valor Comercial (S/.)]]-Tabla2[[#This Row],[Valor del terreno (S/.)]]</f>
        <v>178100</v>
      </c>
      <c r="X141" s="244">
        <f>ROUND(Tabla2[[#This Row],[Valor Comercial (US$)]]*Tabla2[[#This Row],[Tipo de Cambio]],-2)</f>
        <v>188500</v>
      </c>
      <c r="Y141" s="244">
        <f>ROUND(Tabla2[[#This Row],[Valor Realización (US$)]]*Tabla2[[#This Row],[Tipo de Cambio]],-2)</f>
        <v>150700</v>
      </c>
      <c r="Z141" s="244">
        <f>+ROUND(Tabla2[[#This Row],[Importe Asegurable (US$)]]*Tabla2[[#This Row],[Tipo de Cambio]],-2)</f>
        <v>188500</v>
      </c>
      <c r="AA141" s="245"/>
      <c r="AB141" s="2">
        <f>+Tabla2[[#This Row],[Valor Comercial (US$)]]/Tabla2[[#This Row],[Área techada (m²)4]]</f>
        <v>900.8</v>
      </c>
      <c r="AC14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41" s="1" t="s">
        <v>51</v>
      </c>
      <c r="AE141" s="222">
        <f>IF(Tabla2[[#This Row],[Moneda]]="Soles",Tabla2[[#This Row],[Valor de Venta]]/Tabla2[[#This Row],[Área techada (m²)]]/Tabla2[[#This Row],[Tipo de Cambio]],Tabla2[[#This Row],[Valor de Venta]]/Tabla2[[#This Row],[Área techada (m²)]])</f>
        <v>832.97491039426529</v>
      </c>
      <c r="AF141" s="347">
        <f>VLOOKUP(Tabla2[[#This Row],[VISTA]],DATA!$H$4:$I$17,2,FALSE)</f>
        <v>900</v>
      </c>
      <c r="AG141" s="221">
        <f>+Tabla2[[#This Row],[Valor Comercial (S/.)]]/Tabla2[[#This Row],[Valor de Venta]]-1</f>
        <v>8.1468732071141803E-2</v>
      </c>
    </row>
    <row r="142" spans="1:33" s="1" customFormat="1" ht="15" customHeight="1" x14ac:dyDescent="0.25">
      <c r="A142" s="225" t="s">
        <v>30</v>
      </c>
      <c r="B142" s="22">
        <v>1703</v>
      </c>
      <c r="C142" s="14">
        <v>17</v>
      </c>
      <c r="D142" s="27"/>
      <c r="E142" s="28"/>
      <c r="F142" s="12">
        <f>ROUND(Tabla2[[#This Row],[Área ocupada (m²)]]/20*1.4,2)</f>
        <v>4.38</v>
      </c>
      <c r="G142" s="12">
        <v>62.5</v>
      </c>
      <c r="H142" s="12">
        <v>62.5</v>
      </c>
      <c r="I142" s="12">
        <f>ROUND(Tabla2[[#This Row],[Área techada (m²)]]*0.15,2)</f>
        <v>9.3800000000000008</v>
      </c>
      <c r="J142" s="18" t="s">
        <v>33</v>
      </c>
      <c r="K142" s="7">
        <v>180300</v>
      </c>
      <c r="L142" s="240">
        <f>ROUND(Tabla2[[#This Row],[Área ocupada (m²)3]]/20*1.4,2)</f>
        <v>4.38</v>
      </c>
      <c r="M142" s="240">
        <f>ROUND(Tabla2[[#This Row],[Área ocupada (m²)]],2)</f>
        <v>62.5</v>
      </c>
      <c r="N142" s="240">
        <f>ROUND(Tabla2[[#This Row],[Área techada (m²)]],2)</f>
        <v>62.5</v>
      </c>
      <c r="O142" s="243">
        <f>ROUND(Tabla2[[#This Row],[Área techada (m²)4]]*0.15,2)</f>
        <v>9.3800000000000008</v>
      </c>
      <c r="P142" s="6">
        <f>ROUND(Tabla2[[#This Row],[Área del terreno (m²)2]]*DATA!$F$4,-2)</f>
        <v>3100</v>
      </c>
      <c r="Q142" s="243">
        <f>+Tabla2[[#This Row],[Valor Comercial (US$)]]-Tabla2[[#This Row],[Valor del terreno (US$)]]</f>
        <v>53200</v>
      </c>
      <c r="R14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42" s="244">
        <f>ROUND(Tabla2[[#This Row],[Valor Comercial (US$)]]*0.8,-2)</f>
        <v>45000</v>
      </c>
      <c r="T142" s="244">
        <f>IF(Informe!$I$6=DATA!$B$4,R142,ROUND(Tabla2[[#This Row],[Área techada (m²)4]]*DATA!$F$5*1.15,-2))</f>
        <v>56300</v>
      </c>
      <c r="U142" s="8">
        <f t="shared" si="2"/>
        <v>3.3479999999999999</v>
      </c>
      <c r="V142" s="244">
        <f>ROUND(Tabla2[[#This Row],[Valor del terreno (US$)]]*Tabla2[[#This Row],[Tipo de Cambio]],-2)</f>
        <v>10400</v>
      </c>
      <c r="W142" s="244">
        <f>Tabla2[[#This Row],[Valor Comercial (S/.)]]-Tabla2[[#This Row],[Valor del terreno (S/.)]]</f>
        <v>178100</v>
      </c>
      <c r="X142" s="244">
        <f>ROUND(Tabla2[[#This Row],[Valor Comercial (US$)]]*Tabla2[[#This Row],[Tipo de Cambio]],-2)</f>
        <v>188500</v>
      </c>
      <c r="Y142" s="244">
        <f>ROUND(Tabla2[[#This Row],[Valor Realización (US$)]]*Tabla2[[#This Row],[Tipo de Cambio]],-2)</f>
        <v>150700</v>
      </c>
      <c r="Z142" s="244">
        <f>+ROUND(Tabla2[[#This Row],[Importe Asegurable (US$)]]*Tabla2[[#This Row],[Tipo de Cambio]],-2)</f>
        <v>188500</v>
      </c>
      <c r="AA142" s="245"/>
      <c r="AB142" s="2">
        <f>+Tabla2[[#This Row],[Valor Comercial (US$)]]/Tabla2[[#This Row],[Área techada (m²)4]]</f>
        <v>900.8</v>
      </c>
      <c r="AC14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42" s="1" t="s">
        <v>51</v>
      </c>
      <c r="AE142" s="222">
        <f>IF(Tabla2[[#This Row],[Moneda]]="Soles",Tabla2[[#This Row],[Valor de Venta]]/Tabla2[[#This Row],[Área techada (m²)]]/Tabla2[[#This Row],[Tipo de Cambio]],Tabla2[[#This Row],[Valor de Venta]]/Tabla2[[#This Row],[Área techada (m²)]])</f>
        <v>861.64874551971332</v>
      </c>
      <c r="AF142" s="347">
        <f>VLOOKUP(Tabla2[[#This Row],[VISTA]],DATA!$H$4:$I$17,2,FALSE)</f>
        <v>900</v>
      </c>
      <c r="AG142" s="221">
        <f>+Tabla2[[#This Row],[Valor Comercial (S/.)]]/Tabla2[[#This Row],[Valor de Venta]]-1</f>
        <v>4.547975596228504E-2</v>
      </c>
    </row>
    <row r="143" spans="1:33" s="1" customFormat="1" ht="15" customHeight="1" x14ac:dyDescent="0.25">
      <c r="A143" s="225" t="s">
        <v>30</v>
      </c>
      <c r="B143" s="22">
        <v>1704</v>
      </c>
      <c r="C143" s="14">
        <v>17</v>
      </c>
      <c r="D143" s="27"/>
      <c r="E143" s="28"/>
      <c r="F143" s="12">
        <f>ROUND(Tabla2[[#This Row],[Área ocupada (m²)]]/20*1.4,2)</f>
        <v>4.5599999999999996</v>
      </c>
      <c r="G143" s="12">
        <v>65.2</v>
      </c>
      <c r="H143" s="12">
        <v>65.2</v>
      </c>
      <c r="I143" s="12">
        <f>ROUND(Tabla2[[#This Row],[Área techada (m²)]]*0.15,2)</f>
        <v>9.7799999999999994</v>
      </c>
      <c r="J143" s="18" t="s">
        <v>33</v>
      </c>
      <c r="K143" s="7">
        <v>198000</v>
      </c>
      <c r="L143" s="240">
        <f>ROUND(Tabla2[[#This Row],[Área ocupada (m²)3]]/20*1.4,2)</f>
        <v>4.5599999999999996</v>
      </c>
      <c r="M143" s="240">
        <f>ROUND(Tabla2[[#This Row],[Área ocupada (m²)]],2)</f>
        <v>65.2</v>
      </c>
      <c r="N143" s="240">
        <f>ROUND(Tabla2[[#This Row],[Área techada (m²)]],2)</f>
        <v>65.2</v>
      </c>
      <c r="O143" s="243">
        <f>ROUND(Tabla2[[#This Row],[Área techada (m²)4]]*0.15,2)</f>
        <v>9.7799999999999994</v>
      </c>
      <c r="P143" s="6">
        <f>ROUND(Tabla2[[#This Row],[Área del terreno (m²)2]]*DATA!$F$4,-2)</f>
        <v>3200</v>
      </c>
      <c r="Q143" s="243">
        <f>+Tabla2[[#This Row],[Valor Comercial (US$)]]-Tabla2[[#This Row],[Valor del terreno (US$)]]</f>
        <v>58700</v>
      </c>
      <c r="R14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43" s="244">
        <f>ROUND(Tabla2[[#This Row],[Valor Comercial (US$)]]*0.8,-2)</f>
        <v>49500</v>
      </c>
      <c r="T143" s="244">
        <f>IF(Informe!$I$6=DATA!$B$4,R143,ROUND(Tabla2[[#This Row],[Área techada (m²)4]]*DATA!$F$5*1.15,-2))</f>
        <v>61900</v>
      </c>
      <c r="U143" s="8">
        <f t="shared" si="2"/>
        <v>3.3479999999999999</v>
      </c>
      <c r="V143" s="244">
        <f>ROUND(Tabla2[[#This Row],[Valor del terreno (US$)]]*Tabla2[[#This Row],[Tipo de Cambio]],-2)</f>
        <v>10700</v>
      </c>
      <c r="W143" s="244">
        <f>Tabla2[[#This Row],[Valor Comercial (S/.)]]-Tabla2[[#This Row],[Valor del terreno (S/.)]]</f>
        <v>196500</v>
      </c>
      <c r="X143" s="244">
        <f>ROUND(Tabla2[[#This Row],[Valor Comercial (US$)]]*Tabla2[[#This Row],[Tipo de Cambio]],-2)</f>
        <v>207200</v>
      </c>
      <c r="Y143" s="244">
        <f>ROUND(Tabla2[[#This Row],[Valor Realización (US$)]]*Tabla2[[#This Row],[Tipo de Cambio]],-2)</f>
        <v>165700</v>
      </c>
      <c r="Z143" s="244">
        <f>+ROUND(Tabla2[[#This Row],[Importe Asegurable (US$)]]*Tabla2[[#This Row],[Tipo de Cambio]],-2)</f>
        <v>207200</v>
      </c>
      <c r="AA143" s="245"/>
      <c r="AB143" s="2">
        <f>+Tabla2[[#This Row],[Valor Comercial (US$)]]/Tabla2[[#This Row],[Área techada (m²)4]]</f>
        <v>949.38650306748457</v>
      </c>
      <c r="AC14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43" s="1" t="s">
        <v>50</v>
      </c>
      <c r="AE143" s="222">
        <f>IF(Tabla2[[#This Row],[Moneda]]="Soles",Tabla2[[#This Row],[Valor de Venta]]/Tabla2[[#This Row],[Área techada (m²)]]/Tabla2[[#This Row],[Tipo de Cambio]],Tabla2[[#This Row],[Valor de Venta]]/Tabla2[[#This Row],[Área techada (m²)]])</f>
        <v>907.05191635332142</v>
      </c>
      <c r="AF143" s="347">
        <f>VLOOKUP(Tabla2[[#This Row],[VISTA]],DATA!$H$4:$I$17,2,FALSE)</f>
        <v>950</v>
      </c>
      <c r="AG143" s="221">
        <f>+Tabla2[[#This Row],[Valor Comercial (S/.)]]/Tabla2[[#This Row],[Valor de Venta]]-1</f>
        <v>4.6464646464646542E-2</v>
      </c>
    </row>
    <row r="144" spans="1:33" s="1" customFormat="1" ht="15" customHeight="1" x14ac:dyDescent="0.25">
      <c r="A144" s="225" t="s">
        <v>30</v>
      </c>
      <c r="B144" s="22">
        <v>1705</v>
      </c>
      <c r="C144" s="14">
        <v>17</v>
      </c>
      <c r="D144" s="27"/>
      <c r="E144" s="28"/>
      <c r="F144" s="12">
        <f>ROUND(Tabla2[[#This Row],[Área ocupada (m²)]]/20*1.4,2)</f>
        <v>4.5599999999999996</v>
      </c>
      <c r="G144" s="12">
        <v>65.2</v>
      </c>
      <c r="H144" s="12">
        <v>65.2</v>
      </c>
      <c r="I144" s="12">
        <f>ROUND(Tabla2[[#This Row],[Área techada (m²)]]*0.15,2)</f>
        <v>9.7799999999999994</v>
      </c>
      <c r="J144" s="18" t="s">
        <v>33</v>
      </c>
      <c r="K144" s="7">
        <v>195000</v>
      </c>
      <c r="L144" s="240">
        <f>ROUND(Tabla2[[#This Row],[Área ocupada (m²)3]]/20*1.4,2)</f>
        <v>4.5599999999999996</v>
      </c>
      <c r="M144" s="240">
        <f>ROUND(Tabla2[[#This Row],[Área ocupada (m²)]],2)</f>
        <v>65.2</v>
      </c>
      <c r="N144" s="240">
        <f>ROUND(Tabla2[[#This Row],[Área techada (m²)]],2)</f>
        <v>65.2</v>
      </c>
      <c r="O144" s="243">
        <f>ROUND(Tabla2[[#This Row],[Área techada (m²)4]]*0.15,2)</f>
        <v>9.7799999999999994</v>
      </c>
      <c r="P144" s="6">
        <f>ROUND(Tabla2[[#This Row],[Área del terreno (m²)2]]*DATA!$F$4,-2)</f>
        <v>3200</v>
      </c>
      <c r="Q144" s="243">
        <f>+Tabla2[[#This Row],[Valor Comercial (US$)]]-Tabla2[[#This Row],[Valor del terreno (US$)]]</f>
        <v>58700</v>
      </c>
      <c r="R14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44" s="244">
        <f>ROUND(Tabla2[[#This Row],[Valor Comercial (US$)]]*0.8,-2)</f>
        <v>49500</v>
      </c>
      <c r="T144" s="244">
        <f>IF(Informe!$I$6=DATA!$B$4,R144,ROUND(Tabla2[[#This Row],[Área techada (m²)4]]*DATA!$F$5*1.15,-2))</f>
        <v>61900</v>
      </c>
      <c r="U144" s="8">
        <f t="shared" si="2"/>
        <v>3.3479999999999999</v>
      </c>
      <c r="V144" s="244">
        <f>ROUND(Tabla2[[#This Row],[Valor del terreno (US$)]]*Tabla2[[#This Row],[Tipo de Cambio]],-2)</f>
        <v>10700</v>
      </c>
      <c r="W144" s="244">
        <f>Tabla2[[#This Row],[Valor Comercial (S/.)]]-Tabla2[[#This Row],[Valor del terreno (S/.)]]</f>
        <v>196500</v>
      </c>
      <c r="X144" s="244">
        <f>ROUND(Tabla2[[#This Row],[Valor Comercial (US$)]]*Tabla2[[#This Row],[Tipo de Cambio]],-2)</f>
        <v>207200</v>
      </c>
      <c r="Y144" s="244">
        <f>ROUND(Tabla2[[#This Row],[Valor Realización (US$)]]*Tabla2[[#This Row],[Tipo de Cambio]],-2)</f>
        <v>165700</v>
      </c>
      <c r="Z144" s="244">
        <f>+ROUND(Tabla2[[#This Row],[Importe Asegurable (US$)]]*Tabla2[[#This Row],[Tipo de Cambio]],-2)</f>
        <v>207200</v>
      </c>
      <c r="AA144" s="245"/>
      <c r="AB144" s="2">
        <f>+Tabla2[[#This Row],[Valor Comercial (US$)]]/Tabla2[[#This Row],[Área techada (m²)4]]</f>
        <v>949.38650306748457</v>
      </c>
      <c r="AC14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44" s="1" t="s">
        <v>50</v>
      </c>
      <c r="AE144" s="222">
        <f>IF(Tabla2[[#This Row],[Moneda]]="Soles",Tabla2[[#This Row],[Valor de Venta]]/Tabla2[[#This Row],[Área techada (m²)]]/Tabla2[[#This Row],[Tipo de Cambio]],Tabla2[[#This Row],[Valor de Venta]]/Tabla2[[#This Row],[Área techada (m²)]])</f>
        <v>893.30870549948327</v>
      </c>
      <c r="AF144" s="347">
        <f>VLOOKUP(Tabla2[[#This Row],[VISTA]],DATA!$H$4:$I$17,2,FALSE)</f>
        <v>950</v>
      </c>
      <c r="AG144" s="221">
        <f>+Tabla2[[#This Row],[Valor Comercial (S/.)]]/Tabla2[[#This Row],[Valor de Venta]]-1</f>
        <v>6.2564102564102608E-2</v>
      </c>
    </row>
    <row r="145" spans="1:33" s="1" customFormat="1" ht="15" customHeight="1" x14ac:dyDescent="0.25">
      <c r="A145" s="225" t="s">
        <v>30</v>
      </c>
      <c r="B145" s="22">
        <v>1706</v>
      </c>
      <c r="C145" s="14">
        <v>17</v>
      </c>
      <c r="D145" s="27"/>
      <c r="E145" s="28"/>
      <c r="F145" s="12">
        <f>ROUND(Tabla2[[#This Row],[Área ocupada (m²)]]/20*1.4,2)</f>
        <v>4.38</v>
      </c>
      <c r="G145" s="12">
        <v>62.5</v>
      </c>
      <c r="H145" s="12">
        <v>62.5</v>
      </c>
      <c r="I145" s="12">
        <f>ROUND(Tabla2[[#This Row],[Área techada (m²)]]*0.15,2)</f>
        <v>9.3800000000000008</v>
      </c>
      <c r="J145" s="18" t="s">
        <v>33</v>
      </c>
      <c r="K145" s="7">
        <v>185300</v>
      </c>
      <c r="L145" s="240">
        <f>ROUND(Tabla2[[#This Row],[Área ocupada (m²)3]]/20*1.4,2)</f>
        <v>4.38</v>
      </c>
      <c r="M145" s="240">
        <f>ROUND(Tabla2[[#This Row],[Área ocupada (m²)]],2)</f>
        <v>62.5</v>
      </c>
      <c r="N145" s="240">
        <f>ROUND(Tabla2[[#This Row],[Área techada (m²)]],2)</f>
        <v>62.5</v>
      </c>
      <c r="O145" s="243">
        <f>ROUND(Tabla2[[#This Row],[Área techada (m²)4]]*0.15,2)</f>
        <v>9.3800000000000008</v>
      </c>
      <c r="P145" s="6">
        <f>ROUND(Tabla2[[#This Row],[Área del terreno (m²)2]]*DATA!$F$4,-2)</f>
        <v>3100</v>
      </c>
      <c r="Q145" s="243">
        <f>+Tabla2[[#This Row],[Valor Comercial (US$)]]-Tabla2[[#This Row],[Valor del terreno (US$)]]</f>
        <v>56300</v>
      </c>
      <c r="R14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59400</v>
      </c>
      <c r="S145" s="244">
        <f>ROUND(Tabla2[[#This Row],[Valor Comercial (US$)]]*0.8,-2)</f>
        <v>47500</v>
      </c>
      <c r="T145" s="244">
        <f>IF(Informe!$I$6=DATA!$B$4,R145,ROUND(Tabla2[[#This Row],[Área techada (m²)4]]*DATA!$F$5*1.15,-2))</f>
        <v>59400</v>
      </c>
      <c r="U145" s="8">
        <f t="shared" si="2"/>
        <v>3.3479999999999999</v>
      </c>
      <c r="V145" s="244">
        <f>ROUND(Tabla2[[#This Row],[Valor del terreno (US$)]]*Tabla2[[#This Row],[Tipo de Cambio]],-2)</f>
        <v>10400</v>
      </c>
      <c r="W145" s="244">
        <f>Tabla2[[#This Row],[Valor Comercial (S/.)]]-Tabla2[[#This Row],[Valor del terreno (S/.)]]</f>
        <v>188500</v>
      </c>
      <c r="X145" s="244">
        <f>ROUND(Tabla2[[#This Row],[Valor Comercial (US$)]]*Tabla2[[#This Row],[Tipo de Cambio]],-2)</f>
        <v>198900</v>
      </c>
      <c r="Y145" s="244">
        <f>ROUND(Tabla2[[#This Row],[Valor Realización (US$)]]*Tabla2[[#This Row],[Tipo de Cambio]],-2)</f>
        <v>159000</v>
      </c>
      <c r="Z145" s="244">
        <f>+ROUND(Tabla2[[#This Row],[Importe Asegurable (US$)]]*Tabla2[[#This Row],[Tipo de Cambio]],-2)</f>
        <v>198900</v>
      </c>
      <c r="AA145" s="245"/>
      <c r="AB145" s="2">
        <f>+Tabla2[[#This Row],[Valor Comercial (US$)]]/Tabla2[[#This Row],[Área techada (m²)4]]</f>
        <v>950.4</v>
      </c>
      <c r="AC14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45" s="1" t="s">
        <v>50</v>
      </c>
      <c r="AE145" s="222">
        <f>IF(Tabla2[[#This Row],[Moneda]]="Soles",Tabla2[[#This Row],[Valor de Venta]]/Tabla2[[#This Row],[Área techada (m²)]]/Tabla2[[#This Row],[Tipo de Cambio]],Tabla2[[#This Row],[Valor de Venta]]/Tabla2[[#This Row],[Área techada (m²)]])</f>
        <v>885.54360812425341</v>
      </c>
      <c r="AF145" s="347">
        <f>VLOOKUP(Tabla2[[#This Row],[VISTA]],DATA!$H$4:$I$17,2,FALSE)</f>
        <v>950</v>
      </c>
      <c r="AG145" s="221">
        <f>+Tabla2[[#This Row],[Valor Comercial (S/.)]]/Tabla2[[#This Row],[Valor de Venta]]-1</f>
        <v>7.3394495412844041E-2</v>
      </c>
    </row>
    <row r="146" spans="1:33" s="1" customFormat="1" ht="15" customHeight="1" x14ac:dyDescent="0.25">
      <c r="A146" s="225" t="s">
        <v>30</v>
      </c>
      <c r="B146" s="22">
        <v>1707</v>
      </c>
      <c r="C146" s="14">
        <v>17</v>
      </c>
      <c r="D146" s="35"/>
      <c r="E146" s="29"/>
      <c r="F146" s="12">
        <f>ROUND(Tabla2[[#This Row],[Área ocupada (m²)]]/20*1.4,2)</f>
        <v>4.38</v>
      </c>
      <c r="G146" s="12">
        <v>62.5</v>
      </c>
      <c r="H146" s="12">
        <v>62.5</v>
      </c>
      <c r="I146" s="12">
        <f>ROUND(Tabla2[[#This Row],[Área techada (m²)]]*0.15,2)</f>
        <v>9.3800000000000008</v>
      </c>
      <c r="J146" s="18" t="s">
        <v>33</v>
      </c>
      <c r="K146" s="7">
        <v>175300</v>
      </c>
      <c r="L146" s="240">
        <f>ROUND(Tabla2[[#This Row],[Área ocupada (m²)3]]/20*1.4,2)</f>
        <v>4.38</v>
      </c>
      <c r="M146" s="240">
        <f>ROUND(Tabla2[[#This Row],[Área ocupada (m²)]],2)</f>
        <v>62.5</v>
      </c>
      <c r="N146" s="240">
        <f>ROUND(Tabla2[[#This Row],[Área techada (m²)]],2)</f>
        <v>62.5</v>
      </c>
      <c r="O146" s="243">
        <f>ROUND(Tabla2[[#This Row],[Área techada (m²)4]]*0.15,2)</f>
        <v>9.3800000000000008</v>
      </c>
      <c r="P146" s="6">
        <f>ROUND(Tabla2[[#This Row],[Área del terreno (m²)2]]*DATA!$F$4,-2)</f>
        <v>3100</v>
      </c>
      <c r="Q146" s="243">
        <f>+Tabla2[[#This Row],[Valor Comercial (US$)]]-Tabla2[[#This Row],[Valor del terreno (US$)]]</f>
        <v>53200</v>
      </c>
      <c r="R14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46" s="244">
        <f>ROUND(Tabla2[[#This Row],[Valor Comercial (US$)]]*0.8,-2)</f>
        <v>45000</v>
      </c>
      <c r="T146" s="244">
        <f>IF(Informe!$I$6=DATA!$B$4,R146,ROUND(Tabla2[[#This Row],[Área techada (m²)4]]*DATA!$F$5*1.15,-2))</f>
        <v>56300</v>
      </c>
      <c r="U146" s="8">
        <f t="shared" si="2"/>
        <v>3.3479999999999999</v>
      </c>
      <c r="V146" s="244">
        <f>ROUND(Tabla2[[#This Row],[Valor del terreno (US$)]]*Tabla2[[#This Row],[Tipo de Cambio]],-2)</f>
        <v>10400</v>
      </c>
      <c r="W146" s="244">
        <f>Tabla2[[#This Row],[Valor Comercial (S/.)]]-Tabla2[[#This Row],[Valor del terreno (S/.)]]</f>
        <v>178100</v>
      </c>
      <c r="X146" s="244">
        <f>ROUND(Tabla2[[#This Row],[Valor Comercial (US$)]]*Tabla2[[#This Row],[Tipo de Cambio]],-2)</f>
        <v>188500</v>
      </c>
      <c r="Y146" s="244">
        <f>ROUND(Tabla2[[#This Row],[Valor Realización (US$)]]*Tabla2[[#This Row],[Tipo de Cambio]],-2)</f>
        <v>150700</v>
      </c>
      <c r="Z146" s="244">
        <f>+ROUND(Tabla2[[#This Row],[Importe Asegurable (US$)]]*Tabla2[[#This Row],[Tipo de Cambio]],-2)</f>
        <v>188500</v>
      </c>
      <c r="AA146" s="245"/>
      <c r="AB146" s="2">
        <f>+Tabla2[[#This Row],[Valor Comercial (US$)]]/Tabla2[[#This Row],[Área techada (m²)4]]</f>
        <v>900.8</v>
      </c>
      <c r="AC14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46" s="1" t="s">
        <v>51</v>
      </c>
      <c r="AE146" s="222">
        <f>IF(Tabla2[[#This Row],[Moneda]]="Soles",Tabla2[[#This Row],[Valor de Venta]]/Tabla2[[#This Row],[Área techada (m²)]]/Tabla2[[#This Row],[Tipo de Cambio]],Tabla2[[#This Row],[Valor de Venta]]/Tabla2[[#This Row],[Área techada (m²)]])</f>
        <v>837.75388291517334</v>
      </c>
      <c r="AF146" s="347">
        <f>VLOOKUP(Tabla2[[#This Row],[VISTA]],DATA!$H$4:$I$17,2,FALSE)</f>
        <v>900</v>
      </c>
      <c r="AG146" s="221">
        <f>+Tabla2[[#This Row],[Valor Comercial (S/.)]]/Tabla2[[#This Row],[Valor de Venta]]-1</f>
        <v>7.5299486594409659E-2</v>
      </c>
    </row>
    <row r="147" spans="1:33" s="1" customFormat="1" ht="15" customHeight="1" x14ac:dyDescent="0.25">
      <c r="A147" s="225" t="s">
        <v>30</v>
      </c>
      <c r="B147" s="22">
        <v>1708</v>
      </c>
      <c r="C147" s="14">
        <v>17</v>
      </c>
      <c r="D147" s="35"/>
      <c r="E147" s="29"/>
      <c r="F147" s="12">
        <f>ROUND(Tabla2[[#This Row],[Área ocupada (m²)]]/20*1.4,2)</f>
        <v>4.5599999999999996</v>
      </c>
      <c r="G147" s="12">
        <v>65.2</v>
      </c>
      <c r="H147" s="12">
        <v>65.2</v>
      </c>
      <c r="I147" s="12">
        <f>ROUND(Tabla2[[#This Row],[Área techada (m²)]]*0.15,2)</f>
        <v>9.7799999999999994</v>
      </c>
      <c r="J147" s="18" t="s">
        <v>33</v>
      </c>
      <c r="K147" s="7">
        <v>191000</v>
      </c>
      <c r="L147" s="240">
        <f>ROUND(Tabla2[[#This Row],[Área ocupada (m²)3]]/20*1.4,2)</f>
        <v>4.5599999999999996</v>
      </c>
      <c r="M147" s="240">
        <f>ROUND(Tabla2[[#This Row],[Área ocupada (m²)]],2)</f>
        <v>65.2</v>
      </c>
      <c r="N147" s="240">
        <f>ROUND(Tabla2[[#This Row],[Área techada (m²)]],2)</f>
        <v>65.2</v>
      </c>
      <c r="O147" s="243">
        <f>ROUND(Tabla2[[#This Row],[Área techada (m²)4]]*0.15,2)</f>
        <v>9.7799999999999994</v>
      </c>
      <c r="P147" s="6">
        <f>ROUND(Tabla2[[#This Row],[Área del terreno (m²)2]]*DATA!$F$4,-2)</f>
        <v>3200</v>
      </c>
      <c r="Q147" s="243">
        <f>+Tabla2[[#This Row],[Valor Comercial (US$)]]-Tabla2[[#This Row],[Valor del terreno (US$)]]</f>
        <v>55500</v>
      </c>
      <c r="R14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58700</v>
      </c>
      <c r="S147" s="244">
        <f>ROUND(Tabla2[[#This Row],[Valor Comercial (US$)]]*0.8,-2)</f>
        <v>47000</v>
      </c>
      <c r="T147" s="244">
        <f>IF(Informe!$I$6=DATA!$B$4,R147,ROUND(Tabla2[[#This Row],[Área techada (m²)4]]*DATA!$F$5*1.15,-2))</f>
        <v>58700</v>
      </c>
      <c r="U147" s="8">
        <f t="shared" si="2"/>
        <v>3.3479999999999999</v>
      </c>
      <c r="V147" s="244">
        <f>ROUND(Tabla2[[#This Row],[Valor del terreno (US$)]]*Tabla2[[#This Row],[Tipo de Cambio]],-2)</f>
        <v>10700</v>
      </c>
      <c r="W147" s="244">
        <f>Tabla2[[#This Row],[Valor Comercial (S/.)]]-Tabla2[[#This Row],[Valor del terreno (S/.)]]</f>
        <v>185800</v>
      </c>
      <c r="X147" s="244">
        <f>ROUND(Tabla2[[#This Row],[Valor Comercial (US$)]]*Tabla2[[#This Row],[Tipo de Cambio]],-2)</f>
        <v>196500</v>
      </c>
      <c r="Y147" s="244">
        <f>ROUND(Tabla2[[#This Row],[Valor Realización (US$)]]*Tabla2[[#This Row],[Tipo de Cambio]],-2)</f>
        <v>157400</v>
      </c>
      <c r="Z147" s="244">
        <f>+ROUND(Tabla2[[#This Row],[Importe Asegurable (US$)]]*Tabla2[[#This Row],[Tipo de Cambio]],-2)</f>
        <v>196500</v>
      </c>
      <c r="AA147" s="245"/>
      <c r="AB147" s="2">
        <f>+Tabla2[[#This Row],[Valor Comercial (US$)]]/Tabla2[[#This Row],[Área techada (m²)4]]</f>
        <v>900.30674846625766</v>
      </c>
      <c r="AC14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47" s="1" t="s">
        <v>51</v>
      </c>
      <c r="AE147" s="222">
        <f>IF(Tabla2[[#This Row],[Moneda]]="Soles",Tabla2[[#This Row],[Valor de Venta]]/Tabla2[[#This Row],[Área techada (m²)]]/Tabla2[[#This Row],[Tipo de Cambio]],Tabla2[[#This Row],[Valor de Venta]]/Tabla2[[#This Row],[Área techada (m²)]])</f>
        <v>874.98442436103232</v>
      </c>
      <c r="AF147" s="347">
        <f>VLOOKUP(Tabla2[[#This Row],[VISTA]],DATA!$H$4:$I$17,2,FALSE)</f>
        <v>900</v>
      </c>
      <c r="AG147" s="221">
        <f>+Tabla2[[#This Row],[Valor Comercial (S/.)]]/Tabla2[[#This Row],[Valor de Venta]]-1</f>
        <v>2.8795811518324665E-2</v>
      </c>
    </row>
    <row r="148" spans="1:33" s="1" customFormat="1" ht="15" customHeight="1" x14ac:dyDescent="0.25">
      <c r="A148" s="225" t="s">
        <v>30</v>
      </c>
      <c r="B148" s="22">
        <v>1801</v>
      </c>
      <c r="C148" s="14">
        <v>18</v>
      </c>
      <c r="D148" s="27"/>
      <c r="E148" s="28"/>
      <c r="F148" s="12">
        <f>ROUND(Tabla2[[#This Row],[Área ocupada (m²)]]/20*1.4,2)</f>
        <v>4.5599999999999996</v>
      </c>
      <c r="G148" s="12">
        <v>65.2</v>
      </c>
      <c r="H148" s="12">
        <v>65.2</v>
      </c>
      <c r="I148" s="12">
        <f>ROUND(Tabla2[[#This Row],[Área techada (m²)]]*0.15,2)</f>
        <v>9.7799999999999994</v>
      </c>
      <c r="J148" s="18" t="s">
        <v>33</v>
      </c>
      <c r="K148" s="7">
        <v>182100</v>
      </c>
      <c r="L148" s="240">
        <f>ROUND(Tabla2[[#This Row],[Área ocupada (m²)3]]/20*1.4,2)</f>
        <v>4.5599999999999996</v>
      </c>
      <c r="M148" s="240">
        <f>ROUND(Tabla2[[#This Row],[Área ocupada (m²)]],2)</f>
        <v>65.2</v>
      </c>
      <c r="N148" s="240">
        <f>ROUND(Tabla2[[#This Row],[Área techada (m²)]],2)</f>
        <v>65.2</v>
      </c>
      <c r="O148" s="243">
        <f>ROUND(Tabla2[[#This Row],[Área techada (m²)4]]*0.15,2)</f>
        <v>9.7799999999999994</v>
      </c>
      <c r="P148" s="6">
        <f>ROUND(Tabla2[[#This Row],[Área del terreno (m²)2]]*DATA!$F$4,-2)</f>
        <v>3200</v>
      </c>
      <c r="Q148" s="243">
        <f>+Tabla2[[#This Row],[Valor Comercial (US$)]]-Tabla2[[#This Row],[Valor del terreno (US$)]]</f>
        <v>55500</v>
      </c>
      <c r="R14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58700</v>
      </c>
      <c r="S148" s="244">
        <f>ROUND(Tabla2[[#This Row],[Valor Comercial (US$)]]*0.8,-2)</f>
        <v>47000</v>
      </c>
      <c r="T148" s="244">
        <f>IF(Informe!$I$6=DATA!$B$4,R148,ROUND(Tabla2[[#This Row],[Área techada (m²)4]]*DATA!$F$5*1.15,-2))</f>
        <v>58700</v>
      </c>
      <c r="U148" s="8">
        <f t="shared" si="2"/>
        <v>3.3479999999999999</v>
      </c>
      <c r="V148" s="244">
        <f>ROUND(Tabla2[[#This Row],[Valor del terreno (US$)]]*Tabla2[[#This Row],[Tipo de Cambio]],-2)</f>
        <v>10700</v>
      </c>
      <c r="W148" s="244">
        <f>Tabla2[[#This Row],[Valor Comercial (S/.)]]-Tabla2[[#This Row],[Valor del terreno (S/.)]]</f>
        <v>185800</v>
      </c>
      <c r="X148" s="244">
        <f>ROUND(Tabla2[[#This Row],[Valor Comercial (US$)]]*Tabla2[[#This Row],[Tipo de Cambio]],-2)</f>
        <v>196500</v>
      </c>
      <c r="Y148" s="244">
        <f>ROUND(Tabla2[[#This Row],[Valor Realización (US$)]]*Tabla2[[#This Row],[Tipo de Cambio]],-2)</f>
        <v>157400</v>
      </c>
      <c r="Z148" s="244">
        <f>+ROUND(Tabla2[[#This Row],[Importe Asegurable (US$)]]*Tabla2[[#This Row],[Tipo de Cambio]],-2)</f>
        <v>196500</v>
      </c>
      <c r="AA148" s="245"/>
      <c r="AB148" s="2">
        <f>+Tabla2[[#This Row],[Valor Comercial (US$)]]/Tabla2[[#This Row],[Área techada (m²)4]]</f>
        <v>900.30674846625766</v>
      </c>
      <c r="AC14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48" s="1" t="s">
        <v>51</v>
      </c>
      <c r="AE148" s="222">
        <f>IF(Tabla2[[#This Row],[Moneda]]="Soles",Tabla2[[#This Row],[Valor de Venta]]/Tabla2[[#This Row],[Área techada (m²)]]/Tabla2[[#This Row],[Tipo de Cambio]],Tabla2[[#This Row],[Valor de Venta]]/Tabla2[[#This Row],[Área techada (m²)]])</f>
        <v>834.21289882797896</v>
      </c>
      <c r="AF148" s="347">
        <f>VLOOKUP(Tabla2[[#This Row],[VISTA]],DATA!$H$4:$I$17,2,FALSE)</f>
        <v>900</v>
      </c>
      <c r="AG148" s="221">
        <f>+Tabla2[[#This Row],[Valor Comercial (S/.)]]/Tabla2[[#This Row],[Valor de Venta]]-1</f>
        <v>7.9077429983525516E-2</v>
      </c>
    </row>
    <row r="149" spans="1:33" s="1" customFormat="1" ht="15" customHeight="1" x14ac:dyDescent="0.25">
      <c r="A149" s="225" t="s">
        <v>30</v>
      </c>
      <c r="B149" s="22">
        <v>1802</v>
      </c>
      <c r="C149" s="14">
        <v>18</v>
      </c>
      <c r="D149" s="27"/>
      <c r="E149" s="28"/>
      <c r="F149" s="12">
        <f>ROUND(Tabla2[[#This Row],[Área ocupada (m²)]]/20*1.4,2)</f>
        <v>4.38</v>
      </c>
      <c r="G149" s="12">
        <v>62.5</v>
      </c>
      <c r="H149" s="12">
        <v>62.5</v>
      </c>
      <c r="I149" s="12">
        <f>ROUND(Tabla2[[#This Row],[Área techada (m²)]]*0.15,2)</f>
        <v>9.3800000000000008</v>
      </c>
      <c r="J149" s="18" t="s">
        <v>33</v>
      </c>
      <c r="K149" s="7">
        <v>175500</v>
      </c>
      <c r="L149" s="240">
        <f>ROUND(Tabla2[[#This Row],[Área ocupada (m²)3]]/20*1.4,2)</f>
        <v>4.38</v>
      </c>
      <c r="M149" s="240">
        <f>ROUND(Tabla2[[#This Row],[Área ocupada (m²)]],2)</f>
        <v>62.5</v>
      </c>
      <c r="N149" s="240">
        <f>ROUND(Tabla2[[#This Row],[Área techada (m²)]],2)</f>
        <v>62.5</v>
      </c>
      <c r="O149" s="243">
        <f>ROUND(Tabla2[[#This Row],[Área techada (m²)4]]*0.15,2)</f>
        <v>9.3800000000000008</v>
      </c>
      <c r="P149" s="6">
        <f>ROUND(Tabla2[[#This Row],[Área del terreno (m²)2]]*DATA!$F$4,-2)</f>
        <v>3100</v>
      </c>
      <c r="Q149" s="243">
        <f>+Tabla2[[#This Row],[Valor Comercial (US$)]]-Tabla2[[#This Row],[Valor del terreno (US$)]]</f>
        <v>53200</v>
      </c>
      <c r="R14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49" s="244">
        <f>ROUND(Tabla2[[#This Row],[Valor Comercial (US$)]]*0.8,-2)</f>
        <v>45000</v>
      </c>
      <c r="T149" s="244">
        <f>IF(Informe!$I$6=DATA!$B$4,R149,ROUND(Tabla2[[#This Row],[Área techada (m²)4]]*DATA!$F$5*1.15,-2))</f>
        <v>56300</v>
      </c>
      <c r="U149" s="8">
        <f t="shared" si="2"/>
        <v>3.3479999999999999</v>
      </c>
      <c r="V149" s="244">
        <f>ROUND(Tabla2[[#This Row],[Valor del terreno (US$)]]*Tabla2[[#This Row],[Tipo de Cambio]],-2)</f>
        <v>10400</v>
      </c>
      <c r="W149" s="244">
        <f>Tabla2[[#This Row],[Valor Comercial (S/.)]]-Tabla2[[#This Row],[Valor del terreno (S/.)]]</f>
        <v>178100</v>
      </c>
      <c r="X149" s="244">
        <f>ROUND(Tabla2[[#This Row],[Valor Comercial (US$)]]*Tabla2[[#This Row],[Tipo de Cambio]],-2)</f>
        <v>188500</v>
      </c>
      <c r="Y149" s="244">
        <f>ROUND(Tabla2[[#This Row],[Valor Realización (US$)]]*Tabla2[[#This Row],[Tipo de Cambio]],-2)</f>
        <v>150700</v>
      </c>
      <c r="Z149" s="244">
        <f>+ROUND(Tabla2[[#This Row],[Importe Asegurable (US$)]]*Tabla2[[#This Row],[Tipo de Cambio]],-2)</f>
        <v>188500</v>
      </c>
      <c r="AA149" s="245"/>
      <c r="AB149" s="2">
        <f>+Tabla2[[#This Row],[Valor Comercial (US$)]]/Tabla2[[#This Row],[Área techada (m²)4]]</f>
        <v>900.8</v>
      </c>
      <c r="AC14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49" s="1" t="s">
        <v>51</v>
      </c>
      <c r="AE149" s="222">
        <f>IF(Tabla2[[#This Row],[Moneda]]="Soles",Tabla2[[#This Row],[Valor de Venta]]/Tabla2[[#This Row],[Área techada (m²)]]/Tabla2[[#This Row],[Tipo de Cambio]],Tabla2[[#This Row],[Valor de Venta]]/Tabla2[[#This Row],[Área techada (m²)]])</f>
        <v>838.70967741935488</v>
      </c>
      <c r="AF149" s="347">
        <f>VLOOKUP(Tabla2[[#This Row],[VISTA]],DATA!$H$4:$I$17,2,FALSE)</f>
        <v>900</v>
      </c>
      <c r="AG149" s="221">
        <f>+Tabla2[[#This Row],[Valor Comercial (S/.)]]/Tabla2[[#This Row],[Valor de Venta]]-1</f>
        <v>7.4074074074074181E-2</v>
      </c>
    </row>
    <row r="150" spans="1:33" s="1" customFormat="1" ht="15" customHeight="1" x14ac:dyDescent="0.25">
      <c r="A150" s="225" t="s">
        <v>30</v>
      </c>
      <c r="B150" s="22">
        <v>1803</v>
      </c>
      <c r="C150" s="14">
        <v>18</v>
      </c>
      <c r="D150" s="27"/>
      <c r="E150" s="28"/>
      <c r="F150" s="12">
        <f>ROUND(Tabla2[[#This Row],[Área ocupada (m²)]]/20*1.4,2)</f>
        <v>4.38</v>
      </c>
      <c r="G150" s="12">
        <v>62.5</v>
      </c>
      <c r="H150" s="12">
        <v>62.5</v>
      </c>
      <c r="I150" s="12">
        <f>ROUND(Tabla2[[#This Row],[Área techada (m²)]]*0.15,2)</f>
        <v>9.3800000000000008</v>
      </c>
      <c r="J150" s="18" t="s">
        <v>33</v>
      </c>
      <c r="K150" s="7">
        <v>175500</v>
      </c>
      <c r="L150" s="240">
        <f>ROUND(Tabla2[[#This Row],[Área ocupada (m²)3]]/20*1.4,2)</f>
        <v>4.38</v>
      </c>
      <c r="M150" s="240">
        <f>ROUND(Tabla2[[#This Row],[Área ocupada (m²)]],2)</f>
        <v>62.5</v>
      </c>
      <c r="N150" s="240">
        <f>ROUND(Tabla2[[#This Row],[Área techada (m²)]],2)</f>
        <v>62.5</v>
      </c>
      <c r="O150" s="243">
        <f>ROUND(Tabla2[[#This Row],[Área techada (m²)4]]*0.15,2)</f>
        <v>9.3800000000000008</v>
      </c>
      <c r="P150" s="6">
        <f>ROUND(Tabla2[[#This Row],[Área del terreno (m²)2]]*DATA!$F$4,-2)</f>
        <v>3100</v>
      </c>
      <c r="Q150" s="243">
        <f>+Tabla2[[#This Row],[Valor Comercial (US$)]]-Tabla2[[#This Row],[Valor del terreno (US$)]]</f>
        <v>53200</v>
      </c>
      <c r="R15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50" s="244">
        <f>ROUND(Tabla2[[#This Row],[Valor Comercial (US$)]]*0.8,-2)</f>
        <v>45000</v>
      </c>
      <c r="T150" s="244">
        <f>IF(Informe!$I$6=DATA!$B$4,R150,ROUND(Tabla2[[#This Row],[Área techada (m²)4]]*DATA!$F$5*1.15,-2))</f>
        <v>56300</v>
      </c>
      <c r="U150" s="8">
        <f t="shared" si="2"/>
        <v>3.3479999999999999</v>
      </c>
      <c r="V150" s="244">
        <f>ROUND(Tabla2[[#This Row],[Valor del terreno (US$)]]*Tabla2[[#This Row],[Tipo de Cambio]],-2)</f>
        <v>10400</v>
      </c>
      <c r="W150" s="244">
        <f>Tabla2[[#This Row],[Valor Comercial (S/.)]]-Tabla2[[#This Row],[Valor del terreno (S/.)]]</f>
        <v>178100</v>
      </c>
      <c r="X150" s="244">
        <f>ROUND(Tabla2[[#This Row],[Valor Comercial (US$)]]*Tabla2[[#This Row],[Tipo de Cambio]],-2)</f>
        <v>188500</v>
      </c>
      <c r="Y150" s="244">
        <f>ROUND(Tabla2[[#This Row],[Valor Realización (US$)]]*Tabla2[[#This Row],[Tipo de Cambio]],-2)</f>
        <v>150700</v>
      </c>
      <c r="Z150" s="244">
        <f>+ROUND(Tabla2[[#This Row],[Importe Asegurable (US$)]]*Tabla2[[#This Row],[Tipo de Cambio]],-2)</f>
        <v>188500</v>
      </c>
      <c r="AA150" s="245"/>
      <c r="AB150" s="2">
        <f>+Tabla2[[#This Row],[Valor Comercial (US$)]]/Tabla2[[#This Row],[Área techada (m²)4]]</f>
        <v>900.8</v>
      </c>
      <c r="AC15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50" s="1" t="s">
        <v>51</v>
      </c>
      <c r="AE150" s="222">
        <f>IF(Tabla2[[#This Row],[Moneda]]="Soles",Tabla2[[#This Row],[Valor de Venta]]/Tabla2[[#This Row],[Área techada (m²)]]/Tabla2[[#This Row],[Tipo de Cambio]],Tabla2[[#This Row],[Valor de Venta]]/Tabla2[[#This Row],[Área techada (m²)]])</f>
        <v>838.70967741935488</v>
      </c>
      <c r="AF150" s="347">
        <f>VLOOKUP(Tabla2[[#This Row],[VISTA]],DATA!$H$4:$I$17,2,FALSE)</f>
        <v>900</v>
      </c>
      <c r="AG150" s="221">
        <f>+Tabla2[[#This Row],[Valor Comercial (S/.)]]/Tabla2[[#This Row],[Valor de Venta]]-1</f>
        <v>7.4074074074074181E-2</v>
      </c>
    </row>
    <row r="151" spans="1:33" s="1" customFormat="1" ht="15" customHeight="1" x14ac:dyDescent="0.25">
      <c r="A151" s="225" t="s">
        <v>30</v>
      </c>
      <c r="B151" s="22">
        <v>1804</v>
      </c>
      <c r="C151" s="14">
        <v>18</v>
      </c>
      <c r="D151" s="27"/>
      <c r="E151" s="28"/>
      <c r="F151" s="12">
        <f>ROUND(Tabla2[[#This Row],[Área ocupada (m²)]]/20*1.4,2)</f>
        <v>4.5599999999999996</v>
      </c>
      <c r="G151" s="12">
        <v>65.2</v>
      </c>
      <c r="H151" s="12">
        <v>65.2</v>
      </c>
      <c r="I151" s="12">
        <f>ROUND(Tabla2[[#This Row],[Área techada (m²)]]*0.15,2)</f>
        <v>9.7799999999999994</v>
      </c>
      <c r="J151" s="18" t="s">
        <v>33</v>
      </c>
      <c r="K151" s="7">
        <v>196100</v>
      </c>
      <c r="L151" s="240">
        <f>ROUND(Tabla2[[#This Row],[Área ocupada (m²)3]]/20*1.4,2)</f>
        <v>4.5599999999999996</v>
      </c>
      <c r="M151" s="240">
        <f>ROUND(Tabla2[[#This Row],[Área ocupada (m²)]],2)</f>
        <v>65.2</v>
      </c>
      <c r="N151" s="240">
        <f>ROUND(Tabla2[[#This Row],[Área techada (m²)]],2)</f>
        <v>65.2</v>
      </c>
      <c r="O151" s="243">
        <f>ROUND(Tabla2[[#This Row],[Área techada (m²)4]]*0.15,2)</f>
        <v>9.7799999999999994</v>
      </c>
      <c r="P151" s="6">
        <f>ROUND(Tabla2[[#This Row],[Área del terreno (m²)2]]*DATA!$F$4,-2)</f>
        <v>3200</v>
      </c>
      <c r="Q151" s="243">
        <f>+Tabla2[[#This Row],[Valor Comercial (US$)]]-Tabla2[[#This Row],[Valor del terreno (US$)]]</f>
        <v>58700</v>
      </c>
      <c r="R15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51" s="244">
        <f>ROUND(Tabla2[[#This Row],[Valor Comercial (US$)]]*0.8,-2)</f>
        <v>49500</v>
      </c>
      <c r="T151" s="244">
        <f>IF(Informe!$I$6=DATA!$B$4,R151,ROUND(Tabla2[[#This Row],[Área techada (m²)4]]*DATA!$F$5*1.15,-2))</f>
        <v>61900</v>
      </c>
      <c r="U151" s="8">
        <f t="shared" si="2"/>
        <v>3.3479999999999999</v>
      </c>
      <c r="V151" s="244">
        <f>ROUND(Tabla2[[#This Row],[Valor del terreno (US$)]]*Tabla2[[#This Row],[Tipo de Cambio]],-2)</f>
        <v>10700</v>
      </c>
      <c r="W151" s="244">
        <f>Tabla2[[#This Row],[Valor Comercial (S/.)]]-Tabla2[[#This Row],[Valor del terreno (S/.)]]</f>
        <v>196500</v>
      </c>
      <c r="X151" s="244">
        <f>ROUND(Tabla2[[#This Row],[Valor Comercial (US$)]]*Tabla2[[#This Row],[Tipo de Cambio]],-2)</f>
        <v>207200</v>
      </c>
      <c r="Y151" s="244">
        <f>ROUND(Tabla2[[#This Row],[Valor Realización (US$)]]*Tabla2[[#This Row],[Tipo de Cambio]],-2)</f>
        <v>165700</v>
      </c>
      <c r="Z151" s="244">
        <f>+ROUND(Tabla2[[#This Row],[Importe Asegurable (US$)]]*Tabla2[[#This Row],[Tipo de Cambio]],-2)</f>
        <v>207200</v>
      </c>
      <c r="AA151" s="245"/>
      <c r="AB151" s="2">
        <f>+Tabla2[[#This Row],[Valor Comercial (US$)]]/Tabla2[[#This Row],[Área techada (m²)4]]</f>
        <v>949.38650306748457</v>
      </c>
      <c r="AC15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51" s="1" t="s">
        <v>50</v>
      </c>
      <c r="AE151" s="222">
        <f>IF(Tabla2[[#This Row],[Moneda]]="Soles",Tabla2[[#This Row],[Valor de Venta]]/Tabla2[[#This Row],[Área techada (m²)]]/Tabla2[[#This Row],[Tipo de Cambio]],Tabla2[[#This Row],[Valor de Venta]]/Tabla2[[#This Row],[Área techada (m²)]])</f>
        <v>898.34788281255726</v>
      </c>
      <c r="AF151" s="347">
        <f>VLOOKUP(Tabla2[[#This Row],[VISTA]],DATA!$H$4:$I$17,2,FALSE)</f>
        <v>950</v>
      </c>
      <c r="AG151" s="221">
        <f>+Tabla2[[#This Row],[Valor Comercial (S/.)]]/Tabla2[[#This Row],[Valor de Venta]]-1</f>
        <v>5.6603773584905648E-2</v>
      </c>
    </row>
    <row r="152" spans="1:33" s="1" customFormat="1" ht="15" customHeight="1" x14ac:dyDescent="0.25">
      <c r="A152" s="225" t="s">
        <v>30</v>
      </c>
      <c r="B152" s="22">
        <v>1805</v>
      </c>
      <c r="C152" s="14">
        <v>18</v>
      </c>
      <c r="D152" s="27"/>
      <c r="E152" s="28"/>
      <c r="F152" s="12">
        <f>ROUND(Tabla2[[#This Row],[Área ocupada (m²)]]/20*1.4,2)</f>
        <v>4.5599999999999996</v>
      </c>
      <c r="G152" s="12">
        <v>65.2</v>
      </c>
      <c r="H152" s="12">
        <v>65.2</v>
      </c>
      <c r="I152" s="12">
        <f>ROUND(Tabla2[[#This Row],[Área techada (m²)]]*0.15,2)</f>
        <v>9.7799999999999994</v>
      </c>
      <c r="J152" s="18" t="s">
        <v>33</v>
      </c>
      <c r="K152" s="7">
        <v>193100</v>
      </c>
      <c r="L152" s="240">
        <f>ROUND(Tabla2[[#This Row],[Área ocupada (m²)3]]/20*1.4,2)</f>
        <v>4.5599999999999996</v>
      </c>
      <c r="M152" s="240">
        <f>ROUND(Tabla2[[#This Row],[Área ocupada (m²)]],2)</f>
        <v>65.2</v>
      </c>
      <c r="N152" s="240">
        <f>ROUND(Tabla2[[#This Row],[Área techada (m²)]],2)</f>
        <v>65.2</v>
      </c>
      <c r="O152" s="243">
        <f>ROUND(Tabla2[[#This Row],[Área techada (m²)4]]*0.15,2)</f>
        <v>9.7799999999999994</v>
      </c>
      <c r="P152" s="6">
        <f>ROUND(Tabla2[[#This Row],[Área del terreno (m²)2]]*DATA!$F$4,-2)</f>
        <v>3200</v>
      </c>
      <c r="Q152" s="243">
        <f>+Tabla2[[#This Row],[Valor Comercial (US$)]]-Tabla2[[#This Row],[Valor del terreno (US$)]]</f>
        <v>58700</v>
      </c>
      <c r="R15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52" s="244">
        <f>ROUND(Tabla2[[#This Row],[Valor Comercial (US$)]]*0.8,-2)</f>
        <v>49500</v>
      </c>
      <c r="T152" s="244">
        <f>IF(Informe!$I$6=DATA!$B$4,R152,ROUND(Tabla2[[#This Row],[Área techada (m²)4]]*DATA!$F$5*1.15,-2))</f>
        <v>61900</v>
      </c>
      <c r="U152" s="8">
        <f t="shared" si="2"/>
        <v>3.3479999999999999</v>
      </c>
      <c r="V152" s="244">
        <f>ROUND(Tabla2[[#This Row],[Valor del terreno (US$)]]*Tabla2[[#This Row],[Tipo de Cambio]],-2)</f>
        <v>10700</v>
      </c>
      <c r="W152" s="244">
        <f>Tabla2[[#This Row],[Valor Comercial (S/.)]]-Tabla2[[#This Row],[Valor del terreno (S/.)]]</f>
        <v>196500</v>
      </c>
      <c r="X152" s="244">
        <f>ROUND(Tabla2[[#This Row],[Valor Comercial (US$)]]*Tabla2[[#This Row],[Tipo de Cambio]],-2)</f>
        <v>207200</v>
      </c>
      <c r="Y152" s="244">
        <f>ROUND(Tabla2[[#This Row],[Valor Realización (US$)]]*Tabla2[[#This Row],[Tipo de Cambio]],-2)</f>
        <v>165700</v>
      </c>
      <c r="Z152" s="244">
        <f>+ROUND(Tabla2[[#This Row],[Importe Asegurable (US$)]]*Tabla2[[#This Row],[Tipo de Cambio]],-2)</f>
        <v>207200</v>
      </c>
      <c r="AA152" s="245"/>
      <c r="AB152" s="2">
        <f>+Tabla2[[#This Row],[Valor Comercial (US$)]]/Tabla2[[#This Row],[Área techada (m²)4]]</f>
        <v>949.38650306748457</v>
      </c>
      <c r="AC15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52" s="1" t="s">
        <v>50</v>
      </c>
      <c r="AE152" s="222">
        <f>IF(Tabla2[[#This Row],[Moneda]]="Soles",Tabla2[[#This Row],[Valor de Venta]]/Tabla2[[#This Row],[Área techada (m²)]]/Tabla2[[#This Row],[Tipo de Cambio]],Tabla2[[#This Row],[Valor de Venta]]/Tabla2[[#This Row],[Área techada (m²)]])</f>
        <v>884.60467195871911</v>
      </c>
      <c r="AF152" s="347">
        <f>VLOOKUP(Tabla2[[#This Row],[VISTA]],DATA!$H$4:$I$17,2,FALSE)</f>
        <v>950</v>
      </c>
      <c r="AG152" s="221">
        <f>+Tabla2[[#This Row],[Valor Comercial (S/.)]]/Tabla2[[#This Row],[Valor de Venta]]-1</f>
        <v>7.3019161056447457E-2</v>
      </c>
    </row>
    <row r="153" spans="1:33" s="1" customFormat="1" ht="15" customHeight="1" x14ac:dyDescent="0.25">
      <c r="A153" s="225" t="s">
        <v>30</v>
      </c>
      <c r="B153" s="22">
        <v>1806</v>
      </c>
      <c r="C153" s="14">
        <v>18</v>
      </c>
      <c r="D153" s="27"/>
      <c r="E153" s="28"/>
      <c r="F153" s="12">
        <f>ROUND(Tabla2[[#This Row],[Área ocupada (m²)]]/20*1.4,2)</f>
        <v>4.38</v>
      </c>
      <c r="G153" s="12">
        <v>62.5</v>
      </c>
      <c r="H153" s="12">
        <v>62.5</v>
      </c>
      <c r="I153" s="12">
        <f>ROUND(Tabla2[[#This Row],[Área techada (m²)]]*0.15,2)</f>
        <v>9.3800000000000008</v>
      </c>
      <c r="J153" s="18" t="s">
        <v>33</v>
      </c>
      <c r="K153" s="7">
        <v>183500</v>
      </c>
      <c r="L153" s="240">
        <f>ROUND(Tabla2[[#This Row],[Área ocupada (m²)3]]/20*1.4,2)</f>
        <v>4.38</v>
      </c>
      <c r="M153" s="240">
        <f>ROUND(Tabla2[[#This Row],[Área ocupada (m²)]],2)</f>
        <v>62.5</v>
      </c>
      <c r="N153" s="240">
        <f>ROUND(Tabla2[[#This Row],[Área techada (m²)]],2)</f>
        <v>62.5</v>
      </c>
      <c r="O153" s="243">
        <f>ROUND(Tabla2[[#This Row],[Área techada (m²)4]]*0.15,2)</f>
        <v>9.3800000000000008</v>
      </c>
      <c r="P153" s="6">
        <f>ROUND(Tabla2[[#This Row],[Área del terreno (m²)2]]*DATA!$F$4,-2)</f>
        <v>3100</v>
      </c>
      <c r="Q153" s="243">
        <f>+Tabla2[[#This Row],[Valor Comercial (US$)]]-Tabla2[[#This Row],[Valor del terreno (US$)]]</f>
        <v>53200</v>
      </c>
      <c r="R15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53" s="244">
        <f>ROUND(Tabla2[[#This Row],[Valor Comercial (US$)]]*0.8,-2)</f>
        <v>45000</v>
      </c>
      <c r="T153" s="244">
        <f>IF(Informe!$I$6=DATA!$B$4,R153,ROUND(Tabla2[[#This Row],[Área techada (m²)4]]*DATA!$F$5*1.15,-2))</f>
        <v>56300</v>
      </c>
      <c r="U153" s="8">
        <f t="shared" si="2"/>
        <v>3.3479999999999999</v>
      </c>
      <c r="V153" s="244">
        <f>ROUND(Tabla2[[#This Row],[Valor del terreno (US$)]]*Tabla2[[#This Row],[Tipo de Cambio]],-2)</f>
        <v>10400</v>
      </c>
      <c r="W153" s="244">
        <f>Tabla2[[#This Row],[Valor Comercial (S/.)]]-Tabla2[[#This Row],[Valor del terreno (S/.)]]</f>
        <v>178100</v>
      </c>
      <c r="X153" s="244">
        <f>ROUND(Tabla2[[#This Row],[Valor Comercial (US$)]]*Tabla2[[#This Row],[Tipo de Cambio]],-2)</f>
        <v>188500</v>
      </c>
      <c r="Y153" s="244">
        <f>ROUND(Tabla2[[#This Row],[Valor Realización (US$)]]*Tabla2[[#This Row],[Tipo de Cambio]],-2)</f>
        <v>150700</v>
      </c>
      <c r="Z153" s="244">
        <f>+ROUND(Tabla2[[#This Row],[Importe Asegurable (US$)]]*Tabla2[[#This Row],[Tipo de Cambio]],-2)</f>
        <v>188500</v>
      </c>
      <c r="AA153" s="245"/>
      <c r="AB153" s="2">
        <f>+Tabla2[[#This Row],[Valor Comercial (US$)]]/Tabla2[[#This Row],[Área techada (m²)4]]</f>
        <v>900.8</v>
      </c>
      <c r="AC15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53" s="1" t="s">
        <v>51</v>
      </c>
      <c r="AE153" s="222">
        <f>IF(Tabla2[[#This Row],[Moneda]]="Soles",Tabla2[[#This Row],[Valor de Venta]]/Tabla2[[#This Row],[Área techada (m²)]]/Tabla2[[#This Row],[Tipo de Cambio]],Tabla2[[#This Row],[Valor de Venta]]/Tabla2[[#This Row],[Área techada (m²)]])</f>
        <v>876.94145758661887</v>
      </c>
      <c r="AF153" s="347">
        <f>VLOOKUP(Tabla2[[#This Row],[VISTA]],DATA!$H$4:$I$17,2,FALSE)</f>
        <v>900</v>
      </c>
      <c r="AG153" s="221">
        <f>+Tabla2[[#This Row],[Valor Comercial (S/.)]]/Tabla2[[#This Row],[Valor de Venta]]-1</f>
        <v>2.7247956403269713E-2</v>
      </c>
    </row>
    <row r="154" spans="1:33" s="1" customFormat="1" ht="15" customHeight="1" x14ac:dyDescent="0.25">
      <c r="A154" s="225" t="s">
        <v>30</v>
      </c>
      <c r="B154" s="22">
        <v>1807</v>
      </c>
      <c r="C154" s="14">
        <v>18</v>
      </c>
      <c r="D154" s="27"/>
      <c r="E154" s="28"/>
      <c r="F154" s="12">
        <f>ROUND(Tabla2[[#This Row],[Área ocupada (m²)]]/20*1.4,2)</f>
        <v>4.38</v>
      </c>
      <c r="G154" s="12">
        <v>62.5</v>
      </c>
      <c r="H154" s="12">
        <v>62.5</v>
      </c>
      <c r="I154" s="12">
        <f>ROUND(Tabla2[[#This Row],[Área techada (m²)]]*0.15,2)</f>
        <v>9.3800000000000008</v>
      </c>
      <c r="J154" s="18" t="s">
        <v>33</v>
      </c>
      <c r="K154" s="7">
        <v>176500</v>
      </c>
      <c r="L154" s="240">
        <f>ROUND(Tabla2[[#This Row],[Área ocupada (m²)3]]/20*1.4,2)</f>
        <v>4.38</v>
      </c>
      <c r="M154" s="240">
        <f>ROUND(Tabla2[[#This Row],[Área ocupada (m²)]],2)</f>
        <v>62.5</v>
      </c>
      <c r="N154" s="240">
        <f>ROUND(Tabla2[[#This Row],[Área techada (m²)]],2)</f>
        <v>62.5</v>
      </c>
      <c r="O154" s="243">
        <f>ROUND(Tabla2[[#This Row],[Área techada (m²)4]]*0.15,2)</f>
        <v>9.3800000000000008</v>
      </c>
      <c r="P154" s="6">
        <f>ROUND(Tabla2[[#This Row],[Área del terreno (m²)2]]*DATA!$F$4,-2)</f>
        <v>3100</v>
      </c>
      <c r="Q154" s="243">
        <f>+Tabla2[[#This Row],[Valor Comercial (US$)]]-Tabla2[[#This Row],[Valor del terreno (US$)]]</f>
        <v>53200</v>
      </c>
      <c r="R15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54" s="244">
        <f>ROUND(Tabla2[[#This Row],[Valor Comercial (US$)]]*0.8,-2)</f>
        <v>45000</v>
      </c>
      <c r="T154" s="244">
        <f>IF(Informe!$I$6=DATA!$B$4,R154,ROUND(Tabla2[[#This Row],[Área techada (m²)4]]*DATA!$F$5*1.15,-2))</f>
        <v>56300</v>
      </c>
      <c r="U154" s="8">
        <f t="shared" si="2"/>
        <v>3.3479999999999999</v>
      </c>
      <c r="V154" s="244">
        <f>ROUND(Tabla2[[#This Row],[Valor del terreno (US$)]]*Tabla2[[#This Row],[Tipo de Cambio]],-2)</f>
        <v>10400</v>
      </c>
      <c r="W154" s="244">
        <f>Tabla2[[#This Row],[Valor Comercial (S/.)]]-Tabla2[[#This Row],[Valor del terreno (S/.)]]</f>
        <v>178100</v>
      </c>
      <c r="X154" s="244">
        <f>ROUND(Tabla2[[#This Row],[Valor Comercial (US$)]]*Tabla2[[#This Row],[Tipo de Cambio]],-2)</f>
        <v>188500</v>
      </c>
      <c r="Y154" s="244">
        <f>ROUND(Tabla2[[#This Row],[Valor Realización (US$)]]*Tabla2[[#This Row],[Tipo de Cambio]],-2)</f>
        <v>150700</v>
      </c>
      <c r="Z154" s="244">
        <f>+ROUND(Tabla2[[#This Row],[Importe Asegurable (US$)]]*Tabla2[[#This Row],[Tipo de Cambio]],-2)</f>
        <v>188500</v>
      </c>
      <c r="AA154" s="245"/>
      <c r="AB154" s="2">
        <f>+Tabla2[[#This Row],[Valor Comercial (US$)]]/Tabla2[[#This Row],[Área techada (m²)4]]</f>
        <v>900.8</v>
      </c>
      <c r="AC15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54" s="1" t="s">
        <v>51</v>
      </c>
      <c r="AE154" s="222">
        <f>IF(Tabla2[[#This Row],[Moneda]]="Soles",Tabla2[[#This Row],[Valor de Venta]]/Tabla2[[#This Row],[Área techada (m²)]]/Tabla2[[#This Row],[Tipo de Cambio]],Tabla2[[#This Row],[Valor de Venta]]/Tabla2[[#This Row],[Área techada (m²)]])</f>
        <v>843.48864994026292</v>
      </c>
      <c r="AF154" s="347">
        <f>VLOOKUP(Tabla2[[#This Row],[VISTA]],DATA!$H$4:$I$17,2,FALSE)</f>
        <v>900</v>
      </c>
      <c r="AG154" s="221">
        <f>+Tabla2[[#This Row],[Valor Comercial (S/.)]]/Tabla2[[#This Row],[Valor de Venta]]-1</f>
        <v>6.7988668555240883E-2</v>
      </c>
    </row>
    <row r="155" spans="1:33" s="1" customFormat="1" ht="15" customHeight="1" x14ac:dyDescent="0.25">
      <c r="A155" s="225" t="s">
        <v>30</v>
      </c>
      <c r="B155" s="22">
        <v>1808</v>
      </c>
      <c r="C155" s="14">
        <v>18</v>
      </c>
      <c r="D155" s="27"/>
      <c r="E155" s="28"/>
      <c r="F155" s="12">
        <f>ROUND(Tabla2[[#This Row],[Área ocupada (m²)]]/20*1.4,2)</f>
        <v>4.5599999999999996</v>
      </c>
      <c r="G155" s="12">
        <v>65.2</v>
      </c>
      <c r="H155" s="12">
        <v>65.2</v>
      </c>
      <c r="I155" s="12">
        <f>ROUND(Tabla2[[#This Row],[Área techada (m²)]]*0.15,2)</f>
        <v>9.7799999999999994</v>
      </c>
      <c r="J155" s="18" t="s">
        <v>33</v>
      </c>
      <c r="K155" s="7">
        <v>189100</v>
      </c>
      <c r="L155" s="240">
        <f>ROUND(Tabla2[[#This Row],[Área ocupada (m²)3]]/20*1.4,2)</f>
        <v>4.5599999999999996</v>
      </c>
      <c r="M155" s="240">
        <f>ROUND(Tabla2[[#This Row],[Área ocupada (m²)]],2)</f>
        <v>65.2</v>
      </c>
      <c r="N155" s="240">
        <f>ROUND(Tabla2[[#This Row],[Área techada (m²)]],2)</f>
        <v>65.2</v>
      </c>
      <c r="O155" s="243">
        <f>ROUND(Tabla2[[#This Row],[Área techada (m²)4]]*0.15,2)</f>
        <v>9.7799999999999994</v>
      </c>
      <c r="P155" s="6">
        <f>ROUND(Tabla2[[#This Row],[Área del terreno (m²)2]]*DATA!$F$4,-2)</f>
        <v>3200</v>
      </c>
      <c r="Q155" s="243">
        <f>+Tabla2[[#This Row],[Valor Comercial (US$)]]-Tabla2[[#This Row],[Valor del terreno (US$)]]</f>
        <v>55500</v>
      </c>
      <c r="R15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58700</v>
      </c>
      <c r="S155" s="244">
        <f>ROUND(Tabla2[[#This Row],[Valor Comercial (US$)]]*0.8,-2)</f>
        <v>47000</v>
      </c>
      <c r="T155" s="244">
        <f>IF(Informe!$I$6=DATA!$B$4,R155,ROUND(Tabla2[[#This Row],[Área techada (m²)4]]*DATA!$F$5*1.15,-2))</f>
        <v>58700</v>
      </c>
      <c r="U155" s="8">
        <f t="shared" si="2"/>
        <v>3.3479999999999999</v>
      </c>
      <c r="V155" s="244">
        <f>ROUND(Tabla2[[#This Row],[Valor del terreno (US$)]]*Tabla2[[#This Row],[Tipo de Cambio]],-2)</f>
        <v>10700</v>
      </c>
      <c r="W155" s="244">
        <f>Tabla2[[#This Row],[Valor Comercial (S/.)]]-Tabla2[[#This Row],[Valor del terreno (S/.)]]</f>
        <v>185800</v>
      </c>
      <c r="X155" s="244">
        <f>ROUND(Tabla2[[#This Row],[Valor Comercial (US$)]]*Tabla2[[#This Row],[Tipo de Cambio]],-2)</f>
        <v>196500</v>
      </c>
      <c r="Y155" s="244">
        <f>ROUND(Tabla2[[#This Row],[Valor Realización (US$)]]*Tabla2[[#This Row],[Tipo de Cambio]],-2)</f>
        <v>157400</v>
      </c>
      <c r="Z155" s="244">
        <f>+ROUND(Tabla2[[#This Row],[Importe Asegurable (US$)]]*Tabla2[[#This Row],[Tipo de Cambio]],-2)</f>
        <v>196500</v>
      </c>
      <c r="AA155" s="245"/>
      <c r="AB155" s="2">
        <f>+Tabla2[[#This Row],[Valor Comercial (US$)]]/Tabla2[[#This Row],[Área techada (m²)4]]</f>
        <v>900.30674846625766</v>
      </c>
      <c r="AC15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55" s="1" t="s">
        <v>51</v>
      </c>
      <c r="AE155" s="222">
        <f>IF(Tabla2[[#This Row],[Moneda]]="Soles",Tabla2[[#This Row],[Valor de Venta]]/Tabla2[[#This Row],[Área techada (m²)]]/Tabla2[[#This Row],[Tipo de Cambio]],Tabla2[[#This Row],[Valor de Venta]]/Tabla2[[#This Row],[Área techada (m²)]])</f>
        <v>866.28039082026805</v>
      </c>
      <c r="AF155" s="347">
        <f>VLOOKUP(Tabla2[[#This Row],[VISTA]],DATA!$H$4:$I$17,2,FALSE)</f>
        <v>900</v>
      </c>
      <c r="AG155" s="221">
        <f>+Tabla2[[#This Row],[Valor Comercial (S/.)]]/Tabla2[[#This Row],[Valor de Venta]]-1</f>
        <v>3.9132734003172853E-2</v>
      </c>
    </row>
    <row r="156" spans="1:33" s="1" customFormat="1" ht="15" customHeight="1" x14ac:dyDescent="0.25">
      <c r="A156" s="225" t="s">
        <v>30</v>
      </c>
      <c r="B156" s="22">
        <v>1901</v>
      </c>
      <c r="C156" s="14">
        <v>19</v>
      </c>
      <c r="D156" s="27"/>
      <c r="E156" s="28"/>
      <c r="F156" s="12">
        <f>ROUND(Tabla2[[#This Row],[Área ocupada (m²)]]/20*1.4,2)</f>
        <v>4.5599999999999996</v>
      </c>
      <c r="G156" s="12">
        <v>65.2</v>
      </c>
      <c r="H156" s="12">
        <v>65.2</v>
      </c>
      <c r="I156" s="12">
        <f>ROUND(Tabla2[[#This Row],[Área techada (m²)]]*0.15,2)</f>
        <v>9.7799999999999994</v>
      </c>
      <c r="J156" s="18" t="s">
        <v>33</v>
      </c>
      <c r="K156" s="7">
        <v>180300</v>
      </c>
      <c r="L156" s="240">
        <f>ROUND(Tabla2[[#This Row],[Área ocupada (m²)3]]/20*1.4,2)</f>
        <v>4.5599999999999996</v>
      </c>
      <c r="M156" s="240">
        <f>ROUND(Tabla2[[#This Row],[Área ocupada (m²)]],2)</f>
        <v>65.2</v>
      </c>
      <c r="N156" s="240">
        <f>ROUND(Tabla2[[#This Row],[Área techada (m²)]],2)</f>
        <v>65.2</v>
      </c>
      <c r="O156" s="243">
        <f>ROUND(Tabla2[[#This Row],[Área techada (m²)4]]*0.15,2)</f>
        <v>9.7799999999999994</v>
      </c>
      <c r="P156" s="6">
        <f>ROUND(Tabla2[[#This Row],[Área del terreno (m²)2]]*DATA!$F$4,-2)</f>
        <v>3200</v>
      </c>
      <c r="Q156" s="243">
        <f>+Tabla2[[#This Row],[Valor Comercial (US$)]]-Tabla2[[#This Row],[Valor del terreno (US$)]]</f>
        <v>52200</v>
      </c>
      <c r="R15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55400</v>
      </c>
      <c r="S156" s="244">
        <f>ROUND(Tabla2[[#This Row],[Valor Comercial (US$)]]*0.8,-2)</f>
        <v>44300</v>
      </c>
      <c r="T156" s="244">
        <f>IF(Informe!$I$6=DATA!$B$4,R156,ROUND(Tabla2[[#This Row],[Área techada (m²)4]]*DATA!$F$5*1.15,-2))</f>
        <v>55400</v>
      </c>
      <c r="U156" s="8">
        <f t="shared" si="2"/>
        <v>3.3479999999999999</v>
      </c>
      <c r="V156" s="244">
        <f>ROUND(Tabla2[[#This Row],[Valor del terreno (US$)]]*Tabla2[[#This Row],[Tipo de Cambio]],-2)</f>
        <v>10700</v>
      </c>
      <c r="W156" s="244">
        <f>Tabla2[[#This Row],[Valor Comercial (S/.)]]-Tabla2[[#This Row],[Valor del terreno (S/.)]]</f>
        <v>174800</v>
      </c>
      <c r="X156" s="244">
        <f>ROUND(Tabla2[[#This Row],[Valor Comercial (US$)]]*Tabla2[[#This Row],[Tipo de Cambio]],-2)</f>
        <v>185500</v>
      </c>
      <c r="Y156" s="244">
        <f>ROUND(Tabla2[[#This Row],[Valor Realización (US$)]]*Tabla2[[#This Row],[Tipo de Cambio]],-2)</f>
        <v>148300</v>
      </c>
      <c r="Z156" s="244">
        <f>+ROUND(Tabla2[[#This Row],[Importe Asegurable (US$)]]*Tabla2[[#This Row],[Tipo de Cambio]],-2)</f>
        <v>185500</v>
      </c>
      <c r="AA156" s="245"/>
      <c r="AB156" s="2">
        <f>+Tabla2[[#This Row],[Valor Comercial (US$)]]/Tabla2[[#This Row],[Área techada (m²)4]]</f>
        <v>849.69325153374234</v>
      </c>
      <c r="AC15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56" s="1" t="s">
        <v>52</v>
      </c>
      <c r="AE156" s="222">
        <f>IF(Tabla2[[#This Row],[Moneda]]="Soles",Tabla2[[#This Row],[Valor de Venta]]/Tabla2[[#This Row],[Área techada (m²)]]/Tabla2[[#This Row],[Tipo de Cambio]],Tabla2[[#This Row],[Valor de Venta]]/Tabla2[[#This Row],[Área techada (m²)]])</f>
        <v>825.96697231567612</v>
      </c>
      <c r="AF156" s="347">
        <f>VLOOKUP(Tabla2[[#This Row],[VISTA]],DATA!$H$4:$I$17,2,FALSE)</f>
        <v>850</v>
      </c>
      <c r="AG156" s="221">
        <f>+Tabla2[[#This Row],[Valor Comercial (S/.)]]/Tabla2[[#This Row],[Valor de Venta]]-1</f>
        <v>2.8840820854131977E-2</v>
      </c>
    </row>
    <row r="157" spans="1:33" s="1" customFormat="1" ht="12.75" x14ac:dyDescent="0.25">
      <c r="A157" s="225" t="s">
        <v>30</v>
      </c>
      <c r="B157" s="22">
        <v>1902</v>
      </c>
      <c r="C157" s="14">
        <v>19</v>
      </c>
      <c r="D157" s="38"/>
      <c r="E157" s="28"/>
      <c r="F157" s="12">
        <f>ROUND(Tabla2[[#This Row],[Área ocupada (m²)]]/20*1.4,2)</f>
        <v>4.38</v>
      </c>
      <c r="G157" s="12">
        <v>62.5</v>
      </c>
      <c r="H157" s="12">
        <v>62.5</v>
      </c>
      <c r="I157" s="12">
        <f>ROUND(Tabla2[[#This Row],[Área techada (m²)]]*0.15,2)</f>
        <v>9.3800000000000008</v>
      </c>
      <c r="J157" s="18" t="s">
        <v>33</v>
      </c>
      <c r="K157" s="7">
        <v>165100</v>
      </c>
      <c r="L157" s="240">
        <f>ROUND(Tabla2[[#This Row],[Área ocupada (m²)3]]/20*1.4,2)</f>
        <v>4.38</v>
      </c>
      <c r="M157" s="240">
        <f>ROUND(Tabla2[[#This Row],[Área ocupada (m²)]],2)</f>
        <v>62.5</v>
      </c>
      <c r="N157" s="240">
        <f>ROUND(Tabla2[[#This Row],[Área techada (m²)]],2)</f>
        <v>62.5</v>
      </c>
      <c r="O157" s="243">
        <f>ROUND(Tabla2[[#This Row],[Área techada (m²)4]]*0.15,2)</f>
        <v>9.3800000000000008</v>
      </c>
      <c r="P157" s="6">
        <f>ROUND(Tabla2[[#This Row],[Área del terreno (m²)2]]*DATA!$F$4,-2)</f>
        <v>3100</v>
      </c>
      <c r="Q157" s="243">
        <f>+Tabla2[[#This Row],[Valor Comercial (US$)]]-Tabla2[[#This Row],[Valor del terreno (US$)]]</f>
        <v>50000</v>
      </c>
      <c r="R15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53100</v>
      </c>
      <c r="S157" s="244">
        <f>ROUND(Tabla2[[#This Row],[Valor Comercial (US$)]]*0.8,-2)</f>
        <v>42500</v>
      </c>
      <c r="T157" s="244">
        <f>IF(Informe!$I$6=DATA!$B$4,R157,ROUND(Tabla2[[#This Row],[Área techada (m²)4]]*DATA!$F$5*1.15,-2))</f>
        <v>53100</v>
      </c>
      <c r="U157" s="8">
        <f t="shared" si="2"/>
        <v>3.3479999999999999</v>
      </c>
      <c r="V157" s="244">
        <f>ROUND(Tabla2[[#This Row],[Valor del terreno (US$)]]*Tabla2[[#This Row],[Tipo de Cambio]],-2)</f>
        <v>10400</v>
      </c>
      <c r="W157" s="244">
        <f>Tabla2[[#This Row],[Valor Comercial (S/.)]]-Tabla2[[#This Row],[Valor del terreno (S/.)]]</f>
        <v>167400</v>
      </c>
      <c r="X157" s="244">
        <f>ROUND(Tabla2[[#This Row],[Valor Comercial (US$)]]*Tabla2[[#This Row],[Tipo de Cambio]],-2)</f>
        <v>177800</v>
      </c>
      <c r="Y157" s="244">
        <f>ROUND(Tabla2[[#This Row],[Valor Realización (US$)]]*Tabla2[[#This Row],[Tipo de Cambio]],-2)</f>
        <v>142300</v>
      </c>
      <c r="Z157" s="244">
        <f>+ROUND(Tabla2[[#This Row],[Importe Asegurable (US$)]]*Tabla2[[#This Row],[Tipo de Cambio]],-2)</f>
        <v>177800</v>
      </c>
      <c r="AA157" s="245"/>
      <c r="AB157" s="2">
        <f>+Tabla2[[#This Row],[Valor Comercial (US$)]]/Tabla2[[#This Row],[Área techada (m²)4]]</f>
        <v>849.6</v>
      </c>
      <c r="AC15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57" s="1" t="s">
        <v>52</v>
      </c>
      <c r="AE157" s="222">
        <f>IF(Tabla2[[#This Row],[Moneda]]="Soles",Tabla2[[#This Row],[Valor de Venta]]/Tabla2[[#This Row],[Área techada (m²)]]/Tabla2[[#This Row],[Tipo de Cambio]],Tabla2[[#This Row],[Valor de Venta]]/Tabla2[[#This Row],[Área techada (m²)]])</f>
        <v>789.00836320191161</v>
      </c>
      <c r="AF157" s="347">
        <f>VLOOKUP(Tabla2[[#This Row],[VISTA]],DATA!$H$4:$I$17,2,FALSE)</f>
        <v>850</v>
      </c>
      <c r="AG157" s="221">
        <f>+Tabla2[[#This Row],[Valor Comercial (S/.)]]/Tabla2[[#This Row],[Valor de Venta]]-1</f>
        <v>7.6923076923076872E-2</v>
      </c>
    </row>
    <row r="158" spans="1:33" s="1" customFormat="1" ht="15" customHeight="1" x14ac:dyDescent="0.25">
      <c r="A158" s="225" t="s">
        <v>30</v>
      </c>
      <c r="B158" s="22">
        <v>1903</v>
      </c>
      <c r="C158" s="14">
        <v>19</v>
      </c>
      <c r="D158" s="27"/>
      <c r="E158" s="28"/>
      <c r="F158" s="12">
        <f>ROUND(Tabla2[[#This Row],[Área ocupada (m²)]]/20*1.4,2)</f>
        <v>4.38</v>
      </c>
      <c r="G158" s="12">
        <v>62.5</v>
      </c>
      <c r="H158" s="12">
        <v>62.5</v>
      </c>
      <c r="I158" s="12">
        <f>ROUND(Tabla2[[#This Row],[Área techada (m²)]]*0.15,2)</f>
        <v>9.3800000000000008</v>
      </c>
      <c r="J158" s="18" t="s">
        <v>33</v>
      </c>
      <c r="K158" s="7">
        <v>173800</v>
      </c>
      <c r="L158" s="240">
        <f>ROUND(Tabla2[[#This Row],[Área ocupada (m²)3]]/20*1.4,2)</f>
        <v>4.38</v>
      </c>
      <c r="M158" s="240">
        <f>ROUND(Tabla2[[#This Row],[Área ocupada (m²)]],2)</f>
        <v>62.5</v>
      </c>
      <c r="N158" s="240">
        <f>ROUND(Tabla2[[#This Row],[Área techada (m²)]],2)</f>
        <v>62.5</v>
      </c>
      <c r="O158" s="243">
        <f>ROUND(Tabla2[[#This Row],[Área techada (m²)4]]*0.15,2)</f>
        <v>9.3800000000000008</v>
      </c>
      <c r="P158" s="6">
        <f>ROUND(Tabla2[[#This Row],[Área del terreno (m²)2]]*DATA!$F$4,-2)</f>
        <v>3100</v>
      </c>
      <c r="Q158" s="243">
        <f>+Tabla2[[#This Row],[Valor Comercial (US$)]]-Tabla2[[#This Row],[Valor del terreno (US$)]]</f>
        <v>53200</v>
      </c>
      <c r="R15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58" s="244">
        <f>ROUND(Tabla2[[#This Row],[Valor Comercial (US$)]]*0.8,-2)</f>
        <v>45000</v>
      </c>
      <c r="T158" s="244">
        <f>IF(Informe!$I$6=DATA!$B$4,R158,ROUND(Tabla2[[#This Row],[Área techada (m²)4]]*DATA!$F$5*1.15,-2))</f>
        <v>56300</v>
      </c>
      <c r="U158" s="8">
        <f t="shared" si="2"/>
        <v>3.3479999999999999</v>
      </c>
      <c r="V158" s="244">
        <f>ROUND(Tabla2[[#This Row],[Valor del terreno (US$)]]*Tabla2[[#This Row],[Tipo de Cambio]],-2)</f>
        <v>10400</v>
      </c>
      <c r="W158" s="244">
        <f>Tabla2[[#This Row],[Valor Comercial (S/.)]]-Tabla2[[#This Row],[Valor del terreno (S/.)]]</f>
        <v>178100</v>
      </c>
      <c r="X158" s="244">
        <f>ROUND(Tabla2[[#This Row],[Valor Comercial (US$)]]*Tabla2[[#This Row],[Tipo de Cambio]],-2)</f>
        <v>188500</v>
      </c>
      <c r="Y158" s="244">
        <f>ROUND(Tabla2[[#This Row],[Valor Realización (US$)]]*Tabla2[[#This Row],[Tipo de Cambio]],-2)</f>
        <v>150700</v>
      </c>
      <c r="Z158" s="244">
        <f>+ROUND(Tabla2[[#This Row],[Importe Asegurable (US$)]]*Tabla2[[#This Row],[Tipo de Cambio]],-2)</f>
        <v>188500</v>
      </c>
      <c r="AA158" s="245"/>
      <c r="AB158" s="2">
        <f>+Tabla2[[#This Row],[Valor Comercial (US$)]]/Tabla2[[#This Row],[Área techada (m²)4]]</f>
        <v>900.8</v>
      </c>
      <c r="AC15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58" s="1" t="s">
        <v>51</v>
      </c>
      <c r="AE158" s="222">
        <f>IF(Tabla2[[#This Row],[Moneda]]="Soles",Tabla2[[#This Row],[Valor de Venta]]/Tabla2[[#This Row],[Área techada (m²)]]/Tabla2[[#This Row],[Tipo de Cambio]],Tabla2[[#This Row],[Valor de Venta]]/Tabla2[[#This Row],[Área techada (m²)]])</f>
        <v>830.58542413381133</v>
      </c>
      <c r="AF158" s="347">
        <f>VLOOKUP(Tabla2[[#This Row],[VISTA]],DATA!$H$4:$I$17,2,FALSE)</f>
        <v>900</v>
      </c>
      <c r="AG158" s="221">
        <f>+Tabla2[[#This Row],[Valor Comercial (S/.)]]/Tabla2[[#This Row],[Valor de Venta]]-1</f>
        <v>8.4579976985040384E-2</v>
      </c>
    </row>
    <row r="159" spans="1:33" s="1" customFormat="1" ht="15" customHeight="1" x14ac:dyDescent="0.25">
      <c r="A159" s="225" t="s">
        <v>30</v>
      </c>
      <c r="B159" s="22">
        <v>1904</v>
      </c>
      <c r="C159" s="14">
        <v>19</v>
      </c>
      <c r="D159" s="27"/>
      <c r="E159" s="20"/>
      <c r="F159" s="12">
        <f>ROUND(Tabla2[[#This Row],[Área ocupada (m²)]]/20*1.4,2)</f>
        <v>4.5599999999999996</v>
      </c>
      <c r="G159" s="12">
        <v>65.2</v>
      </c>
      <c r="H159" s="12">
        <v>65.2</v>
      </c>
      <c r="I159" s="12">
        <f>ROUND(Tabla2[[#This Row],[Área techada (m²)]]*0.15,2)</f>
        <v>9.7799999999999994</v>
      </c>
      <c r="J159" s="18" t="s">
        <v>33</v>
      </c>
      <c r="K159" s="7">
        <v>194300</v>
      </c>
      <c r="L159" s="240">
        <f>ROUND(Tabla2[[#This Row],[Área ocupada (m²)3]]/20*1.4,2)</f>
        <v>4.5599999999999996</v>
      </c>
      <c r="M159" s="240">
        <f>ROUND(Tabla2[[#This Row],[Área ocupada (m²)]],2)</f>
        <v>65.2</v>
      </c>
      <c r="N159" s="240">
        <f>ROUND(Tabla2[[#This Row],[Área techada (m²)]],2)</f>
        <v>65.2</v>
      </c>
      <c r="O159" s="243">
        <f>ROUND(Tabla2[[#This Row],[Área techada (m²)4]]*0.15,2)</f>
        <v>9.7799999999999994</v>
      </c>
      <c r="P159" s="6">
        <f>ROUND(Tabla2[[#This Row],[Área del terreno (m²)2]]*DATA!$F$4,-2)</f>
        <v>3200</v>
      </c>
      <c r="Q159" s="243">
        <f>+Tabla2[[#This Row],[Valor Comercial (US$)]]-Tabla2[[#This Row],[Valor del terreno (US$)]]</f>
        <v>58700</v>
      </c>
      <c r="R15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61900</v>
      </c>
      <c r="S159" s="244">
        <f>ROUND(Tabla2[[#This Row],[Valor Comercial (US$)]]*0.8,-2)</f>
        <v>49500</v>
      </c>
      <c r="T159" s="244">
        <f>IF(Informe!$I$6=DATA!$B$4,R159,ROUND(Tabla2[[#This Row],[Área techada (m²)4]]*DATA!$F$5*1.15,-2))</f>
        <v>61900</v>
      </c>
      <c r="U159" s="8">
        <f t="shared" si="2"/>
        <v>3.3479999999999999</v>
      </c>
      <c r="V159" s="244">
        <f>ROUND(Tabla2[[#This Row],[Valor del terreno (US$)]]*Tabla2[[#This Row],[Tipo de Cambio]],-2)</f>
        <v>10700</v>
      </c>
      <c r="W159" s="244">
        <f>Tabla2[[#This Row],[Valor Comercial (S/.)]]-Tabla2[[#This Row],[Valor del terreno (S/.)]]</f>
        <v>196500</v>
      </c>
      <c r="X159" s="244">
        <f>ROUND(Tabla2[[#This Row],[Valor Comercial (US$)]]*Tabla2[[#This Row],[Tipo de Cambio]],-2)</f>
        <v>207200</v>
      </c>
      <c r="Y159" s="244">
        <f>ROUND(Tabla2[[#This Row],[Valor Realización (US$)]]*Tabla2[[#This Row],[Tipo de Cambio]],-2)</f>
        <v>165700</v>
      </c>
      <c r="Z159" s="244">
        <f>+ROUND(Tabla2[[#This Row],[Importe Asegurable (US$)]]*Tabla2[[#This Row],[Tipo de Cambio]],-2)</f>
        <v>207200</v>
      </c>
      <c r="AA159" s="245"/>
      <c r="AB159" s="2">
        <f>+Tabla2[[#This Row],[Valor Comercial (US$)]]/Tabla2[[#This Row],[Área techada (m²)4]]</f>
        <v>949.38650306748457</v>
      </c>
      <c r="AC15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59" s="1" t="s">
        <v>50</v>
      </c>
      <c r="AE159" s="222">
        <f>IF(Tabla2[[#This Row],[Moneda]]="Soles",Tabla2[[#This Row],[Valor de Venta]]/Tabla2[[#This Row],[Área techada (m²)]]/Tabla2[[#This Row],[Tipo de Cambio]],Tabla2[[#This Row],[Valor de Venta]]/Tabla2[[#This Row],[Área techada (m²)]])</f>
        <v>890.10195630025441</v>
      </c>
      <c r="AF159" s="347">
        <f>VLOOKUP(Tabla2[[#This Row],[VISTA]],DATA!$H$4:$I$17,2,FALSE)</f>
        <v>950</v>
      </c>
      <c r="AG159" s="221">
        <f>+Tabla2[[#This Row],[Valor Comercial (S/.)]]/Tabla2[[#This Row],[Valor de Venta]]-1</f>
        <v>6.6392177045805356E-2</v>
      </c>
    </row>
    <row r="160" spans="1:33" s="1" customFormat="1" ht="15" customHeight="1" x14ac:dyDescent="0.25">
      <c r="A160" s="225" t="s">
        <v>30</v>
      </c>
      <c r="B160" s="22">
        <v>1905</v>
      </c>
      <c r="C160" s="14">
        <v>19</v>
      </c>
      <c r="D160" s="27"/>
      <c r="E160" s="28"/>
      <c r="F160" s="12">
        <f>ROUND(Tabla2[[#This Row],[Área ocupada (m²)]]/20*1.4,2)</f>
        <v>4.5599999999999996</v>
      </c>
      <c r="G160" s="12">
        <v>65.2</v>
      </c>
      <c r="H160" s="12">
        <v>65.2</v>
      </c>
      <c r="I160" s="12">
        <f>ROUND(Tabla2[[#This Row],[Área techada (m²)]]*0.15,2)</f>
        <v>9.7799999999999994</v>
      </c>
      <c r="J160" s="18" t="s">
        <v>33</v>
      </c>
      <c r="K160" s="7">
        <v>191300</v>
      </c>
      <c r="L160" s="240">
        <f>ROUND(Tabla2[[#This Row],[Área ocupada (m²)3]]/20*1.4,2)</f>
        <v>4.5599999999999996</v>
      </c>
      <c r="M160" s="240">
        <f>ROUND(Tabla2[[#This Row],[Área ocupada (m²)]],2)</f>
        <v>65.2</v>
      </c>
      <c r="N160" s="240">
        <f>ROUND(Tabla2[[#This Row],[Área techada (m²)]],2)</f>
        <v>65.2</v>
      </c>
      <c r="O160" s="243">
        <f>ROUND(Tabla2[[#This Row],[Área techada (m²)4]]*0.15,2)</f>
        <v>9.7799999999999994</v>
      </c>
      <c r="P160" s="6">
        <f>ROUND(Tabla2[[#This Row],[Área del terreno (m²)2]]*DATA!$F$4,-2)</f>
        <v>3200</v>
      </c>
      <c r="Q160" s="243">
        <f>+Tabla2[[#This Row],[Valor Comercial (US$)]]-Tabla2[[#This Row],[Valor del terreno (US$)]]</f>
        <v>55500</v>
      </c>
      <c r="R16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58700</v>
      </c>
      <c r="S160" s="244">
        <f>ROUND(Tabla2[[#This Row],[Valor Comercial (US$)]]*0.8,-2)</f>
        <v>47000</v>
      </c>
      <c r="T160" s="244">
        <f>IF(Informe!$I$6=DATA!$B$4,R160,ROUND(Tabla2[[#This Row],[Área techada (m²)4]]*DATA!$F$5*1.15,-2))</f>
        <v>58700</v>
      </c>
      <c r="U160" s="8">
        <f t="shared" si="2"/>
        <v>3.3479999999999999</v>
      </c>
      <c r="V160" s="244">
        <f>ROUND(Tabla2[[#This Row],[Valor del terreno (US$)]]*Tabla2[[#This Row],[Tipo de Cambio]],-2)</f>
        <v>10700</v>
      </c>
      <c r="W160" s="244">
        <f>Tabla2[[#This Row],[Valor Comercial (S/.)]]-Tabla2[[#This Row],[Valor del terreno (S/.)]]</f>
        <v>185800</v>
      </c>
      <c r="X160" s="244">
        <f>ROUND(Tabla2[[#This Row],[Valor Comercial (US$)]]*Tabla2[[#This Row],[Tipo de Cambio]],-2)</f>
        <v>196500</v>
      </c>
      <c r="Y160" s="244">
        <f>ROUND(Tabla2[[#This Row],[Valor Realización (US$)]]*Tabla2[[#This Row],[Tipo de Cambio]],-2)</f>
        <v>157400</v>
      </c>
      <c r="Z160" s="244">
        <f>+ROUND(Tabla2[[#This Row],[Importe Asegurable (US$)]]*Tabla2[[#This Row],[Tipo de Cambio]],-2)</f>
        <v>196500</v>
      </c>
      <c r="AA160" s="245"/>
      <c r="AB160" s="2">
        <f>+Tabla2[[#This Row],[Valor Comercial (US$)]]/Tabla2[[#This Row],[Área techada (m²)4]]</f>
        <v>900.30674846625766</v>
      </c>
      <c r="AC16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60" s="1" t="s">
        <v>51</v>
      </c>
      <c r="AE160" s="222">
        <f>IF(Tabla2[[#This Row],[Moneda]]="Soles",Tabla2[[#This Row],[Valor de Venta]]/Tabla2[[#This Row],[Área techada (m²)]]/Tabla2[[#This Row],[Tipo de Cambio]],Tabla2[[#This Row],[Valor de Venta]]/Tabla2[[#This Row],[Área techada (m²)]])</f>
        <v>876.35874544641615</v>
      </c>
      <c r="AF160" s="347">
        <f>VLOOKUP(Tabla2[[#This Row],[VISTA]],DATA!$H$4:$I$17,2,FALSE)</f>
        <v>900</v>
      </c>
      <c r="AG160" s="221">
        <f>+Tabla2[[#This Row],[Valor Comercial (S/.)]]/Tabla2[[#This Row],[Valor de Venta]]-1</f>
        <v>2.7182435964453688E-2</v>
      </c>
    </row>
    <row r="161" spans="1:33" s="1" customFormat="1" ht="15" customHeight="1" x14ac:dyDescent="0.25">
      <c r="A161" s="225" t="s">
        <v>30</v>
      </c>
      <c r="B161" s="22">
        <v>1906</v>
      </c>
      <c r="C161" s="14">
        <v>19</v>
      </c>
      <c r="D161" s="27"/>
      <c r="E161" s="28"/>
      <c r="F161" s="12">
        <f>ROUND(Tabla2[[#This Row],[Área ocupada (m²)]]/20*1.4,2)</f>
        <v>4.38</v>
      </c>
      <c r="G161" s="12">
        <v>62.5</v>
      </c>
      <c r="H161" s="12">
        <v>62.5</v>
      </c>
      <c r="I161" s="12">
        <f>ROUND(Tabla2[[#This Row],[Área techada (m²)]]*0.15,2)</f>
        <v>9.3800000000000008</v>
      </c>
      <c r="J161" s="18" t="s">
        <v>33</v>
      </c>
      <c r="K161" s="7">
        <v>178800</v>
      </c>
      <c r="L161" s="240">
        <f>ROUND(Tabla2[[#This Row],[Área ocupada (m²)3]]/20*1.4,2)</f>
        <v>4.38</v>
      </c>
      <c r="M161" s="240">
        <f>ROUND(Tabla2[[#This Row],[Área ocupada (m²)]],2)</f>
        <v>62.5</v>
      </c>
      <c r="N161" s="240">
        <f>ROUND(Tabla2[[#This Row],[Área techada (m²)]],2)</f>
        <v>62.5</v>
      </c>
      <c r="O161" s="243">
        <f>ROUND(Tabla2[[#This Row],[Área techada (m²)4]]*0.15,2)</f>
        <v>9.3800000000000008</v>
      </c>
      <c r="P161" s="6">
        <f>ROUND(Tabla2[[#This Row],[Área del terreno (m²)2]]*DATA!$F$4,-2)</f>
        <v>3100</v>
      </c>
      <c r="Q161" s="243">
        <f>+Tabla2[[#This Row],[Valor Comercial (US$)]]-Tabla2[[#This Row],[Valor del terreno (US$)]]</f>
        <v>53200</v>
      </c>
      <c r="R16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56300</v>
      </c>
      <c r="S161" s="244">
        <f>ROUND(Tabla2[[#This Row],[Valor Comercial (US$)]]*0.8,-2)</f>
        <v>45000</v>
      </c>
      <c r="T161" s="244">
        <f>IF(Informe!$I$6=DATA!$B$4,R161,ROUND(Tabla2[[#This Row],[Área techada (m²)4]]*DATA!$F$5*1.15,-2))</f>
        <v>56300</v>
      </c>
      <c r="U161" s="8">
        <f t="shared" si="2"/>
        <v>3.3479999999999999</v>
      </c>
      <c r="V161" s="244">
        <f>ROUND(Tabla2[[#This Row],[Valor del terreno (US$)]]*Tabla2[[#This Row],[Tipo de Cambio]],-2)</f>
        <v>10400</v>
      </c>
      <c r="W161" s="244">
        <f>Tabla2[[#This Row],[Valor Comercial (S/.)]]-Tabla2[[#This Row],[Valor del terreno (S/.)]]</f>
        <v>178100</v>
      </c>
      <c r="X161" s="244">
        <f>ROUND(Tabla2[[#This Row],[Valor Comercial (US$)]]*Tabla2[[#This Row],[Tipo de Cambio]],-2)</f>
        <v>188500</v>
      </c>
      <c r="Y161" s="244">
        <f>ROUND(Tabla2[[#This Row],[Valor Realización (US$)]]*Tabla2[[#This Row],[Tipo de Cambio]],-2)</f>
        <v>150700</v>
      </c>
      <c r="Z161" s="244">
        <f>+ROUND(Tabla2[[#This Row],[Importe Asegurable (US$)]]*Tabla2[[#This Row],[Tipo de Cambio]],-2)</f>
        <v>188500</v>
      </c>
      <c r="AA161" s="245"/>
      <c r="AB161" s="2">
        <f>+Tabla2[[#This Row],[Valor Comercial (US$)]]/Tabla2[[#This Row],[Área techada (m²)4]]</f>
        <v>900.8</v>
      </c>
      <c r="AC16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61" s="1" t="s">
        <v>51</v>
      </c>
      <c r="AE161" s="222">
        <f>IF(Tabla2[[#This Row],[Moneda]]="Soles",Tabla2[[#This Row],[Valor de Venta]]/Tabla2[[#This Row],[Área techada (m²)]]/Tabla2[[#This Row],[Tipo de Cambio]],Tabla2[[#This Row],[Valor de Venta]]/Tabla2[[#This Row],[Área techada (m²)]])</f>
        <v>854.48028673835131</v>
      </c>
      <c r="AF161" s="347">
        <f>VLOOKUP(Tabla2[[#This Row],[VISTA]],DATA!$H$4:$I$17,2,FALSE)</f>
        <v>900</v>
      </c>
      <c r="AG161" s="221">
        <f>+Tabla2[[#This Row],[Valor Comercial (S/.)]]/Tabla2[[#This Row],[Valor de Venta]]-1</f>
        <v>5.4250559284116262E-2</v>
      </c>
    </row>
    <row r="162" spans="1:33" s="1" customFormat="1" ht="15" customHeight="1" x14ac:dyDescent="0.25">
      <c r="A162" s="225" t="s">
        <v>30</v>
      </c>
      <c r="B162" s="22">
        <v>1907</v>
      </c>
      <c r="C162" s="14">
        <v>19</v>
      </c>
      <c r="D162" s="27"/>
      <c r="E162" s="28"/>
      <c r="F162" s="12">
        <f>ROUND(Tabla2[[#This Row],[Área ocupada (m²)]]/20*1.4,2)</f>
        <v>4.38</v>
      </c>
      <c r="G162" s="12">
        <v>62.5</v>
      </c>
      <c r="H162" s="12">
        <v>62.5</v>
      </c>
      <c r="I162" s="12">
        <f>ROUND(Tabla2[[#This Row],[Área techada (m²)]]*0.15,2)</f>
        <v>9.3800000000000008</v>
      </c>
      <c r="J162" s="18" t="s">
        <v>33</v>
      </c>
      <c r="K162" s="7">
        <v>162700</v>
      </c>
      <c r="L162" s="240">
        <f>ROUND(Tabla2[[#This Row],[Área ocupada (m²)3]]/20*1.4,2)</f>
        <v>4.38</v>
      </c>
      <c r="M162" s="240">
        <f>ROUND(Tabla2[[#This Row],[Área ocupada (m²)]],2)</f>
        <v>62.5</v>
      </c>
      <c r="N162" s="240">
        <f>ROUND(Tabla2[[#This Row],[Área techada (m²)]],2)</f>
        <v>62.5</v>
      </c>
      <c r="O162" s="243">
        <f>ROUND(Tabla2[[#This Row],[Área techada (m²)4]]*0.15,2)</f>
        <v>9.3800000000000008</v>
      </c>
      <c r="P162" s="6">
        <f>ROUND(Tabla2[[#This Row],[Área del terreno (m²)2]]*DATA!$F$4,-2)</f>
        <v>3100</v>
      </c>
      <c r="Q162" s="243">
        <f>+Tabla2[[#This Row],[Valor Comercial (US$)]]-Tabla2[[#This Row],[Valor del terreno (US$)]]</f>
        <v>50000</v>
      </c>
      <c r="R16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53100</v>
      </c>
      <c r="S162" s="244">
        <f>ROUND(Tabla2[[#This Row],[Valor Comercial (US$)]]*0.8,-2)</f>
        <v>42500</v>
      </c>
      <c r="T162" s="244">
        <f>IF(Informe!$I$6=DATA!$B$4,R162,ROUND(Tabla2[[#This Row],[Área techada (m²)4]]*DATA!$F$5*1.15,-2))</f>
        <v>53100</v>
      </c>
      <c r="U162" s="8">
        <f t="shared" si="2"/>
        <v>3.3479999999999999</v>
      </c>
      <c r="V162" s="244">
        <f>ROUND(Tabla2[[#This Row],[Valor del terreno (US$)]]*Tabla2[[#This Row],[Tipo de Cambio]],-2)</f>
        <v>10400</v>
      </c>
      <c r="W162" s="244">
        <f>Tabla2[[#This Row],[Valor Comercial (S/.)]]-Tabla2[[#This Row],[Valor del terreno (S/.)]]</f>
        <v>167400</v>
      </c>
      <c r="X162" s="244">
        <f>ROUND(Tabla2[[#This Row],[Valor Comercial (US$)]]*Tabla2[[#This Row],[Tipo de Cambio]],-2)</f>
        <v>177800</v>
      </c>
      <c r="Y162" s="244">
        <f>ROUND(Tabla2[[#This Row],[Valor Realización (US$)]]*Tabla2[[#This Row],[Tipo de Cambio]],-2)</f>
        <v>142300</v>
      </c>
      <c r="Z162" s="244">
        <f>+ROUND(Tabla2[[#This Row],[Importe Asegurable (US$)]]*Tabla2[[#This Row],[Tipo de Cambio]],-2)</f>
        <v>177800</v>
      </c>
      <c r="AA162" s="245"/>
      <c r="AB162" s="2">
        <f>+Tabla2[[#This Row],[Valor Comercial (US$)]]/Tabla2[[#This Row],[Área techada (m²)4]]</f>
        <v>849.6</v>
      </c>
      <c r="AC16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62" s="1" t="s">
        <v>52</v>
      </c>
      <c r="AE162" s="222">
        <f>IF(Tabla2[[#This Row],[Moneda]]="Soles",Tabla2[[#This Row],[Valor de Venta]]/Tabla2[[#This Row],[Área techada (m²)]]/Tabla2[[#This Row],[Tipo de Cambio]],Tabla2[[#This Row],[Valor de Venta]]/Tabla2[[#This Row],[Área techada (m²)]])</f>
        <v>777.53882915173233</v>
      </c>
      <c r="AF162" s="347">
        <f>VLOOKUP(Tabla2[[#This Row],[VISTA]],DATA!$H$4:$I$17,2,FALSE)</f>
        <v>850</v>
      </c>
      <c r="AG162" s="221">
        <f>+Tabla2[[#This Row],[Valor Comercial (S/.)]]/Tabla2[[#This Row],[Valor de Venta]]-1</f>
        <v>9.2808850645359486E-2</v>
      </c>
    </row>
    <row r="163" spans="1:33" s="1" customFormat="1" ht="15" customHeight="1" x14ac:dyDescent="0.25">
      <c r="A163" s="225" t="s">
        <v>30</v>
      </c>
      <c r="B163" s="22">
        <v>1908</v>
      </c>
      <c r="C163" s="14">
        <v>19</v>
      </c>
      <c r="D163" s="27"/>
      <c r="E163" s="28"/>
      <c r="F163" s="12">
        <f>ROUND(Tabla2[[#This Row],[Área ocupada (m²)]]/20*1.4,2)</f>
        <v>4.5599999999999996</v>
      </c>
      <c r="G163" s="12">
        <v>65.2</v>
      </c>
      <c r="H163" s="12">
        <v>65.2</v>
      </c>
      <c r="I163" s="12">
        <f>ROUND(Tabla2[[#This Row],[Área techada (m²)]]*0.15,2)</f>
        <v>9.7799999999999994</v>
      </c>
      <c r="J163" s="18" t="s">
        <v>33</v>
      </c>
      <c r="K163" s="7">
        <v>187300</v>
      </c>
      <c r="L163" s="240">
        <f>ROUND(Tabla2[[#This Row],[Área ocupada (m²)3]]/20*1.4,2)</f>
        <v>4.5599999999999996</v>
      </c>
      <c r="M163" s="240">
        <f>ROUND(Tabla2[[#This Row],[Área ocupada (m²)]],2)</f>
        <v>65.2</v>
      </c>
      <c r="N163" s="240">
        <f>ROUND(Tabla2[[#This Row],[Área techada (m²)]],2)</f>
        <v>65.2</v>
      </c>
      <c r="O163" s="243">
        <f>ROUND(Tabla2[[#This Row],[Área techada (m²)4]]*0.15,2)</f>
        <v>9.7799999999999994</v>
      </c>
      <c r="P163" s="6">
        <f>ROUND(Tabla2[[#This Row],[Área del terreno (m²)2]]*DATA!$F$4,-2)</f>
        <v>3200</v>
      </c>
      <c r="Q163" s="243">
        <f>+Tabla2[[#This Row],[Valor Comercial (US$)]]-Tabla2[[#This Row],[Valor del terreno (US$)]]</f>
        <v>55500</v>
      </c>
      <c r="R16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58700</v>
      </c>
      <c r="S163" s="244">
        <f>ROUND(Tabla2[[#This Row],[Valor Comercial (US$)]]*0.8,-2)</f>
        <v>47000</v>
      </c>
      <c r="T163" s="244">
        <f>IF(Informe!$I$6=DATA!$B$4,R163,ROUND(Tabla2[[#This Row],[Área techada (m²)4]]*DATA!$F$5*1.15,-2))</f>
        <v>58700</v>
      </c>
      <c r="U163" s="8">
        <f t="shared" si="2"/>
        <v>3.3479999999999999</v>
      </c>
      <c r="V163" s="244">
        <f>ROUND(Tabla2[[#This Row],[Valor del terreno (US$)]]*Tabla2[[#This Row],[Tipo de Cambio]],-2)</f>
        <v>10700</v>
      </c>
      <c r="W163" s="244">
        <f>Tabla2[[#This Row],[Valor Comercial (S/.)]]-Tabla2[[#This Row],[Valor del terreno (S/.)]]</f>
        <v>185800</v>
      </c>
      <c r="X163" s="244">
        <f>ROUND(Tabla2[[#This Row],[Valor Comercial (US$)]]*Tabla2[[#This Row],[Tipo de Cambio]],-2)</f>
        <v>196500</v>
      </c>
      <c r="Y163" s="244">
        <f>ROUND(Tabla2[[#This Row],[Valor Realización (US$)]]*Tabla2[[#This Row],[Tipo de Cambio]],-2)</f>
        <v>157400</v>
      </c>
      <c r="Z163" s="244">
        <f>+ROUND(Tabla2[[#This Row],[Importe Asegurable (US$)]]*Tabla2[[#This Row],[Tipo de Cambio]],-2)</f>
        <v>196500</v>
      </c>
      <c r="AA163" s="245"/>
      <c r="AB163" s="2">
        <f>+Tabla2[[#This Row],[Valor Comercial (US$)]]/Tabla2[[#This Row],[Área techada (m²)4]]</f>
        <v>900.30674846625766</v>
      </c>
      <c r="AC16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63" s="1" t="s">
        <v>51</v>
      </c>
      <c r="AE163" s="222">
        <f>IF(Tabla2[[#This Row],[Moneda]]="Soles",Tabla2[[#This Row],[Valor de Venta]]/Tabla2[[#This Row],[Área techada (m²)]]/Tabla2[[#This Row],[Tipo de Cambio]],Tabla2[[#This Row],[Valor de Venta]]/Tabla2[[#This Row],[Área techada (m²)]])</f>
        <v>858.03446430796521</v>
      </c>
      <c r="AF163" s="347">
        <f>VLOOKUP(Tabla2[[#This Row],[VISTA]],DATA!$H$4:$I$17,2,FALSE)</f>
        <v>900</v>
      </c>
      <c r="AG163" s="221">
        <f>+Tabla2[[#This Row],[Valor Comercial (S/.)]]/Tabla2[[#This Row],[Valor de Venta]]-1</f>
        <v>4.9119060331019648E-2</v>
      </c>
    </row>
    <row r="164" spans="1:33" s="1" customFormat="1" ht="15" customHeight="1" x14ac:dyDescent="0.25">
      <c r="A164" s="225" t="s">
        <v>30</v>
      </c>
      <c r="B164" s="22">
        <v>2001</v>
      </c>
      <c r="C164" s="14">
        <v>20</v>
      </c>
      <c r="D164" s="27"/>
      <c r="E164" s="28"/>
      <c r="F164" s="12">
        <f>ROUND(Tabla2[[#This Row],[Área ocupada (m²)]]/20*1.4,2)</f>
        <v>6.44</v>
      </c>
      <c r="G164" s="12">
        <v>92</v>
      </c>
      <c r="H164" s="12">
        <v>92</v>
      </c>
      <c r="I164" s="12">
        <f>ROUND(Tabla2[[#This Row],[Área techada (m²)]]*0.15,2)</f>
        <v>13.8</v>
      </c>
      <c r="J164" s="18" t="s">
        <v>33</v>
      </c>
      <c r="K164" s="7">
        <v>299400</v>
      </c>
      <c r="L164" s="240">
        <f>ROUND(Tabla2[[#This Row],[Área ocupada (m²)3]]/20*1.4,2)</f>
        <v>6.44</v>
      </c>
      <c r="M164" s="240">
        <f>ROUND(Tabla2[[#This Row],[Área ocupada (m²)]],2)</f>
        <v>92</v>
      </c>
      <c r="N164" s="240">
        <f>ROUND(Tabla2[[#This Row],[Área techada (m²)]],2)</f>
        <v>92</v>
      </c>
      <c r="O164" s="243">
        <f>ROUND(Tabla2[[#This Row],[Área techada (m²)4]]*0.15,2)</f>
        <v>13.8</v>
      </c>
      <c r="P164" s="6">
        <f>ROUND(Tabla2[[#This Row],[Área del terreno (m²)2]]*DATA!$F$4,-2)</f>
        <v>4500</v>
      </c>
      <c r="Q164" s="243">
        <f>+Tabla2[[#This Row],[Valor Comercial (US$)]]-Tabla2[[#This Row],[Valor del terreno (US$)]]</f>
        <v>87500</v>
      </c>
      <c r="R16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92000</v>
      </c>
      <c r="S164" s="244">
        <f>ROUND(Tabla2[[#This Row],[Valor Comercial (US$)]]*0.8,-2)</f>
        <v>73600</v>
      </c>
      <c r="T164" s="244">
        <f>IF(Informe!$I$6=DATA!$B$4,R164,ROUND(Tabla2[[#This Row],[Área techada (m²)4]]*DATA!$F$5*1.15,-2))</f>
        <v>92000</v>
      </c>
      <c r="U164" s="8">
        <f t="shared" si="2"/>
        <v>3.3479999999999999</v>
      </c>
      <c r="V164" s="244">
        <f>ROUND(Tabla2[[#This Row],[Valor del terreno (US$)]]*Tabla2[[#This Row],[Tipo de Cambio]],-2)</f>
        <v>15100</v>
      </c>
      <c r="W164" s="244">
        <f>Tabla2[[#This Row],[Valor Comercial (S/.)]]-Tabla2[[#This Row],[Valor del terreno (S/.)]]</f>
        <v>292900</v>
      </c>
      <c r="X164" s="244">
        <f>ROUND(Tabla2[[#This Row],[Valor Comercial (US$)]]*Tabla2[[#This Row],[Tipo de Cambio]],-2)</f>
        <v>308000</v>
      </c>
      <c r="Y164" s="244">
        <f>ROUND(Tabla2[[#This Row],[Valor Realización (US$)]]*Tabla2[[#This Row],[Tipo de Cambio]],-2)</f>
        <v>246400</v>
      </c>
      <c r="Z164" s="244">
        <f>+ROUND(Tabla2[[#This Row],[Importe Asegurable (US$)]]*Tabla2[[#This Row],[Tipo de Cambio]],-2)</f>
        <v>308000</v>
      </c>
      <c r="AA164" s="245"/>
      <c r="AB164" s="2">
        <f>+Tabla2[[#This Row],[Valor Comercial (US$)]]/Tabla2[[#This Row],[Área techada (m²)4]]</f>
        <v>1000</v>
      </c>
      <c r="AC16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64" s="1" t="s">
        <v>49</v>
      </c>
      <c r="AE164" s="222">
        <f>IF(Tabla2[[#This Row],[Moneda]]="Soles",Tabla2[[#This Row],[Valor de Venta]]/Tabla2[[#This Row],[Área techada (m²)]]/Tabla2[[#This Row],[Tipo de Cambio]],Tabla2[[#This Row],[Valor de Venta]]/Tabla2[[#This Row],[Área techada (m²)]])</f>
        <v>972.0274271466418</v>
      </c>
      <c r="AF164" s="347">
        <f>VLOOKUP(Tabla2[[#This Row],[VISTA]],DATA!$H$4:$I$17,2,FALSE)</f>
        <v>1000</v>
      </c>
      <c r="AG164" s="221">
        <f>+Tabla2[[#This Row],[Valor Comercial (S/.)]]/Tabla2[[#This Row],[Valor de Venta]]-1</f>
        <v>2.8724114896459652E-2</v>
      </c>
    </row>
    <row r="165" spans="1:33" s="1" customFormat="1" ht="15" customHeight="1" x14ac:dyDescent="0.25">
      <c r="A165" s="225" t="s">
        <v>30</v>
      </c>
      <c r="B165" s="22">
        <v>2002</v>
      </c>
      <c r="C165" s="14">
        <v>20</v>
      </c>
      <c r="D165" s="38"/>
      <c r="E165" s="20"/>
      <c r="F165" s="12">
        <f>ROUND(Tabla2[[#This Row],[Área ocupada (m²)]]/20*1.4,2)</f>
        <v>5.85</v>
      </c>
      <c r="G165" s="12">
        <v>83.5</v>
      </c>
      <c r="H165" s="12">
        <v>83.5</v>
      </c>
      <c r="I165" s="12">
        <f>ROUND(Tabla2[[#This Row],[Área techada (m²)]]*0.15,2)</f>
        <v>12.53</v>
      </c>
      <c r="J165" s="18" t="s">
        <v>33</v>
      </c>
      <c r="K165" s="7">
        <v>281100</v>
      </c>
      <c r="L165" s="240">
        <f>ROUND(Tabla2[[#This Row],[Área ocupada (m²)3]]/20*1.4,2)</f>
        <v>5.85</v>
      </c>
      <c r="M165" s="240">
        <f>ROUND(Tabla2[[#This Row],[Área ocupada (m²)]],2)</f>
        <v>83.5</v>
      </c>
      <c r="N165" s="240">
        <f>ROUND(Tabla2[[#This Row],[Área techada (m²)]],2)</f>
        <v>83.5</v>
      </c>
      <c r="O165" s="243">
        <f>ROUND(Tabla2[[#This Row],[Área techada (m²)4]]*0.15,2)</f>
        <v>12.53</v>
      </c>
      <c r="P165" s="6">
        <f>ROUND(Tabla2[[#This Row],[Área del terreno (m²)2]]*DATA!$F$4,-2)</f>
        <v>4100</v>
      </c>
      <c r="Q165" s="243">
        <f>+Tabla2[[#This Row],[Valor Comercial (US$)]]-Tabla2[[#This Row],[Valor del terreno (US$)]]</f>
        <v>83600</v>
      </c>
      <c r="R16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87700</v>
      </c>
      <c r="S165" s="244">
        <f>ROUND(Tabla2[[#This Row],[Valor Comercial (US$)]]*0.8,-2)</f>
        <v>70200</v>
      </c>
      <c r="T165" s="244">
        <f>IF(Informe!$I$6=DATA!$B$4,R165,ROUND(Tabla2[[#This Row],[Área techada (m²)4]]*DATA!$F$5*1.15,-2))</f>
        <v>87700</v>
      </c>
      <c r="U165" s="8">
        <f t="shared" si="2"/>
        <v>3.3479999999999999</v>
      </c>
      <c r="V165" s="244">
        <f>ROUND(Tabla2[[#This Row],[Valor del terreno (US$)]]*Tabla2[[#This Row],[Tipo de Cambio]],-2)</f>
        <v>13700</v>
      </c>
      <c r="W165" s="244">
        <f>Tabla2[[#This Row],[Valor Comercial (S/.)]]-Tabla2[[#This Row],[Valor del terreno (S/.)]]</f>
        <v>279900</v>
      </c>
      <c r="X165" s="244">
        <f>ROUND(Tabla2[[#This Row],[Valor Comercial (US$)]]*Tabla2[[#This Row],[Tipo de Cambio]],-2)</f>
        <v>293600</v>
      </c>
      <c r="Y165" s="244">
        <f>ROUND(Tabla2[[#This Row],[Valor Realización (US$)]]*Tabla2[[#This Row],[Tipo de Cambio]],-2)</f>
        <v>235000</v>
      </c>
      <c r="Z165" s="244">
        <f>+ROUND(Tabla2[[#This Row],[Importe Asegurable (US$)]]*Tabla2[[#This Row],[Tipo de Cambio]],-2)</f>
        <v>293600</v>
      </c>
      <c r="AA165" s="245"/>
      <c r="AB165" s="2">
        <f>+Tabla2[[#This Row],[Valor Comercial (US$)]]/Tabla2[[#This Row],[Área techada (m²)4]]</f>
        <v>1050.2994011976048</v>
      </c>
      <c r="AC16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65" s="1" t="s">
        <v>48</v>
      </c>
      <c r="AE165" s="222">
        <f>IF(Tabla2[[#This Row],[Moneda]]="Soles",Tabla2[[#This Row],[Valor de Venta]]/Tabla2[[#This Row],[Área techada (m²)]]/Tabla2[[#This Row],[Tipo de Cambio]],Tabla2[[#This Row],[Valor de Venta]]/Tabla2[[#This Row],[Área techada (m²)]])</f>
        <v>1005.5158500203894</v>
      </c>
      <c r="AF165" s="347">
        <f>VLOOKUP(Tabla2[[#This Row],[VISTA]],DATA!$H$4:$I$17,2,FALSE)</f>
        <v>1050</v>
      </c>
      <c r="AG165" s="221">
        <f>+Tabla2[[#This Row],[Valor Comercial (S/.)]]/Tabla2[[#This Row],[Valor de Venta]]-1</f>
        <v>4.4468160796869549E-2</v>
      </c>
    </row>
    <row r="166" spans="1:33" s="1" customFormat="1" ht="15" customHeight="1" x14ac:dyDescent="0.25">
      <c r="A166" s="225" t="s">
        <v>30</v>
      </c>
      <c r="B166" s="22">
        <v>2003</v>
      </c>
      <c r="C166" s="14">
        <v>20</v>
      </c>
      <c r="D166" s="27"/>
      <c r="E166" s="28"/>
      <c r="F166" s="12">
        <f>ROUND(Tabla2[[#This Row],[Área ocupada (m²)]]/20*1.4,2)</f>
        <v>5.85</v>
      </c>
      <c r="G166" s="12">
        <v>83.5</v>
      </c>
      <c r="H166" s="12">
        <v>83.5</v>
      </c>
      <c r="I166" s="12">
        <f>ROUND(Tabla2[[#This Row],[Área techada (m²)]]*0.15,2)</f>
        <v>12.53</v>
      </c>
      <c r="J166" s="18" t="s">
        <v>33</v>
      </c>
      <c r="K166" s="7">
        <v>278100</v>
      </c>
      <c r="L166" s="240">
        <f>ROUND(Tabla2[[#This Row],[Área ocupada (m²)3]]/20*1.4,2)</f>
        <v>5.85</v>
      </c>
      <c r="M166" s="240">
        <f>ROUND(Tabla2[[#This Row],[Área ocupada (m²)]],2)</f>
        <v>83.5</v>
      </c>
      <c r="N166" s="240">
        <f>ROUND(Tabla2[[#This Row],[Área techada (m²)]],2)</f>
        <v>83.5</v>
      </c>
      <c r="O166" s="243">
        <f>ROUND(Tabla2[[#This Row],[Área techada (m²)4]]*0.15,2)</f>
        <v>12.53</v>
      </c>
      <c r="P166" s="6">
        <f>ROUND(Tabla2[[#This Row],[Área del terreno (m²)2]]*DATA!$F$4,-2)</f>
        <v>4100</v>
      </c>
      <c r="Q166" s="243">
        <f>+Tabla2[[#This Row],[Valor Comercial (US$)]]-Tabla2[[#This Row],[Valor del terreno (US$)]]</f>
        <v>83600</v>
      </c>
      <c r="R16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87700</v>
      </c>
      <c r="S166" s="244">
        <f>ROUND(Tabla2[[#This Row],[Valor Comercial (US$)]]*0.8,-2)</f>
        <v>70200</v>
      </c>
      <c r="T166" s="244">
        <f>IF(Informe!$I$6=DATA!$B$4,R166,ROUND(Tabla2[[#This Row],[Área techada (m²)4]]*DATA!$F$5*1.15,-2))</f>
        <v>87700</v>
      </c>
      <c r="U166" s="8">
        <f t="shared" si="2"/>
        <v>3.3479999999999999</v>
      </c>
      <c r="V166" s="244">
        <f>ROUND(Tabla2[[#This Row],[Valor del terreno (US$)]]*Tabla2[[#This Row],[Tipo de Cambio]],-2)</f>
        <v>13700</v>
      </c>
      <c r="W166" s="244">
        <f>Tabla2[[#This Row],[Valor Comercial (S/.)]]-Tabla2[[#This Row],[Valor del terreno (S/.)]]</f>
        <v>279900</v>
      </c>
      <c r="X166" s="244">
        <f>ROUND(Tabla2[[#This Row],[Valor Comercial (US$)]]*Tabla2[[#This Row],[Tipo de Cambio]],-2)</f>
        <v>293600</v>
      </c>
      <c r="Y166" s="244">
        <f>ROUND(Tabla2[[#This Row],[Valor Realización (US$)]]*Tabla2[[#This Row],[Tipo de Cambio]],-2)</f>
        <v>235000</v>
      </c>
      <c r="Z166" s="244">
        <f>+ROUND(Tabla2[[#This Row],[Importe Asegurable (US$)]]*Tabla2[[#This Row],[Tipo de Cambio]],-2)</f>
        <v>293600</v>
      </c>
      <c r="AA166" s="245"/>
      <c r="AB166" s="2">
        <f>+Tabla2[[#This Row],[Valor Comercial (US$)]]/Tabla2[[#This Row],[Área techada (m²)4]]</f>
        <v>1050.2994011976048</v>
      </c>
      <c r="AC16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66" s="1" t="s">
        <v>48</v>
      </c>
      <c r="AE166" s="222">
        <f>IF(Tabla2[[#This Row],[Moneda]]="Soles",Tabla2[[#This Row],[Valor de Venta]]/Tabla2[[#This Row],[Área techada (m²)]]/Tabla2[[#This Row],[Tipo de Cambio]],Tabla2[[#This Row],[Valor de Venta]]/Tabla2[[#This Row],[Área techada (m²)]])</f>
        <v>994.78462429978754</v>
      </c>
      <c r="AF166" s="347">
        <f>VLOOKUP(Tabla2[[#This Row],[VISTA]],DATA!$H$4:$I$17,2,FALSE)</f>
        <v>1050</v>
      </c>
      <c r="AG166" s="221">
        <f>+Tabla2[[#This Row],[Valor Comercial (S/.)]]/Tabla2[[#This Row],[Valor de Venta]]-1</f>
        <v>5.5735346997482837E-2</v>
      </c>
    </row>
    <row r="167" spans="1:33" s="1" customFormat="1" ht="12.75" x14ac:dyDescent="0.25">
      <c r="A167" s="225" t="s">
        <v>30</v>
      </c>
      <c r="B167" s="22">
        <v>2004</v>
      </c>
      <c r="C167" s="14">
        <v>20</v>
      </c>
      <c r="D167" s="27"/>
      <c r="E167" s="28"/>
      <c r="F167" s="12">
        <f>ROUND(Tabla2[[#This Row],[Área ocupada (m²)]]/20*1.4,2)</f>
        <v>6.44</v>
      </c>
      <c r="G167" s="12">
        <v>92</v>
      </c>
      <c r="H167" s="12">
        <v>92</v>
      </c>
      <c r="I167" s="12">
        <f>ROUND(Tabla2[[#This Row],[Área techada (m²)]]*0.15,2)</f>
        <v>13.8</v>
      </c>
      <c r="J167" s="18" t="s">
        <v>33</v>
      </c>
      <c r="K167" s="7">
        <v>306400</v>
      </c>
      <c r="L167" s="240">
        <f>ROUND(Tabla2[[#This Row],[Área ocupada (m²)3]]/20*1.4,2)</f>
        <v>6.44</v>
      </c>
      <c r="M167" s="240">
        <f>ROUND(Tabla2[[#This Row],[Área ocupada (m²)]],2)</f>
        <v>92</v>
      </c>
      <c r="N167" s="240">
        <f>ROUND(Tabla2[[#This Row],[Área techada (m²)]],2)</f>
        <v>92</v>
      </c>
      <c r="O167" s="243">
        <f>ROUND(Tabla2[[#This Row],[Área techada (m²)4]]*0.15,2)</f>
        <v>13.8</v>
      </c>
      <c r="P167" s="6">
        <f>ROUND(Tabla2[[#This Row],[Área del terreno (m²)2]]*DATA!$F$4,-2)</f>
        <v>4500</v>
      </c>
      <c r="Q167" s="243">
        <f>+Tabla2[[#This Row],[Valor Comercial (US$)]]-Tabla2[[#This Row],[Valor del terreno (US$)]]</f>
        <v>92100</v>
      </c>
      <c r="R16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96600</v>
      </c>
      <c r="S167" s="244">
        <f>ROUND(Tabla2[[#This Row],[Valor Comercial (US$)]]*0.8,-2)</f>
        <v>77300</v>
      </c>
      <c r="T167" s="244">
        <f>IF(Informe!$I$6=DATA!$B$4,R167,ROUND(Tabla2[[#This Row],[Área techada (m²)4]]*DATA!$F$5*1.15,-2))</f>
        <v>96600</v>
      </c>
      <c r="U167" s="8">
        <f t="shared" si="2"/>
        <v>3.3479999999999999</v>
      </c>
      <c r="V167" s="244">
        <f>ROUND(Tabla2[[#This Row],[Valor del terreno (US$)]]*Tabla2[[#This Row],[Tipo de Cambio]],-2)</f>
        <v>15100</v>
      </c>
      <c r="W167" s="244">
        <f>Tabla2[[#This Row],[Valor Comercial (S/.)]]-Tabla2[[#This Row],[Valor del terreno (S/.)]]</f>
        <v>308300</v>
      </c>
      <c r="X167" s="244">
        <f>ROUND(Tabla2[[#This Row],[Valor Comercial (US$)]]*Tabla2[[#This Row],[Tipo de Cambio]],-2)</f>
        <v>323400</v>
      </c>
      <c r="Y167" s="244">
        <f>ROUND(Tabla2[[#This Row],[Valor Realización (US$)]]*Tabla2[[#This Row],[Tipo de Cambio]],-2)</f>
        <v>258800</v>
      </c>
      <c r="Z167" s="244">
        <f>+ROUND(Tabla2[[#This Row],[Importe Asegurable (US$)]]*Tabla2[[#This Row],[Tipo de Cambio]],-2)</f>
        <v>323400</v>
      </c>
      <c r="AA167" s="245"/>
      <c r="AB167" s="2">
        <f>+Tabla2[[#This Row],[Valor Comercial (US$)]]/Tabla2[[#This Row],[Área techada (m²)4]]</f>
        <v>1050</v>
      </c>
      <c r="AC16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67" s="1" t="s">
        <v>48</v>
      </c>
      <c r="AE167" s="222">
        <f>IF(Tabla2[[#This Row],[Moneda]]="Soles",Tabla2[[#This Row],[Valor de Venta]]/Tabla2[[#This Row],[Área techada (m²)]]/Tabla2[[#This Row],[Tipo de Cambio]],Tabla2[[#This Row],[Valor de Venta]]/Tabla2[[#This Row],[Área techada (m²)]])</f>
        <v>994.75351929769886</v>
      </c>
      <c r="AF167" s="347">
        <f>VLOOKUP(Tabla2[[#This Row],[VISTA]],DATA!$H$4:$I$17,2,FALSE)</f>
        <v>1050</v>
      </c>
      <c r="AG167" s="221">
        <f>+Tabla2[[#This Row],[Valor Comercial (S/.)]]/Tabla2[[#This Row],[Valor de Venta]]-1</f>
        <v>5.5483028720626715E-2</v>
      </c>
    </row>
    <row r="168" spans="1:33" s="1" customFormat="1" ht="15" customHeight="1" x14ac:dyDescent="0.25">
      <c r="A168" s="225" t="s">
        <v>30</v>
      </c>
      <c r="B168" s="22">
        <v>2005</v>
      </c>
      <c r="C168" s="14">
        <v>20</v>
      </c>
      <c r="D168" s="38"/>
      <c r="E168" s="28"/>
      <c r="F168" s="12">
        <f>ROUND(Tabla2[[#This Row],[Área ocupada (m²)]]/20*1.4,2)</f>
        <v>6.44</v>
      </c>
      <c r="G168" s="12">
        <v>92</v>
      </c>
      <c r="H168" s="12">
        <v>92</v>
      </c>
      <c r="I168" s="12">
        <f>ROUND(Tabla2[[#This Row],[Área techada (m²)]]*0.15,2)</f>
        <v>13.8</v>
      </c>
      <c r="J168" s="18" t="s">
        <v>33</v>
      </c>
      <c r="K168" s="7">
        <v>306400</v>
      </c>
      <c r="L168" s="240">
        <f>ROUND(Tabla2[[#This Row],[Área ocupada (m²)3]]/20*1.4,2)</f>
        <v>6.44</v>
      </c>
      <c r="M168" s="240">
        <f>ROUND(Tabla2[[#This Row],[Área ocupada (m²)]],2)</f>
        <v>92</v>
      </c>
      <c r="N168" s="240">
        <f>ROUND(Tabla2[[#This Row],[Área techada (m²)]],2)</f>
        <v>92</v>
      </c>
      <c r="O168" s="243">
        <f>ROUND(Tabla2[[#This Row],[Área techada (m²)4]]*0.15,2)</f>
        <v>13.8</v>
      </c>
      <c r="P168" s="6">
        <f>ROUND(Tabla2[[#This Row],[Área del terreno (m²)2]]*DATA!$F$4,-2)</f>
        <v>4500</v>
      </c>
      <c r="Q168" s="243">
        <f>+Tabla2[[#This Row],[Valor Comercial (US$)]]-Tabla2[[#This Row],[Valor del terreno (US$)]]</f>
        <v>92100</v>
      </c>
      <c r="R16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96600</v>
      </c>
      <c r="S168" s="244">
        <f>ROUND(Tabla2[[#This Row],[Valor Comercial (US$)]]*0.8,-2)</f>
        <v>77300</v>
      </c>
      <c r="T168" s="244">
        <f>IF(Informe!$I$6=DATA!$B$4,R168,ROUND(Tabla2[[#This Row],[Área techada (m²)4]]*DATA!$F$5*1.15,-2))</f>
        <v>96600</v>
      </c>
      <c r="U168" s="8">
        <f t="shared" si="2"/>
        <v>3.3479999999999999</v>
      </c>
      <c r="V168" s="244">
        <f>ROUND(Tabla2[[#This Row],[Valor del terreno (US$)]]*Tabla2[[#This Row],[Tipo de Cambio]],-2)</f>
        <v>15100</v>
      </c>
      <c r="W168" s="244">
        <f>Tabla2[[#This Row],[Valor Comercial (S/.)]]-Tabla2[[#This Row],[Valor del terreno (S/.)]]</f>
        <v>308300</v>
      </c>
      <c r="X168" s="244">
        <f>ROUND(Tabla2[[#This Row],[Valor Comercial (US$)]]*Tabla2[[#This Row],[Tipo de Cambio]],-2)</f>
        <v>323400</v>
      </c>
      <c r="Y168" s="244">
        <f>ROUND(Tabla2[[#This Row],[Valor Realización (US$)]]*Tabla2[[#This Row],[Tipo de Cambio]],-2)</f>
        <v>258800</v>
      </c>
      <c r="Z168" s="244">
        <f>+ROUND(Tabla2[[#This Row],[Importe Asegurable (US$)]]*Tabla2[[#This Row],[Tipo de Cambio]],-2)</f>
        <v>323400</v>
      </c>
      <c r="AA168" s="245"/>
      <c r="AB168" s="2">
        <f>+Tabla2[[#This Row],[Valor Comercial (US$)]]/Tabla2[[#This Row],[Área techada (m²)4]]</f>
        <v>1050</v>
      </c>
      <c r="AC16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68" s="1" t="s">
        <v>48</v>
      </c>
      <c r="AE168" s="222">
        <f>IF(Tabla2[[#This Row],[Moneda]]="Soles",Tabla2[[#This Row],[Valor de Venta]]/Tabla2[[#This Row],[Área techada (m²)]]/Tabla2[[#This Row],[Tipo de Cambio]],Tabla2[[#This Row],[Valor de Venta]]/Tabla2[[#This Row],[Área techada (m²)]])</f>
        <v>994.75351929769886</v>
      </c>
      <c r="AF168" s="347">
        <f>VLOOKUP(Tabla2[[#This Row],[VISTA]],DATA!$H$4:$I$17,2,FALSE)</f>
        <v>1050</v>
      </c>
      <c r="AG168" s="221">
        <f>+Tabla2[[#This Row],[Valor Comercial (S/.)]]/Tabla2[[#This Row],[Valor de Venta]]-1</f>
        <v>5.5483028720626715E-2</v>
      </c>
    </row>
    <row r="169" spans="1:33" s="1" customFormat="1" ht="12.75" x14ac:dyDescent="0.25">
      <c r="A169" s="225" t="s">
        <v>30</v>
      </c>
      <c r="B169" s="22">
        <v>2006</v>
      </c>
      <c r="C169" s="14">
        <v>20</v>
      </c>
      <c r="D169" s="27"/>
      <c r="E169" s="28"/>
      <c r="F169" s="12">
        <f>ROUND(Tabla2[[#This Row],[Área ocupada (m²)]]/20*1.4,2)</f>
        <v>5.85</v>
      </c>
      <c r="G169" s="12">
        <v>83.5</v>
      </c>
      <c r="H169" s="12">
        <v>83.5</v>
      </c>
      <c r="I169" s="12">
        <f>ROUND(Tabla2[[#This Row],[Área techada (m²)]]*0.15,2)</f>
        <v>12.53</v>
      </c>
      <c r="J169" s="18" t="s">
        <v>33</v>
      </c>
      <c r="K169" s="7">
        <v>281100</v>
      </c>
      <c r="L169" s="240">
        <f>ROUND(Tabla2[[#This Row],[Área ocupada (m²)3]]/20*1.4,2)</f>
        <v>5.85</v>
      </c>
      <c r="M169" s="240">
        <f>ROUND(Tabla2[[#This Row],[Área ocupada (m²)]],2)</f>
        <v>83.5</v>
      </c>
      <c r="N169" s="240">
        <f>ROUND(Tabla2[[#This Row],[Área techada (m²)]],2)</f>
        <v>83.5</v>
      </c>
      <c r="O169" s="243">
        <f>ROUND(Tabla2[[#This Row],[Área techada (m²)4]]*0.15,2)</f>
        <v>12.53</v>
      </c>
      <c r="P169" s="6">
        <f>ROUND(Tabla2[[#This Row],[Área del terreno (m²)2]]*DATA!$F$4,-2)</f>
        <v>4100</v>
      </c>
      <c r="Q169" s="243">
        <f>+Tabla2[[#This Row],[Valor Comercial (US$)]]-Tabla2[[#This Row],[Valor del terreno (US$)]]</f>
        <v>83600</v>
      </c>
      <c r="R16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87700</v>
      </c>
      <c r="S169" s="244">
        <f>ROUND(Tabla2[[#This Row],[Valor Comercial (US$)]]*0.8,-2)</f>
        <v>70200</v>
      </c>
      <c r="T169" s="244">
        <f>IF(Informe!$I$6=DATA!$B$4,R169,ROUND(Tabla2[[#This Row],[Área techada (m²)4]]*DATA!$F$5*1.15,-2))</f>
        <v>87700</v>
      </c>
      <c r="U169" s="8">
        <f t="shared" si="2"/>
        <v>3.3479999999999999</v>
      </c>
      <c r="V169" s="244">
        <f>ROUND(Tabla2[[#This Row],[Valor del terreno (US$)]]*Tabla2[[#This Row],[Tipo de Cambio]],-2)</f>
        <v>13700</v>
      </c>
      <c r="W169" s="244">
        <f>Tabla2[[#This Row],[Valor Comercial (S/.)]]-Tabla2[[#This Row],[Valor del terreno (S/.)]]</f>
        <v>279900</v>
      </c>
      <c r="X169" s="244">
        <f>ROUND(Tabla2[[#This Row],[Valor Comercial (US$)]]*Tabla2[[#This Row],[Tipo de Cambio]],-2)</f>
        <v>293600</v>
      </c>
      <c r="Y169" s="244">
        <f>ROUND(Tabla2[[#This Row],[Valor Realización (US$)]]*Tabla2[[#This Row],[Tipo de Cambio]],-2)</f>
        <v>235000</v>
      </c>
      <c r="Z169" s="244">
        <f>+ROUND(Tabla2[[#This Row],[Importe Asegurable (US$)]]*Tabla2[[#This Row],[Tipo de Cambio]],-2)</f>
        <v>293600</v>
      </c>
      <c r="AA169" s="245"/>
      <c r="AB169" s="2">
        <f>+Tabla2[[#This Row],[Valor Comercial (US$)]]/Tabla2[[#This Row],[Área techada (m²)4]]</f>
        <v>1050.2994011976048</v>
      </c>
      <c r="AC16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69" s="1" t="s">
        <v>48</v>
      </c>
      <c r="AE169" s="222">
        <f>IF(Tabla2[[#This Row],[Moneda]]="Soles",Tabla2[[#This Row],[Valor de Venta]]/Tabla2[[#This Row],[Área techada (m²)]]/Tabla2[[#This Row],[Tipo de Cambio]],Tabla2[[#This Row],[Valor de Venta]]/Tabla2[[#This Row],[Área techada (m²)]])</f>
        <v>1005.5158500203894</v>
      </c>
      <c r="AF169" s="347">
        <f>VLOOKUP(Tabla2[[#This Row],[VISTA]],DATA!$H$4:$I$17,2,FALSE)</f>
        <v>1050</v>
      </c>
      <c r="AG169" s="221">
        <f>+Tabla2[[#This Row],[Valor Comercial (S/.)]]/Tabla2[[#This Row],[Valor de Venta]]-1</f>
        <v>4.4468160796869549E-2</v>
      </c>
    </row>
    <row r="170" spans="1:33" s="1" customFormat="1" ht="15" customHeight="1" x14ac:dyDescent="0.25">
      <c r="A170" s="225" t="s">
        <v>30</v>
      </c>
      <c r="B170" s="22">
        <v>2007</v>
      </c>
      <c r="C170" s="14">
        <v>20</v>
      </c>
      <c r="D170" s="27"/>
      <c r="E170" s="28"/>
      <c r="F170" s="12">
        <f>ROUND(Tabla2[[#This Row],[Área ocupada (m²)]]/20*1.4,2)</f>
        <v>5.85</v>
      </c>
      <c r="G170" s="12">
        <v>83.5</v>
      </c>
      <c r="H170" s="12">
        <v>83.5</v>
      </c>
      <c r="I170" s="12">
        <f>ROUND(Tabla2[[#This Row],[Área techada (m²)]]*0.15,2)</f>
        <v>12.53</v>
      </c>
      <c r="J170" s="18" t="s">
        <v>33</v>
      </c>
      <c r="K170" s="7">
        <v>278100</v>
      </c>
      <c r="L170" s="240">
        <f>ROUND(Tabla2[[#This Row],[Área ocupada (m²)3]]/20*1.4,2)</f>
        <v>5.85</v>
      </c>
      <c r="M170" s="240">
        <f>ROUND(Tabla2[[#This Row],[Área ocupada (m²)]],2)</f>
        <v>83.5</v>
      </c>
      <c r="N170" s="240">
        <f>ROUND(Tabla2[[#This Row],[Área techada (m²)]],2)</f>
        <v>83.5</v>
      </c>
      <c r="O170" s="243">
        <f>ROUND(Tabla2[[#This Row],[Área techada (m²)4]]*0.15,2)</f>
        <v>12.53</v>
      </c>
      <c r="P170" s="6">
        <f>ROUND(Tabla2[[#This Row],[Área del terreno (m²)2]]*DATA!$F$4,-2)</f>
        <v>4100</v>
      </c>
      <c r="Q170" s="243">
        <f>+Tabla2[[#This Row],[Valor Comercial (US$)]]-Tabla2[[#This Row],[Valor del terreno (US$)]]</f>
        <v>83600</v>
      </c>
      <c r="R17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87700</v>
      </c>
      <c r="S170" s="244">
        <f>ROUND(Tabla2[[#This Row],[Valor Comercial (US$)]]*0.8,-2)</f>
        <v>70200</v>
      </c>
      <c r="T170" s="244">
        <f>IF(Informe!$I$6=DATA!$B$4,R170,ROUND(Tabla2[[#This Row],[Área techada (m²)4]]*DATA!$F$5*1.15,-2))</f>
        <v>87700</v>
      </c>
      <c r="U170" s="8">
        <f t="shared" si="2"/>
        <v>3.3479999999999999</v>
      </c>
      <c r="V170" s="244">
        <f>ROUND(Tabla2[[#This Row],[Valor del terreno (US$)]]*Tabla2[[#This Row],[Tipo de Cambio]],-2)</f>
        <v>13700</v>
      </c>
      <c r="W170" s="244">
        <f>Tabla2[[#This Row],[Valor Comercial (S/.)]]-Tabla2[[#This Row],[Valor del terreno (S/.)]]</f>
        <v>279900</v>
      </c>
      <c r="X170" s="244">
        <f>ROUND(Tabla2[[#This Row],[Valor Comercial (US$)]]*Tabla2[[#This Row],[Tipo de Cambio]],-2)</f>
        <v>293600</v>
      </c>
      <c r="Y170" s="244">
        <f>ROUND(Tabla2[[#This Row],[Valor Realización (US$)]]*Tabla2[[#This Row],[Tipo de Cambio]],-2)</f>
        <v>235000</v>
      </c>
      <c r="Z170" s="244">
        <f>+ROUND(Tabla2[[#This Row],[Importe Asegurable (US$)]]*Tabla2[[#This Row],[Tipo de Cambio]],-2)</f>
        <v>293600</v>
      </c>
      <c r="AA170" s="245"/>
      <c r="AB170" s="2">
        <f>+Tabla2[[#This Row],[Valor Comercial (US$)]]/Tabla2[[#This Row],[Área techada (m²)4]]</f>
        <v>1050.2994011976048</v>
      </c>
      <c r="AC17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70" s="1" t="s">
        <v>48</v>
      </c>
      <c r="AE170" s="222">
        <f>IF(Tabla2[[#This Row],[Moneda]]="Soles",Tabla2[[#This Row],[Valor de Venta]]/Tabla2[[#This Row],[Área techada (m²)]]/Tabla2[[#This Row],[Tipo de Cambio]],Tabla2[[#This Row],[Valor de Venta]]/Tabla2[[#This Row],[Área techada (m²)]])</f>
        <v>994.78462429978754</v>
      </c>
      <c r="AF170" s="347">
        <f>VLOOKUP(Tabla2[[#This Row],[VISTA]],DATA!$H$4:$I$17,2,FALSE)</f>
        <v>1050</v>
      </c>
      <c r="AG170" s="221">
        <f>+Tabla2[[#This Row],[Valor Comercial (S/.)]]/Tabla2[[#This Row],[Valor de Venta]]-1</f>
        <v>5.5735346997482837E-2</v>
      </c>
    </row>
    <row r="171" spans="1:33" s="1" customFormat="1" ht="15" customHeight="1" x14ac:dyDescent="0.25">
      <c r="A171" s="225" t="s">
        <v>30</v>
      </c>
      <c r="B171" s="22">
        <v>2008</v>
      </c>
      <c r="C171" s="14">
        <v>20</v>
      </c>
      <c r="D171" s="27"/>
      <c r="E171" s="28"/>
      <c r="F171" s="12">
        <f>ROUND(Tabla2[[#This Row],[Área ocupada (m²)]]/20*1.4,2)</f>
        <v>6.44</v>
      </c>
      <c r="G171" s="12">
        <v>92</v>
      </c>
      <c r="H171" s="12">
        <v>92</v>
      </c>
      <c r="I171" s="12">
        <f>ROUND(Tabla2[[#This Row],[Área techada (m²)]]*0.15,2)</f>
        <v>13.8</v>
      </c>
      <c r="J171" s="18" t="s">
        <v>33</v>
      </c>
      <c r="K171" s="7">
        <v>309400</v>
      </c>
      <c r="L171" s="240">
        <f>ROUND(Tabla2[[#This Row],[Área ocupada (m²)3]]/20*1.4,2)</f>
        <v>6.44</v>
      </c>
      <c r="M171" s="240">
        <f>ROUND(Tabla2[[#This Row],[Área ocupada (m²)]],2)</f>
        <v>92</v>
      </c>
      <c r="N171" s="240">
        <f>ROUND(Tabla2[[#This Row],[Área techada (m²)]],2)</f>
        <v>92</v>
      </c>
      <c r="O171" s="243">
        <f>ROUND(Tabla2[[#This Row],[Área techada (m²)4]]*0.15,2)</f>
        <v>13.8</v>
      </c>
      <c r="P171" s="6">
        <f>ROUND(Tabla2[[#This Row],[Área del terreno (m²)2]]*DATA!$F$4,-2)</f>
        <v>4500</v>
      </c>
      <c r="Q171" s="243">
        <f>+Tabla2[[#This Row],[Valor Comercial (US$)]]-Tabla2[[#This Row],[Valor del terreno (US$)]]</f>
        <v>92100</v>
      </c>
      <c r="R17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96600</v>
      </c>
      <c r="S171" s="244">
        <f>ROUND(Tabla2[[#This Row],[Valor Comercial (US$)]]*0.8,-2)</f>
        <v>77300</v>
      </c>
      <c r="T171" s="244">
        <f>IF(Informe!$I$6=DATA!$B$4,R171,ROUND(Tabla2[[#This Row],[Área techada (m²)4]]*DATA!$F$5*1.15,-2))</f>
        <v>96600</v>
      </c>
      <c r="U171" s="8">
        <f t="shared" si="2"/>
        <v>3.3479999999999999</v>
      </c>
      <c r="V171" s="244">
        <f>ROUND(Tabla2[[#This Row],[Valor del terreno (US$)]]*Tabla2[[#This Row],[Tipo de Cambio]],-2)</f>
        <v>15100</v>
      </c>
      <c r="W171" s="244">
        <f>Tabla2[[#This Row],[Valor Comercial (S/.)]]-Tabla2[[#This Row],[Valor del terreno (S/.)]]</f>
        <v>308300</v>
      </c>
      <c r="X171" s="244">
        <f>ROUND(Tabla2[[#This Row],[Valor Comercial (US$)]]*Tabla2[[#This Row],[Tipo de Cambio]],-2)</f>
        <v>323400</v>
      </c>
      <c r="Y171" s="244">
        <f>ROUND(Tabla2[[#This Row],[Valor Realización (US$)]]*Tabla2[[#This Row],[Tipo de Cambio]],-2)</f>
        <v>258800</v>
      </c>
      <c r="Z171" s="244">
        <f>+ROUND(Tabla2[[#This Row],[Importe Asegurable (US$)]]*Tabla2[[#This Row],[Tipo de Cambio]],-2)</f>
        <v>323400</v>
      </c>
      <c r="AA171" s="245"/>
      <c r="AB171" s="2">
        <f>+Tabla2[[#This Row],[Valor Comercial (US$)]]/Tabla2[[#This Row],[Área techada (m²)4]]</f>
        <v>1050</v>
      </c>
      <c r="AC17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71" s="1" t="s">
        <v>48</v>
      </c>
      <c r="AE171" s="222">
        <f>IF(Tabla2[[#This Row],[Moneda]]="Soles",Tabla2[[#This Row],[Valor de Venta]]/Tabla2[[#This Row],[Área techada (m²)]]/Tabla2[[#This Row],[Tipo de Cambio]],Tabla2[[#This Row],[Valor de Venta]]/Tabla2[[#This Row],[Área techada (m²)]])</f>
        <v>1004.4932730767233</v>
      </c>
      <c r="AF171" s="347">
        <f>VLOOKUP(Tabla2[[#This Row],[VISTA]],DATA!$H$4:$I$17,2,FALSE)</f>
        <v>1050</v>
      </c>
      <c r="AG171" s="221">
        <f>+Tabla2[[#This Row],[Valor Comercial (S/.)]]/Tabla2[[#This Row],[Valor de Venta]]-1</f>
        <v>4.5248868778280604E-2</v>
      </c>
    </row>
    <row r="172" spans="1:33" s="1" customFormat="1" ht="15" customHeight="1" x14ac:dyDescent="0.25">
      <c r="A172" s="225" t="s">
        <v>39</v>
      </c>
      <c r="B172" s="22">
        <v>118</v>
      </c>
      <c r="C172" s="14"/>
      <c r="D172" s="27"/>
      <c r="E172" s="28"/>
      <c r="F172" s="12">
        <f>ROUND(Tabla2[[#This Row],[Área ocupada (m²)]]/20*1.4,2)</f>
        <v>0.84</v>
      </c>
      <c r="G172" s="12">
        <v>12</v>
      </c>
      <c r="H172" s="12">
        <v>12</v>
      </c>
      <c r="I172" s="12">
        <f>ROUND(Tabla2[[#This Row],[Área techada (m²)]]*0.15,2)</f>
        <v>1.8</v>
      </c>
      <c r="J172" s="18" t="s">
        <v>33</v>
      </c>
      <c r="K172" s="7">
        <v>28000</v>
      </c>
      <c r="L172" s="240">
        <f>ROUND(Tabla2[[#This Row],[Área ocupada (m²)3]]/20*1.4,2)</f>
        <v>0.84</v>
      </c>
      <c r="M172" s="240">
        <f>ROUND(Tabla2[[#This Row],[Área ocupada (m²)]],2)</f>
        <v>12</v>
      </c>
      <c r="N172" s="240">
        <f>ROUND(Tabla2[[#This Row],[Área techada (m²)]],2)</f>
        <v>12</v>
      </c>
      <c r="O172" s="243">
        <f>ROUND(Tabla2[[#This Row],[Área techada (m²)4]]*0.15,2)</f>
        <v>1.8</v>
      </c>
      <c r="P172" s="6">
        <f>ROUND(Tabla2[[#This Row],[Área del terreno (m²)2]]*DATA!$F$4,-2)</f>
        <v>600</v>
      </c>
      <c r="Q172" s="243">
        <f>+Tabla2[[#This Row],[Valor Comercial (US$)]]-Tabla2[[#This Row],[Valor del terreno (US$)]]</f>
        <v>8400</v>
      </c>
      <c r="R17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72" s="244">
        <f>ROUND(Tabla2[[#This Row],[Valor Comercial (US$)]]*0.8,-2)</f>
        <v>7200</v>
      </c>
      <c r="T172" s="244">
        <f>IF(Informe!$I$6=DATA!$B$4,R172,ROUND(Tabla2[[#This Row],[Área techada (m²)4]]*DATA!$F$5*1.15,-2))</f>
        <v>9000</v>
      </c>
      <c r="U172" s="8">
        <f t="shared" si="2"/>
        <v>3.3479999999999999</v>
      </c>
      <c r="V172" s="244">
        <f>ROUND(Tabla2[[#This Row],[Valor del terreno (US$)]]*Tabla2[[#This Row],[Tipo de Cambio]],-2)</f>
        <v>2000</v>
      </c>
      <c r="W172" s="244">
        <f>Tabla2[[#This Row],[Valor Comercial (S/.)]]-Tabla2[[#This Row],[Valor del terreno (S/.)]]</f>
        <v>28100</v>
      </c>
      <c r="X172" s="244">
        <f>ROUND(Tabla2[[#This Row],[Valor Comercial (US$)]]*Tabla2[[#This Row],[Tipo de Cambio]],-2)</f>
        <v>30100</v>
      </c>
      <c r="Y172" s="244">
        <f>ROUND(Tabla2[[#This Row],[Valor Realización (US$)]]*Tabla2[[#This Row],[Tipo de Cambio]],-2)</f>
        <v>24100</v>
      </c>
      <c r="Z172" s="244">
        <f>+ROUND(Tabla2[[#This Row],[Importe Asegurable (US$)]]*Tabla2[[#This Row],[Tipo de Cambio]],-2)</f>
        <v>30100</v>
      </c>
      <c r="AA172" s="245"/>
      <c r="AB172" s="2">
        <f>+Tabla2[[#This Row],[Valor Comercial (US$)]]/Tabla2[[#This Row],[Área techada (m²)4]]</f>
        <v>750</v>
      </c>
      <c r="AC17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72" s="1" t="s">
        <v>41</v>
      </c>
      <c r="AE172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72" s="347">
        <f>VLOOKUP(Tabla2[[#This Row],[VISTA]],DATA!$H$4:$I$17,2,FALSE)</f>
        <v>9000</v>
      </c>
      <c r="AG172" s="221">
        <f>+Tabla2[[#This Row],[Valor Comercial (S/.)]]/Tabla2[[#This Row],[Valor de Venta]]-1</f>
        <v>7.4999999999999956E-2</v>
      </c>
    </row>
    <row r="173" spans="1:33" s="1" customFormat="1" ht="15" customHeight="1" x14ac:dyDescent="0.25">
      <c r="A173" s="225" t="s">
        <v>39</v>
      </c>
      <c r="B173" s="22">
        <v>120</v>
      </c>
      <c r="C173" s="14"/>
      <c r="D173" s="27"/>
      <c r="E173" s="28"/>
      <c r="F173" s="12">
        <f>ROUND(Tabla2[[#This Row],[Área ocupada (m²)]]/20*1.4,2)</f>
        <v>0.84</v>
      </c>
      <c r="G173" s="12">
        <v>12</v>
      </c>
      <c r="H173" s="12">
        <v>12</v>
      </c>
      <c r="I173" s="12">
        <f>ROUND(Tabla2[[#This Row],[Área techada (m²)]]*0.15,2)</f>
        <v>1.8</v>
      </c>
      <c r="J173" s="18" t="s">
        <v>33</v>
      </c>
      <c r="K173" s="7">
        <v>28000</v>
      </c>
      <c r="L173" s="240">
        <f>ROUND(Tabla2[[#This Row],[Área ocupada (m²)3]]/20*1.4,2)</f>
        <v>0.84</v>
      </c>
      <c r="M173" s="240">
        <f>ROUND(Tabla2[[#This Row],[Área ocupada (m²)]],2)</f>
        <v>12</v>
      </c>
      <c r="N173" s="240">
        <f>ROUND(Tabla2[[#This Row],[Área techada (m²)]],2)</f>
        <v>12</v>
      </c>
      <c r="O173" s="243">
        <f>ROUND(Tabla2[[#This Row],[Área techada (m²)4]]*0.15,2)</f>
        <v>1.8</v>
      </c>
      <c r="P173" s="6">
        <f>ROUND(Tabla2[[#This Row],[Área del terreno (m²)2]]*DATA!$F$4,-2)</f>
        <v>600</v>
      </c>
      <c r="Q173" s="243">
        <f>+Tabla2[[#This Row],[Valor Comercial (US$)]]-Tabla2[[#This Row],[Valor del terreno (US$)]]</f>
        <v>8400</v>
      </c>
      <c r="R17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73" s="244">
        <f>ROUND(Tabla2[[#This Row],[Valor Comercial (US$)]]*0.8,-2)</f>
        <v>7200</v>
      </c>
      <c r="T173" s="244">
        <f>IF(Informe!$I$6=DATA!$B$4,R173,ROUND(Tabla2[[#This Row],[Área techada (m²)4]]*DATA!$F$5*1.15,-2))</f>
        <v>9000</v>
      </c>
      <c r="U173" s="8">
        <f t="shared" si="2"/>
        <v>3.3479999999999999</v>
      </c>
      <c r="V173" s="244">
        <f>ROUND(Tabla2[[#This Row],[Valor del terreno (US$)]]*Tabla2[[#This Row],[Tipo de Cambio]],-2)</f>
        <v>2000</v>
      </c>
      <c r="W173" s="244">
        <f>Tabla2[[#This Row],[Valor Comercial (S/.)]]-Tabla2[[#This Row],[Valor del terreno (S/.)]]</f>
        <v>28100</v>
      </c>
      <c r="X173" s="244">
        <f>ROUND(Tabla2[[#This Row],[Valor Comercial (US$)]]*Tabla2[[#This Row],[Tipo de Cambio]],-2)</f>
        <v>30100</v>
      </c>
      <c r="Y173" s="244">
        <f>ROUND(Tabla2[[#This Row],[Valor Realización (US$)]]*Tabla2[[#This Row],[Tipo de Cambio]],-2)</f>
        <v>24100</v>
      </c>
      <c r="Z173" s="244">
        <f>+ROUND(Tabla2[[#This Row],[Importe Asegurable (US$)]]*Tabla2[[#This Row],[Tipo de Cambio]],-2)</f>
        <v>30100</v>
      </c>
      <c r="AA173" s="245"/>
      <c r="AB173" s="2">
        <f>+Tabla2[[#This Row],[Valor Comercial (US$)]]/Tabla2[[#This Row],[Área techada (m²)4]]</f>
        <v>750</v>
      </c>
      <c r="AC17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73" s="1" t="s">
        <v>41</v>
      </c>
      <c r="AE173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73" s="347">
        <f>VLOOKUP(Tabla2[[#This Row],[VISTA]],DATA!$H$4:$I$17,2,FALSE)</f>
        <v>9000</v>
      </c>
      <c r="AG173" s="221">
        <f>+Tabla2[[#This Row],[Valor Comercial (S/.)]]/Tabla2[[#This Row],[Valor de Venta]]-1</f>
        <v>7.4999999999999956E-2</v>
      </c>
    </row>
    <row r="174" spans="1:33" s="1" customFormat="1" ht="15" customHeight="1" x14ac:dyDescent="0.25">
      <c r="A174" s="225" t="s">
        <v>39</v>
      </c>
      <c r="B174" s="22">
        <v>125</v>
      </c>
      <c r="C174" s="14"/>
      <c r="D174" s="27"/>
      <c r="E174" s="28"/>
      <c r="F174" s="12">
        <f>ROUND(Tabla2[[#This Row],[Área ocupada (m²)]]/20*1.4,2)</f>
        <v>0.84</v>
      </c>
      <c r="G174" s="12">
        <v>12</v>
      </c>
      <c r="H174" s="12">
        <v>12</v>
      </c>
      <c r="I174" s="12">
        <f>ROUND(Tabla2[[#This Row],[Área techada (m²)]]*0.15,2)</f>
        <v>1.8</v>
      </c>
      <c r="J174" s="18" t="s">
        <v>33</v>
      </c>
      <c r="K174" s="7">
        <v>28000</v>
      </c>
      <c r="L174" s="240">
        <f>ROUND(Tabla2[[#This Row],[Área ocupada (m²)3]]/20*1.4,2)</f>
        <v>0.84</v>
      </c>
      <c r="M174" s="240">
        <f>ROUND(Tabla2[[#This Row],[Área ocupada (m²)]],2)</f>
        <v>12</v>
      </c>
      <c r="N174" s="240">
        <f>ROUND(Tabla2[[#This Row],[Área techada (m²)]],2)</f>
        <v>12</v>
      </c>
      <c r="O174" s="243">
        <f>ROUND(Tabla2[[#This Row],[Área techada (m²)4]]*0.15,2)</f>
        <v>1.8</v>
      </c>
      <c r="P174" s="6">
        <f>ROUND(Tabla2[[#This Row],[Área del terreno (m²)2]]*DATA!$F$4,-2)</f>
        <v>600</v>
      </c>
      <c r="Q174" s="243">
        <f>+Tabla2[[#This Row],[Valor Comercial (US$)]]-Tabla2[[#This Row],[Valor del terreno (US$)]]</f>
        <v>8400</v>
      </c>
      <c r="R17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74" s="244">
        <f>ROUND(Tabla2[[#This Row],[Valor Comercial (US$)]]*0.8,-2)</f>
        <v>7200</v>
      </c>
      <c r="T174" s="244">
        <f>IF(Informe!$I$6=DATA!$B$4,R174,ROUND(Tabla2[[#This Row],[Área techada (m²)4]]*DATA!$F$5*1.15,-2))</f>
        <v>9000</v>
      </c>
      <c r="U174" s="8">
        <f t="shared" si="2"/>
        <v>3.3479999999999999</v>
      </c>
      <c r="V174" s="244">
        <f>ROUND(Tabla2[[#This Row],[Valor del terreno (US$)]]*Tabla2[[#This Row],[Tipo de Cambio]],-2)</f>
        <v>2000</v>
      </c>
      <c r="W174" s="244">
        <f>Tabla2[[#This Row],[Valor Comercial (S/.)]]-Tabla2[[#This Row],[Valor del terreno (S/.)]]</f>
        <v>28100</v>
      </c>
      <c r="X174" s="244">
        <f>ROUND(Tabla2[[#This Row],[Valor Comercial (US$)]]*Tabla2[[#This Row],[Tipo de Cambio]],-2)</f>
        <v>30100</v>
      </c>
      <c r="Y174" s="244">
        <f>ROUND(Tabla2[[#This Row],[Valor Realización (US$)]]*Tabla2[[#This Row],[Tipo de Cambio]],-2)</f>
        <v>24100</v>
      </c>
      <c r="Z174" s="244">
        <f>+ROUND(Tabla2[[#This Row],[Importe Asegurable (US$)]]*Tabla2[[#This Row],[Tipo de Cambio]],-2)</f>
        <v>30100</v>
      </c>
      <c r="AA174" s="245"/>
      <c r="AB174" s="2">
        <f>+Tabla2[[#This Row],[Valor Comercial (US$)]]/Tabla2[[#This Row],[Área techada (m²)4]]</f>
        <v>750</v>
      </c>
      <c r="AC17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74" s="1" t="s">
        <v>41</v>
      </c>
      <c r="AE174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74" s="347">
        <f>VLOOKUP(Tabla2[[#This Row],[VISTA]],DATA!$H$4:$I$17,2,FALSE)</f>
        <v>9000</v>
      </c>
      <c r="AG174" s="221">
        <f>+Tabla2[[#This Row],[Valor Comercial (S/.)]]/Tabla2[[#This Row],[Valor de Venta]]-1</f>
        <v>7.4999999999999956E-2</v>
      </c>
    </row>
    <row r="175" spans="1:33" s="1" customFormat="1" ht="12.75" x14ac:dyDescent="0.25">
      <c r="A175" s="225" t="s">
        <v>39</v>
      </c>
      <c r="B175" s="22">
        <v>126</v>
      </c>
      <c r="C175" s="14"/>
      <c r="D175" s="27"/>
      <c r="E175" s="20"/>
      <c r="F175" s="12">
        <f>ROUND(Tabla2[[#This Row],[Área ocupada (m²)]]/20*1.4,2)</f>
        <v>0.84</v>
      </c>
      <c r="G175" s="12">
        <v>12</v>
      </c>
      <c r="H175" s="12">
        <v>12</v>
      </c>
      <c r="I175" s="12">
        <f>ROUND(Tabla2[[#This Row],[Área techada (m²)]]*0.15,2)</f>
        <v>1.8</v>
      </c>
      <c r="J175" s="18" t="s">
        <v>33</v>
      </c>
      <c r="K175" s="7">
        <v>28000</v>
      </c>
      <c r="L175" s="240">
        <f>ROUND(Tabla2[[#This Row],[Área ocupada (m²)3]]/20*1.4,2)</f>
        <v>0.84</v>
      </c>
      <c r="M175" s="240">
        <f>ROUND(Tabla2[[#This Row],[Área ocupada (m²)]],2)</f>
        <v>12</v>
      </c>
      <c r="N175" s="240">
        <f>ROUND(Tabla2[[#This Row],[Área techada (m²)]],2)</f>
        <v>12</v>
      </c>
      <c r="O175" s="243">
        <f>ROUND(Tabla2[[#This Row],[Área techada (m²)4]]*0.15,2)</f>
        <v>1.8</v>
      </c>
      <c r="P175" s="6">
        <f>ROUND(Tabla2[[#This Row],[Área del terreno (m²)2]]*DATA!$F$4,-2)</f>
        <v>600</v>
      </c>
      <c r="Q175" s="243">
        <f>+Tabla2[[#This Row],[Valor Comercial (US$)]]-Tabla2[[#This Row],[Valor del terreno (US$)]]</f>
        <v>8400</v>
      </c>
      <c r="R17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75" s="244">
        <f>ROUND(Tabla2[[#This Row],[Valor Comercial (US$)]]*0.8,-2)</f>
        <v>7200</v>
      </c>
      <c r="T175" s="244">
        <f>IF(Informe!$I$6=DATA!$B$4,R175,ROUND(Tabla2[[#This Row],[Área techada (m²)4]]*DATA!$F$5*1.15,-2))</f>
        <v>9000</v>
      </c>
      <c r="U175" s="8">
        <f t="shared" si="2"/>
        <v>3.3479999999999999</v>
      </c>
      <c r="V175" s="244">
        <f>ROUND(Tabla2[[#This Row],[Valor del terreno (US$)]]*Tabla2[[#This Row],[Tipo de Cambio]],-2)</f>
        <v>2000</v>
      </c>
      <c r="W175" s="244">
        <f>Tabla2[[#This Row],[Valor Comercial (S/.)]]-Tabla2[[#This Row],[Valor del terreno (S/.)]]</f>
        <v>28100</v>
      </c>
      <c r="X175" s="244">
        <f>ROUND(Tabla2[[#This Row],[Valor Comercial (US$)]]*Tabla2[[#This Row],[Tipo de Cambio]],-2)</f>
        <v>30100</v>
      </c>
      <c r="Y175" s="244">
        <f>ROUND(Tabla2[[#This Row],[Valor Realización (US$)]]*Tabla2[[#This Row],[Tipo de Cambio]],-2)</f>
        <v>24100</v>
      </c>
      <c r="Z175" s="244">
        <f>+ROUND(Tabla2[[#This Row],[Importe Asegurable (US$)]]*Tabla2[[#This Row],[Tipo de Cambio]],-2)</f>
        <v>30100</v>
      </c>
      <c r="AA175" s="245"/>
      <c r="AB175" s="2">
        <f>+Tabla2[[#This Row],[Valor Comercial (US$)]]/Tabla2[[#This Row],[Área techada (m²)4]]</f>
        <v>750</v>
      </c>
      <c r="AC17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75" s="1" t="s">
        <v>41</v>
      </c>
      <c r="AE175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75" s="347">
        <f>VLOOKUP(Tabla2[[#This Row],[VISTA]],DATA!$H$4:$I$17,2,FALSE)</f>
        <v>9000</v>
      </c>
      <c r="AG175" s="221">
        <f>+Tabla2[[#This Row],[Valor Comercial (S/.)]]/Tabla2[[#This Row],[Valor de Venta]]-1</f>
        <v>7.4999999999999956E-2</v>
      </c>
    </row>
    <row r="176" spans="1:33" s="1" customFormat="1" ht="15" customHeight="1" x14ac:dyDescent="0.25">
      <c r="A176" s="225" t="s">
        <v>39</v>
      </c>
      <c r="B176" s="22">
        <v>181</v>
      </c>
      <c r="C176" s="14">
        <v>1</v>
      </c>
      <c r="D176" s="27">
        <v>625616</v>
      </c>
      <c r="E176" s="20" t="s">
        <v>534</v>
      </c>
      <c r="F176" s="12">
        <v>0.84</v>
      </c>
      <c r="G176" s="12">
        <v>12</v>
      </c>
      <c r="H176" s="12">
        <v>12</v>
      </c>
      <c r="I176" s="12">
        <v>1.8</v>
      </c>
      <c r="J176" s="18" t="s">
        <v>33</v>
      </c>
      <c r="K176" s="7">
        <v>28000</v>
      </c>
      <c r="L176" s="240">
        <v>0.84</v>
      </c>
      <c r="M176" s="240">
        <v>12</v>
      </c>
      <c r="N176" s="240">
        <v>12</v>
      </c>
      <c r="O176" s="243">
        <v>1.8</v>
      </c>
      <c r="P176" s="6">
        <v>600</v>
      </c>
      <c r="Q176" s="243">
        <v>8400</v>
      </c>
      <c r="R176" s="244">
        <v>9000</v>
      </c>
      <c r="S176" s="244">
        <v>7200</v>
      </c>
      <c r="T176" s="244">
        <v>9000</v>
      </c>
      <c r="U176" s="8">
        <v>3.5</v>
      </c>
      <c r="V176" s="244">
        <v>2100</v>
      </c>
      <c r="W176" s="244">
        <v>29400</v>
      </c>
      <c r="X176" s="244">
        <v>31500</v>
      </c>
      <c r="Y176" s="244">
        <v>25200</v>
      </c>
      <c r="Z176" s="244">
        <v>31500</v>
      </c>
      <c r="AA176" s="245">
        <v>44110</v>
      </c>
      <c r="AB176" s="2">
        <v>750</v>
      </c>
      <c r="AC176" s="1" t="s">
        <v>526</v>
      </c>
      <c r="AD176" s="1" t="s">
        <v>41</v>
      </c>
      <c r="AE176" s="222">
        <v>666.66666666666674</v>
      </c>
      <c r="AF176" s="347">
        <v>9000</v>
      </c>
      <c r="AG176" s="221">
        <v>0.125</v>
      </c>
    </row>
    <row r="177" spans="1:33" s="1" customFormat="1" ht="15" customHeight="1" x14ac:dyDescent="0.25">
      <c r="A177" s="225" t="s">
        <v>39</v>
      </c>
      <c r="B177" s="22">
        <v>185</v>
      </c>
      <c r="C177" s="14"/>
      <c r="D177" s="27">
        <v>51516</v>
      </c>
      <c r="E177" s="20" t="s">
        <v>525</v>
      </c>
      <c r="F177" s="12">
        <v>0.84</v>
      </c>
      <c r="G177" s="12">
        <v>12</v>
      </c>
      <c r="H177" s="12">
        <v>12</v>
      </c>
      <c r="I177" s="12">
        <v>1.8</v>
      </c>
      <c r="J177" s="18" t="s">
        <v>33</v>
      </c>
      <c r="K177" s="7">
        <v>28000</v>
      </c>
      <c r="L177" s="240">
        <v>0.84</v>
      </c>
      <c r="M177" s="240">
        <v>12</v>
      </c>
      <c r="N177" s="240">
        <v>12</v>
      </c>
      <c r="O177" s="243">
        <v>1.8</v>
      </c>
      <c r="P177" s="6">
        <v>600</v>
      </c>
      <c r="Q177" s="243">
        <v>8400</v>
      </c>
      <c r="R177" s="244">
        <v>9000</v>
      </c>
      <c r="S177" s="244">
        <v>7200</v>
      </c>
      <c r="T177" s="244">
        <v>9000</v>
      </c>
      <c r="U177" s="8">
        <v>3.5</v>
      </c>
      <c r="V177" s="244">
        <v>2100</v>
      </c>
      <c r="W177" s="244">
        <v>29400</v>
      </c>
      <c r="X177" s="244">
        <v>31500</v>
      </c>
      <c r="Y177" s="244">
        <v>25200</v>
      </c>
      <c r="Z177" s="244">
        <v>31500</v>
      </c>
      <c r="AA177" s="245">
        <v>44106</v>
      </c>
      <c r="AB177" s="2">
        <v>750</v>
      </c>
      <c r="AC177" s="1" t="s">
        <v>526</v>
      </c>
      <c r="AD177" s="1" t="s">
        <v>41</v>
      </c>
      <c r="AE177" s="222">
        <v>666.66666666666674</v>
      </c>
      <c r="AF177" s="347">
        <v>9000</v>
      </c>
      <c r="AG177" s="221">
        <v>0.125</v>
      </c>
    </row>
    <row r="178" spans="1:33" s="1" customFormat="1" ht="15" customHeight="1" x14ac:dyDescent="0.25">
      <c r="A178" s="225" t="s">
        <v>39</v>
      </c>
      <c r="B178" s="22">
        <v>245</v>
      </c>
      <c r="C178" s="14"/>
      <c r="D178" s="27"/>
      <c r="E178" s="28"/>
      <c r="F178" s="12">
        <f>ROUND(Tabla2[[#This Row],[Área ocupada (m²)]]/20*1.4,2)</f>
        <v>0.84</v>
      </c>
      <c r="G178" s="12">
        <v>12</v>
      </c>
      <c r="H178" s="12">
        <v>12</v>
      </c>
      <c r="I178" s="12">
        <f>ROUND(Tabla2[[#This Row],[Área techada (m²)]]*0.15,2)</f>
        <v>1.8</v>
      </c>
      <c r="J178" s="18" t="s">
        <v>33</v>
      </c>
      <c r="K178" s="7">
        <v>32000</v>
      </c>
      <c r="L178" s="240">
        <f>ROUND(Tabla2[[#This Row],[Área ocupada (m²)3]]/20*1.4,2)</f>
        <v>0.84</v>
      </c>
      <c r="M178" s="240">
        <f>ROUND(Tabla2[[#This Row],[Área ocupada (m²)]],2)</f>
        <v>12</v>
      </c>
      <c r="N178" s="240">
        <f>ROUND(Tabla2[[#This Row],[Área techada (m²)]],2)</f>
        <v>12</v>
      </c>
      <c r="O178" s="243">
        <f>ROUND(Tabla2[[#This Row],[Área techada (m²)4]]*0.15,2)</f>
        <v>1.8</v>
      </c>
      <c r="P178" s="6">
        <f>ROUND(Tabla2[[#This Row],[Área del terreno (m²)2]]*DATA!$F$4,-2)</f>
        <v>600</v>
      </c>
      <c r="Q178" s="243">
        <f>+Tabla2[[#This Row],[Valor Comercial (US$)]]-Tabla2[[#This Row],[Valor del terreno (US$)]]</f>
        <v>9400</v>
      </c>
      <c r="R17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10000</v>
      </c>
      <c r="S178" s="244">
        <f>ROUND(Tabla2[[#This Row],[Valor Comercial (US$)]]*0.8,-2)</f>
        <v>8000</v>
      </c>
      <c r="T178" s="244">
        <f>IF(Informe!$I$6=DATA!$B$4,R178,ROUND(Tabla2[[#This Row],[Área techada (m²)4]]*DATA!$F$5*1.15,-2))</f>
        <v>10000</v>
      </c>
      <c r="U178" s="8">
        <f t="shared" si="2"/>
        <v>3.3479999999999999</v>
      </c>
      <c r="V178" s="244">
        <f>ROUND(Tabla2[[#This Row],[Valor del terreno (US$)]]*Tabla2[[#This Row],[Tipo de Cambio]],-2)</f>
        <v>2000</v>
      </c>
      <c r="W178" s="244">
        <f>Tabla2[[#This Row],[Valor Comercial (S/.)]]-Tabla2[[#This Row],[Valor del terreno (S/.)]]</f>
        <v>31500</v>
      </c>
      <c r="X178" s="244">
        <f>ROUND(Tabla2[[#This Row],[Valor Comercial (US$)]]*Tabla2[[#This Row],[Tipo de Cambio]],-2)</f>
        <v>33500</v>
      </c>
      <c r="Y178" s="244">
        <f>ROUND(Tabla2[[#This Row],[Valor Realización (US$)]]*Tabla2[[#This Row],[Tipo de Cambio]],-2)</f>
        <v>26800</v>
      </c>
      <c r="Z178" s="244">
        <f>+ROUND(Tabla2[[#This Row],[Importe Asegurable (US$)]]*Tabla2[[#This Row],[Tipo de Cambio]],-2)</f>
        <v>33500</v>
      </c>
      <c r="AA178" s="245"/>
      <c r="AB178" s="2">
        <f>+Tabla2[[#This Row],[Valor Comercial (US$)]]/Tabla2[[#This Row],[Área techada (m²)4]]</f>
        <v>833.33333333333337</v>
      </c>
      <c r="AC17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78" s="1" t="s">
        <v>43</v>
      </c>
      <c r="AE178" s="222">
        <f>IF(Tabla2[[#This Row],[Moneda]]="Soles",Tabla2[[#This Row],[Valor de Venta]]/Tabla2[[#This Row],[Área techada (m²)]]/Tabla2[[#This Row],[Tipo de Cambio]],Tabla2[[#This Row],[Valor de Venta]]/Tabla2[[#This Row],[Área techada (m²)]])</f>
        <v>796.49542015133409</v>
      </c>
      <c r="AF178" s="347">
        <f>VLOOKUP(Tabla2[[#This Row],[VISTA]],DATA!$H$4:$I$17,2,FALSE)</f>
        <v>10000</v>
      </c>
      <c r="AG178" s="221">
        <f>+Tabla2[[#This Row],[Valor Comercial (S/.)]]/Tabla2[[#This Row],[Valor de Venta]]-1</f>
        <v>4.6875E-2</v>
      </c>
    </row>
    <row r="179" spans="1:33" s="1" customFormat="1" ht="15" customHeight="1" x14ac:dyDescent="0.25">
      <c r="A179" s="225" t="s">
        <v>39</v>
      </c>
      <c r="B179" s="22">
        <v>246</v>
      </c>
      <c r="C179" s="14"/>
      <c r="D179" s="27"/>
      <c r="E179" s="28"/>
      <c r="F179" s="12">
        <f>ROUND(Tabla2[[#This Row],[Área ocupada (m²)]]/20*1.4,2)</f>
        <v>0.84</v>
      </c>
      <c r="G179" s="12">
        <v>12</v>
      </c>
      <c r="H179" s="12">
        <v>12</v>
      </c>
      <c r="I179" s="12">
        <f>ROUND(Tabla2[[#This Row],[Área techada (m²)]]*0.15,2)</f>
        <v>1.8</v>
      </c>
      <c r="J179" s="18" t="s">
        <v>33</v>
      </c>
      <c r="K179" s="7">
        <v>32000</v>
      </c>
      <c r="L179" s="240">
        <f>ROUND(Tabla2[[#This Row],[Área ocupada (m²)3]]/20*1.4,2)</f>
        <v>0.84</v>
      </c>
      <c r="M179" s="240">
        <f>ROUND(Tabla2[[#This Row],[Área ocupada (m²)]],2)</f>
        <v>12</v>
      </c>
      <c r="N179" s="240">
        <f>ROUND(Tabla2[[#This Row],[Área techada (m²)]],2)</f>
        <v>12</v>
      </c>
      <c r="O179" s="243">
        <f>ROUND(Tabla2[[#This Row],[Área techada (m²)4]]*0.15,2)</f>
        <v>1.8</v>
      </c>
      <c r="P179" s="6">
        <f>ROUND(Tabla2[[#This Row],[Área del terreno (m²)2]]*DATA!$F$4,-2)</f>
        <v>600</v>
      </c>
      <c r="Q179" s="243">
        <f>+Tabla2[[#This Row],[Valor Comercial (US$)]]-Tabla2[[#This Row],[Valor del terreno (US$)]]</f>
        <v>9400</v>
      </c>
      <c r="R17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10000</v>
      </c>
      <c r="S179" s="244">
        <f>ROUND(Tabla2[[#This Row],[Valor Comercial (US$)]]*0.8,-2)</f>
        <v>8000</v>
      </c>
      <c r="T179" s="244">
        <f>IF(Informe!$I$6=DATA!$B$4,R179,ROUND(Tabla2[[#This Row],[Área techada (m²)4]]*DATA!$F$5*1.15,-2))</f>
        <v>10000</v>
      </c>
      <c r="U179" s="8">
        <f t="shared" si="2"/>
        <v>3.3479999999999999</v>
      </c>
      <c r="V179" s="244">
        <f>ROUND(Tabla2[[#This Row],[Valor del terreno (US$)]]*Tabla2[[#This Row],[Tipo de Cambio]],-2)</f>
        <v>2000</v>
      </c>
      <c r="W179" s="244">
        <f>Tabla2[[#This Row],[Valor Comercial (S/.)]]-Tabla2[[#This Row],[Valor del terreno (S/.)]]</f>
        <v>31500</v>
      </c>
      <c r="X179" s="244">
        <f>ROUND(Tabla2[[#This Row],[Valor Comercial (US$)]]*Tabla2[[#This Row],[Tipo de Cambio]],-2)</f>
        <v>33500</v>
      </c>
      <c r="Y179" s="244">
        <f>ROUND(Tabla2[[#This Row],[Valor Realización (US$)]]*Tabla2[[#This Row],[Tipo de Cambio]],-2)</f>
        <v>26800</v>
      </c>
      <c r="Z179" s="244">
        <f>+ROUND(Tabla2[[#This Row],[Importe Asegurable (US$)]]*Tabla2[[#This Row],[Tipo de Cambio]],-2)</f>
        <v>33500</v>
      </c>
      <c r="AA179" s="245"/>
      <c r="AB179" s="2">
        <f>+Tabla2[[#This Row],[Valor Comercial (US$)]]/Tabla2[[#This Row],[Área techada (m²)4]]</f>
        <v>833.33333333333337</v>
      </c>
      <c r="AC17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79" s="1" t="s">
        <v>43</v>
      </c>
      <c r="AE179" s="222">
        <f>IF(Tabla2[[#This Row],[Moneda]]="Soles",Tabla2[[#This Row],[Valor de Venta]]/Tabla2[[#This Row],[Área techada (m²)]]/Tabla2[[#This Row],[Tipo de Cambio]],Tabla2[[#This Row],[Valor de Venta]]/Tabla2[[#This Row],[Área techada (m²)]])</f>
        <v>796.49542015133409</v>
      </c>
      <c r="AF179" s="347">
        <f>VLOOKUP(Tabla2[[#This Row],[VISTA]],DATA!$H$4:$I$17,2,FALSE)</f>
        <v>10000</v>
      </c>
      <c r="AG179" s="221">
        <f>+Tabla2[[#This Row],[Valor Comercial (S/.)]]/Tabla2[[#This Row],[Valor de Venta]]-1</f>
        <v>4.6875E-2</v>
      </c>
    </row>
    <row r="180" spans="1:33" s="1" customFormat="1" ht="15" customHeight="1" x14ac:dyDescent="0.25">
      <c r="A180" s="225" t="s">
        <v>39</v>
      </c>
      <c r="B180" s="22">
        <v>247</v>
      </c>
      <c r="C180" s="14"/>
      <c r="D180" s="27"/>
      <c r="E180" s="28"/>
      <c r="F180" s="12">
        <f>ROUND(Tabla2[[#This Row],[Área ocupada (m²)]]/20*1.4,2)</f>
        <v>0.84</v>
      </c>
      <c r="G180" s="12">
        <v>12</v>
      </c>
      <c r="H180" s="12">
        <v>12</v>
      </c>
      <c r="I180" s="12">
        <f>ROUND(Tabla2[[#This Row],[Área techada (m²)]]*0.15,2)</f>
        <v>1.8</v>
      </c>
      <c r="J180" s="18" t="s">
        <v>33</v>
      </c>
      <c r="K180" s="7">
        <v>32000</v>
      </c>
      <c r="L180" s="240">
        <f>ROUND(Tabla2[[#This Row],[Área ocupada (m²)3]]/20*1.4,2)</f>
        <v>0.84</v>
      </c>
      <c r="M180" s="240">
        <f>ROUND(Tabla2[[#This Row],[Área ocupada (m²)]],2)</f>
        <v>12</v>
      </c>
      <c r="N180" s="240">
        <f>ROUND(Tabla2[[#This Row],[Área techada (m²)]],2)</f>
        <v>12</v>
      </c>
      <c r="O180" s="243">
        <f>ROUND(Tabla2[[#This Row],[Área techada (m²)4]]*0.15,2)</f>
        <v>1.8</v>
      </c>
      <c r="P180" s="6">
        <f>ROUND(Tabla2[[#This Row],[Área del terreno (m²)2]]*DATA!$F$4,-2)</f>
        <v>600</v>
      </c>
      <c r="Q180" s="243">
        <f>+Tabla2[[#This Row],[Valor Comercial (US$)]]-Tabla2[[#This Row],[Valor del terreno (US$)]]</f>
        <v>9400</v>
      </c>
      <c r="R18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10000</v>
      </c>
      <c r="S180" s="244">
        <f>ROUND(Tabla2[[#This Row],[Valor Comercial (US$)]]*0.8,-2)</f>
        <v>8000</v>
      </c>
      <c r="T180" s="244">
        <f>IF(Informe!$I$6=DATA!$B$4,R180,ROUND(Tabla2[[#This Row],[Área techada (m²)4]]*DATA!$F$5*1.15,-2))</f>
        <v>10000</v>
      </c>
      <c r="U180" s="8">
        <f t="shared" si="2"/>
        <v>3.3479999999999999</v>
      </c>
      <c r="V180" s="244">
        <f>ROUND(Tabla2[[#This Row],[Valor del terreno (US$)]]*Tabla2[[#This Row],[Tipo de Cambio]],-2)</f>
        <v>2000</v>
      </c>
      <c r="W180" s="244">
        <f>Tabla2[[#This Row],[Valor Comercial (S/.)]]-Tabla2[[#This Row],[Valor del terreno (S/.)]]</f>
        <v>31500</v>
      </c>
      <c r="X180" s="244">
        <f>ROUND(Tabla2[[#This Row],[Valor Comercial (US$)]]*Tabla2[[#This Row],[Tipo de Cambio]],-2)</f>
        <v>33500</v>
      </c>
      <c r="Y180" s="244">
        <f>ROUND(Tabla2[[#This Row],[Valor Realización (US$)]]*Tabla2[[#This Row],[Tipo de Cambio]],-2)</f>
        <v>26800</v>
      </c>
      <c r="Z180" s="244">
        <f>+ROUND(Tabla2[[#This Row],[Importe Asegurable (US$)]]*Tabla2[[#This Row],[Tipo de Cambio]],-2)</f>
        <v>33500</v>
      </c>
      <c r="AA180" s="245"/>
      <c r="AB180" s="2">
        <f>+Tabla2[[#This Row],[Valor Comercial (US$)]]/Tabla2[[#This Row],[Área techada (m²)4]]</f>
        <v>833.33333333333337</v>
      </c>
      <c r="AC18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80" s="1" t="s">
        <v>43</v>
      </c>
      <c r="AE180" s="222">
        <f>IF(Tabla2[[#This Row],[Moneda]]="Soles",Tabla2[[#This Row],[Valor de Venta]]/Tabla2[[#This Row],[Área techada (m²)]]/Tabla2[[#This Row],[Tipo de Cambio]],Tabla2[[#This Row],[Valor de Venta]]/Tabla2[[#This Row],[Área techada (m²)]])</f>
        <v>796.49542015133409</v>
      </c>
      <c r="AF180" s="347">
        <f>VLOOKUP(Tabla2[[#This Row],[VISTA]],DATA!$H$4:$I$17,2,FALSE)</f>
        <v>10000</v>
      </c>
      <c r="AG180" s="221">
        <f>+Tabla2[[#This Row],[Valor Comercial (S/.)]]/Tabla2[[#This Row],[Valor de Venta]]-1</f>
        <v>4.6875E-2</v>
      </c>
    </row>
    <row r="181" spans="1:33" s="1" customFormat="1" ht="15" customHeight="1" x14ac:dyDescent="0.25">
      <c r="A181" s="225" t="s">
        <v>39</v>
      </c>
      <c r="B181" s="22">
        <v>248</v>
      </c>
      <c r="C181" s="14"/>
      <c r="D181" s="27"/>
      <c r="E181" s="28"/>
      <c r="F181" s="12">
        <f>ROUND(Tabla2[[#This Row],[Área ocupada (m²)]]/20*1.4,2)</f>
        <v>0.84</v>
      </c>
      <c r="G181" s="12">
        <v>12</v>
      </c>
      <c r="H181" s="12">
        <v>12</v>
      </c>
      <c r="I181" s="12">
        <f>ROUND(Tabla2[[#This Row],[Área techada (m²)]]*0.15,2)</f>
        <v>1.8</v>
      </c>
      <c r="J181" s="18" t="s">
        <v>33</v>
      </c>
      <c r="K181" s="7">
        <v>32000</v>
      </c>
      <c r="L181" s="240">
        <f>ROUND(Tabla2[[#This Row],[Área ocupada (m²)3]]/20*1.4,2)</f>
        <v>0.84</v>
      </c>
      <c r="M181" s="240">
        <f>ROUND(Tabla2[[#This Row],[Área ocupada (m²)]],2)</f>
        <v>12</v>
      </c>
      <c r="N181" s="240">
        <f>ROUND(Tabla2[[#This Row],[Área techada (m²)]],2)</f>
        <v>12</v>
      </c>
      <c r="O181" s="243">
        <f>ROUND(Tabla2[[#This Row],[Área techada (m²)4]]*0.15,2)</f>
        <v>1.8</v>
      </c>
      <c r="P181" s="6">
        <f>ROUND(Tabla2[[#This Row],[Área del terreno (m²)2]]*DATA!$F$4,-2)</f>
        <v>600</v>
      </c>
      <c r="Q181" s="243">
        <f>+Tabla2[[#This Row],[Valor Comercial (US$)]]-Tabla2[[#This Row],[Valor del terreno (US$)]]</f>
        <v>9400</v>
      </c>
      <c r="R18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10000</v>
      </c>
      <c r="S181" s="244">
        <f>ROUND(Tabla2[[#This Row],[Valor Comercial (US$)]]*0.8,-2)</f>
        <v>8000</v>
      </c>
      <c r="T181" s="244">
        <f>IF(Informe!$I$6=DATA!$B$4,R181,ROUND(Tabla2[[#This Row],[Área techada (m²)4]]*DATA!$F$5*1.15,-2))</f>
        <v>10000</v>
      </c>
      <c r="U181" s="8">
        <f t="shared" si="2"/>
        <v>3.3479999999999999</v>
      </c>
      <c r="V181" s="244">
        <f>ROUND(Tabla2[[#This Row],[Valor del terreno (US$)]]*Tabla2[[#This Row],[Tipo de Cambio]],-2)</f>
        <v>2000</v>
      </c>
      <c r="W181" s="244">
        <f>Tabla2[[#This Row],[Valor Comercial (S/.)]]-Tabla2[[#This Row],[Valor del terreno (S/.)]]</f>
        <v>31500</v>
      </c>
      <c r="X181" s="244">
        <f>ROUND(Tabla2[[#This Row],[Valor Comercial (US$)]]*Tabla2[[#This Row],[Tipo de Cambio]],-2)</f>
        <v>33500</v>
      </c>
      <c r="Y181" s="244">
        <f>ROUND(Tabla2[[#This Row],[Valor Realización (US$)]]*Tabla2[[#This Row],[Tipo de Cambio]],-2)</f>
        <v>26800</v>
      </c>
      <c r="Z181" s="244">
        <f>+ROUND(Tabla2[[#This Row],[Importe Asegurable (US$)]]*Tabla2[[#This Row],[Tipo de Cambio]],-2)</f>
        <v>33500</v>
      </c>
      <c r="AA181" s="245"/>
      <c r="AB181" s="2">
        <f>+Tabla2[[#This Row],[Valor Comercial (US$)]]/Tabla2[[#This Row],[Área techada (m²)4]]</f>
        <v>833.33333333333337</v>
      </c>
      <c r="AC18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81" s="1" t="s">
        <v>43</v>
      </c>
      <c r="AE181" s="222">
        <f>IF(Tabla2[[#This Row],[Moneda]]="Soles",Tabla2[[#This Row],[Valor de Venta]]/Tabla2[[#This Row],[Área techada (m²)]]/Tabla2[[#This Row],[Tipo de Cambio]],Tabla2[[#This Row],[Valor de Venta]]/Tabla2[[#This Row],[Área techada (m²)]])</f>
        <v>796.49542015133409</v>
      </c>
      <c r="AF181" s="347">
        <f>VLOOKUP(Tabla2[[#This Row],[VISTA]],DATA!$H$4:$I$17,2,FALSE)</f>
        <v>10000</v>
      </c>
      <c r="AG181" s="221">
        <f>+Tabla2[[#This Row],[Valor Comercial (S/.)]]/Tabla2[[#This Row],[Valor de Venta]]-1</f>
        <v>4.6875E-2</v>
      </c>
    </row>
    <row r="182" spans="1:33" s="1" customFormat="1" ht="15" customHeight="1" x14ac:dyDescent="0.25">
      <c r="A182" s="225" t="s">
        <v>39</v>
      </c>
      <c r="B182" s="22">
        <v>399</v>
      </c>
      <c r="C182" s="14"/>
      <c r="D182" s="27"/>
      <c r="E182" s="28"/>
      <c r="F182" s="12">
        <f>ROUND(Tabla2[[#This Row],[Área ocupada (m²)]]/20*1.4,2)</f>
        <v>0.84</v>
      </c>
      <c r="G182" s="12">
        <v>12</v>
      </c>
      <c r="H182" s="12">
        <v>12</v>
      </c>
      <c r="I182" s="12">
        <f>ROUND(Tabla2[[#This Row],[Área techada (m²)]]*0.15,2)</f>
        <v>1.8</v>
      </c>
      <c r="J182" s="18" t="s">
        <v>33</v>
      </c>
      <c r="K182" s="7">
        <v>28000</v>
      </c>
      <c r="L182" s="240">
        <f>ROUND(Tabla2[[#This Row],[Área ocupada (m²)3]]/20*1.4,2)</f>
        <v>0.84</v>
      </c>
      <c r="M182" s="240">
        <f>ROUND(Tabla2[[#This Row],[Área ocupada (m²)]],2)</f>
        <v>12</v>
      </c>
      <c r="N182" s="240">
        <f>ROUND(Tabla2[[#This Row],[Área techada (m²)]],2)</f>
        <v>12</v>
      </c>
      <c r="O182" s="243">
        <f>ROUND(Tabla2[[#This Row],[Área techada (m²)4]]*0.15,2)</f>
        <v>1.8</v>
      </c>
      <c r="P182" s="6">
        <f>ROUND(Tabla2[[#This Row],[Área del terreno (m²)2]]*DATA!$F$4,-2)</f>
        <v>600</v>
      </c>
      <c r="Q182" s="243">
        <f>+Tabla2[[#This Row],[Valor Comercial (US$)]]-Tabla2[[#This Row],[Valor del terreno (US$)]]</f>
        <v>8400</v>
      </c>
      <c r="R18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82" s="244">
        <f>ROUND(Tabla2[[#This Row],[Valor Comercial (US$)]]*0.8,-2)</f>
        <v>7200</v>
      </c>
      <c r="T182" s="244">
        <f>IF(Informe!$I$6=DATA!$B$4,R182,ROUND(Tabla2[[#This Row],[Área techada (m²)4]]*DATA!$F$5*1.15,-2))</f>
        <v>9000</v>
      </c>
      <c r="U182" s="8">
        <f t="shared" si="2"/>
        <v>3.3479999999999999</v>
      </c>
      <c r="V182" s="244">
        <f>ROUND(Tabla2[[#This Row],[Valor del terreno (US$)]]*Tabla2[[#This Row],[Tipo de Cambio]],-2)</f>
        <v>2000</v>
      </c>
      <c r="W182" s="244">
        <f>Tabla2[[#This Row],[Valor Comercial (S/.)]]-Tabla2[[#This Row],[Valor del terreno (S/.)]]</f>
        <v>28100</v>
      </c>
      <c r="X182" s="244">
        <f>ROUND(Tabla2[[#This Row],[Valor Comercial (US$)]]*Tabla2[[#This Row],[Tipo de Cambio]],-2)</f>
        <v>30100</v>
      </c>
      <c r="Y182" s="244">
        <f>ROUND(Tabla2[[#This Row],[Valor Realización (US$)]]*Tabla2[[#This Row],[Tipo de Cambio]],-2)</f>
        <v>24100</v>
      </c>
      <c r="Z182" s="244">
        <f>+ROUND(Tabla2[[#This Row],[Importe Asegurable (US$)]]*Tabla2[[#This Row],[Tipo de Cambio]],-2)</f>
        <v>30100</v>
      </c>
      <c r="AA182" s="245"/>
      <c r="AB182" s="2">
        <f>+Tabla2[[#This Row],[Valor Comercial (US$)]]/Tabla2[[#This Row],[Área techada (m²)4]]</f>
        <v>750</v>
      </c>
      <c r="AC18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82" s="1" t="s">
        <v>41</v>
      </c>
      <c r="AE182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82" s="347">
        <f>VLOOKUP(Tabla2[[#This Row],[VISTA]],DATA!$H$4:$I$17,2,FALSE)</f>
        <v>9000</v>
      </c>
      <c r="AG182" s="221">
        <f>+Tabla2[[#This Row],[Valor Comercial (S/.)]]/Tabla2[[#This Row],[Valor de Venta]]-1</f>
        <v>7.4999999999999956E-2</v>
      </c>
    </row>
    <row r="183" spans="1:33" s="1" customFormat="1" ht="15" customHeight="1" x14ac:dyDescent="0.25">
      <c r="A183" s="225" t="s">
        <v>39</v>
      </c>
      <c r="B183" s="22">
        <v>573</v>
      </c>
      <c r="C183" s="14"/>
      <c r="D183" s="27"/>
      <c r="E183" s="28"/>
      <c r="F183" s="12">
        <f>ROUND(Tabla2[[#This Row],[Área ocupada (m²)]]/20*1.4,2)</f>
        <v>0.84</v>
      </c>
      <c r="G183" s="12">
        <v>12</v>
      </c>
      <c r="H183" s="12">
        <v>12</v>
      </c>
      <c r="I183" s="12">
        <f>ROUND(Tabla2[[#This Row],[Área techada (m²)]]*0.15,2)</f>
        <v>1.8</v>
      </c>
      <c r="J183" s="18" t="s">
        <v>33</v>
      </c>
      <c r="K183" s="7">
        <v>30000</v>
      </c>
      <c r="L183" s="240">
        <f>ROUND(Tabla2[[#This Row],[Área ocupada (m²)3]]/20*1.4,2)</f>
        <v>0.84</v>
      </c>
      <c r="M183" s="240">
        <f>ROUND(Tabla2[[#This Row],[Área ocupada (m²)]],2)</f>
        <v>12</v>
      </c>
      <c r="N183" s="240">
        <f>ROUND(Tabla2[[#This Row],[Área techada (m²)]],2)</f>
        <v>12</v>
      </c>
      <c r="O183" s="243">
        <f>ROUND(Tabla2[[#This Row],[Área techada (m²)4]]*0.15,2)</f>
        <v>1.8</v>
      </c>
      <c r="P183" s="6">
        <f>ROUND(Tabla2[[#This Row],[Área del terreno (m²)2]]*DATA!$F$4,-2)</f>
        <v>600</v>
      </c>
      <c r="Q183" s="243">
        <f>+Tabla2[[#This Row],[Valor Comercial (US$)]]-Tabla2[[#This Row],[Valor del terreno (US$)]]</f>
        <v>8900</v>
      </c>
      <c r="R18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9500</v>
      </c>
      <c r="S183" s="244">
        <f>ROUND(Tabla2[[#This Row],[Valor Comercial (US$)]]*0.8,-2)</f>
        <v>7600</v>
      </c>
      <c r="T183" s="244">
        <f>IF(Informe!$I$6=DATA!$B$4,R183,ROUND(Tabla2[[#This Row],[Área techada (m²)4]]*DATA!$F$5*1.15,-2))</f>
        <v>9500</v>
      </c>
      <c r="U183" s="8">
        <f t="shared" si="2"/>
        <v>3.3479999999999999</v>
      </c>
      <c r="V183" s="244">
        <f>ROUND(Tabla2[[#This Row],[Valor del terreno (US$)]]*Tabla2[[#This Row],[Tipo de Cambio]],-2)</f>
        <v>2000</v>
      </c>
      <c r="W183" s="244">
        <f>Tabla2[[#This Row],[Valor Comercial (S/.)]]-Tabla2[[#This Row],[Valor del terreno (S/.)]]</f>
        <v>29800</v>
      </c>
      <c r="X183" s="244">
        <f>ROUND(Tabla2[[#This Row],[Valor Comercial (US$)]]*Tabla2[[#This Row],[Tipo de Cambio]],-2)</f>
        <v>31800</v>
      </c>
      <c r="Y183" s="244">
        <f>ROUND(Tabla2[[#This Row],[Valor Realización (US$)]]*Tabla2[[#This Row],[Tipo de Cambio]],-2)</f>
        <v>25400</v>
      </c>
      <c r="Z183" s="244">
        <f>+ROUND(Tabla2[[#This Row],[Importe Asegurable (US$)]]*Tabla2[[#This Row],[Tipo de Cambio]],-2)</f>
        <v>31800</v>
      </c>
      <c r="AA183" s="245"/>
      <c r="AB183" s="2">
        <f>+Tabla2[[#This Row],[Valor Comercial (US$)]]/Tabla2[[#This Row],[Área techada (m²)4]]</f>
        <v>791.66666666666663</v>
      </c>
      <c r="AC18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83" s="1" t="s">
        <v>40</v>
      </c>
      <c r="AE183" s="222">
        <f>IF(Tabla2[[#This Row],[Moneda]]="Soles",Tabla2[[#This Row],[Valor de Venta]]/Tabla2[[#This Row],[Área techada (m²)]]/Tabla2[[#This Row],[Tipo de Cambio]],Tabla2[[#This Row],[Valor de Venta]]/Tabla2[[#This Row],[Área techada (m²)]])</f>
        <v>746.71445639187573</v>
      </c>
      <c r="AF183" s="347">
        <f>VLOOKUP(Tabla2[[#This Row],[VISTA]],DATA!$H$4:$I$17,2,FALSE)</f>
        <v>9500</v>
      </c>
      <c r="AG183" s="221">
        <f>+Tabla2[[#This Row],[Valor Comercial (S/.)]]/Tabla2[[#This Row],[Valor de Venta]]-1</f>
        <v>6.0000000000000053E-2</v>
      </c>
    </row>
    <row r="184" spans="1:33" s="1" customFormat="1" ht="15" customHeight="1" x14ac:dyDescent="0.25">
      <c r="A184" s="225" t="s">
        <v>39</v>
      </c>
      <c r="B184" s="22">
        <v>574</v>
      </c>
      <c r="C184" s="14"/>
      <c r="D184" s="27"/>
      <c r="E184" s="28"/>
      <c r="F184" s="12">
        <f>ROUND(Tabla2[[#This Row],[Área ocupada (m²)]]/20*1.4,2)</f>
        <v>0.84</v>
      </c>
      <c r="G184" s="12">
        <v>12</v>
      </c>
      <c r="H184" s="12">
        <v>12</v>
      </c>
      <c r="I184" s="12">
        <f>ROUND(Tabla2[[#This Row],[Área techada (m²)]]*0.15,2)</f>
        <v>1.8</v>
      </c>
      <c r="J184" s="18" t="s">
        <v>33</v>
      </c>
      <c r="K184" s="7">
        <v>30000</v>
      </c>
      <c r="L184" s="240">
        <f>ROUND(Tabla2[[#This Row],[Área ocupada (m²)3]]/20*1.4,2)</f>
        <v>0.84</v>
      </c>
      <c r="M184" s="240">
        <f>ROUND(Tabla2[[#This Row],[Área ocupada (m²)]],2)</f>
        <v>12</v>
      </c>
      <c r="N184" s="240">
        <f>ROUND(Tabla2[[#This Row],[Área techada (m²)]],2)</f>
        <v>12</v>
      </c>
      <c r="O184" s="243">
        <f>ROUND(Tabla2[[#This Row],[Área techada (m²)4]]*0.15,2)</f>
        <v>1.8</v>
      </c>
      <c r="P184" s="6">
        <f>ROUND(Tabla2[[#This Row],[Área del terreno (m²)2]]*DATA!$F$4,-2)</f>
        <v>600</v>
      </c>
      <c r="Q184" s="243">
        <f>+Tabla2[[#This Row],[Valor Comercial (US$)]]-Tabla2[[#This Row],[Valor del terreno (US$)]]</f>
        <v>8900</v>
      </c>
      <c r="R18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9500</v>
      </c>
      <c r="S184" s="244">
        <f>ROUND(Tabla2[[#This Row],[Valor Comercial (US$)]]*0.8,-2)</f>
        <v>7600</v>
      </c>
      <c r="T184" s="244">
        <f>IF(Informe!$I$6=DATA!$B$4,R184,ROUND(Tabla2[[#This Row],[Área techada (m²)4]]*DATA!$F$5*1.15,-2))</f>
        <v>9500</v>
      </c>
      <c r="U184" s="8">
        <f t="shared" si="2"/>
        <v>3.3479999999999999</v>
      </c>
      <c r="V184" s="244">
        <f>ROUND(Tabla2[[#This Row],[Valor del terreno (US$)]]*Tabla2[[#This Row],[Tipo de Cambio]],-2)</f>
        <v>2000</v>
      </c>
      <c r="W184" s="244">
        <f>Tabla2[[#This Row],[Valor Comercial (S/.)]]-Tabla2[[#This Row],[Valor del terreno (S/.)]]</f>
        <v>29800</v>
      </c>
      <c r="X184" s="244">
        <f>ROUND(Tabla2[[#This Row],[Valor Comercial (US$)]]*Tabla2[[#This Row],[Tipo de Cambio]],-2)</f>
        <v>31800</v>
      </c>
      <c r="Y184" s="244">
        <f>ROUND(Tabla2[[#This Row],[Valor Realización (US$)]]*Tabla2[[#This Row],[Tipo de Cambio]],-2)</f>
        <v>25400</v>
      </c>
      <c r="Z184" s="244">
        <f>+ROUND(Tabla2[[#This Row],[Importe Asegurable (US$)]]*Tabla2[[#This Row],[Tipo de Cambio]],-2)</f>
        <v>31800</v>
      </c>
      <c r="AA184" s="245"/>
      <c r="AB184" s="2">
        <f>+Tabla2[[#This Row],[Valor Comercial (US$)]]/Tabla2[[#This Row],[Área techada (m²)4]]</f>
        <v>791.66666666666663</v>
      </c>
      <c r="AC18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84" s="1" t="s">
        <v>40</v>
      </c>
      <c r="AE184" s="222">
        <f>IF(Tabla2[[#This Row],[Moneda]]="Soles",Tabla2[[#This Row],[Valor de Venta]]/Tabla2[[#This Row],[Área techada (m²)]]/Tabla2[[#This Row],[Tipo de Cambio]],Tabla2[[#This Row],[Valor de Venta]]/Tabla2[[#This Row],[Área techada (m²)]])</f>
        <v>746.71445639187573</v>
      </c>
      <c r="AF184" s="347">
        <f>VLOOKUP(Tabla2[[#This Row],[VISTA]],DATA!$H$4:$I$17,2,FALSE)</f>
        <v>9500</v>
      </c>
      <c r="AG184" s="221">
        <f>+Tabla2[[#This Row],[Valor Comercial (S/.)]]/Tabla2[[#This Row],[Valor de Venta]]-1</f>
        <v>6.0000000000000053E-2</v>
      </c>
    </row>
    <row r="185" spans="1:33" s="1" customFormat="1" ht="15" customHeight="1" x14ac:dyDescent="0.25">
      <c r="A185" s="225" t="s">
        <v>39</v>
      </c>
      <c r="B185" s="22">
        <v>641</v>
      </c>
      <c r="C185" s="14"/>
      <c r="D185" s="27"/>
      <c r="E185" s="28"/>
      <c r="F185" s="12">
        <f>ROUND(Tabla2[[#This Row],[Área ocupada (m²)]]/20*1.4,2)</f>
        <v>0.84</v>
      </c>
      <c r="G185" s="12">
        <v>12</v>
      </c>
      <c r="H185" s="12">
        <v>12</v>
      </c>
      <c r="I185" s="12">
        <f>ROUND(Tabla2[[#This Row],[Área techada (m²)]]*0.15,2)</f>
        <v>1.8</v>
      </c>
      <c r="J185" s="18" t="s">
        <v>33</v>
      </c>
      <c r="K185" s="7">
        <v>30000</v>
      </c>
      <c r="L185" s="240">
        <f>ROUND(Tabla2[[#This Row],[Área ocupada (m²)3]]/20*1.4,2)</f>
        <v>0.84</v>
      </c>
      <c r="M185" s="240">
        <f>ROUND(Tabla2[[#This Row],[Área ocupada (m²)]],2)</f>
        <v>12</v>
      </c>
      <c r="N185" s="240">
        <f>ROUND(Tabla2[[#This Row],[Área techada (m²)]],2)</f>
        <v>12</v>
      </c>
      <c r="O185" s="243">
        <f>ROUND(Tabla2[[#This Row],[Área techada (m²)4]]*0.15,2)</f>
        <v>1.8</v>
      </c>
      <c r="P185" s="6">
        <f>ROUND(Tabla2[[#This Row],[Área del terreno (m²)2]]*DATA!$F$4,-2)</f>
        <v>600</v>
      </c>
      <c r="Q185" s="243">
        <f>+Tabla2[[#This Row],[Valor Comercial (US$)]]-Tabla2[[#This Row],[Valor del terreno (US$)]]</f>
        <v>8900</v>
      </c>
      <c r="R18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9500</v>
      </c>
      <c r="S185" s="244">
        <f>ROUND(Tabla2[[#This Row],[Valor Comercial (US$)]]*0.8,-2)</f>
        <v>7600</v>
      </c>
      <c r="T185" s="244">
        <f>IF(Informe!$I$6=DATA!$B$4,R185,ROUND(Tabla2[[#This Row],[Área techada (m²)4]]*DATA!$F$5*1.15,-2))</f>
        <v>9500</v>
      </c>
      <c r="U185" s="8">
        <f t="shared" si="2"/>
        <v>3.3479999999999999</v>
      </c>
      <c r="V185" s="244">
        <f>ROUND(Tabla2[[#This Row],[Valor del terreno (US$)]]*Tabla2[[#This Row],[Tipo de Cambio]],-2)</f>
        <v>2000</v>
      </c>
      <c r="W185" s="244">
        <f>Tabla2[[#This Row],[Valor Comercial (S/.)]]-Tabla2[[#This Row],[Valor del terreno (S/.)]]</f>
        <v>29800</v>
      </c>
      <c r="X185" s="244">
        <f>ROUND(Tabla2[[#This Row],[Valor Comercial (US$)]]*Tabla2[[#This Row],[Tipo de Cambio]],-2)</f>
        <v>31800</v>
      </c>
      <c r="Y185" s="244">
        <f>ROUND(Tabla2[[#This Row],[Valor Realización (US$)]]*Tabla2[[#This Row],[Tipo de Cambio]],-2)</f>
        <v>25400</v>
      </c>
      <c r="Z185" s="244">
        <f>+ROUND(Tabla2[[#This Row],[Importe Asegurable (US$)]]*Tabla2[[#This Row],[Tipo de Cambio]],-2)</f>
        <v>31800</v>
      </c>
      <c r="AA185" s="245"/>
      <c r="AB185" s="2">
        <f>+Tabla2[[#This Row],[Valor Comercial (US$)]]/Tabla2[[#This Row],[Área techada (m²)4]]</f>
        <v>791.66666666666663</v>
      </c>
      <c r="AC18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85" s="1" t="s">
        <v>40</v>
      </c>
      <c r="AE185" s="222">
        <f>IF(Tabla2[[#This Row],[Moneda]]="Soles",Tabla2[[#This Row],[Valor de Venta]]/Tabla2[[#This Row],[Área techada (m²)]]/Tabla2[[#This Row],[Tipo de Cambio]],Tabla2[[#This Row],[Valor de Venta]]/Tabla2[[#This Row],[Área techada (m²)]])</f>
        <v>746.71445639187573</v>
      </c>
      <c r="AF185" s="347">
        <f>VLOOKUP(Tabla2[[#This Row],[VISTA]],DATA!$H$4:$I$17,2,FALSE)</f>
        <v>9500</v>
      </c>
      <c r="AG185" s="221">
        <f>+Tabla2[[#This Row],[Valor Comercial (S/.)]]/Tabla2[[#This Row],[Valor de Venta]]-1</f>
        <v>6.0000000000000053E-2</v>
      </c>
    </row>
    <row r="186" spans="1:33" s="1" customFormat="1" ht="15" customHeight="1" x14ac:dyDescent="0.25">
      <c r="A186" s="225" t="s">
        <v>39</v>
      </c>
      <c r="B186" s="22">
        <v>642</v>
      </c>
      <c r="C186" s="14"/>
      <c r="D186" s="27"/>
      <c r="E186" s="28"/>
      <c r="F186" s="12">
        <f>ROUND(Tabla2[[#This Row],[Área ocupada (m²)]]/20*1.4,2)</f>
        <v>0.84</v>
      </c>
      <c r="G186" s="12">
        <v>12</v>
      </c>
      <c r="H186" s="12">
        <v>12</v>
      </c>
      <c r="I186" s="12">
        <f>ROUND(Tabla2[[#This Row],[Área techada (m²)]]*0.15,2)</f>
        <v>1.8</v>
      </c>
      <c r="J186" s="18" t="s">
        <v>33</v>
      </c>
      <c r="K186" s="7">
        <v>30000</v>
      </c>
      <c r="L186" s="240">
        <f>ROUND(Tabla2[[#This Row],[Área ocupada (m²)3]]/20*1.4,2)</f>
        <v>0.84</v>
      </c>
      <c r="M186" s="240">
        <f>ROUND(Tabla2[[#This Row],[Área ocupada (m²)]],2)</f>
        <v>12</v>
      </c>
      <c r="N186" s="240">
        <f>ROUND(Tabla2[[#This Row],[Área techada (m²)]],2)</f>
        <v>12</v>
      </c>
      <c r="O186" s="243">
        <f>ROUND(Tabla2[[#This Row],[Área techada (m²)4]]*0.15,2)</f>
        <v>1.8</v>
      </c>
      <c r="P186" s="6">
        <f>ROUND(Tabla2[[#This Row],[Área del terreno (m²)2]]*DATA!$F$4,-2)</f>
        <v>600</v>
      </c>
      <c r="Q186" s="243">
        <f>+Tabla2[[#This Row],[Valor Comercial (US$)]]-Tabla2[[#This Row],[Valor del terreno (US$)]]</f>
        <v>8900</v>
      </c>
      <c r="R18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9500</v>
      </c>
      <c r="S186" s="244">
        <f>ROUND(Tabla2[[#This Row],[Valor Comercial (US$)]]*0.8,-2)</f>
        <v>7600</v>
      </c>
      <c r="T186" s="244">
        <f>IF(Informe!$I$6=DATA!$B$4,R186,ROUND(Tabla2[[#This Row],[Área techada (m²)4]]*DATA!$F$5*1.15,-2))</f>
        <v>9500</v>
      </c>
      <c r="U186" s="8">
        <f t="shared" si="2"/>
        <v>3.3479999999999999</v>
      </c>
      <c r="V186" s="244">
        <f>ROUND(Tabla2[[#This Row],[Valor del terreno (US$)]]*Tabla2[[#This Row],[Tipo de Cambio]],-2)</f>
        <v>2000</v>
      </c>
      <c r="W186" s="244">
        <f>Tabla2[[#This Row],[Valor Comercial (S/.)]]-Tabla2[[#This Row],[Valor del terreno (S/.)]]</f>
        <v>29800</v>
      </c>
      <c r="X186" s="244">
        <f>ROUND(Tabla2[[#This Row],[Valor Comercial (US$)]]*Tabla2[[#This Row],[Tipo de Cambio]],-2)</f>
        <v>31800</v>
      </c>
      <c r="Y186" s="244">
        <f>ROUND(Tabla2[[#This Row],[Valor Realización (US$)]]*Tabla2[[#This Row],[Tipo de Cambio]],-2)</f>
        <v>25400</v>
      </c>
      <c r="Z186" s="244">
        <f>+ROUND(Tabla2[[#This Row],[Importe Asegurable (US$)]]*Tabla2[[#This Row],[Tipo de Cambio]],-2)</f>
        <v>31800</v>
      </c>
      <c r="AA186" s="245"/>
      <c r="AB186" s="2">
        <f>+Tabla2[[#This Row],[Valor Comercial (US$)]]/Tabla2[[#This Row],[Área techada (m²)4]]</f>
        <v>791.66666666666663</v>
      </c>
      <c r="AC18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86" s="1" t="s">
        <v>40</v>
      </c>
      <c r="AE186" s="222">
        <f>IF(Tabla2[[#This Row],[Moneda]]="Soles",Tabla2[[#This Row],[Valor de Venta]]/Tabla2[[#This Row],[Área techada (m²)]]/Tabla2[[#This Row],[Tipo de Cambio]],Tabla2[[#This Row],[Valor de Venta]]/Tabla2[[#This Row],[Área techada (m²)]])</f>
        <v>746.71445639187573</v>
      </c>
      <c r="AF186" s="347">
        <f>VLOOKUP(Tabla2[[#This Row],[VISTA]],DATA!$H$4:$I$17,2,FALSE)</f>
        <v>9500</v>
      </c>
      <c r="AG186" s="221">
        <f>+Tabla2[[#This Row],[Valor Comercial (S/.)]]/Tabla2[[#This Row],[Valor de Venta]]-1</f>
        <v>6.0000000000000053E-2</v>
      </c>
    </row>
    <row r="187" spans="1:33" s="1" customFormat="1" ht="12.75" x14ac:dyDescent="0.25">
      <c r="A187" s="225" t="s">
        <v>39</v>
      </c>
      <c r="B187" s="22">
        <v>643</v>
      </c>
      <c r="C187" s="14"/>
      <c r="D187" s="27"/>
      <c r="E187" s="28"/>
      <c r="F187" s="12">
        <f>ROUND(Tabla2[[#This Row],[Área ocupada (m²)]]/20*1.4,2)</f>
        <v>0.84</v>
      </c>
      <c r="G187" s="12">
        <v>12</v>
      </c>
      <c r="H187" s="12">
        <v>12</v>
      </c>
      <c r="I187" s="12">
        <f>ROUND(Tabla2[[#This Row],[Área techada (m²)]]*0.15,2)</f>
        <v>1.8</v>
      </c>
      <c r="J187" s="18" t="s">
        <v>33</v>
      </c>
      <c r="K187" s="7">
        <v>30000</v>
      </c>
      <c r="L187" s="240">
        <f>ROUND(Tabla2[[#This Row],[Área ocupada (m²)3]]/20*1.4,2)</f>
        <v>0.84</v>
      </c>
      <c r="M187" s="240">
        <f>ROUND(Tabla2[[#This Row],[Área ocupada (m²)]],2)</f>
        <v>12</v>
      </c>
      <c r="N187" s="240">
        <f>ROUND(Tabla2[[#This Row],[Área techada (m²)]],2)</f>
        <v>12</v>
      </c>
      <c r="O187" s="243">
        <f>ROUND(Tabla2[[#This Row],[Área techada (m²)4]]*0.15,2)</f>
        <v>1.8</v>
      </c>
      <c r="P187" s="6">
        <f>ROUND(Tabla2[[#This Row],[Área del terreno (m²)2]]*DATA!$F$4,-2)</f>
        <v>600</v>
      </c>
      <c r="Q187" s="243">
        <f>+Tabla2[[#This Row],[Valor Comercial (US$)]]-Tabla2[[#This Row],[Valor del terreno (US$)]]</f>
        <v>8900</v>
      </c>
      <c r="R18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9500</v>
      </c>
      <c r="S187" s="244">
        <f>ROUND(Tabla2[[#This Row],[Valor Comercial (US$)]]*0.8,-2)</f>
        <v>7600</v>
      </c>
      <c r="T187" s="244">
        <f>IF(Informe!$I$6=DATA!$B$4,R187,ROUND(Tabla2[[#This Row],[Área techada (m²)4]]*DATA!$F$5*1.15,-2))</f>
        <v>9500</v>
      </c>
      <c r="U187" s="8">
        <f t="shared" si="2"/>
        <v>3.3479999999999999</v>
      </c>
      <c r="V187" s="244">
        <f>ROUND(Tabla2[[#This Row],[Valor del terreno (US$)]]*Tabla2[[#This Row],[Tipo de Cambio]],-2)</f>
        <v>2000</v>
      </c>
      <c r="W187" s="244">
        <f>Tabla2[[#This Row],[Valor Comercial (S/.)]]-Tabla2[[#This Row],[Valor del terreno (S/.)]]</f>
        <v>29800</v>
      </c>
      <c r="X187" s="244">
        <f>ROUND(Tabla2[[#This Row],[Valor Comercial (US$)]]*Tabla2[[#This Row],[Tipo de Cambio]],-2)</f>
        <v>31800</v>
      </c>
      <c r="Y187" s="244">
        <f>ROUND(Tabla2[[#This Row],[Valor Realización (US$)]]*Tabla2[[#This Row],[Tipo de Cambio]],-2)</f>
        <v>25400</v>
      </c>
      <c r="Z187" s="244">
        <f>+ROUND(Tabla2[[#This Row],[Importe Asegurable (US$)]]*Tabla2[[#This Row],[Tipo de Cambio]],-2)</f>
        <v>31800</v>
      </c>
      <c r="AA187" s="245"/>
      <c r="AB187" s="2">
        <f>+Tabla2[[#This Row],[Valor Comercial (US$)]]/Tabla2[[#This Row],[Área techada (m²)4]]</f>
        <v>791.66666666666663</v>
      </c>
      <c r="AC18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87" s="1" t="s">
        <v>40</v>
      </c>
      <c r="AE187" s="222">
        <f>IF(Tabla2[[#This Row],[Moneda]]="Soles",Tabla2[[#This Row],[Valor de Venta]]/Tabla2[[#This Row],[Área techada (m²)]]/Tabla2[[#This Row],[Tipo de Cambio]],Tabla2[[#This Row],[Valor de Venta]]/Tabla2[[#This Row],[Área techada (m²)]])</f>
        <v>746.71445639187573</v>
      </c>
      <c r="AF187" s="347">
        <f>VLOOKUP(Tabla2[[#This Row],[VISTA]],DATA!$H$4:$I$17,2,FALSE)</f>
        <v>9500</v>
      </c>
      <c r="AG187" s="221">
        <f>+Tabla2[[#This Row],[Valor Comercial (S/.)]]/Tabla2[[#This Row],[Valor de Venta]]-1</f>
        <v>6.0000000000000053E-2</v>
      </c>
    </row>
    <row r="188" spans="1:33" s="1" customFormat="1" ht="15" customHeight="1" x14ac:dyDescent="0.25">
      <c r="A188" s="225" t="s">
        <v>39</v>
      </c>
      <c r="B188" s="22">
        <v>644</v>
      </c>
      <c r="C188" s="14"/>
      <c r="D188" s="27"/>
      <c r="E188" s="28"/>
      <c r="F188" s="12">
        <f>ROUND(Tabla2[[#This Row],[Área ocupada (m²)]]/20*1.4,2)</f>
        <v>0.84</v>
      </c>
      <c r="G188" s="12">
        <v>12</v>
      </c>
      <c r="H188" s="12">
        <v>12</v>
      </c>
      <c r="I188" s="12">
        <f>ROUND(Tabla2[[#This Row],[Área techada (m²)]]*0.15,2)</f>
        <v>1.8</v>
      </c>
      <c r="J188" s="18" t="s">
        <v>33</v>
      </c>
      <c r="K188" s="7">
        <v>30000</v>
      </c>
      <c r="L188" s="240">
        <f>ROUND(Tabla2[[#This Row],[Área ocupada (m²)3]]/20*1.4,2)</f>
        <v>0.84</v>
      </c>
      <c r="M188" s="240">
        <f>ROUND(Tabla2[[#This Row],[Área ocupada (m²)]],2)</f>
        <v>12</v>
      </c>
      <c r="N188" s="240">
        <f>ROUND(Tabla2[[#This Row],[Área techada (m²)]],2)</f>
        <v>12</v>
      </c>
      <c r="O188" s="243">
        <f>ROUND(Tabla2[[#This Row],[Área techada (m²)4]]*0.15,2)</f>
        <v>1.8</v>
      </c>
      <c r="P188" s="6">
        <f>ROUND(Tabla2[[#This Row],[Área del terreno (m²)2]]*DATA!$F$4,-2)</f>
        <v>600</v>
      </c>
      <c r="Q188" s="243">
        <f>+Tabla2[[#This Row],[Valor Comercial (US$)]]-Tabla2[[#This Row],[Valor del terreno (US$)]]</f>
        <v>8900</v>
      </c>
      <c r="R18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9500</v>
      </c>
      <c r="S188" s="244">
        <f>ROUND(Tabla2[[#This Row],[Valor Comercial (US$)]]*0.8,-2)</f>
        <v>7600</v>
      </c>
      <c r="T188" s="244">
        <f>IF(Informe!$I$6=DATA!$B$4,R188,ROUND(Tabla2[[#This Row],[Área techada (m²)4]]*DATA!$F$5*1.15,-2))</f>
        <v>9500</v>
      </c>
      <c r="U188" s="8">
        <f t="shared" si="2"/>
        <v>3.3479999999999999</v>
      </c>
      <c r="V188" s="244">
        <f>ROUND(Tabla2[[#This Row],[Valor del terreno (US$)]]*Tabla2[[#This Row],[Tipo de Cambio]],-2)</f>
        <v>2000</v>
      </c>
      <c r="W188" s="244">
        <f>Tabla2[[#This Row],[Valor Comercial (S/.)]]-Tabla2[[#This Row],[Valor del terreno (S/.)]]</f>
        <v>29800</v>
      </c>
      <c r="X188" s="244">
        <f>ROUND(Tabla2[[#This Row],[Valor Comercial (US$)]]*Tabla2[[#This Row],[Tipo de Cambio]],-2)</f>
        <v>31800</v>
      </c>
      <c r="Y188" s="244">
        <f>ROUND(Tabla2[[#This Row],[Valor Realización (US$)]]*Tabla2[[#This Row],[Tipo de Cambio]],-2)</f>
        <v>25400</v>
      </c>
      <c r="Z188" s="244">
        <f>+ROUND(Tabla2[[#This Row],[Importe Asegurable (US$)]]*Tabla2[[#This Row],[Tipo de Cambio]],-2)</f>
        <v>31800</v>
      </c>
      <c r="AA188" s="245"/>
      <c r="AB188" s="2">
        <f>+Tabla2[[#This Row],[Valor Comercial (US$)]]/Tabla2[[#This Row],[Área techada (m²)4]]</f>
        <v>791.66666666666663</v>
      </c>
      <c r="AC18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88" s="1" t="s">
        <v>40</v>
      </c>
      <c r="AE188" s="222">
        <f>IF(Tabla2[[#This Row],[Moneda]]="Soles",Tabla2[[#This Row],[Valor de Venta]]/Tabla2[[#This Row],[Área techada (m²)]]/Tabla2[[#This Row],[Tipo de Cambio]],Tabla2[[#This Row],[Valor de Venta]]/Tabla2[[#This Row],[Área techada (m²)]])</f>
        <v>746.71445639187573</v>
      </c>
      <c r="AF188" s="347">
        <f>VLOOKUP(Tabla2[[#This Row],[VISTA]],DATA!$H$4:$I$17,2,FALSE)</f>
        <v>9500</v>
      </c>
      <c r="AG188" s="221">
        <f>+Tabla2[[#This Row],[Valor Comercial (S/.)]]/Tabla2[[#This Row],[Valor de Venta]]-1</f>
        <v>6.0000000000000053E-2</v>
      </c>
    </row>
    <row r="189" spans="1:33" s="1" customFormat="1" ht="15" customHeight="1" x14ac:dyDescent="0.25">
      <c r="A189" s="225" t="s">
        <v>39</v>
      </c>
      <c r="B189" s="22">
        <v>646</v>
      </c>
      <c r="C189" s="14"/>
      <c r="D189" s="27"/>
      <c r="E189" s="28"/>
      <c r="F189" s="12">
        <f>ROUND(Tabla2[[#This Row],[Área ocupada (m²)]]/20*1.4,2)</f>
        <v>0.84</v>
      </c>
      <c r="G189" s="12">
        <v>12</v>
      </c>
      <c r="H189" s="12">
        <v>12</v>
      </c>
      <c r="I189" s="12">
        <f>ROUND(Tabla2[[#This Row],[Área techada (m²)]]*0.15,2)</f>
        <v>1.8</v>
      </c>
      <c r="J189" s="18" t="s">
        <v>33</v>
      </c>
      <c r="K189" s="7">
        <v>30000</v>
      </c>
      <c r="L189" s="240">
        <f>ROUND(Tabla2[[#This Row],[Área ocupada (m²)3]]/20*1.4,2)</f>
        <v>0.84</v>
      </c>
      <c r="M189" s="240">
        <f>ROUND(Tabla2[[#This Row],[Área ocupada (m²)]],2)</f>
        <v>12</v>
      </c>
      <c r="N189" s="240">
        <f>ROUND(Tabla2[[#This Row],[Área techada (m²)]],2)</f>
        <v>12</v>
      </c>
      <c r="O189" s="243">
        <f>ROUND(Tabla2[[#This Row],[Área techada (m²)4]]*0.15,2)</f>
        <v>1.8</v>
      </c>
      <c r="P189" s="6">
        <f>ROUND(Tabla2[[#This Row],[Área del terreno (m²)2]]*DATA!$F$4,-2)</f>
        <v>600</v>
      </c>
      <c r="Q189" s="243">
        <f>+Tabla2[[#This Row],[Valor Comercial (US$)]]-Tabla2[[#This Row],[Valor del terreno (US$)]]</f>
        <v>8900</v>
      </c>
      <c r="R18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9500</v>
      </c>
      <c r="S189" s="244">
        <f>ROUND(Tabla2[[#This Row],[Valor Comercial (US$)]]*0.8,-2)</f>
        <v>7600</v>
      </c>
      <c r="T189" s="244">
        <f>IF(Informe!$I$6=DATA!$B$4,R189,ROUND(Tabla2[[#This Row],[Área techada (m²)4]]*DATA!$F$5*1.15,-2))</f>
        <v>9500</v>
      </c>
      <c r="U189" s="8">
        <f t="shared" si="2"/>
        <v>3.3479999999999999</v>
      </c>
      <c r="V189" s="244">
        <f>ROUND(Tabla2[[#This Row],[Valor del terreno (US$)]]*Tabla2[[#This Row],[Tipo de Cambio]],-2)</f>
        <v>2000</v>
      </c>
      <c r="W189" s="244">
        <f>Tabla2[[#This Row],[Valor Comercial (S/.)]]-Tabla2[[#This Row],[Valor del terreno (S/.)]]</f>
        <v>29800</v>
      </c>
      <c r="X189" s="244">
        <f>ROUND(Tabla2[[#This Row],[Valor Comercial (US$)]]*Tabla2[[#This Row],[Tipo de Cambio]],-2)</f>
        <v>31800</v>
      </c>
      <c r="Y189" s="244">
        <f>ROUND(Tabla2[[#This Row],[Valor Realización (US$)]]*Tabla2[[#This Row],[Tipo de Cambio]],-2)</f>
        <v>25400</v>
      </c>
      <c r="Z189" s="244">
        <f>+ROUND(Tabla2[[#This Row],[Importe Asegurable (US$)]]*Tabla2[[#This Row],[Tipo de Cambio]],-2)</f>
        <v>31800</v>
      </c>
      <c r="AA189" s="245"/>
      <c r="AB189" s="2">
        <f>+Tabla2[[#This Row],[Valor Comercial (US$)]]/Tabla2[[#This Row],[Área techada (m²)4]]</f>
        <v>791.66666666666663</v>
      </c>
      <c r="AC18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89" s="1" t="s">
        <v>40</v>
      </c>
      <c r="AE189" s="222">
        <f>IF(Tabla2[[#This Row],[Moneda]]="Soles",Tabla2[[#This Row],[Valor de Venta]]/Tabla2[[#This Row],[Área techada (m²)]]/Tabla2[[#This Row],[Tipo de Cambio]],Tabla2[[#This Row],[Valor de Venta]]/Tabla2[[#This Row],[Área techada (m²)]])</f>
        <v>746.71445639187573</v>
      </c>
      <c r="AF189" s="347">
        <f>VLOOKUP(Tabla2[[#This Row],[VISTA]],DATA!$H$4:$I$17,2,FALSE)</f>
        <v>9500</v>
      </c>
      <c r="AG189" s="221">
        <f>+Tabla2[[#This Row],[Valor Comercial (S/.)]]/Tabla2[[#This Row],[Valor de Venta]]-1</f>
        <v>6.0000000000000053E-2</v>
      </c>
    </row>
    <row r="190" spans="1:33" s="1" customFormat="1" ht="15" customHeight="1" x14ac:dyDescent="0.25">
      <c r="A190" s="225" t="s">
        <v>39</v>
      </c>
      <c r="B190" s="22">
        <v>648</v>
      </c>
      <c r="C190" s="14"/>
      <c r="D190" s="27"/>
      <c r="E190" s="28"/>
      <c r="F190" s="12">
        <f>ROUND(Tabla2[[#This Row],[Área ocupada (m²)]]/20*1.4,2)</f>
        <v>0.84</v>
      </c>
      <c r="G190" s="12">
        <v>12</v>
      </c>
      <c r="H190" s="12">
        <v>12</v>
      </c>
      <c r="I190" s="12">
        <f>ROUND(Tabla2[[#This Row],[Área techada (m²)]]*0.15,2)</f>
        <v>1.8</v>
      </c>
      <c r="J190" s="18" t="s">
        <v>33</v>
      </c>
      <c r="K190" s="7">
        <v>30000</v>
      </c>
      <c r="L190" s="240">
        <f>ROUND(Tabla2[[#This Row],[Área ocupada (m²)3]]/20*1.4,2)</f>
        <v>0.84</v>
      </c>
      <c r="M190" s="240">
        <f>ROUND(Tabla2[[#This Row],[Área ocupada (m²)]],2)</f>
        <v>12</v>
      </c>
      <c r="N190" s="240">
        <f>ROUND(Tabla2[[#This Row],[Área techada (m²)]],2)</f>
        <v>12</v>
      </c>
      <c r="O190" s="243">
        <f>ROUND(Tabla2[[#This Row],[Área techada (m²)4]]*0.15,2)</f>
        <v>1.8</v>
      </c>
      <c r="P190" s="6">
        <f>ROUND(Tabla2[[#This Row],[Área del terreno (m²)2]]*DATA!$F$4,-2)</f>
        <v>600</v>
      </c>
      <c r="Q190" s="243">
        <f>+Tabla2[[#This Row],[Valor Comercial (US$)]]-Tabla2[[#This Row],[Valor del terreno (US$)]]</f>
        <v>8900</v>
      </c>
      <c r="R19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9500</v>
      </c>
      <c r="S190" s="244">
        <f>ROUND(Tabla2[[#This Row],[Valor Comercial (US$)]]*0.8,-2)</f>
        <v>7600</v>
      </c>
      <c r="T190" s="244">
        <f>IF(Informe!$I$6=DATA!$B$4,R190,ROUND(Tabla2[[#This Row],[Área techada (m²)4]]*DATA!$F$5*1.15,-2))</f>
        <v>9500</v>
      </c>
      <c r="U190" s="8">
        <f t="shared" si="2"/>
        <v>3.3479999999999999</v>
      </c>
      <c r="V190" s="244">
        <f>ROUND(Tabla2[[#This Row],[Valor del terreno (US$)]]*Tabla2[[#This Row],[Tipo de Cambio]],-2)</f>
        <v>2000</v>
      </c>
      <c r="W190" s="244">
        <f>Tabla2[[#This Row],[Valor Comercial (S/.)]]-Tabla2[[#This Row],[Valor del terreno (S/.)]]</f>
        <v>29800</v>
      </c>
      <c r="X190" s="244">
        <f>ROUND(Tabla2[[#This Row],[Valor Comercial (US$)]]*Tabla2[[#This Row],[Tipo de Cambio]],-2)</f>
        <v>31800</v>
      </c>
      <c r="Y190" s="244">
        <f>ROUND(Tabla2[[#This Row],[Valor Realización (US$)]]*Tabla2[[#This Row],[Tipo de Cambio]],-2)</f>
        <v>25400</v>
      </c>
      <c r="Z190" s="244">
        <f>+ROUND(Tabla2[[#This Row],[Importe Asegurable (US$)]]*Tabla2[[#This Row],[Tipo de Cambio]],-2)</f>
        <v>31800</v>
      </c>
      <c r="AA190" s="245"/>
      <c r="AB190" s="2">
        <f>+Tabla2[[#This Row],[Valor Comercial (US$)]]/Tabla2[[#This Row],[Área techada (m²)4]]</f>
        <v>791.66666666666663</v>
      </c>
      <c r="AC19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90" s="1" t="s">
        <v>40</v>
      </c>
      <c r="AE190" s="222">
        <f>IF(Tabla2[[#This Row],[Moneda]]="Soles",Tabla2[[#This Row],[Valor de Venta]]/Tabla2[[#This Row],[Área techada (m²)]]/Tabla2[[#This Row],[Tipo de Cambio]],Tabla2[[#This Row],[Valor de Venta]]/Tabla2[[#This Row],[Área techada (m²)]])</f>
        <v>746.71445639187573</v>
      </c>
      <c r="AF190" s="347">
        <f>VLOOKUP(Tabla2[[#This Row],[VISTA]],DATA!$H$4:$I$17,2,FALSE)</f>
        <v>9500</v>
      </c>
      <c r="AG190" s="221">
        <f>+Tabla2[[#This Row],[Valor Comercial (S/.)]]/Tabla2[[#This Row],[Valor de Venta]]-1</f>
        <v>6.0000000000000053E-2</v>
      </c>
    </row>
    <row r="191" spans="1:33" s="1" customFormat="1" ht="15" customHeight="1" x14ac:dyDescent="0.25">
      <c r="A191" s="225" t="s">
        <v>39</v>
      </c>
      <c r="B191" s="22">
        <v>649</v>
      </c>
      <c r="C191" s="14"/>
      <c r="D191" s="27"/>
      <c r="E191" s="28"/>
      <c r="F191" s="12">
        <f>ROUND(Tabla2[[#This Row],[Área ocupada (m²)]]/20*1.4,2)</f>
        <v>0.84</v>
      </c>
      <c r="G191" s="12">
        <v>12</v>
      </c>
      <c r="H191" s="12">
        <v>12</v>
      </c>
      <c r="I191" s="12">
        <f>ROUND(Tabla2[[#This Row],[Área techada (m²)]]*0.15,2)</f>
        <v>1.8</v>
      </c>
      <c r="J191" s="18" t="s">
        <v>33</v>
      </c>
      <c r="K191" s="7">
        <v>30000</v>
      </c>
      <c r="L191" s="240">
        <f>ROUND(Tabla2[[#This Row],[Área ocupada (m²)3]]/20*1.4,2)</f>
        <v>0.84</v>
      </c>
      <c r="M191" s="240">
        <f>ROUND(Tabla2[[#This Row],[Área ocupada (m²)]],2)</f>
        <v>12</v>
      </c>
      <c r="N191" s="240">
        <f>ROUND(Tabla2[[#This Row],[Área techada (m²)]],2)</f>
        <v>12</v>
      </c>
      <c r="O191" s="243">
        <f>ROUND(Tabla2[[#This Row],[Área techada (m²)4]]*0.15,2)</f>
        <v>1.8</v>
      </c>
      <c r="P191" s="6">
        <f>ROUND(Tabla2[[#This Row],[Área del terreno (m²)2]]*DATA!$F$4,-2)</f>
        <v>600</v>
      </c>
      <c r="Q191" s="243">
        <f>+Tabla2[[#This Row],[Valor Comercial (US$)]]-Tabla2[[#This Row],[Valor del terreno (US$)]]</f>
        <v>8900</v>
      </c>
      <c r="R19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9500</v>
      </c>
      <c r="S191" s="244">
        <f>ROUND(Tabla2[[#This Row],[Valor Comercial (US$)]]*0.8,-2)</f>
        <v>7600</v>
      </c>
      <c r="T191" s="244">
        <f>IF(Informe!$I$6=DATA!$B$4,R191,ROUND(Tabla2[[#This Row],[Área techada (m²)4]]*DATA!$F$5*1.15,-2))</f>
        <v>9500</v>
      </c>
      <c r="U191" s="8">
        <f t="shared" si="2"/>
        <v>3.3479999999999999</v>
      </c>
      <c r="V191" s="244">
        <f>ROUND(Tabla2[[#This Row],[Valor del terreno (US$)]]*Tabla2[[#This Row],[Tipo de Cambio]],-2)</f>
        <v>2000</v>
      </c>
      <c r="W191" s="244">
        <f>Tabla2[[#This Row],[Valor Comercial (S/.)]]-Tabla2[[#This Row],[Valor del terreno (S/.)]]</f>
        <v>29800</v>
      </c>
      <c r="X191" s="244">
        <f>ROUND(Tabla2[[#This Row],[Valor Comercial (US$)]]*Tabla2[[#This Row],[Tipo de Cambio]],-2)</f>
        <v>31800</v>
      </c>
      <c r="Y191" s="244">
        <f>ROUND(Tabla2[[#This Row],[Valor Realización (US$)]]*Tabla2[[#This Row],[Tipo de Cambio]],-2)</f>
        <v>25400</v>
      </c>
      <c r="Z191" s="244">
        <f>+ROUND(Tabla2[[#This Row],[Importe Asegurable (US$)]]*Tabla2[[#This Row],[Tipo de Cambio]],-2)</f>
        <v>31800</v>
      </c>
      <c r="AA191" s="245"/>
      <c r="AB191" s="2">
        <f>+Tabla2[[#This Row],[Valor Comercial (US$)]]/Tabla2[[#This Row],[Área techada (m²)4]]</f>
        <v>791.66666666666663</v>
      </c>
      <c r="AC19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91" s="1" t="s">
        <v>40</v>
      </c>
      <c r="AE191" s="222">
        <f>IF(Tabla2[[#This Row],[Moneda]]="Soles",Tabla2[[#This Row],[Valor de Venta]]/Tabla2[[#This Row],[Área techada (m²)]]/Tabla2[[#This Row],[Tipo de Cambio]],Tabla2[[#This Row],[Valor de Venta]]/Tabla2[[#This Row],[Área techada (m²)]])</f>
        <v>746.71445639187573</v>
      </c>
      <c r="AF191" s="347">
        <f>VLOOKUP(Tabla2[[#This Row],[VISTA]],DATA!$H$4:$I$17,2,FALSE)</f>
        <v>9500</v>
      </c>
      <c r="AG191" s="221">
        <f>+Tabla2[[#This Row],[Valor Comercial (S/.)]]/Tabla2[[#This Row],[Valor de Venta]]-1</f>
        <v>6.0000000000000053E-2</v>
      </c>
    </row>
    <row r="192" spans="1:33" s="1" customFormat="1" ht="15" customHeight="1" x14ac:dyDescent="0.25">
      <c r="A192" s="225" t="s">
        <v>39</v>
      </c>
      <c r="B192" s="22">
        <v>866</v>
      </c>
      <c r="C192" s="14"/>
      <c r="D192" s="27"/>
      <c r="E192" s="28"/>
      <c r="F192" s="12">
        <f>ROUND(Tabla2[[#This Row],[Área ocupada (m²)]]/20*1.4,2)</f>
        <v>0.84</v>
      </c>
      <c r="G192" s="12">
        <v>12</v>
      </c>
      <c r="H192" s="12">
        <v>12</v>
      </c>
      <c r="I192" s="12">
        <f>ROUND(Tabla2[[#This Row],[Área techada (m²)]]*0.15,2)</f>
        <v>1.8</v>
      </c>
      <c r="J192" s="18" t="s">
        <v>33</v>
      </c>
      <c r="K192" s="7">
        <v>28000</v>
      </c>
      <c r="L192" s="240">
        <f>ROUND(Tabla2[[#This Row],[Área ocupada (m²)3]]/20*1.4,2)</f>
        <v>0.84</v>
      </c>
      <c r="M192" s="240">
        <f>ROUND(Tabla2[[#This Row],[Área ocupada (m²)]],2)</f>
        <v>12</v>
      </c>
      <c r="N192" s="240">
        <f>ROUND(Tabla2[[#This Row],[Área techada (m²)]],2)</f>
        <v>12</v>
      </c>
      <c r="O192" s="243">
        <f>ROUND(Tabla2[[#This Row],[Área techada (m²)4]]*0.15,2)</f>
        <v>1.8</v>
      </c>
      <c r="P192" s="6">
        <f>ROUND(Tabla2[[#This Row],[Área del terreno (m²)2]]*DATA!$F$4,-2)</f>
        <v>600</v>
      </c>
      <c r="Q192" s="243">
        <f>+Tabla2[[#This Row],[Valor Comercial (US$)]]-Tabla2[[#This Row],[Valor del terreno (US$)]]</f>
        <v>8400</v>
      </c>
      <c r="R19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92" s="244">
        <f>ROUND(Tabla2[[#This Row],[Valor Comercial (US$)]]*0.8,-2)</f>
        <v>7200</v>
      </c>
      <c r="T192" s="244">
        <f>IF(Informe!$I$6=DATA!$B$4,R192,ROUND(Tabla2[[#This Row],[Área techada (m²)4]]*DATA!$F$5*1.15,-2))</f>
        <v>9000</v>
      </c>
      <c r="U192" s="8">
        <f t="shared" si="2"/>
        <v>3.3479999999999999</v>
      </c>
      <c r="V192" s="244">
        <f>ROUND(Tabla2[[#This Row],[Valor del terreno (US$)]]*Tabla2[[#This Row],[Tipo de Cambio]],-2)</f>
        <v>2000</v>
      </c>
      <c r="W192" s="244">
        <f>Tabla2[[#This Row],[Valor Comercial (S/.)]]-Tabla2[[#This Row],[Valor del terreno (S/.)]]</f>
        <v>28100</v>
      </c>
      <c r="X192" s="244">
        <f>ROUND(Tabla2[[#This Row],[Valor Comercial (US$)]]*Tabla2[[#This Row],[Tipo de Cambio]],-2)</f>
        <v>30100</v>
      </c>
      <c r="Y192" s="244">
        <f>ROUND(Tabla2[[#This Row],[Valor Realización (US$)]]*Tabla2[[#This Row],[Tipo de Cambio]],-2)</f>
        <v>24100</v>
      </c>
      <c r="Z192" s="244">
        <f>+ROUND(Tabla2[[#This Row],[Importe Asegurable (US$)]]*Tabla2[[#This Row],[Tipo de Cambio]],-2)</f>
        <v>30100</v>
      </c>
      <c r="AA192" s="245"/>
      <c r="AB192" s="2">
        <f>+Tabla2[[#This Row],[Valor Comercial (US$)]]/Tabla2[[#This Row],[Área techada (m²)4]]</f>
        <v>750</v>
      </c>
      <c r="AC19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92" s="1" t="s">
        <v>41</v>
      </c>
      <c r="AE192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92" s="347">
        <f>VLOOKUP(Tabla2[[#This Row],[VISTA]],DATA!$H$4:$I$17,2,FALSE)</f>
        <v>9000</v>
      </c>
      <c r="AG192" s="221">
        <f>+Tabla2[[#This Row],[Valor Comercial (S/.)]]/Tabla2[[#This Row],[Valor de Venta]]-1</f>
        <v>7.4999999999999956E-2</v>
      </c>
    </row>
    <row r="193" spans="1:33" s="1" customFormat="1" ht="15" customHeight="1" x14ac:dyDescent="0.25">
      <c r="A193" s="225" t="s">
        <v>39</v>
      </c>
      <c r="B193" s="22">
        <v>869</v>
      </c>
      <c r="C193" s="14"/>
      <c r="D193" s="27"/>
      <c r="E193" s="28"/>
      <c r="F193" s="12">
        <f>ROUND(Tabla2[[#This Row],[Área ocupada (m²)]]/20*1.4,2)</f>
        <v>0.84</v>
      </c>
      <c r="G193" s="12">
        <v>12</v>
      </c>
      <c r="H193" s="12">
        <v>12</v>
      </c>
      <c r="I193" s="12">
        <f>ROUND(Tabla2[[#This Row],[Área techada (m²)]]*0.15,2)</f>
        <v>1.8</v>
      </c>
      <c r="J193" s="18" t="s">
        <v>33</v>
      </c>
      <c r="K193" s="7">
        <v>28000</v>
      </c>
      <c r="L193" s="240">
        <f>ROUND(Tabla2[[#This Row],[Área ocupada (m²)3]]/20*1.4,2)</f>
        <v>0.84</v>
      </c>
      <c r="M193" s="240">
        <f>ROUND(Tabla2[[#This Row],[Área ocupada (m²)]],2)</f>
        <v>12</v>
      </c>
      <c r="N193" s="240">
        <f>ROUND(Tabla2[[#This Row],[Área techada (m²)]],2)</f>
        <v>12</v>
      </c>
      <c r="O193" s="243">
        <f>ROUND(Tabla2[[#This Row],[Área techada (m²)4]]*0.15,2)</f>
        <v>1.8</v>
      </c>
      <c r="P193" s="6">
        <f>ROUND(Tabla2[[#This Row],[Área del terreno (m²)2]]*DATA!$F$4,-2)</f>
        <v>600</v>
      </c>
      <c r="Q193" s="243">
        <f>+Tabla2[[#This Row],[Valor Comercial (US$)]]-Tabla2[[#This Row],[Valor del terreno (US$)]]</f>
        <v>8400</v>
      </c>
      <c r="R19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93" s="244">
        <f>ROUND(Tabla2[[#This Row],[Valor Comercial (US$)]]*0.8,-2)</f>
        <v>7200</v>
      </c>
      <c r="T193" s="244">
        <f>IF(Informe!$I$6=DATA!$B$4,R193,ROUND(Tabla2[[#This Row],[Área techada (m²)4]]*DATA!$F$5*1.15,-2))</f>
        <v>9000</v>
      </c>
      <c r="U193" s="8">
        <f t="shared" si="2"/>
        <v>3.3479999999999999</v>
      </c>
      <c r="V193" s="244">
        <f>ROUND(Tabla2[[#This Row],[Valor del terreno (US$)]]*Tabla2[[#This Row],[Tipo de Cambio]],-2)</f>
        <v>2000</v>
      </c>
      <c r="W193" s="244">
        <f>Tabla2[[#This Row],[Valor Comercial (S/.)]]-Tabla2[[#This Row],[Valor del terreno (S/.)]]</f>
        <v>28100</v>
      </c>
      <c r="X193" s="244">
        <f>ROUND(Tabla2[[#This Row],[Valor Comercial (US$)]]*Tabla2[[#This Row],[Tipo de Cambio]],-2)</f>
        <v>30100</v>
      </c>
      <c r="Y193" s="244">
        <f>ROUND(Tabla2[[#This Row],[Valor Realización (US$)]]*Tabla2[[#This Row],[Tipo de Cambio]],-2)</f>
        <v>24100</v>
      </c>
      <c r="Z193" s="244">
        <f>+ROUND(Tabla2[[#This Row],[Importe Asegurable (US$)]]*Tabla2[[#This Row],[Tipo de Cambio]],-2)</f>
        <v>30100</v>
      </c>
      <c r="AA193" s="245"/>
      <c r="AB193" s="2">
        <f>+Tabla2[[#This Row],[Valor Comercial (US$)]]/Tabla2[[#This Row],[Área techada (m²)4]]</f>
        <v>750</v>
      </c>
      <c r="AC19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93" s="1" t="s">
        <v>41</v>
      </c>
      <c r="AE193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93" s="347">
        <f>VLOOKUP(Tabla2[[#This Row],[VISTA]],DATA!$H$4:$I$17,2,FALSE)</f>
        <v>9000</v>
      </c>
      <c r="AG193" s="221">
        <f>+Tabla2[[#This Row],[Valor Comercial (S/.)]]/Tabla2[[#This Row],[Valor de Venta]]-1</f>
        <v>7.4999999999999956E-2</v>
      </c>
    </row>
    <row r="194" spans="1:33" s="1" customFormat="1" ht="15" customHeight="1" x14ac:dyDescent="0.25">
      <c r="A194" s="225" t="s">
        <v>39</v>
      </c>
      <c r="B194" s="22">
        <v>874</v>
      </c>
      <c r="C194" s="14"/>
      <c r="D194" s="27"/>
      <c r="E194" s="28"/>
      <c r="F194" s="12">
        <f>ROUND(Tabla2[[#This Row],[Área ocupada (m²)]]/20*1.4,2)</f>
        <v>0.84</v>
      </c>
      <c r="G194" s="12">
        <v>12</v>
      </c>
      <c r="H194" s="12">
        <v>12</v>
      </c>
      <c r="I194" s="12">
        <f>ROUND(Tabla2[[#This Row],[Área techada (m²)]]*0.15,2)</f>
        <v>1.8</v>
      </c>
      <c r="J194" s="18" t="s">
        <v>33</v>
      </c>
      <c r="K194" s="7">
        <v>28000</v>
      </c>
      <c r="L194" s="240">
        <f>ROUND(Tabla2[[#This Row],[Área ocupada (m²)3]]/20*1.4,2)</f>
        <v>0.84</v>
      </c>
      <c r="M194" s="240">
        <f>ROUND(Tabla2[[#This Row],[Área ocupada (m²)]],2)</f>
        <v>12</v>
      </c>
      <c r="N194" s="240">
        <f>ROUND(Tabla2[[#This Row],[Área techada (m²)]],2)</f>
        <v>12</v>
      </c>
      <c r="O194" s="243">
        <f>ROUND(Tabla2[[#This Row],[Área techada (m²)4]]*0.15,2)</f>
        <v>1.8</v>
      </c>
      <c r="P194" s="6">
        <f>ROUND(Tabla2[[#This Row],[Área del terreno (m²)2]]*DATA!$F$4,-2)</f>
        <v>600</v>
      </c>
      <c r="Q194" s="243">
        <f>+Tabla2[[#This Row],[Valor Comercial (US$)]]-Tabla2[[#This Row],[Valor del terreno (US$)]]</f>
        <v>8400</v>
      </c>
      <c r="R19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94" s="244">
        <f>ROUND(Tabla2[[#This Row],[Valor Comercial (US$)]]*0.8,-2)</f>
        <v>7200</v>
      </c>
      <c r="T194" s="244">
        <f>IF(Informe!$I$6=DATA!$B$4,R194,ROUND(Tabla2[[#This Row],[Área techada (m²)4]]*DATA!$F$5*1.15,-2))</f>
        <v>9000</v>
      </c>
      <c r="U194" s="8">
        <f t="shared" si="2"/>
        <v>3.3479999999999999</v>
      </c>
      <c r="V194" s="244">
        <f>ROUND(Tabla2[[#This Row],[Valor del terreno (US$)]]*Tabla2[[#This Row],[Tipo de Cambio]],-2)</f>
        <v>2000</v>
      </c>
      <c r="W194" s="244">
        <f>Tabla2[[#This Row],[Valor Comercial (S/.)]]-Tabla2[[#This Row],[Valor del terreno (S/.)]]</f>
        <v>28100</v>
      </c>
      <c r="X194" s="244">
        <f>ROUND(Tabla2[[#This Row],[Valor Comercial (US$)]]*Tabla2[[#This Row],[Tipo de Cambio]],-2)</f>
        <v>30100</v>
      </c>
      <c r="Y194" s="244">
        <f>ROUND(Tabla2[[#This Row],[Valor Realización (US$)]]*Tabla2[[#This Row],[Tipo de Cambio]],-2)</f>
        <v>24100</v>
      </c>
      <c r="Z194" s="244">
        <f>+ROUND(Tabla2[[#This Row],[Importe Asegurable (US$)]]*Tabla2[[#This Row],[Tipo de Cambio]],-2)</f>
        <v>30100</v>
      </c>
      <c r="AA194" s="245"/>
      <c r="AB194" s="2">
        <f>+Tabla2[[#This Row],[Valor Comercial (US$)]]/Tabla2[[#This Row],[Área techada (m²)4]]</f>
        <v>750</v>
      </c>
      <c r="AC19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94" s="1" t="s">
        <v>41</v>
      </c>
      <c r="AE194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94" s="347">
        <f>VLOOKUP(Tabla2[[#This Row],[VISTA]],DATA!$H$4:$I$17,2,FALSE)</f>
        <v>9000</v>
      </c>
      <c r="AG194" s="221">
        <f>+Tabla2[[#This Row],[Valor Comercial (S/.)]]/Tabla2[[#This Row],[Valor de Venta]]-1</f>
        <v>7.4999999999999956E-2</v>
      </c>
    </row>
    <row r="195" spans="1:33" s="1" customFormat="1" ht="15" customHeight="1" x14ac:dyDescent="0.25">
      <c r="A195" s="225" t="s">
        <v>39</v>
      </c>
      <c r="B195" s="22">
        <v>1047</v>
      </c>
      <c r="C195" s="14"/>
      <c r="D195" s="27"/>
      <c r="E195" s="28"/>
      <c r="F195" s="12">
        <f>ROUND(Tabla2[[#This Row],[Área ocupada (m²)]]/20*1.4,2)</f>
        <v>0.84</v>
      </c>
      <c r="G195" s="12">
        <v>12</v>
      </c>
      <c r="H195" s="12">
        <v>12</v>
      </c>
      <c r="I195" s="12">
        <f>ROUND(Tabla2[[#This Row],[Área techada (m²)]]*0.15,2)</f>
        <v>1.8</v>
      </c>
      <c r="J195" s="18" t="s">
        <v>33</v>
      </c>
      <c r="K195" s="7">
        <v>28000</v>
      </c>
      <c r="L195" s="240">
        <f>ROUND(Tabla2[[#This Row],[Área ocupada (m²)3]]/20*1.4,2)</f>
        <v>0.84</v>
      </c>
      <c r="M195" s="240">
        <f>ROUND(Tabla2[[#This Row],[Área ocupada (m²)]],2)</f>
        <v>12</v>
      </c>
      <c r="N195" s="240">
        <f>ROUND(Tabla2[[#This Row],[Área techada (m²)]],2)</f>
        <v>12</v>
      </c>
      <c r="O195" s="243">
        <f>ROUND(Tabla2[[#This Row],[Área techada (m²)4]]*0.15,2)</f>
        <v>1.8</v>
      </c>
      <c r="P195" s="6">
        <f>ROUND(Tabla2[[#This Row],[Área del terreno (m²)2]]*DATA!$F$4,-2)</f>
        <v>600</v>
      </c>
      <c r="Q195" s="243">
        <f>+Tabla2[[#This Row],[Valor Comercial (US$)]]-Tabla2[[#This Row],[Valor del terreno (US$)]]</f>
        <v>8400</v>
      </c>
      <c r="R19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95" s="244">
        <f>ROUND(Tabla2[[#This Row],[Valor Comercial (US$)]]*0.8,-2)</f>
        <v>7200</v>
      </c>
      <c r="T195" s="244">
        <f>IF(Informe!$I$6=DATA!$B$4,R195,ROUND(Tabla2[[#This Row],[Área techada (m²)4]]*DATA!$F$5*1.15,-2))</f>
        <v>9000</v>
      </c>
      <c r="U195" s="8">
        <f t="shared" si="2"/>
        <v>3.3479999999999999</v>
      </c>
      <c r="V195" s="244">
        <f>ROUND(Tabla2[[#This Row],[Valor del terreno (US$)]]*Tabla2[[#This Row],[Tipo de Cambio]],-2)</f>
        <v>2000</v>
      </c>
      <c r="W195" s="244">
        <f>Tabla2[[#This Row],[Valor Comercial (S/.)]]-Tabla2[[#This Row],[Valor del terreno (S/.)]]</f>
        <v>28100</v>
      </c>
      <c r="X195" s="244">
        <f>ROUND(Tabla2[[#This Row],[Valor Comercial (US$)]]*Tabla2[[#This Row],[Tipo de Cambio]],-2)</f>
        <v>30100</v>
      </c>
      <c r="Y195" s="244">
        <f>ROUND(Tabla2[[#This Row],[Valor Realización (US$)]]*Tabla2[[#This Row],[Tipo de Cambio]],-2)</f>
        <v>24100</v>
      </c>
      <c r="Z195" s="244">
        <f>+ROUND(Tabla2[[#This Row],[Importe Asegurable (US$)]]*Tabla2[[#This Row],[Tipo de Cambio]],-2)</f>
        <v>30100</v>
      </c>
      <c r="AA195" s="245"/>
      <c r="AB195" s="2">
        <f>+Tabla2[[#This Row],[Valor Comercial (US$)]]/Tabla2[[#This Row],[Área techada (m²)4]]</f>
        <v>750</v>
      </c>
      <c r="AC19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95" s="1" t="s">
        <v>41</v>
      </c>
      <c r="AE195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95" s="347">
        <f>VLOOKUP(Tabla2[[#This Row],[VISTA]],DATA!$H$4:$I$17,2,FALSE)</f>
        <v>9000</v>
      </c>
      <c r="AG195" s="221">
        <f>+Tabla2[[#This Row],[Valor Comercial (S/.)]]/Tabla2[[#This Row],[Valor de Venta]]-1</f>
        <v>7.4999999999999956E-2</v>
      </c>
    </row>
    <row r="196" spans="1:33" s="1" customFormat="1" ht="15" customHeight="1" x14ac:dyDescent="0.25">
      <c r="A196" s="225" t="s">
        <v>39</v>
      </c>
      <c r="B196" s="22">
        <v>1049</v>
      </c>
      <c r="C196" s="14"/>
      <c r="D196" s="27"/>
      <c r="E196" s="28"/>
      <c r="F196" s="12">
        <f>ROUND(Tabla2[[#This Row],[Área ocupada (m²)]]/20*1.4,2)</f>
        <v>0.84</v>
      </c>
      <c r="G196" s="12">
        <v>12</v>
      </c>
      <c r="H196" s="12">
        <v>12</v>
      </c>
      <c r="I196" s="12">
        <f>ROUND(Tabla2[[#This Row],[Área techada (m²)]]*0.15,2)</f>
        <v>1.8</v>
      </c>
      <c r="J196" s="18" t="s">
        <v>33</v>
      </c>
      <c r="K196" s="7">
        <v>28000</v>
      </c>
      <c r="L196" s="240">
        <f>ROUND(Tabla2[[#This Row],[Área ocupada (m²)3]]/20*1.4,2)</f>
        <v>0.84</v>
      </c>
      <c r="M196" s="240">
        <f>ROUND(Tabla2[[#This Row],[Área ocupada (m²)]],2)</f>
        <v>12</v>
      </c>
      <c r="N196" s="240">
        <f>ROUND(Tabla2[[#This Row],[Área techada (m²)]],2)</f>
        <v>12</v>
      </c>
      <c r="O196" s="243">
        <f>ROUND(Tabla2[[#This Row],[Área techada (m²)4]]*0.15,2)</f>
        <v>1.8</v>
      </c>
      <c r="P196" s="6">
        <f>ROUND(Tabla2[[#This Row],[Área del terreno (m²)2]]*DATA!$F$4,-2)</f>
        <v>600</v>
      </c>
      <c r="Q196" s="243">
        <f>+Tabla2[[#This Row],[Valor Comercial (US$)]]-Tabla2[[#This Row],[Valor del terreno (US$)]]</f>
        <v>8400</v>
      </c>
      <c r="R19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96" s="244">
        <f>ROUND(Tabla2[[#This Row],[Valor Comercial (US$)]]*0.8,-2)</f>
        <v>7200</v>
      </c>
      <c r="T196" s="244">
        <f>IF(Informe!$I$6=DATA!$B$4,R196,ROUND(Tabla2[[#This Row],[Área techada (m²)4]]*DATA!$F$5*1.15,-2))</f>
        <v>9000</v>
      </c>
      <c r="U196" s="8">
        <f t="shared" si="2"/>
        <v>3.3479999999999999</v>
      </c>
      <c r="V196" s="244">
        <f>ROUND(Tabla2[[#This Row],[Valor del terreno (US$)]]*Tabla2[[#This Row],[Tipo de Cambio]],-2)</f>
        <v>2000</v>
      </c>
      <c r="W196" s="244">
        <f>Tabla2[[#This Row],[Valor Comercial (S/.)]]-Tabla2[[#This Row],[Valor del terreno (S/.)]]</f>
        <v>28100</v>
      </c>
      <c r="X196" s="244">
        <f>ROUND(Tabla2[[#This Row],[Valor Comercial (US$)]]*Tabla2[[#This Row],[Tipo de Cambio]],-2)</f>
        <v>30100</v>
      </c>
      <c r="Y196" s="244">
        <f>ROUND(Tabla2[[#This Row],[Valor Realización (US$)]]*Tabla2[[#This Row],[Tipo de Cambio]],-2)</f>
        <v>24100</v>
      </c>
      <c r="Z196" s="244">
        <f>+ROUND(Tabla2[[#This Row],[Importe Asegurable (US$)]]*Tabla2[[#This Row],[Tipo de Cambio]],-2)</f>
        <v>30100</v>
      </c>
      <c r="AA196" s="245"/>
      <c r="AB196" s="2">
        <f>+Tabla2[[#This Row],[Valor Comercial (US$)]]/Tabla2[[#This Row],[Área techada (m²)4]]</f>
        <v>750</v>
      </c>
      <c r="AC19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96" s="1" t="s">
        <v>41</v>
      </c>
      <c r="AE196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96" s="347">
        <f>VLOOKUP(Tabla2[[#This Row],[VISTA]],DATA!$H$4:$I$17,2,FALSE)</f>
        <v>9000</v>
      </c>
      <c r="AG196" s="221">
        <f>+Tabla2[[#This Row],[Valor Comercial (S/.)]]/Tabla2[[#This Row],[Valor de Venta]]-1</f>
        <v>7.4999999999999956E-2</v>
      </c>
    </row>
    <row r="197" spans="1:33" s="1" customFormat="1" ht="15" customHeight="1" x14ac:dyDescent="0.25">
      <c r="A197" s="225" t="s">
        <v>39</v>
      </c>
      <c r="B197" s="22">
        <v>1050</v>
      </c>
      <c r="C197" s="14"/>
      <c r="D197" s="27"/>
      <c r="E197" s="28"/>
      <c r="F197" s="12">
        <f>ROUND(Tabla2[[#This Row],[Área ocupada (m²)]]/20*1.4,2)</f>
        <v>0.84</v>
      </c>
      <c r="G197" s="12">
        <v>12</v>
      </c>
      <c r="H197" s="12">
        <v>12</v>
      </c>
      <c r="I197" s="12">
        <f>ROUND(Tabla2[[#This Row],[Área techada (m²)]]*0.15,2)</f>
        <v>1.8</v>
      </c>
      <c r="J197" s="18" t="s">
        <v>33</v>
      </c>
      <c r="K197" s="7">
        <v>28000</v>
      </c>
      <c r="L197" s="240">
        <f>ROUND(Tabla2[[#This Row],[Área ocupada (m²)3]]/20*1.4,2)</f>
        <v>0.84</v>
      </c>
      <c r="M197" s="240">
        <f>ROUND(Tabla2[[#This Row],[Área ocupada (m²)]],2)</f>
        <v>12</v>
      </c>
      <c r="N197" s="240">
        <f>ROUND(Tabla2[[#This Row],[Área techada (m²)]],2)</f>
        <v>12</v>
      </c>
      <c r="O197" s="243">
        <f>ROUND(Tabla2[[#This Row],[Área techada (m²)4]]*0.15,2)</f>
        <v>1.8</v>
      </c>
      <c r="P197" s="6">
        <f>ROUND(Tabla2[[#This Row],[Área del terreno (m²)2]]*DATA!$F$4,-2)</f>
        <v>600</v>
      </c>
      <c r="Q197" s="243">
        <f>+Tabla2[[#This Row],[Valor Comercial (US$)]]-Tabla2[[#This Row],[Valor del terreno (US$)]]</f>
        <v>8400</v>
      </c>
      <c r="R19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97" s="244">
        <f>ROUND(Tabla2[[#This Row],[Valor Comercial (US$)]]*0.8,-2)</f>
        <v>7200</v>
      </c>
      <c r="T197" s="244">
        <f>IF(Informe!$I$6=DATA!$B$4,R197,ROUND(Tabla2[[#This Row],[Área techada (m²)4]]*DATA!$F$5*1.15,-2))</f>
        <v>9000</v>
      </c>
      <c r="U197" s="8">
        <f t="shared" si="2"/>
        <v>3.3479999999999999</v>
      </c>
      <c r="V197" s="244">
        <f>ROUND(Tabla2[[#This Row],[Valor del terreno (US$)]]*Tabla2[[#This Row],[Tipo de Cambio]],-2)</f>
        <v>2000</v>
      </c>
      <c r="W197" s="244">
        <f>Tabla2[[#This Row],[Valor Comercial (S/.)]]-Tabla2[[#This Row],[Valor del terreno (S/.)]]</f>
        <v>28100</v>
      </c>
      <c r="X197" s="244">
        <f>ROUND(Tabla2[[#This Row],[Valor Comercial (US$)]]*Tabla2[[#This Row],[Tipo de Cambio]],-2)</f>
        <v>30100</v>
      </c>
      <c r="Y197" s="244">
        <f>ROUND(Tabla2[[#This Row],[Valor Realización (US$)]]*Tabla2[[#This Row],[Tipo de Cambio]],-2)</f>
        <v>24100</v>
      </c>
      <c r="Z197" s="244">
        <f>+ROUND(Tabla2[[#This Row],[Importe Asegurable (US$)]]*Tabla2[[#This Row],[Tipo de Cambio]],-2)</f>
        <v>30100</v>
      </c>
      <c r="AA197" s="245"/>
      <c r="AB197" s="2">
        <f>+Tabla2[[#This Row],[Valor Comercial (US$)]]/Tabla2[[#This Row],[Área techada (m²)4]]</f>
        <v>750</v>
      </c>
      <c r="AC19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97" s="1" t="s">
        <v>41</v>
      </c>
      <c r="AE197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97" s="347">
        <f>VLOOKUP(Tabla2[[#This Row],[VISTA]],DATA!$H$4:$I$17,2,FALSE)</f>
        <v>9000</v>
      </c>
      <c r="AG197" s="221">
        <f>+Tabla2[[#This Row],[Valor Comercial (S/.)]]/Tabla2[[#This Row],[Valor de Venta]]-1</f>
        <v>7.4999999999999956E-2</v>
      </c>
    </row>
    <row r="198" spans="1:33" s="1" customFormat="1" ht="15" customHeight="1" x14ac:dyDescent="0.25">
      <c r="A198" s="225" t="s">
        <v>39</v>
      </c>
      <c r="B198" s="22">
        <v>1051</v>
      </c>
      <c r="C198" s="14"/>
      <c r="D198" s="27"/>
      <c r="E198" s="28"/>
      <c r="F198" s="12">
        <f>ROUND(Tabla2[[#This Row],[Área ocupada (m²)]]/20*1.4,2)</f>
        <v>0.84</v>
      </c>
      <c r="G198" s="12">
        <v>12</v>
      </c>
      <c r="H198" s="12">
        <v>12</v>
      </c>
      <c r="I198" s="12">
        <f>ROUND(Tabla2[[#This Row],[Área techada (m²)]]*0.15,2)</f>
        <v>1.8</v>
      </c>
      <c r="J198" s="18" t="s">
        <v>33</v>
      </c>
      <c r="K198" s="7">
        <v>28000</v>
      </c>
      <c r="L198" s="240">
        <f>ROUND(Tabla2[[#This Row],[Área ocupada (m²)3]]/20*1.4,2)</f>
        <v>0.84</v>
      </c>
      <c r="M198" s="240">
        <f>ROUND(Tabla2[[#This Row],[Área ocupada (m²)]],2)</f>
        <v>12</v>
      </c>
      <c r="N198" s="240">
        <f>ROUND(Tabla2[[#This Row],[Área techada (m²)]],2)</f>
        <v>12</v>
      </c>
      <c r="O198" s="243">
        <f>ROUND(Tabla2[[#This Row],[Área techada (m²)4]]*0.15,2)</f>
        <v>1.8</v>
      </c>
      <c r="P198" s="6">
        <f>ROUND(Tabla2[[#This Row],[Área del terreno (m²)2]]*DATA!$F$4,-2)</f>
        <v>600</v>
      </c>
      <c r="Q198" s="243">
        <f>+Tabla2[[#This Row],[Valor Comercial (US$)]]-Tabla2[[#This Row],[Valor del terreno (US$)]]</f>
        <v>8400</v>
      </c>
      <c r="R19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98" s="244">
        <f>ROUND(Tabla2[[#This Row],[Valor Comercial (US$)]]*0.8,-2)</f>
        <v>7200</v>
      </c>
      <c r="T198" s="244">
        <f>IF(Informe!$I$6=DATA!$B$4,R198,ROUND(Tabla2[[#This Row],[Área techada (m²)4]]*DATA!$F$5*1.15,-2))</f>
        <v>9000</v>
      </c>
      <c r="U198" s="8">
        <f t="shared" si="2"/>
        <v>3.3479999999999999</v>
      </c>
      <c r="V198" s="244">
        <f>ROUND(Tabla2[[#This Row],[Valor del terreno (US$)]]*Tabla2[[#This Row],[Tipo de Cambio]],-2)</f>
        <v>2000</v>
      </c>
      <c r="W198" s="244">
        <f>Tabla2[[#This Row],[Valor Comercial (S/.)]]-Tabla2[[#This Row],[Valor del terreno (S/.)]]</f>
        <v>28100</v>
      </c>
      <c r="X198" s="244">
        <f>ROUND(Tabla2[[#This Row],[Valor Comercial (US$)]]*Tabla2[[#This Row],[Tipo de Cambio]],-2)</f>
        <v>30100</v>
      </c>
      <c r="Y198" s="244">
        <f>ROUND(Tabla2[[#This Row],[Valor Realización (US$)]]*Tabla2[[#This Row],[Tipo de Cambio]],-2)</f>
        <v>24100</v>
      </c>
      <c r="Z198" s="244">
        <f>+ROUND(Tabla2[[#This Row],[Importe Asegurable (US$)]]*Tabla2[[#This Row],[Tipo de Cambio]],-2)</f>
        <v>30100</v>
      </c>
      <c r="AA198" s="245"/>
      <c r="AB198" s="2">
        <f>+Tabla2[[#This Row],[Valor Comercial (US$)]]/Tabla2[[#This Row],[Área techada (m²)4]]</f>
        <v>750</v>
      </c>
      <c r="AC19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98" s="1" t="s">
        <v>41</v>
      </c>
      <c r="AE198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98" s="347">
        <f>VLOOKUP(Tabla2[[#This Row],[VISTA]],DATA!$H$4:$I$17,2,FALSE)</f>
        <v>9000</v>
      </c>
      <c r="AG198" s="221">
        <f>+Tabla2[[#This Row],[Valor Comercial (S/.)]]/Tabla2[[#This Row],[Valor de Venta]]-1</f>
        <v>7.4999999999999956E-2</v>
      </c>
    </row>
    <row r="199" spans="1:33" s="1" customFormat="1" ht="15" customHeight="1" x14ac:dyDescent="0.25">
      <c r="A199" s="225" t="s">
        <v>39</v>
      </c>
      <c r="B199" s="22">
        <v>1053</v>
      </c>
      <c r="C199" s="14"/>
      <c r="D199" s="27"/>
      <c r="E199" s="28"/>
      <c r="F199" s="12">
        <f>ROUND(Tabla2[[#This Row],[Área ocupada (m²)]]/20*1.4,2)</f>
        <v>0.84</v>
      </c>
      <c r="G199" s="12">
        <v>12</v>
      </c>
      <c r="H199" s="12">
        <v>12</v>
      </c>
      <c r="I199" s="12">
        <f>ROUND(Tabla2[[#This Row],[Área techada (m²)]]*0.15,2)</f>
        <v>1.8</v>
      </c>
      <c r="J199" s="18" t="s">
        <v>33</v>
      </c>
      <c r="K199" s="7">
        <v>28000</v>
      </c>
      <c r="L199" s="240">
        <f>ROUND(Tabla2[[#This Row],[Área ocupada (m²)3]]/20*1.4,2)</f>
        <v>0.84</v>
      </c>
      <c r="M199" s="240">
        <f>ROUND(Tabla2[[#This Row],[Área ocupada (m²)]],2)</f>
        <v>12</v>
      </c>
      <c r="N199" s="240">
        <f>ROUND(Tabla2[[#This Row],[Área techada (m²)]],2)</f>
        <v>12</v>
      </c>
      <c r="O199" s="243">
        <f>ROUND(Tabla2[[#This Row],[Área techada (m²)4]]*0.15,2)</f>
        <v>1.8</v>
      </c>
      <c r="P199" s="6">
        <f>ROUND(Tabla2[[#This Row],[Área del terreno (m²)2]]*DATA!$F$4,-2)</f>
        <v>600</v>
      </c>
      <c r="Q199" s="243">
        <f>+Tabla2[[#This Row],[Valor Comercial (US$)]]-Tabla2[[#This Row],[Valor del terreno (US$)]]</f>
        <v>8400</v>
      </c>
      <c r="R19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199" s="244">
        <f>ROUND(Tabla2[[#This Row],[Valor Comercial (US$)]]*0.8,-2)</f>
        <v>7200</v>
      </c>
      <c r="T199" s="244">
        <f>IF(Informe!$I$6=DATA!$B$4,R199,ROUND(Tabla2[[#This Row],[Área techada (m²)4]]*DATA!$F$5*1.15,-2))</f>
        <v>9000</v>
      </c>
      <c r="U199" s="8">
        <f t="shared" si="2"/>
        <v>3.3479999999999999</v>
      </c>
      <c r="V199" s="244">
        <f>ROUND(Tabla2[[#This Row],[Valor del terreno (US$)]]*Tabla2[[#This Row],[Tipo de Cambio]],-2)</f>
        <v>2000</v>
      </c>
      <c r="W199" s="244">
        <f>Tabla2[[#This Row],[Valor Comercial (S/.)]]-Tabla2[[#This Row],[Valor del terreno (S/.)]]</f>
        <v>28100</v>
      </c>
      <c r="X199" s="244">
        <f>ROUND(Tabla2[[#This Row],[Valor Comercial (US$)]]*Tabla2[[#This Row],[Tipo de Cambio]],-2)</f>
        <v>30100</v>
      </c>
      <c r="Y199" s="244">
        <f>ROUND(Tabla2[[#This Row],[Valor Realización (US$)]]*Tabla2[[#This Row],[Tipo de Cambio]],-2)</f>
        <v>24100</v>
      </c>
      <c r="Z199" s="244">
        <f>+ROUND(Tabla2[[#This Row],[Importe Asegurable (US$)]]*Tabla2[[#This Row],[Tipo de Cambio]],-2)</f>
        <v>30100</v>
      </c>
      <c r="AA199" s="245"/>
      <c r="AB199" s="2">
        <f>+Tabla2[[#This Row],[Valor Comercial (US$)]]/Tabla2[[#This Row],[Área techada (m²)4]]</f>
        <v>750</v>
      </c>
      <c r="AC19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199" s="1" t="s">
        <v>41</v>
      </c>
      <c r="AE199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199" s="347">
        <f>VLOOKUP(Tabla2[[#This Row],[VISTA]],DATA!$H$4:$I$17,2,FALSE)</f>
        <v>9000</v>
      </c>
      <c r="AG199" s="221">
        <f>+Tabla2[[#This Row],[Valor Comercial (S/.)]]/Tabla2[[#This Row],[Valor de Venta]]-1</f>
        <v>7.4999999999999956E-2</v>
      </c>
    </row>
    <row r="200" spans="1:33" s="1" customFormat="1" ht="15" customHeight="1" x14ac:dyDescent="0.25">
      <c r="A200" s="225" t="s">
        <v>39</v>
      </c>
      <c r="B200" s="22">
        <v>1054</v>
      </c>
      <c r="C200" s="14"/>
      <c r="D200" s="27"/>
      <c r="E200" s="28"/>
      <c r="F200" s="12">
        <f>ROUND(Tabla2[[#This Row],[Área ocupada (m²)]]/20*1.4,2)</f>
        <v>0.84</v>
      </c>
      <c r="G200" s="12">
        <v>12</v>
      </c>
      <c r="H200" s="12">
        <v>12</v>
      </c>
      <c r="I200" s="12">
        <f>ROUND(Tabla2[[#This Row],[Área techada (m²)]]*0.15,2)</f>
        <v>1.8</v>
      </c>
      <c r="J200" s="18" t="s">
        <v>33</v>
      </c>
      <c r="K200" s="7">
        <v>28000</v>
      </c>
      <c r="L200" s="240">
        <f>ROUND(Tabla2[[#This Row],[Área ocupada (m²)3]]/20*1.4,2)</f>
        <v>0.84</v>
      </c>
      <c r="M200" s="240">
        <f>ROUND(Tabla2[[#This Row],[Área ocupada (m²)]],2)</f>
        <v>12</v>
      </c>
      <c r="N200" s="240">
        <f>ROUND(Tabla2[[#This Row],[Área techada (m²)]],2)</f>
        <v>12</v>
      </c>
      <c r="O200" s="243">
        <f>ROUND(Tabla2[[#This Row],[Área techada (m²)4]]*0.15,2)</f>
        <v>1.8</v>
      </c>
      <c r="P200" s="6">
        <f>ROUND(Tabla2[[#This Row],[Área del terreno (m²)2]]*DATA!$F$4,-2)</f>
        <v>600</v>
      </c>
      <c r="Q200" s="243">
        <f>+Tabla2[[#This Row],[Valor Comercial (US$)]]-Tabla2[[#This Row],[Valor del terreno (US$)]]</f>
        <v>8400</v>
      </c>
      <c r="R20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00" s="244">
        <f>ROUND(Tabla2[[#This Row],[Valor Comercial (US$)]]*0.8,-2)</f>
        <v>7200</v>
      </c>
      <c r="T200" s="244">
        <f>IF(Informe!$I$6=DATA!$B$4,R200,ROUND(Tabla2[[#This Row],[Área techada (m²)4]]*DATA!$F$5*1.15,-2))</f>
        <v>9000</v>
      </c>
      <c r="U200" s="8">
        <f t="shared" si="2"/>
        <v>3.3479999999999999</v>
      </c>
      <c r="V200" s="244">
        <f>ROUND(Tabla2[[#This Row],[Valor del terreno (US$)]]*Tabla2[[#This Row],[Tipo de Cambio]],-2)</f>
        <v>2000</v>
      </c>
      <c r="W200" s="244">
        <f>Tabla2[[#This Row],[Valor Comercial (S/.)]]-Tabla2[[#This Row],[Valor del terreno (S/.)]]</f>
        <v>28100</v>
      </c>
      <c r="X200" s="244">
        <f>ROUND(Tabla2[[#This Row],[Valor Comercial (US$)]]*Tabla2[[#This Row],[Tipo de Cambio]],-2)</f>
        <v>30100</v>
      </c>
      <c r="Y200" s="244">
        <f>ROUND(Tabla2[[#This Row],[Valor Realización (US$)]]*Tabla2[[#This Row],[Tipo de Cambio]],-2)</f>
        <v>24100</v>
      </c>
      <c r="Z200" s="244">
        <f>+ROUND(Tabla2[[#This Row],[Importe Asegurable (US$)]]*Tabla2[[#This Row],[Tipo de Cambio]],-2)</f>
        <v>30100</v>
      </c>
      <c r="AA200" s="245"/>
      <c r="AB200" s="2">
        <f>+Tabla2[[#This Row],[Valor Comercial (US$)]]/Tabla2[[#This Row],[Área techada (m²)4]]</f>
        <v>750</v>
      </c>
      <c r="AC20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00" s="1" t="s">
        <v>41</v>
      </c>
      <c r="AE200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00" s="347">
        <f>VLOOKUP(Tabla2[[#This Row],[VISTA]],DATA!$H$4:$I$17,2,FALSE)</f>
        <v>9000</v>
      </c>
      <c r="AG200" s="221">
        <f>+Tabla2[[#This Row],[Valor Comercial (S/.)]]/Tabla2[[#This Row],[Valor de Venta]]-1</f>
        <v>7.4999999999999956E-2</v>
      </c>
    </row>
    <row r="201" spans="1:33" s="1" customFormat="1" ht="15" customHeight="1" x14ac:dyDescent="0.25">
      <c r="A201" s="225" t="s">
        <v>39</v>
      </c>
      <c r="B201" s="22">
        <v>1055</v>
      </c>
      <c r="C201" s="14"/>
      <c r="D201" s="27"/>
      <c r="E201" s="28"/>
      <c r="F201" s="12">
        <f>ROUND(Tabla2[[#This Row],[Área ocupada (m²)]]/20*1.4,2)</f>
        <v>0.84</v>
      </c>
      <c r="G201" s="12">
        <v>12</v>
      </c>
      <c r="H201" s="12">
        <v>12</v>
      </c>
      <c r="I201" s="12">
        <f>ROUND(Tabla2[[#This Row],[Área techada (m²)]]*0.15,2)</f>
        <v>1.8</v>
      </c>
      <c r="J201" s="18" t="s">
        <v>33</v>
      </c>
      <c r="K201" s="7">
        <v>28000</v>
      </c>
      <c r="L201" s="240">
        <f>ROUND(Tabla2[[#This Row],[Área ocupada (m²)3]]/20*1.4,2)</f>
        <v>0.84</v>
      </c>
      <c r="M201" s="240">
        <f>ROUND(Tabla2[[#This Row],[Área ocupada (m²)]],2)</f>
        <v>12</v>
      </c>
      <c r="N201" s="240">
        <f>ROUND(Tabla2[[#This Row],[Área techada (m²)]],2)</f>
        <v>12</v>
      </c>
      <c r="O201" s="243">
        <f>ROUND(Tabla2[[#This Row],[Área techada (m²)4]]*0.15,2)</f>
        <v>1.8</v>
      </c>
      <c r="P201" s="6">
        <f>ROUND(Tabla2[[#This Row],[Área del terreno (m²)2]]*DATA!$F$4,-2)</f>
        <v>600</v>
      </c>
      <c r="Q201" s="243">
        <f>+Tabla2[[#This Row],[Valor Comercial (US$)]]-Tabla2[[#This Row],[Valor del terreno (US$)]]</f>
        <v>8400</v>
      </c>
      <c r="R20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01" s="244">
        <f>ROUND(Tabla2[[#This Row],[Valor Comercial (US$)]]*0.8,-2)</f>
        <v>7200</v>
      </c>
      <c r="T201" s="244">
        <f>IF(Informe!$I$6=DATA!$B$4,R201,ROUND(Tabla2[[#This Row],[Área techada (m²)4]]*DATA!$F$5*1.15,-2))</f>
        <v>9000</v>
      </c>
      <c r="U201" s="8">
        <f t="shared" si="2"/>
        <v>3.3479999999999999</v>
      </c>
      <c r="V201" s="244">
        <f>ROUND(Tabla2[[#This Row],[Valor del terreno (US$)]]*Tabla2[[#This Row],[Tipo de Cambio]],-2)</f>
        <v>2000</v>
      </c>
      <c r="W201" s="244">
        <f>Tabla2[[#This Row],[Valor Comercial (S/.)]]-Tabla2[[#This Row],[Valor del terreno (S/.)]]</f>
        <v>28100</v>
      </c>
      <c r="X201" s="244">
        <f>ROUND(Tabla2[[#This Row],[Valor Comercial (US$)]]*Tabla2[[#This Row],[Tipo de Cambio]],-2)</f>
        <v>30100</v>
      </c>
      <c r="Y201" s="244">
        <f>ROUND(Tabla2[[#This Row],[Valor Realización (US$)]]*Tabla2[[#This Row],[Tipo de Cambio]],-2)</f>
        <v>24100</v>
      </c>
      <c r="Z201" s="244">
        <f>+ROUND(Tabla2[[#This Row],[Importe Asegurable (US$)]]*Tabla2[[#This Row],[Tipo de Cambio]],-2)</f>
        <v>30100</v>
      </c>
      <c r="AA201" s="245"/>
      <c r="AB201" s="2">
        <f>+Tabla2[[#This Row],[Valor Comercial (US$)]]/Tabla2[[#This Row],[Área techada (m²)4]]</f>
        <v>750</v>
      </c>
      <c r="AC20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01" s="1" t="s">
        <v>41</v>
      </c>
      <c r="AE201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01" s="347">
        <f>VLOOKUP(Tabla2[[#This Row],[VISTA]],DATA!$H$4:$I$17,2,FALSE)</f>
        <v>9000</v>
      </c>
      <c r="AG201" s="221">
        <f>+Tabla2[[#This Row],[Valor Comercial (S/.)]]/Tabla2[[#This Row],[Valor de Venta]]-1</f>
        <v>7.4999999999999956E-2</v>
      </c>
    </row>
    <row r="202" spans="1:33" s="1" customFormat="1" ht="15" customHeight="1" x14ac:dyDescent="0.25">
      <c r="A202" s="225" t="s">
        <v>39</v>
      </c>
      <c r="B202" s="22">
        <v>1056</v>
      </c>
      <c r="C202" s="14"/>
      <c r="D202" s="27"/>
      <c r="E202" s="28"/>
      <c r="F202" s="12">
        <f>ROUND(Tabla2[[#This Row],[Área ocupada (m²)]]/20*1.4,2)</f>
        <v>0.84</v>
      </c>
      <c r="G202" s="12">
        <v>12</v>
      </c>
      <c r="H202" s="12">
        <v>12</v>
      </c>
      <c r="I202" s="12">
        <f>ROUND(Tabla2[[#This Row],[Área techada (m²)]]*0.15,2)</f>
        <v>1.8</v>
      </c>
      <c r="J202" s="18" t="s">
        <v>33</v>
      </c>
      <c r="K202" s="7">
        <v>28000</v>
      </c>
      <c r="L202" s="240">
        <f>ROUND(Tabla2[[#This Row],[Área ocupada (m²)3]]/20*1.4,2)</f>
        <v>0.84</v>
      </c>
      <c r="M202" s="240">
        <f>ROUND(Tabla2[[#This Row],[Área ocupada (m²)]],2)</f>
        <v>12</v>
      </c>
      <c r="N202" s="240">
        <f>ROUND(Tabla2[[#This Row],[Área techada (m²)]],2)</f>
        <v>12</v>
      </c>
      <c r="O202" s="243">
        <f>ROUND(Tabla2[[#This Row],[Área techada (m²)4]]*0.15,2)</f>
        <v>1.8</v>
      </c>
      <c r="P202" s="6">
        <f>ROUND(Tabla2[[#This Row],[Área del terreno (m²)2]]*DATA!$F$4,-2)</f>
        <v>600</v>
      </c>
      <c r="Q202" s="243">
        <f>+Tabla2[[#This Row],[Valor Comercial (US$)]]-Tabla2[[#This Row],[Valor del terreno (US$)]]</f>
        <v>8400</v>
      </c>
      <c r="R20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02" s="244">
        <f>ROUND(Tabla2[[#This Row],[Valor Comercial (US$)]]*0.8,-2)</f>
        <v>7200</v>
      </c>
      <c r="T202" s="244">
        <f>IF(Informe!$I$6=DATA!$B$4,R202,ROUND(Tabla2[[#This Row],[Área techada (m²)4]]*DATA!$F$5*1.15,-2))</f>
        <v>9000</v>
      </c>
      <c r="U202" s="8">
        <f t="shared" si="2"/>
        <v>3.3479999999999999</v>
      </c>
      <c r="V202" s="244">
        <f>ROUND(Tabla2[[#This Row],[Valor del terreno (US$)]]*Tabla2[[#This Row],[Tipo de Cambio]],-2)</f>
        <v>2000</v>
      </c>
      <c r="W202" s="244">
        <f>Tabla2[[#This Row],[Valor Comercial (S/.)]]-Tabla2[[#This Row],[Valor del terreno (S/.)]]</f>
        <v>28100</v>
      </c>
      <c r="X202" s="244">
        <f>ROUND(Tabla2[[#This Row],[Valor Comercial (US$)]]*Tabla2[[#This Row],[Tipo de Cambio]],-2)</f>
        <v>30100</v>
      </c>
      <c r="Y202" s="244">
        <f>ROUND(Tabla2[[#This Row],[Valor Realización (US$)]]*Tabla2[[#This Row],[Tipo de Cambio]],-2)</f>
        <v>24100</v>
      </c>
      <c r="Z202" s="244">
        <f>+ROUND(Tabla2[[#This Row],[Importe Asegurable (US$)]]*Tabla2[[#This Row],[Tipo de Cambio]],-2)</f>
        <v>30100</v>
      </c>
      <c r="AA202" s="245"/>
      <c r="AB202" s="2">
        <f>+Tabla2[[#This Row],[Valor Comercial (US$)]]/Tabla2[[#This Row],[Área techada (m²)4]]</f>
        <v>750</v>
      </c>
      <c r="AC20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02" s="1" t="s">
        <v>41</v>
      </c>
      <c r="AE202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02" s="347">
        <f>VLOOKUP(Tabla2[[#This Row],[VISTA]],DATA!$H$4:$I$17,2,FALSE)</f>
        <v>9000</v>
      </c>
      <c r="AG202" s="221">
        <f>+Tabla2[[#This Row],[Valor Comercial (S/.)]]/Tabla2[[#This Row],[Valor de Venta]]-1</f>
        <v>7.4999999999999956E-2</v>
      </c>
    </row>
    <row r="203" spans="1:33" s="1" customFormat="1" ht="15" customHeight="1" x14ac:dyDescent="0.25">
      <c r="A203" s="225" t="s">
        <v>39</v>
      </c>
      <c r="B203" s="22">
        <v>1057</v>
      </c>
      <c r="C203" s="14"/>
      <c r="D203" s="27"/>
      <c r="E203" s="28"/>
      <c r="F203" s="12">
        <f>ROUND(Tabla2[[#This Row],[Área ocupada (m²)]]/20*1.4,2)</f>
        <v>0.84</v>
      </c>
      <c r="G203" s="12">
        <v>12</v>
      </c>
      <c r="H203" s="12">
        <v>12</v>
      </c>
      <c r="I203" s="12">
        <f>ROUND(Tabla2[[#This Row],[Área techada (m²)]]*0.15,2)</f>
        <v>1.8</v>
      </c>
      <c r="J203" s="18" t="s">
        <v>33</v>
      </c>
      <c r="K203" s="7">
        <v>28000</v>
      </c>
      <c r="L203" s="240">
        <f>ROUND(Tabla2[[#This Row],[Área ocupada (m²)3]]/20*1.4,2)</f>
        <v>0.84</v>
      </c>
      <c r="M203" s="240">
        <f>ROUND(Tabla2[[#This Row],[Área ocupada (m²)]],2)</f>
        <v>12</v>
      </c>
      <c r="N203" s="240">
        <f>ROUND(Tabla2[[#This Row],[Área techada (m²)]],2)</f>
        <v>12</v>
      </c>
      <c r="O203" s="243">
        <f>ROUND(Tabla2[[#This Row],[Área techada (m²)4]]*0.15,2)</f>
        <v>1.8</v>
      </c>
      <c r="P203" s="6">
        <f>ROUND(Tabla2[[#This Row],[Área del terreno (m²)2]]*DATA!$F$4,-2)</f>
        <v>600</v>
      </c>
      <c r="Q203" s="243">
        <f>+Tabla2[[#This Row],[Valor Comercial (US$)]]-Tabla2[[#This Row],[Valor del terreno (US$)]]</f>
        <v>8400</v>
      </c>
      <c r="R20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03" s="244">
        <f>ROUND(Tabla2[[#This Row],[Valor Comercial (US$)]]*0.8,-2)</f>
        <v>7200</v>
      </c>
      <c r="T203" s="244">
        <f>IF(Informe!$I$6=DATA!$B$4,R203,ROUND(Tabla2[[#This Row],[Área techada (m²)4]]*DATA!$F$5*1.15,-2))</f>
        <v>9000</v>
      </c>
      <c r="U203" s="8">
        <f t="shared" si="2"/>
        <v>3.3479999999999999</v>
      </c>
      <c r="V203" s="244">
        <f>ROUND(Tabla2[[#This Row],[Valor del terreno (US$)]]*Tabla2[[#This Row],[Tipo de Cambio]],-2)</f>
        <v>2000</v>
      </c>
      <c r="W203" s="244">
        <f>Tabla2[[#This Row],[Valor Comercial (S/.)]]-Tabla2[[#This Row],[Valor del terreno (S/.)]]</f>
        <v>28100</v>
      </c>
      <c r="X203" s="244">
        <f>ROUND(Tabla2[[#This Row],[Valor Comercial (US$)]]*Tabla2[[#This Row],[Tipo de Cambio]],-2)</f>
        <v>30100</v>
      </c>
      <c r="Y203" s="244">
        <f>ROUND(Tabla2[[#This Row],[Valor Realización (US$)]]*Tabla2[[#This Row],[Tipo de Cambio]],-2)</f>
        <v>24100</v>
      </c>
      <c r="Z203" s="244">
        <f>+ROUND(Tabla2[[#This Row],[Importe Asegurable (US$)]]*Tabla2[[#This Row],[Tipo de Cambio]],-2)</f>
        <v>30100</v>
      </c>
      <c r="AA203" s="245"/>
      <c r="AB203" s="2">
        <f>+Tabla2[[#This Row],[Valor Comercial (US$)]]/Tabla2[[#This Row],[Área techada (m²)4]]</f>
        <v>750</v>
      </c>
      <c r="AC20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03" s="1" t="s">
        <v>41</v>
      </c>
      <c r="AE203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03" s="347">
        <f>VLOOKUP(Tabla2[[#This Row],[VISTA]],DATA!$H$4:$I$17,2,FALSE)</f>
        <v>9000</v>
      </c>
      <c r="AG203" s="221">
        <f>+Tabla2[[#This Row],[Valor Comercial (S/.)]]/Tabla2[[#This Row],[Valor de Venta]]-1</f>
        <v>7.4999999999999956E-2</v>
      </c>
    </row>
    <row r="204" spans="1:33" s="1" customFormat="1" ht="15" customHeight="1" x14ac:dyDescent="0.25">
      <c r="A204" s="225" t="s">
        <v>39</v>
      </c>
      <c r="B204" s="22">
        <v>1058</v>
      </c>
      <c r="C204" s="14"/>
      <c r="D204" s="27"/>
      <c r="E204" s="28"/>
      <c r="F204" s="12">
        <f>ROUND(Tabla2[[#This Row],[Área ocupada (m²)]]/20*1.4,2)</f>
        <v>0.84</v>
      </c>
      <c r="G204" s="12">
        <v>12</v>
      </c>
      <c r="H204" s="12">
        <v>12</v>
      </c>
      <c r="I204" s="12">
        <f>ROUND(Tabla2[[#This Row],[Área techada (m²)]]*0.15,2)</f>
        <v>1.8</v>
      </c>
      <c r="J204" s="18" t="s">
        <v>33</v>
      </c>
      <c r="K204" s="7">
        <v>28000</v>
      </c>
      <c r="L204" s="240">
        <f>ROUND(Tabla2[[#This Row],[Área ocupada (m²)3]]/20*1.4,2)</f>
        <v>0.84</v>
      </c>
      <c r="M204" s="240">
        <f>ROUND(Tabla2[[#This Row],[Área ocupada (m²)]],2)</f>
        <v>12</v>
      </c>
      <c r="N204" s="240">
        <f>ROUND(Tabla2[[#This Row],[Área techada (m²)]],2)</f>
        <v>12</v>
      </c>
      <c r="O204" s="243">
        <f>ROUND(Tabla2[[#This Row],[Área techada (m²)4]]*0.15,2)</f>
        <v>1.8</v>
      </c>
      <c r="P204" s="6">
        <f>ROUND(Tabla2[[#This Row],[Área del terreno (m²)2]]*DATA!$F$4,-2)</f>
        <v>600</v>
      </c>
      <c r="Q204" s="243">
        <f>+Tabla2[[#This Row],[Valor Comercial (US$)]]-Tabla2[[#This Row],[Valor del terreno (US$)]]</f>
        <v>8400</v>
      </c>
      <c r="R20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04" s="244">
        <f>ROUND(Tabla2[[#This Row],[Valor Comercial (US$)]]*0.8,-2)</f>
        <v>7200</v>
      </c>
      <c r="T204" s="244">
        <f>IF(Informe!$I$6=DATA!$B$4,R204,ROUND(Tabla2[[#This Row],[Área techada (m²)4]]*DATA!$F$5*1.15,-2))</f>
        <v>9000</v>
      </c>
      <c r="U204" s="8">
        <f t="shared" si="2"/>
        <v>3.3479999999999999</v>
      </c>
      <c r="V204" s="244">
        <f>ROUND(Tabla2[[#This Row],[Valor del terreno (US$)]]*Tabla2[[#This Row],[Tipo de Cambio]],-2)</f>
        <v>2000</v>
      </c>
      <c r="W204" s="244">
        <f>Tabla2[[#This Row],[Valor Comercial (S/.)]]-Tabla2[[#This Row],[Valor del terreno (S/.)]]</f>
        <v>28100</v>
      </c>
      <c r="X204" s="244">
        <f>ROUND(Tabla2[[#This Row],[Valor Comercial (US$)]]*Tabla2[[#This Row],[Tipo de Cambio]],-2)</f>
        <v>30100</v>
      </c>
      <c r="Y204" s="244">
        <f>ROUND(Tabla2[[#This Row],[Valor Realización (US$)]]*Tabla2[[#This Row],[Tipo de Cambio]],-2)</f>
        <v>24100</v>
      </c>
      <c r="Z204" s="244">
        <f>+ROUND(Tabla2[[#This Row],[Importe Asegurable (US$)]]*Tabla2[[#This Row],[Tipo de Cambio]],-2)</f>
        <v>30100</v>
      </c>
      <c r="AA204" s="245"/>
      <c r="AB204" s="2">
        <f>+Tabla2[[#This Row],[Valor Comercial (US$)]]/Tabla2[[#This Row],[Área techada (m²)4]]</f>
        <v>750</v>
      </c>
      <c r="AC20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04" s="1" t="s">
        <v>41</v>
      </c>
      <c r="AE204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04" s="347">
        <f>VLOOKUP(Tabla2[[#This Row],[VISTA]],DATA!$H$4:$I$17,2,FALSE)</f>
        <v>9000</v>
      </c>
      <c r="AG204" s="221">
        <f>+Tabla2[[#This Row],[Valor Comercial (S/.)]]/Tabla2[[#This Row],[Valor de Venta]]-1</f>
        <v>7.4999999999999956E-2</v>
      </c>
    </row>
    <row r="205" spans="1:33" s="1" customFormat="1" ht="15" customHeight="1" x14ac:dyDescent="0.25">
      <c r="A205" s="225" t="s">
        <v>39</v>
      </c>
      <c r="B205" s="22">
        <v>1059</v>
      </c>
      <c r="C205" s="14"/>
      <c r="D205" s="27"/>
      <c r="E205" s="28"/>
      <c r="F205" s="12">
        <f>ROUND(Tabla2[[#This Row],[Área ocupada (m²)]]/20*1.4,2)</f>
        <v>0.84</v>
      </c>
      <c r="G205" s="12">
        <v>12</v>
      </c>
      <c r="H205" s="12">
        <v>12</v>
      </c>
      <c r="I205" s="12">
        <f>ROUND(Tabla2[[#This Row],[Área techada (m²)]]*0.15,2)</f>
        <v>1.8</v>
      </c>
      <c r="J205" s="18" t="s">
        <v>33</v>
      </c>
      <c r="K205" s="7">
        <v>28000</v>
      </c>
      <c r="L205" s="240">
        <f>ROUND(Tabla2[[#This Row],[Área ocupada (m²)3]]/20*1.4,2)</f>
        <v>0.84</v>
      </c>
      <c r="M205" s="240">
        <f>ROUND(Tabla2[[#This Row],[Área ocupada (m²)]],2)</f>
        <v>12</v>
      </c>
      <c r="N205" s="240">
        <f>ROUND(Tabla2[[#This Row],[Área techada (m²)]],2)</f>
        <v>12</v>
      </c>
      <c r="O205" s="243">
        <f>ROUND(Tabla2[[#This Row],[Área techada (m²)4]]*0.15,2)</f>
        <v>1.8</v>
      </c>
      <c r="P205" s="6">
        <f>ROUND(Tabla2[[#This Row],[Área del terreno (m²)2]]*DATA!$F$4,-2)</f>
        <v>600</v>
      </c>
      <c r="Q205" s="243">
        <f>+Tabla2[[#This Row],[Valor Comercial (US$)]]-Tabla2[[#This Row],[Valor del terreno (US$)]]</f>
        <v>8400</v>
      </c>
      <c r="R20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05" s="244">
        <f>ROUND(Tabla2[[#This Row],[Valor Comercial (US$)]]*0.8,-2)</f>
        <v>7200</v>
      </c>
      <c r="T205" s="244">
        <f>IF(Informe!$I$6=DATA!$B$4,R205,ROUND(Tabla2[[#This Row],[Área techada (m²)4]]*DATA!$F$5*1.15,-2))</f>
        <v>9000</v>
      </c>
      <c r="U205" s="8">
        <f t="shared" ref="U205:U237" si="3">+$G$8</f>
        <v>3.3479999999999999</v>
      </c>
      <c r="V205" s="244">
        <f>ROUND(Tabla2[[#This Row],[Valor del terreno (US$)]]*Tabla2[[#This Row],[Tipo de Cambio]],-2)</f>
        <v>2000</v>
      </c>
      <c r="W205" s="244">
        <f>Tabla2[[#This Row],[Valor Comercial (S/.)]]-Tabla2[[#This Row],[Valor del terreno (S/.)]]</f>
        <v>28100</v>
      </c>
      <c r="X205" s="244">
        <f>ROUND(Tabla2[[#This Row],[Valor Comercial (US$)]]*Tabla2[[#This Row],[Tipo de Cambio]],-2)</f>
        <v>30100</v>
      </c>
      <c r="Y205" s="244">
        <f>ROUND(Tabla2[[#This Row],[Valor Realización (US$)]]*Tabla2[[#This Row],[Tipo de Cambio]],-2)</f>
        <v>24100</v>
      </c>
      <c r="Z205" s="244">
        <f>+ROUND(Tabla2[[#This Row],[Importe Asegurable (US$)]]*Tabla2[[#This Row],[Tipo de Cambio]],-2)</f>
        <v>30100</v>
      </c>
      <c r="AA205" s="245"/>
      <c r="AB205" s="2">
        <f>+Tabla2[[#This Row],[Valor Comercial (US$)]]/Tabla2[[#This Row],[Área techada (m²)4]]</f>
        <v>750</v>
      </c>
      <c r="AC20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05" s="1" t="s">
        <v>41</v>
      </c>
      <c r="AE205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05" s="347">
        <f>VLOOKUP(Tabla2[[#This Row],[VISTA]],DATA!$H$4:$I$17,2,FALSE)</f>
        <v>9000</v>
      </c>
      <c r="AG205" s="221">
        <f>+Tabla2[[#This Row],[Valor Comercial (S/.)]]/Tabla2[[#This Row],[Valor de Venta]]-1</f>
        <v>7.4999999999999956E-2</v>
      </c>
    </row>
    <row r="206" spans="1:33" s="1" customFormat="1" ht="15" customHeight="1" x14ac:dyDescent="0.25">
      <c r="A206" s="225" t="s">
        <v>39</v>
      </c>
      <c r="B206" s="22">
        <v>1060</v>
      </c>
      <c r="C206" s="14"/>
      <c r="D206" s="27"/>
      <c r="E206" s="28"/>
      <c r="F206" s="12">
        <f>ROUND(Tabla2[[#This Row],[Área ocupada (m²)]]/20*1.4,2)</f>
        <v>0.84</v>
      </c>
      <c r="G206" s="12">
        <v>12</v>
      </c>
      <c r="H206" s="12">
        <v>12</v>
      </c>
      <c r="I206" s="12">
        <f>ROUND(Tabla2[[#This Row],[Área techada (m²)]]*0.15,2)</f>
        <v>1.8</v>
      </c>
      <c r="J206" s="18" t="s">
        <v>33</v>
      </c>
      <c r="K206" s="7">
        <v>28000</v>
      </c>
      <c r="L206" s="240">
        <f>ROUND(Tabla2[[#This Row],[Área ocupada (m²)3]]/20*1.4,2)</f>
        <v>0.84</v>
      </c>
      <c r="M206" s="240">
        <f>ROUND(Tabla2[[#This Row],[Área ocupada (m²)]],2)</f>
        <v>12</v>
      </c>
      <c r="N206" s="240">
        <f>ROUND(Tabla2[[#This Row],[Área techada (m²)]],2)</f>
        <v>12</v>
      </c>
      <c r="O206" s="243">
        <f>ROUND(Tabla2[[#This Row],[Área techada (m²)4]]*0.15,2)</f>
        <v>1.8</v>
      </c>
      <c r="P206" s="6">
        <f>ROUND(Tabla2[[#This Row],[Área del terreno (m²)2]]*DATA!$F$4,-2)</f>
        <v>600</v>
      </c>
      <c r="Q206" s="243">
        <f>+Tabla2[[#This Row],[Valor Comercial (US$)]]-Tabla2[[#This Row],[Valor del terreno (US$)]]</f>
        <v>8400</v>
      </c>
      <c r="R20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06" s="244">
        <f>ROUND(Tabla2[[#This Row],[Valor Comercial (US$)]]*0.8,-2)</f>
        <v>7200</v>
      </c>
      <c r="T206" s="244">
        <f>IF(Informe!$I$6=DATA!$B$4,R206,ROUND(Tabla2[[#This Row],[Área techada (m²)4]]*DATA!$F$5*1.15,-2))</f>
        <v>9000</v>
      </c>
      <c r="U206" s="8">
        <f t="shared" si="3"/>
        <v>3.3479999999999999</v>
      </c>
      <c r="V206" s="244">
        <f>ROUND(Tabla2[[#This Row],[Valor del terreno (US$)]]*Tabla2[[#This Row],[Tipo de Cambio]],-2)</f>
        <v>2000</v>
      </c>
      <c r="W206" s="244">
        <f>Tabla2[[#This Row],[Valor Comercial (S/.)]]-Tabla2[[#This Row],[Valor del terreno (S/.)]]</f>
        <v>28100</v>
      </c>
      <c r="X206" s="244">
        <f>ROUND(Tabla2[[#This Row],[Valor Comercial (US$)]]*Tabla2[[#This Row],[Tipo de Cambio]],-2)</f>
        <v>30100</v>
      </c>
      <c r="Y206" s="244">
        <f>ROUND(Tabla2[[#This Row],[Valor Realización (US$)]]*Tabla2[[#This Row],[Tipo de Cambio]],-2)</f>
        <v>24100</v>
      </c>
      <c r="Z206" s="244">
        <f>+ROUND(Tabla2[[#This Row],[Importe Asegurable (US$)]]*Tabla2[[#This Row],[Tipo de Cambio]],-2)</f>
        <v>30100</v>
      </c>
      <c r="AA206" s="245"/>
      <c r="AB206" s="2">
        <f>+Tabla2[[#This Row],[Valor Comercial (US$)]]/Tabla2[[#This Row],[Área techada (m²)4]]</f>
        <v>750</v>
      </c>
      <c r="AC20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06" s="1" t="s">
        <v>41</v>
      </c>
      <c r="AE206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06" s="347">
        <f>VLOOKUP(Tabla2[[#This Row],[VISTA]],DATA!$H$4:$I$17,2,FALSE)</f>
        <v>9000</v>
      </c>
      <c r="AG206" s="221">
        <f>+Tabla2[[#This Row],[Valor Comercial (S/.)]]/Tabla2[[#This Row],[Valor de Venta]]-1</f>
        <v>7.4999999999999956E-2</v>
      </c>
    </row>
    <row r="207" spans="1:33" s="1" customFormat="1" ht="15" customHeight="1" x14ac:dyDescent="0.25">
      <c r="A207" s="225" t="s">
        <v>39</v>
      </c>
      <c r="B207" s="22">
        <v>1061</v>
      </c>
      <c r="C207" s="14"/>
      <c r="D207" s="27"/>
      <c r="E207" s="28"/>
      <c r="F207" s="12">
        <f>ROUND(Tabla2[[#This Row],[Área ocupada (m²)]]/20*1.4,2)</f>
        <v>0.84</v>
      </c>
      <c r="G207" s="12">
        <v>12</v>
      </c>
      <c r="H207" s="12">
        <v>12</v>
      </c>
      <c r="I207" s="12">
        <f>ROUND(Tabla2[[#This Row],[Área techada (m²)]]*0.15,2)</f>
        <v>1.8</v>
      </c>
      <c r="J207" s="18" t="s">
        <v>33</v>
      </c>
      <c r="K207" s="7">
        <v>28000</v>
      </c>
      <c r="L207" s="240">
        <f>ROUND(Tabla2[[#This Row],[Área ocupada (m²)3]]/20*1.4,2)</f>
        <v>0.84</v>
      </c>
      <c r="M207" s="240">
        <f>ROUND(Tabla2[[#This Row],[Área ocupada (m²)]],2)</f>
        <v>12</v>
      </c>
      <c r="N207" s="240">
        <f>ROUND(Tabla2[[#This Row],[Área techada (m²)]],2)</f>
        <v>12</v>
      </c>
      <c r="O207" s="243">
        <f>ROUND(Tabla2[[#This Row],[Área techada (m²)4]]*0.15,2)</f>
        <v>1.8</v>
      </c>
      <c r="P207" s="6">
        <f>ROUND(Tabla2[[#This Row],[Área del terreno (m²)2]]*DATA!$F$4,-2)</f>
        <v>600</v>
      </c>
      <c r="Q207" s="243">
        <f>+Tabla2[[#This Row],[Valor Comercial (US$)]]-Tabla2[[#This Row],[Valor del terreno (US$)]]</f>
        <v>8400</v>
      </c>
      <c r="R20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07" s="244">
        <f>ROUND(Tabla2[[#This Row],[Valor Comercial (US$)]]*0.8,-2)</f>
        <v>7200</v>
      </c>
      <c r="T207" s="244">
        <f>IF(Informe!$I$6=DATA!$B$4,R207,ROUND(Tabla2[[#This Row],[Área techada (m²)4]]*DATA!$F$5*1.15,-2))</f>
        <v>9000</v>
      </c>
      <c r="U207" s="8">
        <f t="shared" si="3"/>
        <v>3.3479999999999999</v>
      </c>
      <c r="V207" s="244">
        <f>ROUND(Tabla2[[#This Row],[Valor del terreno (US$)]]*Tabla2[[#This Row],[Tipo de Cambio]],-2)</f>
        <v>2000</v>
      </c>
      <c r="W207" s="244">
        <f>Tabla2[[#This Row],[Valor Comercial (S/.)]]-Tabla2[[#This Row],[Valor del terreno (S/.)]]</f>
        <v>28100</v>
      </c>
      <c r="X207" s="244">
        <f>ROUND(Tabla2[[#This Row],[Valor Comercial (US$)]]*Tabla2[[#This Row],[Tipo de Cambio]],-2)</f>
        <v>30100</v>
      </c>
      <c r="Y207" s="244">
        <f>ROUND(Tabla2[[#This Row],[Valor Realización (US$)]]*Tabla2[[#This Row],[Tipo de Cambio]],-2)</f>
        <v>24100</v>
      </c>
      <c r="Z207" s="244">
        <f>+ROUND(Tabla2[[#This Row],[Importe Asegurable (US$)]]*Tabla2[[#This Row],[Tipo de Cambio]],-2)</f>
        <v>30100</v>
      </c>
      <c r="AA207" s="245"/>
      <c r="AB207" s="2">
        <f>+Tabla2[[#This Row],[Valor Comercial (US$)]]/Tabla2[[#This Row],[Área techada (m²)4]]</f>
        <v>750</v>
      </c>
      <c r="AC20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07" s="1" t="s">
        <v>41</v>
      </c>
      <c r="AE207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07" s="347">
        <f>VLOOKUP(Tabla2[[#This Row],[VISTA]],DATA!$H$4:$I$17,2,FALSE)</f>
        <v>9000</v>
      </c>
      <c r="AG207" s="221">
        <f>+Tabla2[[#This Row],[Valor Comercial (S/.)]]/Tabla2[[#This Row],[Valor de Venta]]-1</f>
        <v>7.4999999999999956E-2</v>
      </c>
    </row>
    <row r="208" spans="1:33" s="1" customFormat="1" ht="15" customHeight="1" x14ac:dyDescent="0.25">
      <c r="A208" s="225" t="s">
        <v>39</v>
      </c>
      <c r="B208" s="22">
        <v>1062</v>
      </c>
      <c r="C208" s="14"/>
      <c r="D208" s="27"/>
      <c r="E208" s="28"/>
      <c r="F208" s="12">
        <f>ROUND(Tabla2[[#This Row],[Área ocupada (m²)]]/20*1.4,2)</f>
        <v>0.84</v>
      </c>
      <c r="G208" s="12">
        <v>12</v>
      </c>
      <c r="H208" s="12">
        <v>12</v>
      </c>
      <c r="I208" s="12">
        <f>ROUND(Tabla2[[#This Row],[Área techada (m²)]]*0.15,2)</f>
        <v>1.8</v>
      </c>
      <c r="J208" s="18" t="s">
        <v>33</v>
      </c>
      <c r="K208" s="7">
        <v>28000</v>
      </c>
      <c r="L208" s="240">
        <f>ROUND(Tabla2[[#This Row],[Área ocupada (m²)3]]/20*1.4,2)</f>
        <v>0.84</v>
      </c>
      <c r="M208" s="240">
        <f>ROUND(Tabla2[[#This Row],[Área ocupada (m²)]],2)</f>
        <v>12</v>
      </c>
      <c r="N208" s="240">
        <f>ROUND(Tabla2[[#This Row],[Área techada (m²)]],2)</f>
        <v>12</v>
      </c>
      <c r="O208" s="243">
        <f>ROUND(Tabla2[[#This Row],[Área techada (m²)4]]*0.15,2)</f>
        <v>1.8</v>
      </c>
      <c r="P208" s="6">
        <f>ROUND(Tabla2[[#This Row],[Área del terreno (m²)2]]*DATA!$F$4,-2)</f>
        <v>600</v>
      </c>
      <c r="Q208" s="243">
        <f>+Tabla2[[#This Row],[Valor Comercial (US$)]]-Tabla2[[#This Row],[Valor del terreno (US$)]]</f>
        <v>8400</v>
      </c>
      <c r="R20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08" s="244">
        <f>ROUND(Tabla2[[#This Row],[Valor Comercial (US$)]]*0.8,-2)</f>
        <v>7200</v>
      </c>
      <c r="T208" s="244">
        <f>IF(Informe!$I$6=DATA!$B$4,R208,ROUND(Tabla2[[#This Row],[Área techada (m²)4]]*DATA!$F$5*1.15,-2))</f>
        <v>9000</v>
      </c>
      <c r="U208" s="8">
        <f t="shared" si="3"/>
        <v>3.3479999999999999</v>
      </c>
      <c r="V208" s="244">
        <f>ROUND(Tabla2[[#This Row],[Valor del terreno (US$)]]*Tabla2[[#This Row],[Tipo de Cambio]],-2)</f>
        <v>2000</v>
      </c>
      <c r="W208" s="244">
        <f>Tabla2[[#This Row],[Valor Comercial (S/.)]]-Tabla2[[#This Row],[Valor del terreno (S/.)]]</f>
        <v>28100</v>
      </c>
      <c r="X208" s="244">
        <f>ROUND(Tabla2[[#This Row],[Valor Comercial (US$)]]*Tabla2[[#This Row],[Tipo de Cambio]],-2)</f>
        <v>30100</v>
      </c>
      <c r="Y208" s="244">
        <f>ROUND(Tabla2[[#This Row],[Valor Realización (US$)]]*Tabla2[[#This Row],[Tipo de Cambio]],-2)</f>
        <v>24100</v>
      </c>
      <c r="Z208" s="244">
        <f>+ROUND(Tabla2[[#This Row],[Importe Asegurable (US$)]]*Tabla2[[#This Row],[Tipo de Cambio]],-2)</f>
        <v>30100</v>
      </c>
      <c r="AA208" s="245"/>
      <c r="AB208" s="2">
        <f>+Tabla2[[#This Row],[Valor Comercial (US$)]]/Tabla2[[#This Row],[Área techada (m²)4]]</f>
        <v>750</v>
      </c>
      <c r="AC20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08" s="1" t="s">
        <v>41</v>
      </c>
      <c r="AE208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08" s="347">
        <f>VLOOKUP(Tabla2[[#This Row],[VISTA]],DATA!$H$4:$I$17,2,FALSE)</f>
        <v>9000</v>
      </c>
      <c r="AG208" s="221">
        <f>+Tabla2[[#This Row],[Valor Comercial (S/.)]]/Tabla2[[#This Row],[Valor de Venta]]-1</f>
        <v>7.4999999999999956E-2</v>
      </c>
    </row>
    <row r="209" spans="1:33" s="1" customFormat="1" ht="15" customHeight="1" x14ac:dyDescent="0.25">
      <c r="A209" s="225" t="s">
        <v>39</v>
      </c>
      <c r="B209" s="22">
        <v>1063</v>
      </c>
      <c r="C209" s="14"/>
      <c r="D209" s="27"/>
      <c r="E209" s="28"/>
      <c r="F209" s="12">
        <f>ROUND(Tabla2[[#This Row],[Área ocupada (m²)]]/20*1.4,2)</f>
        <v>0.84</v>
      </c>
      <c r="G209" s="12">
        <v>12</v>
      </c>
      <c r="H209" s="12">
        <v>12</v>
      </c>
      <c r="I209" s="12">
        <f>ROUND(Tabla2[[#This Row],[Área techada (m²)]]*0.15,2)</f>
        <v>1.8</v>
      </c>
      <c r="J209" s="18" t="s">
        <v>33</v>
      </c>
      <c r="K209" s="7">
        <v>28000</v>
      </c>
      <c r="L209" s="240">
        <f>ROUND(Tabla2[[#This Row],[Área ocupada (m²)3]]/20*1.4,2)</f>
        <v>0.84</v>
      </c>
      <c r="M209" s="240">
        <f>ROUND(Tabla2[[#This Row],[Área ocupada (m²)]],2)</f>
        <v>12</v>
      </c>
      <c r="N209" s="240">
        <f>ROUND(Tabla2[[#This Row],[Área techada (m²)]],2)</f>
        <v>12</v>
      </c>
      <c r="O209" s="243">
        <f>ROUND(Tabla2[[#This Row],[Área techada (m²)4]]*0.15,2)</f>
        <v>1.8</v>
      </c>
      <c r="P209" s="6">
        <f>ROUND(Tabla2[[#This Row],[Área del terreno (m²)2]]*DATA!$F$4,-2)</f>
        <v>600</v>
      </c>
      <c r="Q209" s="243">
        <f>+Tabla2[[#This Row],[Valor Comercial (US$)]]-Tabla2[[#This Row],[Valor del terreno (US$)]]</f>
        <v>8400</v>
      </c>
      <c r="R20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09" s="244">
        <f>ROUND(Tabla2[[#This Row],[Valor Comercial (US$)]]*0.8,-2)</f>
        <v>7200</v>
      </c>
      <c r="T209" s="244">
        <f>IF(Informe!$I$6=DATA!$B$4,R209,ROUND(Tabla2[[#This Row],[Área techada (m²)4]]*DATA!$F$5*1.15,-2))</f>
        <v>9000</v>
      </c>
      <c r="U209" s="8">
        <f t="shared" si="3"/>
        <v>3.3479999999999999</v>
      </c>
      <c r="V209" s="244">
        <f>ROUND(Tabla2[[#This Row],[Valor del terreno (US$)]]*Tabla2[[#This Row],[Tipo de Cambio]],-2)</f>
        <v>2000</v>
      </c>
      <c r="W209" s="244">
        <f>Tabla2[[#This Row],[Valor Comercial (S/.)]]-Tabla2[[#This Row],[Valor del terreno (S/.)]]</f>
        <v>28100</v>
      </c>
      <c r="X209" s="244">
        <f>ROUND(Tabla2[[#This Row],[Valor Comercial (US$)]]*Tabla2[[#This Row],[Tipo de Cambio]],-2)</f>
        <v>30100</v>
      </c>
      <c r="Y209" s="244">
        <f>ROUND(Tabla2[[#This Row],[Valor Realización (US$)]]*Tabla2[[#This Row],[Tipo de Cambio]],-2)</f>
        <v>24100</v>
      </c>
      <c r="Z209" s="244">
        <f>+ROUND(Tabla2[[#This Row],[Importe Asegurable (US$)]]*Tabla2[[#This Row],[Tipo de Cambio]],-2)</f>
        <v>30100</v>
      </c>
      <c r="AA209" s="245"/>
      <c r="AB209" s="2">
        <f>+Tabla2[[#This Row],[Valor Comercial (US$)]]/Tabla2[[#This Row],[Área techada (m²)4]]</f>
        <v>750</v>
      </c>
      <c r="AC20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09" s="1" t="s">
        <v>41</v>
      </c>
      <c r="AE209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09" s="347">
        <f>VLOOKUP(Tabla2[[#This Row],[VISTA]],DATA!$H$4:$I$17,2,FALSE)</f>
        <v>9000</v>
      </c>
      <c r="AG209" s="221">
        <f>+Tabla2[[#This Row],[Valor Comercial (S/.)]]/Tabla2[[#This Row],[Valor de Venta]]-1</f>
        <v>7.4999999999999956E-2</v>
      </c>
    </row>
    <row r="210" spans="1:33" s="1" customFormat="1" ht="15" customHeight="1" x14ac:dyDescent="0.25">
      <c r="A210" s="225" t="s">
        <v>39</v>
      </c>
      <c r="B210" s="22">
        <v>1234</v>
      </c>
      <c r="C210" s="14"/>
      <c r="D210" s="27"/>
      <c r="E210" s="28"/>
      <c r="F210" s="12">
        <f>ROUND(Tabla2[[#This Row],[Área ocupada (m²)]]/20*1.4,2)</f>
        <v>0.84</v>
      </c>
      <c r="G210" s="12">
        <v>12</v>
      </c>
      <c r="H210" s="12">
        <v>12</v>
      </c>
      <c r="I210" s="12">
        <f>ROUND(Tabla2[[#This Row],[Área techada (m²)]]*0.15,2)</f>
        <v>1.8</v>
      </c>
      <c r="J210" s="18" t="s">
        <v>33</v>
      </c>
      <c r="K210" s="7">
        <v>28000</v>
      </c>
      <c r="L210" s="240">
        <f>ROUND(Tabla2[[#This Row],[Área ocupada (m²)3]]/20*1.4,2)</f>
        <v>0.84</v>
      </c>
      <c r="M210" s="240">
        <f>ROUND(Tabla2[[#This Row],[Área ocupada (m²)]],2)</f>
        <v>12</v>
      </c>
      <c r="N210" s="240">
        <f>ROUND(Tabla2[[#This Row],[Área techada (m²)]],2)</f>
        <v>12</v>
      </c>
      <c r="O210" s="243">
        <f>ROUND(Tabla2[[#This Row],[Área techada (m²)4]]*0.15,2)</f>
        <v>1.8</v>
      </c>
      <c r="P210" s="6">
        <f>ROUND(Tabla2[[#This Row],[Área del terreno (m²)2]]*DATA!$F$4,-2)</f>
        <v>600</v>
      </c>
      <c r="Q210" s="243">
        <f>+Tabla2[[#This Row],[Valor Comercial (US$)]]-Tabla2[[#This Row],[Valor del terreno (US$)]]</f>
        <v>8400</v>
      </c>
      <c r="R21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10" s="244">
        <f>ROUND(Tabla2[[#This Row],[Valor Comercial (US$)]]*0.8,-2)</f>
        <v>7200</v>
      </c>
      <c r="T210" s="244">
        <f>IF(Informe!$I$6=DATA!$B$4,R210,ROUND(Tabla2[[#This Row],[Área techada (m²)4]]*DATA!$F$5*1.15,-2))</f>
        <v>9000</v>
      </c>
      <c r="U210" s="8">
        <f t="shared" si="3"/>
        <v>3.3479999999999999</v>
      </c>
      <c r="V210" s="244">
        <f>ROUND(Tabla2[[#This Row],[Valor del terreno (US$)]]*Tabla2[[#This Row],[Tipo de Cambio]],-2)</f>
        <v>2000</v>
      </c>
      <c r="W210" s="244">
        <f>Tabla2[[#This Row],[Valor Comercial (S/.)]]-Tabla2[[#This Row],[Valor del terreno (S/.)]]</f>
        <v>28100</v>
      </c>
      <c r="X210" s="244">
        <f>ROUND(Tabla2[[#This Row],[Valor Comercial (US$)]]*Tabla2[[#This Row],[Tipo de Cambio]],-2)</f>
        <v>30100</v>
      </c>
      <c r="Y210" s="244">
        <f>ROUND(Tabla2[[#This Row],[Valor Realización (US$)]]*Tabla2[[#This Row],[Tipo de Cambio]],-2)</f>
        <v>24100</v>
      </c>
      <c r="Z210" s="244">
        <f>+ROUND(Tabla2[[#This Row],[Importe Asegurable (US$)]]*Tabla2[[#This Row],[Tipo de Cambio]],-2)</f>
        <v>30100</v>
      </c>
      <c r="AA210" s="245"/>
      <c r="AB210" s="2">
        <f>+Tabla2[[#This Row],[Valor Comercial (US$)]]/Tabla2[[#This Row],[Área techada (m²)4]]</f>
        <v>750</v>
      </c>
      <c r="AC21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10" s="1" t="s">
        <v>41</v>
      </c>
      <c r="AE210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10" s="347">
        <f>VLOOKUP(Tabla2[[#This Row],[VISTA]],DATA!$H$4:$I$17,2,FALSE)</f>
        <v>9000</v>
      </c>
      <c r="AG210" s="221">
        <f>+Tabla2[[#This Row],[Valor Comercial (S/.)]]/Tabla2[[#This Row],[Valor de Venta]]-1</f>
        <v>7.4999999999999956E-2</v>
      </c>
    </row>
    <row r="211" spans="1:33" s="1" customFormat="1" ht="15" customHeight="1" x14ac:dyDescent="0.25">
      <c r="A211" s="225" t="s">
        <v>39</v>
      </c>
      <c r="B211" s="22">
        <v>1235</v>
      </c>
      <c r="C211" s="14"/>
      <c r="D211" s="27"/>
      <c r="E211" s="28"/>
      <c r="F211" s="12">
        <f>ROUND(Tabla2[[#This Row],[Área ocupada (m²)]]/20*1.4,2)</f>
        <v>0.84</v>
      </c>
      <c r="G211" s="12">
        <v>12</v>
      </c>
      <c r="H211" s="12">
        <v>12</v>
      </c>
      <c r="I211" s="12">
        <f>ROUND(Tabla2[[#This Row],[Área techada (m²)]]*0.15,2)</f>
        <v>1.8</v>
      </c>
      <c r="J211" s="18" t="s">
        <v>33</v>
      </c>
      <c r="K211" s="7">
        <v>28000</v>
      </c>
      <c r="L211" s="240">
        <f>ROUND(Tabla2[[#This Row],[Área ocupada (m²)3]]/20*1.4,2)</f>
        <v>0.84</v>
      </c>
      <c r="M211" s="240">
        <f>ROUND(Tabla2[[#This Row],[Área ocupada (m²)]],2)</f>
        <v>12</v>
      </c>
      <c r="N211" s="240">
        <f>ROUND(Tabla2[[#This Row],[Área techada (m²)]],2)</f>
        <v>12</v>
      </c>
      <c r="O211" s="243">
        <f>ROUND(Tabla2[[#This Row],[Área techada (m²)4]]*0.15,2)</f>
        <v>1.8</v>
      </c>
      <c r="P211" s="6">
        <f>ROUND(Tabla2[[#This Row],[Área del terreno (m²)2]]*DATA!$F$4,-2)</f>
        <v>600</v>
      </c>
      <c r="Q211" s="243">
        <f>+Tabla2[[#This Row],[Valor Comercial (US$)]]-Tabla2[[#This Row],[Valor del terreno (US$)]]</f>
        <v>8400</v>
      </c>
      <c r="R21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11" s="244">
        <f>ROUND(Tabla2[[#This Row],[Valor Comercial (US$)]]*0.8,-2)</f>
        <v>7200</v>
      </c>
      <c r="T211" s="244">
        <f>IF(Informe!$I$6=DATA!$B$4,R211,ROUND(Tabla2[[#This Row],[Área techada (m²)4]]*DATA!$F$5*1.15,-2))</f>
        <v>9000</v>
      </c>
      <c r="U211" s="8">
        <f t="shared" si="3"/>
        <v>3.3479999999999999</v>
      </c>
      <c r="V211" s="244">
        <f>ROUND(Tabla2[[#This Row],[Valor del terreno (US$)]]*Tabla2[[#This Row],[Tipo de Cambio]],-2)</f>
        <v>2000</v>
      </c>
      <c r="W211" s="244">
        <f>Tabla2[[#This Row],[Valor Comercial (S/.)]]-Tabla2[[#This Row],[Valor del terreno (S/.)]]</f>
        <v>28100</v>
      </c>
      <c r="X211" s="244">
        <f>ROUND(Tabla2[[#This Row],[Valor Comercial (US$)]]*Tabla2[[#This Row],[Tipo de Cambio]],-2)</f>
        <v>30100</v>
      </c>
      <c r="Y211" s="244">
        <f>ROUND(Tabla2[[#This Row],[Valor Realización (US$)]]*Tabla2[[#This Row],[Tipo de Cambio]],-2)</f>
        <v>24100</v>
      </c>
      <c r="Z211" s="244">
        <f>+ROUND(Tabla2[[#This Row],[Importe Asegurable (US$)]]*Tabla2[[#This Row],[Tipo de Cambio]],-2)</f>
        <v>30100</v>
      </c>
      <c r="AA211" s="245"/>
      <c r="AB211" s="2">
        <f>+Tabla2[[#This Row],[Valor Comercial (US$)]]/Tabla2[[#This Row],[Área techada (m²)4]]</f>
        <v>750</v>
      </c>
      <c r="AC21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11" s="1" t="s">
        <v>41</v>
      </c>
      <c r="AE211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11" s="347">
        <f>VLOOKUP(Tabla2[[#This Row],[VISTA]],DATA!$H$4:$I$17,2,FALSE)</f>
        <v>9000</v>
      </c>
      <c r="AG211" s="221">
        <f>+Tabla2[[#This Row],[Valor Comercial (S/.)]]/Tabla2[[#This Row],[Valor de Venta]]-1</f>
        <v>7.4999999999999956E-2</v>
      </c>
    </row>
    <row r="212" spans="1:33" s="1" customFormat="1" ht="15" customHeight="1" x14ac:dyDescent="0.25">
      <c r="A212" s="225" t="s">
        <v>39</v>
      </c>
      <c r="B212" s="22">
        <v>1236</v>
      </c>
      <c r="C212" s="14"/>
      <c r="D212" s="27"/>
      <c r="E212" s="28"/>
      <c r="F212" s="12">
        <f>ROUND(Tabla2[[#This Row],[Área ocupada (m²)]]/20*1.4,2)</f>
        <v>0.84</v>
      </c>
      <c r="G212" s="12">
        <v>12</v>
      </c>
      <c r="H212" s="12">
        <v>12</v>
      </c>
      <c r="I212" s="12">
        <f>ROUND(Tabla2[[#This Row],[Área techada (m²)]]*0.15,2)</f>
        <v>1.8</v>
      </c>
      <c r="J212" s="18" t="s">
        <v>33</v>
      </c>
      <c r="K212" s="7">
        <v>28000</v>
      </c>
      <c r="L212" s="240">
        <f>ROUND(Tabla2[[#This Row],[Área ocupada (m²)3]]/20*1.4,2)</f>
        <v>0.84</v>
      </c>
      <c r="M212" s="240">
        <f>ROUND(Tabla2[[#This Row],[Área ocupada (m²)]],2)</f>
        <v>12</v>
      </c>
      <c r="N212" s="240">
        <f>ROUND(Tabla2[[#This Row],[Área techada (m²)]],2)</f>
        <v>12</v>
      </c>
      <c r="O212" s="243">
        <f>ROUND(Tabla2[[#This Row],[Área techada (m²)4]]*0.15,2)</f>
        <v>1.8</v>
      </c>
      <c r="P212" s="6">
        <f>ROUND(Tabla2[[#This Row],[Área del terreno (m²)2]]*DATA!$F$4,-2)</f>
        <v>600</v>
      </c>
      <c r="Q212" s="243">
        <f>+Tabla2[[#This Row],[Valor Comercial (US$)]]-Tabla2[[#This Row],[Valor del terreno (US$)]]</f>
        <v>8400</v>
      </c>
      <c r="R21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12" s="244">
        <f>ROUND(Tabla2[[#This Row],[Valor Comercial (US$)]]*0.8,-2)</f>
        <v>7200</v>
      </c>
      <c r="T212" s="244">
        <f>IF(Informe!$I$6=DATA!$B$4,R212,ROUND(Tabla2[[#This Row],[Área techada (m²)4]]*DATA!$F$5*1.15,-2))</f>
        <v>9000</v>
      </c>
      <c r="U212" s="8">
        <f t="shared" si="3"/>
        <v>3.3479999999999999</v>
      </c>
      <c r="V212" s="244">
        <f>ROUND(Tabla2[[#This Row],[Valor del terreno (US$)]]*Tabla2[[#This Row],[Tipo de Cambio]],-2)</f>
        <v>2000</v>
      </c>
      <c r="W212" s="244">
        <f>Tabla2[[#This Row],[Valor Comercial (S/.)]]-Tabla2[[#This Row],[Valor del terreno (S/.)]]</f>
        <v>28100</v>
      </c>
      <c r="X212" s="244">
        <f>ROUND(Tabla2[[#This Row],[Valor Comercial (US$)]]*Tabla2[[#This Row],[Tipo de Cambio]],-2)</f>
        <v>30100</v>
      </c>
      <c r="Y212" s="244">
        <f>ROUND(Tabla2[[#This Row],[Valor Realización (US$)]]*Tabla2[[#This Row],[Tipo de Cambio]],-2)</f>
        <v>24100</v>
      </c>
      <c r="Z212" s="244">
        <f>+ROUND(Tabla2[[#This Row],[Importe Asegurable (US$)]]*Tabla2[[#This Row],[Tipo de Cambio]],-2)</f>
        <v>30100</v>
      </c>
      <c r="AA212" s="245"/>
      <c r="AB212" s="2">
        <f>+Tabla2[[#This Row],[Valor Comercial (US$)]]/Tabla2[[#This Row],[Área techada (m²)4]]</f>
        <v>750</v>
      </c>
      <c r="AC21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12" s="1" t="s">
        <v>41</v>
      </c>
      <c r="AE212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12" s="347">
        <f>VLOOKUP(Tabla2[[#This Row],[VISTA]],DATA!$H$4:$I$17,2,FALSE)</f>
        <v>9000</v>
      </c>
      <c r="AG212" s="221">
        <f>+Tabla2[[#This Row],[Valor Comercial (S/.)]]/Tabla2[[#This Row],[Valor de Venta]]-1</f>
        <v>7.4999999999999956E-2</v>
      </c>
    </row>
    <row r="213" spans="1:33" s="1" customFormat="1" ht="15" customHeight="1" x14ac:dyDescent="0.25">
      <c r="A213" s="225" t="s">
        <v>39</v>
      </c>
      <c r="B213" s="22">
        <v>1237</v>
      </c>
      <c r="C213" s="14"/>
      <c r="D213" s="27"/>
      <c r="E213" s="28"/>
      <c r="F213" s="12">
        <f>ROUND(Tabla2[[#This Row],[Área ocupada (m²)]]/20*1.4,2)</f>
        <v>0.84</v>
      </c>
      <c r="G213" s="12">
        <v>12</v>
      </c>
      <c r="H213" s="12">
        <v>12</v>
      </c>
      <c r="I213" s="12">
        <f>ROUND(Tabla2[[#This Row],[Área techada (m²)]]*0.15,2)</f>
        <v>1.8</v>
      </c>
      <c r="J213" s="18" t="s">
        <v>33</v>
      </c>
      <c r="K213" s="7">
        <v>28000</v>
      </c>
      <c r="L213" s="240">
        <f>ROUND(Tabla2[[#This Row],[Área ocupada (m²)3]]/20*1.4,2)</f>
        <v>0.84</v>
      </c>
      <c r="M213" s="240">
        <f>ROUND(Tabla2[[#This Row],[Área ocupada (m²)]],2)</f>
        <v>12</v>
      </c>
      <c r="N213" s="240">
        <f>ROUND(Tabla2[[#This Row],[Área techada (m²)]],2)</f>
        <v>12</v>
      </c>
      <c r="O213" s="243">
        <f>ROUND(Tabla2[[#This Row],[Área techada (m²)4]]*0.15,2)</f>
        <v>1.8</v>
      </c>
      <c r="P213" s="6">
        <f>ROUND(Tabla2[[#This Row],[Área del terreno (m²)2]]*DATA!$F$4,-2)</f>
        <v>600</v>
      </c>
      <c r="Q213" s="243">
        <f>+Tabla2[[#This Row],[Valor Comercial (US$)]]-Tabla2[[#This Row],[Valor del terreno (US$)]]</f>
        <v>8400</v>
      </c>
      <c r="R21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13" s="244">
        <f>ROUND(Tabla2[[#This Row],[Valor Comercial (US$)]]*0.8,-2)</f>
        <v>7200</v>
      </c>
      <c r="T213" s="244">
        <f>IF(Informe!$I$6=DATA!$B$4,R213,ROUND(Tabla2[[#This Row],[Área techada (m²)4]]*DATA!$F$5*1.15,-2))</f>
        <v>9000</v>
      </c>
      <c r="U213" s="8">
        <f t="shared" si="3"/>
        <v>3.3479999999999999</v>
      </c>
      <c r="V213" s="244">
        <f>ROUND(Tabla2[[#This Row],[Valor del terreno (US$)]]*Tabla2[[#This Row],[Tipo de Cambio]],-2)</f>
        <v>2000</v>
      </c>
      <c r="W213" s="244">
        <f>Tabla2[[#This Row],[Valor Comercial (S/.)]]-Tabla2[[#This Row],[Valor del terreno (S/.)]]</f>
        <v>28100</v>
      </c>
      <c r="X213" s="244">
        <f>ROUND(Tabla2[[#This Row],[Valor Comercial (US$)]]*Tabla2[[#This Row],[Tipo de Cambio]],-2)</f>
        <v>30100</v>
      </c>
      <c r="Y213" s="244">
        <f>ROUND(Tabla2[[#This Row],[Valor Realización (US$)]]*Tabla2[[#This Row],[Tipo de Cambio]],-2)</f>
        <v>24100</v>
      </c>
      <c r="Z213" s="244">
        <f>+ROUND(Tabla2[[#This Row],[Importe Asegurable (US$)]]*Tabla2[[#This Row],[Tipo de Cambio]],-2)</f>
        <v>30100</v>
      </c>
      <c r="AA213" s="245"/>
      <c r="AB213" s="2">
        <f>+Tabla2[[#This Row],[Valor Comercial (US$)]]/Tabla2[[#This Row],[Área techada (m²)4]]</f>
        <v>750</v>
      </c>
      <c r="AC21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13" s="1" t="s">
        <v>41</v>
      </c>
      <c r="AE213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13" s="347">
        <f>VLOOKUP(Tabla2[[#This Row],[VISTA]],DATA!$H$4:$I$17,2,FALSE)</f>
        <v>9000</v>
      </c>
      <c r="AG213" s="221">
        <f>+Tabla2[[#This Row],[Valor Comercial (S/.)]]/Tabla2[[#This Row],[Valor de Venta]]-1</f>
        <v>7.4999999999999956E-2</v>
      </c>
    </row>
    <row r="214" spans="1:33" s="1" customFormat="1" ht="15" customHeight="1" x14ac:dyDescent="0.25">
      <c r="A214" s="225" t="s">
        <v>39</v>
      </c>
      <c r="B214" s="22">
        <v>1238</v>
      </c>
      <c r="C214" s="14"/>
      <c r="D214" s="35"/>
      <c r="E214" s="29"/>
      <c r="F214" s="12">
        <f>ROUND(Tabla2[[#This Row],[Área ocupada (m²)]]/20*1.4,2)</f>
        <v>0.84</v>
      </c>
      <c r="G214" s="12">
        <v>12</v>
      </c>
      <c r="H214" s="12">
        <v>12</v>
      </c>
      <c r="I214" s="12">
        <f>ROUND(Tabla2[[#This Row],[Área techada (m²)]]*0.15,2)</f>
        <v>1.8</v>
      </c>
      <c r="J214" s="18" t="s">
        <v>33</v>
      </c>
      <c r="K214" s="7">
        <v>28000</v>
      </c>
      <c r="L214" s="240">
        <f>ROUND(Tabla2[[#This Row],[Área ocupada (m²)3]]/20*1.4,2)</f>
        <v>0.84</v>
      </c>
      <c r="M214" s="240">
        <f>ROUND(Tabla2[[#This Row],[Área ocupada (m²)]],2)</f>
        <v>12</v>
      </c>
      <c r="N214" s="240">
        <f>ROUND(Tabla2[[#This Row],[Área techada (m²)]],2)</f>
        <v>12</v>
      </c>
      <c r="O214" s="243">
        <f>ROUND(Tabla2[[#This Row],[Área techada (m²)4]]*0.15,2)</f>
        <v>1.8</v>
      </c>
      <c r="P214" s="6">
        <f>ROUND(Tabla2[[#This Row],[Área del terreno (m²)2]]*DATA!$F$4,-2)</f>
        <v>600</v>
      </c>
      <c r="Q214" s="243">
        <f>+Tabla2[[#This Row],[Valor Comercial (US$)]]-Tabla2[[#This Row],[Valor del terreno (US$)]]</f>
        <v>8400</v>
      </c>
      <c r="R21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9000</v>
      </c>
      <c r="S214" s="244">
        <f>ROUND(Tabla2[[#This Row],[Valor Comercial (US$)]]*0.8,-2)</f>
        <v>7200</v>
      </c>
      <c r="T214" s="244">
        <f>IF(Informe!$I$6=DATA!$B$4,R214,ROUND(Tabla2[[#This Row],[Área techada (m²)4]]*DATA!$F$5*1.15,-2))</f>
        <v>9000</v>
      </c>
      <c r="U214" s="8">
        <f t="shared" si="3"/>
        <v>3.3479999999999999</v>
      </c>
      <c r="V214" s="244">
        <f>ROUND(Tabla2[[#This Row],[Valor del terreno (US$)]]*Tabla2[[#This Row],[Tipo de Cambio]],-2)</f>
        <v>2000</v>
      </c>
      <c r="W214" s="244">
        <f>Tabla2[[#This Row],[Valor Comercial (S/.)]]-Tabla2[[#This Row],[Valor del terreno (S/.)]]</f>
        <v>28100</v>
      </c>
      <c r="X214" s="244">
        <f>ROUND(Tabla2[[#This Row],[Valor Comercial (US$)]]*Tabla2[[#This Row],[Tipo de Cambio]],-2)</f>
        <v>30100</v>
      </c>
      <c r="Y214" s="244">
        <f>ROUND(Tabla2[[#This Row],[Valor Realización (US$)]]*Tabla2[[#This Row],[Tipo de Cambio]],-2)</f>
        <v>24100</v>
      </c>
      <c r="Z214" s="244">
        <f>+ROUND(Tabla2[[#This Row],[Importe Asegurable (US$)]]*Tabla2[[#This Row],[Tipo de Cambio]],-2)</f>
        <v>30100</v>
      </c>
      <c r="AA214" s="245"/>
      <c r="AB214" s="2">
        <f>+Tabla2[[#This Row],[Valor Comercial (US$)]]/Tabla2[[#This Row],[Área techada (m²)4]]</f>
        <v>750</v>
      </c>
      <c r="AC21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14" s="1" t="s">
        <v>41</v>
      </c>
      <c r="AE214" s="222">
        <f>IF(Tabla2[[#This Row],[Moneda]]="Soles",Tabla2[[#This Row],[Valor de Venta]]/Tabla2[[#This Row],[Área techada (m²)]]/Tabla2[[#This Row],[Tipo de Cambio]],Tabla2[[#This Row],[Valor de Venta]]/Tabla2[[#This Row],[Área techada (m²)]])</f>
        <v>696.93349263241748</v>
      </c>
      <c r="AF214" s="347">
        <f>VLOOKUP(Tabla2[[#This Row],[VISTA]],DATA!$H$4:$I$17,2,FALSE)</f>
        <v>9000</v>
      </c>
      <c r="AG214" s="221">
        <f>+Tabla2[[#This Row],[Valor Comercial (S/.)]]/Tabla2[[#This Row],[Valor de Venta]]-1</f>
        <v>7.4999999999999956E-2</v>
      </c>
    </row>
    <row r="215" spans="1:33" s="1" customFormat="1" ht="15" customHeight="1" x14ac:dyDescent="0.25">
      <c r="A215" s="225" t="s">
        <v>39</v>
      </c>
      <c r="B215" s="22">
        <v>1239</v>
      </c>
      <c r="C215" s="14"/>
      <c r="D215" s="35"/>
      <c r="E215" s="29"/>
      <c r="F215" s="12">
        <f>ROUND(Tabla2[[#This Row],[Área ocupada (m²)]]/20*1.4,2)</f>
        <v>0.84</v>
      </c>
      <c r="G215" s="12">
        <v>12</v>
      </c>
      <c r="H215" s="12">
        <v>12</v>
      </c>
      <c r="I215" s="12">
        <f>ROUND(Tabla2[[#This Row],[Área techada (m²)]]*0.15,2)</f>
        <v>1.8</v>
      </c>
      <c r="J215" s="18" t="s">
        <v>33</v>
      </c>
      <c r="K215" s="7">
        <v>25000</v>
      </c>
      <c r="L215" s="240">
        <f>ROUND(Tabla2[[#This Row],[Área ocupada (m²)3]]/20*1.4,2)</f>
        <v>0.84</v>
      </c>
      <c r="M215" s="240">
        <f>ROUND(Tabla2[[#This Row],[Área ocupada (m²)]],2)</f>
        <v>12</v>
      </c>
      <c r="N215" s="240">
        <f>ROUND(Tabla2[[#This Row],[Área techada (m²)]],2)</f>
        <v>12</v>
      </c>
      <c r="O215" s="243">
        <f>ROUND(Tabla2[[#This Row],[Área techada (m²)4]]*0.15,2)</f>
        <v>1.8</v>
      </c>
      <c r="P215" s="6">
        <f>ROUND(Tabla2[[#This Row],[Área del terreno (m²)2]]*DATA!$F$4,-2)</f>
        <v>600</v>
      </c>
      <c r="Q215" s="243">
        <f>+Tabla2[[#This Row],[Valor Comercial (US$)]]-Tabla2[[#This Row],[Valor del terreno (US$)]]</f>
        <v>7400</v>
      </c>
      <c r="R21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8000</v>
      </c>
      <c r="S215" s="244">
        <f>ROUND(Tabla2[[#This Row],[Valor Comercial (US$)]]*0.8,-2)</f>
        <v>6400</v>
      </c>
      <c r="T215" s="244">
        <f>IF(Informe!$I$6=DATA!$B$4,R215,ROUND(Tabla2[[#This Row],[Área techada (m²)4]]*DATA!$F$5*1.15,-2))</f>
        <v>8000</v>
      </c>
      <c r="U215" s="8">
        <f t="shared" si="3"/>
        <v>3.3479999999999999</v>
      </c>
      <c r="V215" s="244">
        <f>ROUND(Tabla2[[#This Row],[Valor del terreno (US$)]]*Tabla2[[#This Row],[Tipo de Cambio]],-2)</f>
        <v>2000</v>
      </c>
      <c r="W215" s="244">
        <f>Tabla2[[#This Row],[Valor Comercial (S/.)]]-Tabla2[[#This Row],[Valor del terreno (S/.)]]</f>
        <v>24800</v>
      </c>
      <c r="X215" s="244">
        <f>ROUND(Tabla2[[#This Row],[Valor Comercial (US$)]]*Tabla2[[#This Row],[Tipo de Cambio]],-2)</f>
        <v>26800</v>
      </c>
      <c r="Y215" s="244">
        <f>ROUND(Tabla2[[#This Row],[Valor Realización (US$)]]*Tabla2[[#This Row],[Tipo de Cambio]],-2)</f>
        <v>21400</v>
      </c>
      <c r="Z215" s="244">
        <f>+ROUND(Tabla2[[#This Row],[Importe Asegurable (US$)]]*Tabla2[[#This Row],[Tipo de Cambio]],-2)</f>
        <v>26800</v>
      </c>
      <c r="AA215" s="245"/>
      <c r="AB215" s="2">
        <f>+Tabla2[[#This Row],[Valor Comercial (US$)]]/Tabla2[[#This Row],[Área techada (m²)4]]</f>
        <v>666.66666666666663</v>
      </c>
      <c r="AC21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15" s="1" t="s">
        <v>42</v>
      </c>
      <c r="AE215" s="222">
        <f>IF(Tabla2[[#This Row],[Moneda]]="Soles",Tabla2[[#This Row],[Valor de Venta]]/Tabla2[[#This Row],[Área techada (m²)]]/Tabla2[[#This Row],[Tipo de Cambio]],Tabla2[[#This Row],[Valor de Venta]]/Tabla2[[#This Row],[Área techada (m²)]])</f>
        <v>622.26204699322989</v>
      </c>
      <c r="AF215" s="347">
        <f>VLOOKUP(Tabla2[[#This Row],[VISTA]],DATA!$H$4:$I$17,2,FALSE)</f>
        <v>8000</v>
      </c>
      <c r="AG215" s="221">
        <f>+Tabla2[[#This Row],[Valor Comercial (S/.)]]/Tabla2[[#This Row],[Valor de Venta]]-1</f>
        <v>7.2000000000000064E-2</v>
      </c>
    </row>
    <row r="216" spans="1:33" s="1" customFormat="1" ht="15" customHeight="1" x14ac:dyDescent="0.25">
      <c r="A216" s="225" t="s">
        <v>39</v>
      </c>
      <c r="B216" s="22">
        <v>1403</v>
      </c>
      <c r="C216" s="14"/>
      <c r="D216" s="35"/>
      <c r="E216" s="29"/>
      <c r="F216" s="12">
        <f>ROUND(Tabla2[[#This Row],[Área ocupada (m²)]]/20*1.4,2)</f>
        <v>0.84</v>
      </c>
      <c r="G216" s="12">
        <v>12</v>
      </c>
      <c r="H216" s="12">
        <v>12</v>
      </c>
      <c r="I216" s="12">
        <f>ROUND(Tabla2[[#This Row],[Área techada (m²)]]*0.15,2)</f>
        <v>1.8</v>
      </c>
      <c r="J216" s="18" t="s">
        <v>33</v>
      </c>
      <c r="K216" s="7">
        <v>25000</v>
      </c>
      <c r="L216" s="240">
        <f>ROUND(Tabla2[[#This Row],[Área ocupada (m²)3]]/20*1.4,2)</f>
        <v>0.84</v>
      </c>
      <c r="M216" s="240">
        <f>ROUND(Tabla2[[#This Row],[Área ocupada (m²)]],2)</f>
        <v>12</v>
      </c>
      <c r="N216" s="240">
        <f>ROUND(Tabla2[[#This Row],[Área techada (m²)]],2)</f>
        <v>12</v>
      </c>
      <c r="O216" s="243">
        <f>ROUND(Tabla2[[#This Row],[Área techada (m²)4]]*0.15,2)</f>
        <v>1.8</v>
      </c>
      <c r="P216" s="6">
        <f>ROUND(Tabla2[[#This Row],[Área del terreno (m²)2]]*DATA!$F$4,-2)</f>
        <v>600</v>
      </c>
      <c r="Q216" s="243">
        <f>+Tabla2[[#This Row],[Valor Comercial (US$)]]-Tabla2[[#This Row],[Valor del terreno (US$)]]</f>
        <v>7400</v>
      </c>
      <c r="R21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8000</v>
      </c>
      <c r="S216" s="244">
        <f>ROUND(Tabla2[[#This Row],[Valor Comercial (US$)]]*0.8,-2)</f>
        <v>6400</v>
      </c>
      <c r="T216" s="244">
        <f>IF(Informe!$I$6=DATA!$B$4,R216,ROUND(Tabla2[[#This Row],[Área techada (m²)4]]*DATA!$F$5*1.15,-2))</f>
        <v>8000</v>
      </c>
      <c r="U216" s="8">
        <f t="shared" si="3"/>
        <v>3.3479999999999999</v>
      </c>
      <c r="V216" s="244">
        <f>ROUND(Tabla2[[#This Row],[Valor del terreno (US$)]]*Tabla2[[#This Row],[Tipo de Cambio]],-2)</f>
        <v>2000</v>
      </c>
      <c r="W216" s="244">
        <f>Tabla2[[#This Row],[Valor Comercial (S/.)]]-Tabla2[[#This Row],[Valor del terreno (S/.)]]</f>
        <v>24800</v>
      </c>
      <c r="X216" s="244">
        <f>ROUND(Tabla2[[#This Row],[Valor Comercial (US$)]]*Tabla2[[#This Row],[Tipo de Cambio]],-2)</f>
        <v>26800</v>
      </c>
      <c r="Y216" s="244">
        <f>ROUND(Tabla2[[#This Row],[Valor Realización (US$)]]*Tabla2[[#This Row],[Tipo de Cambio]],-2)</f>
        <v>21400</v>
      </c>
      <c r="Z216" s="244">
        <f>+ROUND(Tabla2[[#This Row],[Importe Asegurable (US$)]]*Tabla2[[#This Row],[Tipo de Cambio]],-2)</f>
        <v>26800</v>
      </c>
      <c r="AA216" s="245"/>
      <c r="AB216" s="2">
        <f>+Tabla2[[#This Row],[Valor Comercial (US$)]]/Tabla2[[#This Row],[Área techada (m²)4]]</f>
        <v>666.66666666666663</v>
      </c>
      <c r="AC21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16" s="1" t="s">
        <v>42</v>
      </c>
      <c r="AE216" s="222">
        <f>IF(Tabla2[[#This Row],[Moneda]]="Soles",Tabla2[[#This Row],[Valor de Venta]]/Tabla2[[#This Row],[Área techada (m²)]]/Tabla2[[#This Row],[Tipo de Cambio]],Tabla2[[#This Row],[Valor de Venta]]/Tabla2[[#This Row],[Área techada (m²)]])</f>
        <v>622.26204699322989</v>
      </c>
      <c r="AF216" s="347">
        <f>VLOOKUP(Tabla2[[#This Row],[VISTA]],DATA!$H$4:$I$17,2,FALSE)</f>
        <v>8000</v>
      </c>
      <c r="AG216" s="221">
        <f>+Tabla2[[#This Row],[Valor Comercial (S/.)]]/Tabla2[[#This Row],[Valor de Venta]]-1</f>
        <v>7.2000000000000064E-2</v>
      </c>
    </row>
    <row r="217" spans="1:33" s="1" customFormat="1" ht="15" customHeight="1" x14ac:dyDescent="0.25">
      <c r="A217" s="225" t="s">
        <v>39</v>
      </c>
      <c r="B217" s="22">
        <v>1453</v>
      </c>
      <c r="C217" s="14"/>
      <c r="D217" s="35"/>
      <c r="E217" s="29"/>
      <c r="F217" s="12">
        <f>ROUND(Tabla2[[#This Row],[Área ocupada (m²)]]/20*1.4,2)</f>
        <v>0.84</v>
      </c>
      <c r="G217" s="12">
        <v>12</v>
      </c>
      <c r="H217" s="12">
        <v>12</v>
      </c>
      <c r="I217" s="12">
        <f>ROUND(Tabla2[[#This Row],[Área techada (m²)]]*0.15,2)</f>
        <v>1.8</v>
      </c>
      <c r="J217" s="18" t="s">
        <v>33</v>
      </c>
      <c r="K217" s="7">
        <v>25000</v>
      </c>
      <c r="L217" s="240">
        <f>ROUND(Tabla2[[#This Row],[Área ocupada (m²)3]]/20*1.4,2)</f>
        <v>0.84</v>
      </c>
      <c r="M217" s="240">
        <f>ROUND(Tabla2[[#This Row],[Área ocupada (m²)]],2)</f>
        <v>12</v>
      </c>
      <c r="N217" s="240">
        <f>ROUND(Tabla2[[#This Row],[Área techada (m²)]],2)</f>
        <v>12</v>
      </c>
      <c r="O217" s="243">
        <f>ROUND(Tabla2[[#This Row],[Área techada (m²)4]]*0.15,2)</f>
        <v>1.8</v>
      </c>
      <c r="P217" s="6">
        <f>ROUND(Tabla2[[#This Row],[Área del terreno (m²)2]]*DATA!$F$4,-2)</f>
        <v>600</v>
      </c>
      <c r="Q217" s="243">
        <f>+Tabla2[[#This Row],[Valor Comercial (US$)]]-Tabla2[[#This Row],[Valor del terreno (US$)]]</f>
        <v>7400</v>
      </c>
      <c r="R21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8000</v>
      </c>
      <c r="S217" s="244">
        <f>ROUND(Tabla2[[#This Row],[Valor Comercial (US$)]]*0.8,-2)</f>
        <v>6400</v>
      </c>
      <c r="T217" s="244">
        <f>IF(Informe!$I$6=DATA!$B$4,R217,ROUND(Tabla2[[#This Row],[Área techada (m²)4]]*DATA!$F$5*1.15,-2))</f>
        <v>8000</v>
      </c>
      <c r="U217" s="8">
        <f t="shared" si="3"/>
        <v>3.3479999999999999</v>
      </c>
      <c r="V217" s="244">
        <f>ROUND(Tabla2[[#This Row],[Valor del terreno (US$)]]*Tabla2[[#This Row],[Tipo de Cambio]],-2)</f>
        <v>2000</v>
      </c>
      <c r="W217" s="244">
        <f>Tabla2[[#This Row],[Valor Comercial (S/.)]]-Tabla2[[#This Row],[Valor del terreno (S/.)]]</f>
        <v>24800</v>
      </c>
      <c r="X217" s="244">
        <f>ROUND(Tabla2[[#This Row],[Valor Comercial (US$)]]*Tabla2[[#This Row],[Tipo de Cambio]],-2)</f>
        <v>26800</v>
      </c>
      <c r="Y217" s="244">
        <f>ROUND(Tabla2[[#This Row],[Valor Realización (US$)]]*Tabla2[[#This Row],[Tipo de Cambio]],-2)</f>
        <v>21400</v>
      </c>
      <c r="Z217" s="244">
        <f>+ROUND(Tabla2[[#This Row],[Importe Asegurable (US$)]]*Tabla2[[#This Row],[Tipo de Cambio]],-2)</f>
        <v>26800</v>
      </c>
      <c r="AA217" s="245"/>
      <c r="AB217" s="2">
        <f>+Tabla2[[#This Row],[Valor Comercial (US$)]]/Tabla2[[#This Row],[Área techada (m²)4]]</f>
        <v>666.66666666666663</v>
      </c>
      <c r="AC21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17" s="1" t="s">
        <v>42</v>
      </c>
      <c r="AE217" s="222">
        <f>IF(Tabla2[[#This Row],[Moneda]]="Soles",Tabla2[[#This Row],[Valor de Venta]]/Tabla2[[#This Row],[Área techada (m²)]]/Tabla2[[#This Row],[Tipo de Cambio]],Tabla2[[#This Row],[Valor de Venta]]/Tabla2[[#This Row],[Área techada (m²)]])</f>
        <v>622.26204699322989</v>
      </c>
      <c r="AF217" s="347">
        <f>VLOOKUP(Tabla2[[#This Row],[VISTA]],DATA!$H$4:$I$17,2,FALSE)</f>
        <v>8000</v>
      </c>
      <c r="AG217" s="221">
        <f>+Tabla2[[#This Row],[Valor Comercial (S/.)]]/Tabla2[[#This Row],[Valor de Venta]]-1</f>
        <v>7.2000000000000064E-2</v>
      </c>
    </row>
    <row r="218" spans="1:33" s="1" customFormat="1" ht="15" customHeight="1" x14ac:dyDescent="0.25">
      <c r="A218" s="225" t="s">
        <v>39</v>
      </c>
      <c r="B218" s="22">
        <v>1464</v>
      </c>
      <c r="C218" s="14"/>
      <c r="D218" s="35"/>
      <c r="E218" s="29"/>
      <c r="F218" s="12">
        <f>ROUND(Tabla2[[#This Row],[Área ocupada (m²)]]/20*1.4,2)</f>
        <v>0.84</v>
      </c>
      <c r="G218" s="12">
        <v>12</v>
      </c>
      <c r="H218" s="12">
        <v>12</v>
      </c>
      <c r="I218" s="12">
        <f>ROUND(Tabla2[[#This Row],[Área techada (m²)]]*0.15,2)</f>
        <v>1.8</v>
      </c>
      <c r="J218" s="18" t="s">
        <v>33</v>
      </c>
      <c r="K218" s="7">
        <v>25000</v>
      </c>
      <c r="L218" s="240">
        <f>ROUND(Tabla2[[#This Row],[Área ocupada (m²)3]]/20*1.4,2)</f>
        <v>0.84</v>
      </c>
      <c r="M218" s="240">
        <f>ROUND(Tabla2[[#This Row],[Área ocupada (m²)]],2)</f>
        <v>12</v>
      </c>
      <c r="N218" s="240">
        <f>ROUND(Tabla2[[#This Row],[Área techada (m²)]],2)</f>
        <v>12</v>
      </c>
      <c r="O218" s="243">
        <f>ROUND(Tabla2[[#This Row],[Área techada (m²)4]]*0.15,2)</f>
        <v>1.8</v>
      </c>
      <c r="P218" s="6">
        <f>ROUND(Tabla2[[#This Row],[Área del terreno (m²)2]]*DATA!$F$4,-2)</f>
        <v>600</v>
      </c>
      <c r="Q218" s="243">
        <f>+Tabla2[[#This Row],[Valor Comercial (US$)]]-Tabla2[[#This Row],[Valor del terreno (US$)]]</f>
        <v>7400</v>
      </c>
      <c r="R218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8000</v>
      </c>
      <c r="S218" s="244">
        <f>ROUND(Tabla2[[#This Row],[Valor Comercial (US$)]]*0.8,-2)</f>
        <v>6400</v>
      </c>
      <c r="T218" s="244">
        <f>IF(Informe!$I$6=DATA!$B$4,R218,ROUND(Tabla2[[#This Row],[Área techada (m²)4]]*DATA!$F$5*1.15,-2))</f>
        <v>8000</v>
      </c>
      <c r="U218" s="8">
        <f t="shared" si="3"/>
        <v>3.3479999999999999</v>
      </c>
      <c r="V218" s="244">
        <f>ROUND(Tabla2[[#This Row],[Valor del terreno (US$)]]*Tabla2[[#This Row],[Tipo de Cambio]],-2)</f>
        <v>2000</v>
      </c>
      <c r="W218" s="244">
        <f>Tabla2[[#This Row],[Valor Comercial (S/.)]]-Tabla2[[#This Row],[Valor del terreno (S/.)]]</f>
        <v>24800</v>
      </c>
      <c r="X218" s="244">
        <f>ROUND(Tabla2[[#This Row],[Valor Comercial (US$)]]*Tabla2[[#This Row],[Tipo de Cambio]],-2)</f>
        <v>26800</v>
      </c>
      <c r="Y218" s="244">
        <f>ROUND(Tabla2[[#This Row],[Valor Realización (US$)]]*Tabla2[[#This Row],[Tipo de Cambio]],-2)</f>
        <v>21400</v>
      </c>
      <c r="Z218" s="244">
        <f>+ROUND(Tabla2[[#This Row],[Importe Asegurable (US$)]]*Tabla2[[#This Row],[Tipo de Cambio]],-2)</f>
        <v>26800</v>
      </c>
      <c r="AA218" s="245"/>
      <c r="AB218" s="2">
        <f>+Tabla2[[#This Row],[Valor Comercial (US$)]]/Tabla2[[#This Row],[Área techada (m²)4]]</f>
        <v>666.66666666666663</v>
      </c>
      <c r="AC21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18" s="1" t="s">
        <v>42</v>
      </c>
      <c r="AE218" s="222">
        <f>IF(Tabla2[[#This Row],[Moneda]]="Soles",Tabla2[[#This Row],[Valor de Venta]]/Tabla2[[#This Row],[Área techada (m²)]]/Tabla2[[#This Row],[Tipo de Cambio]],Tabla2[[#This Row],[Valor de Venta]]/Tabla2[[#This Row],[Área techada (m²)]])</f>
        <v>622.26204699322989</v>
      </c>
      <c r="AF218" s="347">
        <f>VLOOKUP(Tabla2[[#This Row],[VISTA]],DATA!$H$4:$I$17,2,FALSE)</f>
        <v>8000</v>
      </c>
      <c r="AG218" s="221">
        <f>+Tabla2[[#This Row],[Valor Comercial (S/.)]]/Tabla2[[#This Row],[Valor de Venta]]-1</f>
        <v>7.2000000000000064E-2</v>
      </c>
    </row>
    <row r="219" spans="1:33" s="1" customFormat="1" ht="15" customHeight="1" x14ac:dyDescent="0.25">
      <c r="A219" s="225" t="s">
        <v>39</v>
      </c>
      <c r="B219" s="22">
        <v>1465</v>
      </c>
      <c r="C219" s="14"/>
      <c r="D219" s="35"/>
      <c r="E219" s="29"/>
      <c r="F219" s="12">
        <f>ROUND(Tabla2[[#This Row],[Área ocupada (m²)]]/20*1.4,2)</f>
        <v>0.84</v>
      </c>
      <c r="G219" s="12">
        <v>12</v>
      </c>
      <c r="H219" s="12">
        <v>12</v>
      </c>
      <c r="I219" s="12">
        <f>ROUND(Tabla2[[#This Row],[Área techada (m²)]]*0.15,2)</f>
        <v>1.8</v>
      </c>
      <c r="J219" s="18" t="s">
        <v>33</v>
      </c>
      <c r="K219" s="7">
        <v>25000</v>
      </c>
      <c r="L219" s="240">
        <f>ROUND(Tabla2[[#This Row],[Área ocupada (m²)3]]/20*1.4,2)</f>
        <v>0.84</v>
      </c>
      <c r="M219" s="240">
        <f>ROUND(Tabla2[[#This Row],[Área ocupada (m²)]],2)</f>
        <v>12</v>
      </c>
      <c r="N219" s="240">
        <f>ROUND(Tabla2[[#This Row],[Área techada (m²)]],2)</f>
        <v>12</v>
      </c>
      <c r="O219" s="243">
        <f>ROUND(Tabla2[[#This Row],[Área techada (m²)4]]*0.15,2)</f>
        <v>1.8</v>
      </c>
      <c r="P219" s="6">
        <f>ROUND(Tabla2[[#This Row],[Área del terreno (m²)2]]*DATA!$F$4,-2)</f>
        <v>600</v>
      </c>
      <c r="Q219" s="243">
        <f>+Tabla2[[#This Row],[Valor Comercial (US$)]]-Tabla2[[#This Row],[Valor del terreno (US$)]]</f>
        <v>7400</v>
      </c>
      <c r="R219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8000</v>
      </c>
      <c r="S219" s="244">
        <f>ROUND(Tabla2[[#This Row],[Valor Comercial (US$)]]*0.8,-2)</f>
        <v>6400</v>
      </c>
      <c r="T219" s="244">
        <f>IF(Informe!$I$6=DATA!$B$4,R219,ROUND(Tabla2[[#This Row],[Área techada (m²)4]]*DATA!$F$5*1.15,-2))</f>
        <v>8000</v>
      </c>
      <c r="U219" s="8">
        <f t="shared" si="3"/>
        <v>3.3479999999999999</v>
      </c>
      <c r="V219" s="244">
        <f>ROUND(Tabla2[[#This Row],[Valor del terreno (US$)]]*Tabla2[[#This Row],[Tipo de Cambio]],-2)</f>
        <v>2000</v>
      </c>
      <c r="W219" s="244">
        <f>Tabla2[[#This Row],[Valor Comercial (S/.)]]-Tabla2[[#This Row],[Valor del terreno (S/.)]]</f>
        <v>24800</v>
      </c>
      <c r="X219" s="244">
        <f>ROUND(Tabla2[[#This Row],[Valor Comercial (US$)]]*Tabla2[[#This Row],[Tipo de Cambio]],-2)</f>
        <v>26800</v>
      </c>
      <c r="Y219" s="244">
        <f>ROUND(Tabla2[[#This Row],[Valor Realización (US$)]]*Tabla2[[#This Row],[Tipo de Cambio]],-2)</f>
        <v>21400</v>
      </c>
      <c r="Z219" s="244">
        <f>+ROUND(Tabla2[[#This Row],[Importe Asegurable (US$)]]*Tabla2[[#This Row],[Tipo de Cambio]],-2)</f>
        <v>26800</v>
      </c>
      <c r="AA219" s="245"/>
      <c r="AB219" s="2">
        <f>+Tabla2[[#This Row],[Valor Comercial (US$)]]/Tabla2[[#This Row],[Área techada (m²)4]]</f>
        <v>666.66666666666663</v>
      </c>
      <c r="AC21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19" s="1" t="s">
        <v>42</v>
      </c>
      <c r="AE219" s="222">
        <f>IF(Tabla2[[#This Row],[Moneda]]="Soles",Tabla2[[#This Row],[Valor de Venta]]/Tabla2[[#This Row],[Área techada (m²)]]/Tabla2[[#This Row],[Tipo de Cambio]],Tabla2[[#This Row],[Valor de Venta]]/Tabla2[[#This Row],[Área techada (m²)]])</f>
        <v>622.26204699322989</v>
      </c>
      <c r="AF219" s="347">
        <f>VLOOKUP(Tabla2[[#This Row],[VISTA]],DATA!$H$4:$I$17,2,FALSE)</f>
        <v>8000</v>
      </c>
      <c r="AG219" s="221">
        <f>+Tabla2[[#This Row],[Valor Comercial (S/.)]]/Tabla2[[#This Row],[Valor de Venta]]-1</f>
        <v>7.2000000000000064E-2</v>
      </c>
    </row>
    <row r="220" spans="1:33" s="1" customFormat="1" ht="15" customHeight="1" x14ac:dyDescent="0.25">
      <c r="A220" s="225" t="s">
        <v>39</v>
      </c>
      <c r="B220" s="22">
        <v>1468</v>
      </c>
      <c r="C220" s="14"/>
      <c r="D220" s="35"/>
      <c r="E220" s="29"/>
      <c r="F220" s="12">
        <f>ROUND(Tabla2[[#This Row],[Área ocupada (m²)]]/20*1.4,2)</f>
        <v>0.84</v>
      </c>
      <c r="G220" s="12">
        <v>12</v>
      </c>
      <c r="H220" s="12">
        <v>12</v>
      </c>
      <c r="I220" s="12">
        <f>ROUND(Tabla2[[#This Row],[Área techada (m²)]]*0.15,2)</f>
        <v>1.8</v>
      </c>
      <c r="J220" s="18" t="s">
        <v>33</v>
      </c>
      <c r="K220" s="7">
        <v>25000</v>
      </c>
      <c r="L220" s="240">
        <f>ROUND(Tabla2[[#This Row],[Área ocupada (m²)3]]/20*1.4,2)</f>
        <v>0.84</v>
      </c>
      <c r="M220" s="240">
        <f>ROUND(Tabla2[[#This Row],[Área ocupada (m²)]],2)</f>
        <v>12</v>
      </c>
      <c r="N220" s="240">
        <f>ROUND(Tabla2[[#This Row],[Área techada (m²)]],2)</f>
        <v>12</v>
      </c>
      <c r="O220" s="243">
        <f>ROUND(Tabla2[[#This Row],[Área techada (m²)4]]*0.15,2)</f>
        <v>1.8</v>
      </c>
      <c r="P220" s="6">
        <f>ROUND(Tabla2[[#This Row],[Área del terreno (m²)2]]*DATA!$F$4,-2)</f>
        <v>600</v>
      </c>
      <c r="Q220" s="243">
        <f>+Tabla2[[#This Row],[Valor Comercial (US$)]]-Tabla2[[#This Row],[Valor del terreno (US$)]]</f>
        <v>7400</v>
      </c>
      <c r="R220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8000</v>
      </c>
      <c r="S220" s="244">
        <f>ROUND(Tabla2[[#This Row],[Valor Comercial (US$)]]*0.8,-2)</f>
        <v>6400</v>
      </c>
      <c r="T220" s="244">
        <f>IF(Informe!$I$6=DATA!$B$4,R220,ROUND(Tabla2[[#This Row],[Área techada (m²)4]]*DATA!$F$5*1.15,-2))</f>
        <v>8000</v>
      </c>
      <c r="U220" s="8">
        <f t="shared" si="3"/>
        <v>3.3479999999999999</v>
      </c>
      <c r="V220" s="244">
        <f>ROUND(Tabla2[[#This Row],[Valor del terreno (US$)]]*Tabla2[[#This Row],[Tipo de Cambio]],-2)</f>
        <v>2000</v>
      </c>
      <c r="W220" s="244">
        <f>Tabla2[[#This Row],[Valor Comercial (S/.)]]-Tabla2[[#This Row],[Valor del terreno (S/.)]]</f>
        <v>24800</v>
      </c>
      <c r="X220" s="244">
        <f>ROUND(Tabla2[[#This Row],[Valor Comercial (US$)]]*Tabla2[[#This Row],[Tipo de Cambio]],-2)</f>
        <v>26800</v>
      </c>
      <c r="Y220" s="244">
        <f>ROUND(Tabla2[[#This Row],[Valor Realización (US$)]]*Tabla2[[#This Row],[Tipo de Cambio]],-2)</f>
        <v>21400</v>
      </c>
      <c r="Z220" s="244">
        <f>+ROUND(Tabla2[[#This Row],[Importe Asegurable (US$)]]*Tabla2[[#This Row],[Tipo de Cambio]],-2)</f>
        <v>26800</v>
      </c>
      <c r="AA220" s="245"/>
      <c r="AB220" s="2">
        <f>+Tabla2[[#This Row],[Valor Comercial (US$)]]/Tabla2[[#This Row],[Área techada (m²)4]]</f>
        <v>666.66666666666663</v>
      </c>
      <c r="AC22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20" s="1" t="s">
        <v>42</v>
      </c>
      <c r="AE220" s="222">
        <f>IF(Tabla2[[#This Row],[Moneda]]="Soles",Tabla2[[#This Row],[Valor de Venta]]/Tabla2[[#This Row],[Área techada (m²)]]/Tabla2[[#This Row],[Tipo de Cambio]],Tabla2[[#This Row],[Valor de Venta]]/Tabla2[[#This Row],[Área techada (m²)]])</f>
        <v>622.26204699322989</v>
      </c>
      <c r="AF220" s="347">
        <f>VLOOKUP(Tabla2[[#This Row],[VISTA]],DATA!$H$4:$I$17,2,FALSE)</f>
        <v>8000</v>
      </c>
      <c r="AG220" s="221">
        <f>+Tabla2[[#This Row],[Valor Comercial (S/.)]]/Tabla2[[#This Row],[Valor de Venta]]-1</f>
        <v>7.2000000000000064E-2</v>
      </c>
    </row>
    <row r="221" spans="1:33" s="1" customFormat="1" ht="15" customHeight="1" x14ac:dyDescent="0.25">
      <c r="A221" s="225" t="s">
        <v>39</v>
      </c>
      <c r="B221" s="22">
        <v>1469</v>
      </c>
      <c r="C221" s="14"/>
      <c r="D221" s="35"/>
      <c r="E221" s="29"/>
      <c r="F221" s="12">
        <f>ROUND(Tabla2[[#This Row],[Área ocupada (m²)]]/20*1.4,2)</f>
        <v>0.84</v>
      </c>
      <c r="G221" s="12">
        <v>12</v>
      </c>
      <c r="H221" s="12">
        <v>12</v>
      </c>
      <c r="I221" s="12">
        <f>ROUND(Tabla2[[#This Row],[Área techada (m²)]]*0.15,2)</f>
        <v>1.8</v>
      </c>
      <c r="J221" s="18" t="s">
        <v>33</v>
      </c>
      <c r="K221" s="7">
        <v>25000</v>
      </c>
      <c r="L221" s="240">
        <f>ROUND(Tabla2[[#This Row],[Área ocupada (m²)3]]/20*1.4,2)</f>
        <v>0.84</v>
      </c>
      <c r="M221" s="240">
        <f>ROUND(Tabla2[[#This Row],[Área ocupada (m²)]],2)</f>
        <v>12</v>
      </c>
      <c r="N221" s="240">
        <f>ROUND(Tabla2[[#This Row],[Área techada (m²)]],2)</f>
        <v>12</v>
      </c>
      <c r="O221" s="243">
        <f>ROUND(Tabla2[[#This Row],[Área techada (m²)4]]*0.15,2)</f>
        <v>1.8</v>
      </c>
      <c r="P221" s="6">
        <f>ROUND(Tabla2[[#This Row],[Área del terreno (m²)2]]*DATA!$F$4,-2)</f>
        <v>600</v>
      </c>
      <c r="Q221" s="243">
        <f>+Tabla2[[#This Row],[Valor Comercial (US$)]]-Tabla2[[#This Row],[Valor del terreno (US$)]]</f>
        <v>7400</v>
      </c>
      <c r="R221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8000</v>
      </c>
      <c r="S221" s="244">
        <f>ROUND(Tabla2[[#This Row],[Valor Comercial (US$)]]*0.8,-2)</f>
        <v>6400</v>
      </c>
      <c r="T221" s="244">
        <f>IF(Informe!$I$6=DATA!$B$4,R221,ROUND(Tabla2[[#This Row],[Área techada (m²)4]]*DATA!$F$5*1.15,-2))</f>
        <v>8000</v>
      </c>
      <c r="U221" s="8">
        <f t="shared" si="3"/>
        <v>3.3479999999999999</v>
      </c>
      <c r="V221" s="244">
        <f>ROUND(Tabla2[[#This Row],[Valor del terreno (US$)]]*Tabla2[[#This Row],[Tipo de Cambio]],-2)</f>
        <v>2000</v>
      </c>
      <c r="W221" s="244">
        <f>Tabla2[[#This Row],[Valor Comercial (S/.)]]-Tabla2[[#This Row],[Valor del terreno (S/.)]]</f>
        <v>24800</v>
      </c>
      <c r="X221" s="244">
        <f>ROUND(Tabla2[[#This Row],[Valor Comercial (US$)]]*Tabla2[[#This Row],[Tipo de Cambio]],-2)</f>
        <v>26800</v>
      </c>
      <c r="Y221" s="244">
        <f>ROUND(Tabla2[[#This Row],[Valor Realización (US$)]]*Tabla2[[#This Row],[Tipo de Cambio]],-2)</f>
        <v>21400</v>
      </c>
      <c r="Z221" s="244">
        <f>+ROUND(Tabla2[[#This Row],[Importe Asegurable (US$)]]*Tabla2[[#This Row],[Tipo de Cambio]],-2)</f>
        <v>26800</v>
      </c>
      <c r="AA221" s="245"/>
      <c r="AB221" s="2">
        <f>+Tabla2[[#This Row],[Valor Comercial (US$)]]/Tabla2[[#This Row],[Área techada (m²)4]]</f>
        <v>666.66666666666663</v>
      </c>
      <c r="AC221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21" s="1" t="s">
        <v>42</v>
      </c>
      <c r="AE221" s="222">
        <f>IF(Tabla2[[#This Row],[Moneda]]="Soles",Tabla2[[#This Row],[Valor de Venta]]/Tabla2[[#This Row],[Área techada (m²)]]/Tabla2[[#This Row],[Tipo de Cambio]],Tabla2[[#This Row],[Valor de Venta]]/Tabla2[[#This Row],[Área techada (m²)]])</f>
        <v>622.26204699322989</v>
      </c>
      <c r="AF221" s="347">
        <f>VLOOKUP(Tabla2[[#This Row],[VISTA]],DATA!$H$4:$I$17,2,FALSE)</f>
        <v>8000</v>
      </c>
      <c r="AG221" s="221">
        <f>+Tabla2[[#This Row],[Valor Comercial (S/.)]]/Tabla2[[#This Row],[Valor de Venta]]-1</f>
        <v>7.2000000000000064E-2</v>
      </c>
    </row>
    <row r="222" spans="1:33" s="1" customFormat="1" ht="15" customHeight="1" x14ac:dyDescent="0.25">
      <c r="A222" s="225" t="s">
        <v>39</v>
      </c>
      <c r="B222" s="22">
        <v>1470</v>
      </c>
      <c r="C222" s="14"/>
      <c r="D222" s="35"/>
      <c r="E222" s="29"/>
      <c r="F222" s="12">
        <f>ROUND(Tabla2[[#This Row],[Área ocupada (m²)]]/20*1.4,2)</f>
        <v>0.84</v>
      </c>
      <c r="G222" s="12">
        <v>12</v>
      </c>
      <c r="H222" s="12">
        <v>12</v>
      </c>
      <c r="I222" s="12">
        <f>ROUND(Tabla2[[#This Row],[Área techada (m²)]]*0.15,2)</f>
        <v>1.8</v>
      </c>
      <c r="J222" s="18" t="s">
        <v>33</v>
      </c>
      <c r="K222" s="7">
        <v>25000</v>
      </c>
      <c r="L222" s="240">
        <f>ROUND(Tabla2[[#This Row],[Área ocupada (m²)3]]/20*1.4,2)</f>
        <v>0.84</v>
      </c>
      <c r="M222" s="240">
        <f>ROUND(Tabla2[[#This Row],[Área ocupada (m²)]],2)</f>
        <v>12</v>
      </c>
      <c r="N222" s="240">
        <f>ROUND(Tabla2[[#This Row],[Área techada (m²)]],2)</f>
        <v>12</v>
      </c>
      <c r="O222" s="243">
        <f>ROUND(Tabla2[[#This Row],[Área techada (m²)4]]*0.15,2)</f>
        <v>1.8</v>
      </c>
      <c r="P222" s="6">
        <f>ROUND(Tabla2[[#This Row],[Área del terreno (m²)2]]*DATA!$F$4,-2)</f>
        <v>600</v>
      </c>
      <c r="Q222" s="243">
        <f>+Tabla2[[#This Row],[Valor Comercial (US$)]]-Tabla2[[#This Row],[Valor del terreno (US$)]]</f>
        <v>7400</v>
      </c>
      <c r="R222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8000</v>
      </c>
      <c r="S222" s="244">
        <f>ROUND(Tabla2[[#This Row],[Valor Comercial (US$)]]*0.8,-2)</f>
        <v>6400</v>
      </c>
      <c r="T222" s="244">
        <f>IF(Informe!$I$6=DATA!$B$4,R222,ROUND(Tabla2[[#This Row],[Área techada (m²)4]]*DATA!$F$5*1.15,-2))</f>
        <v>8000</v>
      </c>
      <c r="U222" s="8">
        <f t="shared" si="3"/>
        <v>3.3479999999999999</v>
      </c>
      <c r="V222" s="244">
        <f>ROUND(Tabla2[[#This Row],[Valor del terreno (US$)]]*Tabla2[[#This Row],[Tipo de Cambio]],-2)</f>
        <v>2000</v>
      </c>
      <c r="W222" s="244">
        <f>Tabla2[[#This Row],[Valor Comercial (S/.)]]-Tabla2[[#This Row],[Valor del terreno (S/.)]]</f>
        <v>24800</v>
      </c>
      <c r="X222" s="244">
        <f>ROUND(Tabla2[[#This Row],[Valor Comercial (US$)]]*Tabla2[[#This Row],[Tipo de Cambio]],-2)</f>
        <v>26800</v>
      </c>
      <c r="Y222" s="244">
        <f>ROUND(Tabla2[[#This Row],[Valor Realización (US$)]]*Tabla2[[#This Row],[Tipo de Cambio]],-2)</f>
        <v>21400</v>
      </c>
      <c r="Z222" s="244">
        <f>+ROUND(Tabla2[[#This Row],[Importe Asegurable (US$)]]*Tabla2[[#This Row],[Tipo de Cambio]],-2)</f>
        <v>26800</v>
      </c>
      <c r="AA222" s="245"/>
      <c r="AB222" s="2">
        <f>+Tabla2[[#This Row],[Valor Comercial (US$)]]/Tabla2[[#This Row],[Área techada (m²)4]]</f>
        <v>666.66666666666663</v>
      </c>
      <c r="AC222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22" s="1" t="s">
        <v>42</v>
      </c>
      <c r="AE222" s="222">
        <f>IF(Tabla2[[#This Row],[Moneda]]="Soles",Tabla2[[#This Row],[Valor de Venta]]/Tabla2[[#This Row],[Área techada (m²)]]/Tabla2[[#This Row],[Tipo de Cambio]],Tabla2[[#This Row],[Valor de Venta]]/Tabla2[[#This Row],[Área techada (m²)]])</f>
        <v>622.26204699322989</v>
      </c>
      <c r="AF222" s="347">
        <f>VLOOKUP(Tabla2[[#This Row],[VISTA]],DATA!$H$4:$I$17,2,FALSE)</f>
        <v>8000</v>
      </c>
      <c r="AG222" s="221">
        <f>+Tabla2[[#This Row],[Valor Comercial (S/.)]]/Tabla2[[#This Row],[Valor de Venta]]-1</f>
        <v>7.2000000000000064E-2</v>
      </c>
    </row>
    <row r="223" spans="1:33" s="1" customFormat="1" ht="15" customHeight="1" x14ac:dyDescent="0.25">
      <c r="A223" s="225" t="s">
        <v>39</v>
      </c>
      <c r="B223" s="22">
        <v>1471</v>
      </c>
      <c r="C223" s="14"/>
      <c r="D223" s="35"/>
      <c r="E223" s="29"/>
      <c r="F223" s="12">
        <f>ROUND(Tabla2[[#This Row],[Área ocupada (m²)]]/20*1.4,2)</f>
        <v>0.84</v>
      </c>
      <c r="G223" s="12">
        <v>12</v>
      </c>
      <c r="H223" s="12">
        <v>12</v>
      </c>
      <c r="I223" s="12">
        <f>ROUND(Tabla2[[#This Row],[Área techada (m²)]]*0.15,2)</f>
        <v>1.8</v>
      </c>
      <c r="J223" s="18" t="s">
        <v>33</v>
      </c>
      <c r="K223" s="7">
        <v>25000</v>
      </c>
      <c r="L223" s="240">
        <f>ROUND(Tabla2[[#This Row],[Área ocupada (m²)3]]/20*1.4,2)</f>
        <v>0.84</v>
      </c>
      <c r="M223" s="240">
        <f>ROUND(Tabla2[[#This Row],[Área ocupada (m²)]],2)</f>
        <v>12</v>
      </c>
      <c r="N223" s="240">
        <f>ROUND(Tabla2[[#This Row],[Área techada (m²)]],2)</f>
        <v>12</v>
      </c>
      <c r="O223" s="243">
        <f>ROUND(Tabla2[[#This Row],[Área techada (m²)4]]*0.15,2)</f>
        <v>1.8</v>
      </c>
      <c r="P223" s="6">
        <f>ROUND(Tabla2[[#This Row],[Área del terreno (m²)2]]*DATA!$F$4,-2)</f>
        <v>600</v>
      </c>
      <c r="Q223" s="243">
        <f>+Tabla2[[#This Row],[Valor Comercial (US$)]]-Tabla2[[#This Row],[Valor del terreno (US$)]]</f>
        <v>7400</v>
      </c>
      <c r="R22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8000</v>
      </c>
      <c r="S223" s="244">
        <f>ROUND(Tabla2[[#This Row],[Valor Comercial (US$)]]*0.8,-2)</f>
        <v>6400</v>
      </c>
      <c r="T223" s="244">
        <f>IF(Informe!$I$6=DATA!$B$4,R223,ROUND(Tabla2[[#This Row],[Área techada (m²)4]]*DATA!$F$5*1.15,-2))</f>
        <v>8000</v>
      </c>
      <c r="U223" s="8">
        <f t="shared" si="3"/>
        <v>3.3479999999999999</v>
      </c>
      <c r="V223" s="244">
        <f>ROUND(Tabla2[[#This Row],[Valor del terreno (US$)]]*Tabla2[[#This Row],[Tipo de Cambio]],-2)</f>
        <v>2000</v>
      </c>
      <c r="W223" s="244">
        <f>Tabla2[[#This Row],[Valor Comercial (S/.)]]-Tabla2[[#This Row],[Valor del terreno (S/.)]]</f>
        <v>24800</v>
      </c>
      <c r="X223" s="244">
        <f>ROUND(Tabla2[[#This Row],[Valor Comercial (US$)]]*Tabla2[[#This Row],[Tipo de Cambio]],-2)</f>
        <v>26800</v>
      </c>
      <c r="Y223" s="244">
        <f>ROUND(Tabla2[[#This Row],[Valor Realización (US$)]]*Tabla2[[#This Row],[Tipo de Cambio]],-2)</f>
        <v>21400</v>
      </c>
      <c r="Z223" s="244">
        <f>+ROUND(Tabla2[[#This Row],[Importe Asegurable (US$)]]*Tabla2[[#This Row],[Tipo de Cambio]],-2)</f>
        <v>26800</v>
      </c>
      <c r="AA223" s="245"/>
      <c r="AB223" s="2">
        <f>+Tabla2[[#This Row],[Valor Comercial (US$)]]/Tabla2[[#This Row],[Área techada (m²)4]]</f>
        <v>666.66666666666663</v>
      </c>
      <c r="AC22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23" s="1" t="s">
        <v>42</v>
      </c>
      <c r="AE223" s="222">
        <f>IF(Tabla2[[#This Row],[Moneda]]="Soles",Tabla2[[#This Row],[Valor de Venta]]/Tabla2[[#This Row],[Área techada (m²)]]/Tabla2[[#This Row],[Tipo de Cambio]],Tabla2[[#This Row],[Valor de Venta]]/Tabla2[[#This Row],[Área techada (m²)]])</f>
        <v>622.26204699322989</v>
      </c>
      <c r="AF223" s="347">
        <f>VLOOKUP(Tabla2[[#This Row],[VISTA]],DATA!$H$4:$I$17,2,FALSE)</f>
        <v>8000</v>
      </c>
      <c r="AG223" s="221">
        <f>+Tabla2[[#This Row],[Valor Comercial (S/.)]]/Tabla2[[#This Row],[Valor de Venta]]-1</f>
        <v>7.2000000000000064E-2</v>
      </c>
    </row>
    <row r="224" spans="1:33" s="1" customFormat="1" ht="15" customHeight="1" x14ac:dyDescent="0.25">
      <c r="A224" s="225" t="s">
        <v>39</v>
      </c>
      <c r="B224" s="22">
        <v>1472</v>
      </c>
      <c r="C224" s="14"/>
      <c r="D224" s="35"/>
      <c r="E224" s="29"/>
      <c r="F224" s="12">
        <f>ROUND(Tabla2[[#This Row],[Área ocupada (m²)]]/20*1.4,2)</f>
        <v>0.84</v>
      </c>
      <c r="G224" s="12">
        <v>12</v>
      </c>
      <c r="H224" s="12">
        <v>12</v>
      </c>
      <c r="I224" s="12">
        <f>ROUND(Tabla2[[#This Row],[Área techada (m²)]]*0.15,2)</f>
        <v>1.8</v>
      </c>
      <c r="J224" s="18" t="s">
        <v>33</v>
      </c>
      <c r="K224" s="7">
        <v>25000</v>
      </c>
      <c r="L224" s="240">
        <f>ROUND(Tabla2[[#This Row],[Área ocupada (m²)3]]/20*1.4,2)</f>
        <v>0.84</v>
      </c>
      <c r="M224" s="240">
        <f>ROUND(Tabla2[[#This Row],[Área ocupada (m²)]],2)</f>
        <v>12</v>
      </c>
      <c r="N224" s="240">
        <f>ROUND(Tabla2[[#This Row],[Área techada (m²)]],2)</f>
        <v>12</v>
      </c>
      <c r="O224" s="243">
        <f>ROUND(Tabla2[[#This Row],[Área techada (m²)4]]*0.15,2)</f>
        <v>1.8</v>
      </c>
      <c r="P224" s="6">
        <f>ROUND(Tabla2[[#This Row],[Área del terreno (m²)2]]*DATA!$F$4,-2)</f>
        <v>600</v>
      </c>
      <c r="Q224" s="243">
        <f>+Tabla2[[#This Row],[Valor Comercial (US$)]]-Tabla2[[#This Row],[Valor del terreno (US$)]]</f>
        <v>7400</v>
      </c>
      <c r="R22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8000</v>
      </c>
      <c r="S224" s="244">
        <f>ROUND(Tabla2[[#This Row],[Valor Comercial (US$)]]*0.8,-2)</f>
        <v>6400</v>
      </c>
      <c r="T224" s="244">
        <f>IF(Informe!$I$6=DATA!$B$4,R224,ROUND(Tabla2[[#This Row],[Área techada (m²)4]]*DATA!$F$5*1.15,-2))</f>
        <v>8000</v>
      </c>
      <c r="U224" s="8">
        <f t="shared" si="3"/>
        <v>3.3479999999999999</v>
      </c>
      <c r="V224" s="244">
        <f>ROUND(Tabla2[[#This Row],[Valor del terreno (US$)]]*Tabla2[[#This Row],[Tipo de Cambio]],-2)</f>
        <v>2000</v>
      </c>
      <c r="W224" s="244">
        <f>Tabla2[[#This Row],[Valor Comercial (S/.)]]-Tabla2[[#This Row],[Valor del terreno (S/.)]]</f>
        <v>24800</v>
      </c>
      <c r="X224" s="244">
        <f>ROUND(Tabla2[[#This Row],[Valor Comercial (US$)]]*Tabla2[[#This Row],[Tipo de Cambio]],-2)</f>
        <v>26800</v>
      </c>
      <c r="Y224" s="244">
        <f>ROUND(Tabla2[[#This Row],[Valor Realización (US$)]]*Tabla2[[#This Row],[Tipo de Cambio]],-2)</f>
        <v>21400</v>
      </c>
      <c r="Z224" s="244">
        <f>+ROUND(Tabla2[[#This Row],[Importe Asegurable (US$)]]*Tabla2[[#This Row],[Tipo de Cambio]],-2)</f>
        <v>26800</v>
      </c>
      <c r="AA224" s="245"/>
      <c r="AB224" s="2">
        <f>+Tabla2[[#This Row],[Valor Comercial (US$)]]/Tabla2[[#This Row],[Área techada (m²)4]]</f>
        <v>666.66666666666663</v>
      </c>
      <c r="AC22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24" s="1" t="s">
        <v>42</v>
      </c>
      <c r="AE224" s="222">
        <f>IF(Tabla2[[#This Row],[Moneda]]="Soles",Tabla2[[#This Row],[Valor de Venta]]/Tabla2[[#This Row],[Área techada (m²)]]/Tabla2[[#This Row],[Tipo de Cambio]],Tabla2[[#This Row],[Valor de Venta]]/Tabla2[[#This Row],[Área techada (m²)]])</f>
        <v>622.26204699322989</v>
      </c>
      <c r="AF224" s="347">
        <f>VLOOKUP(Tabla2[[#This Row],[VISTA]],DATA!$H$4:$I$17,2,FALSE)</f>
        <v>8000</v>
      </c>
      <c r="AG224" s="221">
        <f>+Tabla2[[#This Row],[Valor Comercial (S/.)]]/Tabla2[[#This Row],[Valor de Venta]]-1</f>
        <v>7.2000000000000064E-2</v>
      </c>
    </row>
    <row r="225" spans="1:33" s="1" customFormat="1" ht="15" customHeight="1" x14ac:dyDescent="0.25">
      <c r="A225" s="225" t="s">
        <v>39</v>
      </c>
      <c r="B225" s="22">
        <v>1473</v>
      </c>
      <c r="C225" s="14"/>
      <c r="D225" s="35"/>
      <c r="E225" s="29"/>
      <c r="F225" s="12">
        <f>ROUND(Tabla2[[#This Row],[Área ocupada (m²)]]/20*1.4,2)</f>
        <v>0.84</v>
      </c>
      <c r="G225" s="12">
        <v>12</v>
      </c>
      <c r="H225" s="12">
        <v>12</v>
      </c>
      <c r="I225" s="12">
        <f>ROUND(Tabla2[[#This Row],[Área techada (m²)]]*0.15,2)</f>
        <v>1.8</v>
      </c>
      <c r="J225" s="18" t="s">
        <v>33</v>
      </c>
      <c r="K225" s="7">
        <v>25000</v>
      </c>
      <c r="L225" s="240">
        <f>ROUND(Tabla2[[#This Row],[Área ocupada (m²)3]]/20*1.4,2)</f>
        <v>0.84</v>
      </c>
      <c r="M225" s="240">
        <f>ROUND(Tabla2[[#This Row],[Área ocupada (m²)]],2)</f>
        <v>12</v>
      </c>
      <c r="N225" s="240">
        <f>ROUND(Tabla2[[#This Row],[Área techada (m²)]],2)</f>
        <v>12</v>
      </c>
      <c r="O225" s="243">
        <f>ROUND(Tabla2[[#This Row],[Área techada (m²)4]]*0.15,2)</f>
        <v>1.8</v>
      </c>
      <c r="P225" s="6">
        <f>ROUND(Tabla2[[#This Row],[Área del terreno (m²)2]]*DATA!$F$4,-2)</f>
        <v>600</v>
      </c>
      <c r="Q225" s="243">
        <f>+Tabla2[[#This Row],[Valor Comercial (US$)]]-Tabla2[[#This Row],[Valor del terreno (US$)]]</f>
        <v>7400</v>
      </c>
      <c r="R22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8000</v>
      </c>
      <c r="S225" s="244">
        <f>ROUND(Tabla2[[#This Row],[Valor Comercial (US$)]]*0.8,-2)</f>
        <v>6400</v>
      </c>
      <c r="T225" s="244">
        <f>IF(Informe!$I$6=DATA!$B$4,R225,ROUND(Tabla2[[#This Row],[Área techada (m²)4]]*DATA!$F$5*1.15,-2))</f>
        <v>8000</v>
      </c>
      <c r="U225" s="8">
        <f t="shared" si="3"/>
        <v>3.3479999999999999</v>
      </c>
      <c r="V225" s="244">
        <f>ROUND(Tabla2[[#This Row],[Valor del terreno (US$)]]*Tabla2[[#This Row],[Tipo de Cambio]],-2)</f>
        <v>2000</v>
      </c>
      <c r="W225" s="244">
        <f>Tabla2[[#This Row],[Valor Comercial (S/.)]]-Tabla2[[#This Row],[Valor del terreno (S/.)]]</f>
        <v>24800</v>
      </c>
      <c r="X225" s="244">
        <f>ROUND(Tabla2[[#This Row],[Valor Comercial (US$)]]*Tabla2[[#This Row],[Tipo de Cambio]],-2)</f>
        <v>26800</v>
      </c>
      <c r="Y225" s="244">
        <f>ROUND(Tabla2[[#This Row],[Valor Realización (US$)]]*Tabla2[[#This Row],[Tipo de Cambio]],-2)</f>
        <v>21400</v>
      </c>
      <c r="Z225" s="244">
        <f>+ROUND(Tabla2[[#This Row],[Importe Asegurable (US$)]]*Tabla2[[#This Row],[Tipo de Cambio]],-2)</f>
        <v>26800</v>
      </c>
      <c r="AA225" s="245"/>
      <c r="AB225" s="2">
        <f>+Tabla2[[#This Row],[Valor Comercial (US$)]]/Tabla2[[#This Row],[Área techada (m²)4]]</f>
        <v>666.66666666666663</v>
      </c>
      <c r="AC22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25" s="1" t="s">
        <v>42</v>
      </c>
      <c r="AE225" s="222">
        <f>IF(Tabla2[[#This Row],[Moneda]]="Soles",Tabla2[[#This Row],[Valor de Venta]]/Tabla2[[#This Row],[Área techada (m²)]]/Tabla2[[#This Row],[Tipo de Cambio]],Tabla2[[#This Row],[Valor de Venta]]/Tabla2[[#This Row],[Área techada (m²)]])</f>
        <v>622.26204699322989</v>
      </c>
      <c r="AF225" s="347">
        <f>VLOOKUP(Tabla2[[#This Row],[VISTA]],DATA!$H$4:$I$17,2,FALSE)</f>
        <v>8000</v>
      </c>
      <c r="AG225" s="221">
        <f>+Tabla2[[#This Row],[Valor Comercial (S/.)]]/Tabla2[[#This Row],[Valor de Venta]]-1</f>
        <v>7.2000000000000064E-2</v>
      </c>
    </row>
    <row r="226" spans="1:33" s="1" customFormat="1" ht="15" customHeight="1" x14ac:dyDescent="0.25">
      <c r="A226" s="225" t="s">
        <v>424</v>
      </c>
      <c r="B226" s="22" t="s">
        <v>435</v>
      </c>
      <c r="C226" s="14">
        <v>-1</v>
      </c>
      <c r="D226" s="35"/>
      <c r="E226" s="29"/>
      <c r="F226" s="12">
        <f>ROUND(Tabla2[[#This Row],[Área ocupada (m²)]]/20*1.4,2)</f>
        <v>0.12</v>
      </c>
      <c r="G226" s="12">
        <v>1.75</v>
      </c>
      <c r="H226" s="12">
        <v>1.75</v>
      </c>
      <c r="I226" s="12">
        <f>ROUND(Tabla2[[#This Row],[Área techada (m²)]]*0.15,2)</f>
        <v>0.26</v>
      </c>
      <c r="J226" s="18" t="s">
        <v>33</v>
      </c>
      <c r="K226" s="7">
        <v>5000</v>
      </c>
      <c r="L226" s="240">
        <f>ROUND(Tabla2[[#This Row],[Área ocupada (m²)3]]/20*1.4,2)</f>
        <v>0.12</v>
      </c>
      <c r="M226" s="240">
        <f>ROUND(Tabla2[[#This Row],[Área ocupada (m²)]],2)</f>
        <v>1.75</v>
      </c>
      <c r="N226" s="240">
        <f>ROUND(Tabla2[[#This Row],[Área techada (m²)]],2)</f>
        <v>1.75</v>
      </c>
      <c r="O226" s="243">
        <f>ROUND(Tabla2[[#This Row],[Área techada (m²)4]]*0.15,2)</f>
        <v>0.26</v>
      </c>
      <c r="P226" s="6">
        <f>ROUND(Tabla2[[#This Row],[Área del terreno (m²)2]]*DATA!$F$4,-2)</f>
        <v>100</v>
      </c>
      <c r="Q226" s="243">
        <f>+Tabla2[[#This Row],[Valor Comercial (US$)]]-Tabla2[[#This Row],[Valor del terreno (US$)]]</f>
        <v>3900</v>
      </c>
      <c r="R22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4000</v>
      </c>
      <c r="S226" s="244">
        <f>ROUND(Tabla2[[#This Row],[Valor Comercial (US$)]]*0.8,-2)</f>
        <v>3200</v>
      </c>
      <c r="T226" s="244">
        <f>IF(Informe!$I$6=DATA!$B$4,R226,ROUND(Tabla2[[#This Row],[Área techada (m²)4]]*DATA!$F$5*1.15,-2))</f>
        <v>4000</v>
      </c>
      <c r="U226" s="8">
        <f t="shared" si="3"/>
        <v>3.3479999999999999</v>
      </c>
      <c r="V226" s="244">
        <f>ROUND(Tabla2[[#This Row],[Valor del terreno (US$)]]*Tabla2[[#This Row],[Tipo de Cambio]],-2)</f>
        <v>300</v>
      </c>
      <c r="W226" s="244">
        <f>Tabla2[[#This Row],[Valor Comercial (S/.)]]-Tabla2[[#This Row],[Valor del terreno (S/.)]]</f>
        <v>13100</v>
      </c>
      <c r="X226" s="244">
        <f>ROUND(Tabla2[[#This Row],[Valor Comercial (US$)]]*Tabla2[[#This Row],[Tipo de Cambio]],-2)</f>
        <v>13400</v>
      </c>
      <c r="Y226" s="244">
        <f>ROUND(Tabla2[[#This Row],[Valor Realización (US$)]]*Tabla2[[#This Row],[Tipo de Cambio]],-2)</f>
        <v>10700</v>
      </c>
      <c r="Z226" s="244">
        <f>+ROUND(Tabla2[[#This Row],[Importe Asegurable (US$)]]*Tabla2[[#This Row],[Tipo de Cambio]],-2)</f>
        <v>13400</v>
      </c>
      <c r="AA226" s="245"/>
      <c r="AB226" s="2">
        <f>+Tabla2[[#This Row],[Valor Comercial (US$)]]/Tabla2[[#This Row],[Área techada (m²)4]]</f>
        <v>2285.7142857142858</v>
      </c>
      <c r="AC22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26" s="1" t="s">
        <v>422</v>
      </c>
      <c r="AE226" s="222">
        <f>IF(Tabla2[[#This Row],[Moneda]]="Soles",Tabla2[[#This Row],[Valor de Venta]]/Tabla2[[#This Row],[Área techada (m²)]]/Tabla2[[#This Row],[Tipo de Cambio]],Tabla2[[#This Row],[Valor de Venta]]/Tabla2[[#This Row],[Área techada (m²)]])</f>
        <v>853.38795016214385</v>
      </c>
      <c r="AF226" s="347">
        <f>VLOOKUP(Tabla2[[#This Row],[VISTA]],DATA!$H$4:$I$17,2,FALSE)</f>
        <v>4000</v>
      </c>
      <c r="AG226" s="221">
        <f>+Tabla2[[#This Row],[Valor Comercial (S/.)]]/Tabla2[[#This Row],[Valor de Venta]]-1</f>
        <v>1.6800000000000002</v>
      </c>
    </row>
    <row r="227" spans="1:33" s="1" customFormat="1" ht="15" customHeight="1" x14ac:dyDescent="0.25">
      <c r="A227" s="225" t="s">
        <v>424</v>
      </c>
      <c r="B227" s="22" t="s">
        <v>434</v>
      </c>
      <c r="C227" s="14">
        <v>-1</v>
      </c>
      <c r="D227" s="35"/>
      <c r="E227" s="29"/>
      <c r="F227" s="12">
        <f>ROUND(Tabla2[[#This Row],[Área ocupada (m²)]]/20*1.4,2)</f>
        <v>0.44</v>
      </c>
      <c r="G227" s="12">
        <v>6.35</v>
      </c>
      <c r="H227" s="12">
        <v>6.35</v>
      </c>
      <c r="I227" s="12">
        <f>ROUND(Tabla2[[#This Row],[Área techada (m²)]]*0.15,2)</f>
        <v>0.95</v>
      </c>
      <c r="J227" s="18" t="s">
        <v>33</v>
      </c>
      <c r="K227" s="7">
        <v>5000</v>
      </c>
      <c r="L227" s="240">
        <f>ROUND(Tabla2[[#This Row],[Área ocupada (m²)3]]/20*1.4,2)</f>
        <v>0.44</v>
      </c>
      <c r="M227" s="240">
        <f>ROUND(Tabla2[[#This Row],[Área ocupada (m²)]],2)</f>
        <v>6.35</v>
      </c>
      <c r="N227" s="240">
        <f>ROUND(Tabla2[[#This Row],[Área techada (m²)]],2)</f>
        <v>6.35</v>
      </c>
      <c r="O227" s="243">
        <f>ROUND(Tabla2[[#This Row],[Área techada (m²)4]]*0.15,2)</f>
        <v>0.95</v>
      </c>
      <c r="P227" s="6">
        <f>ROUND(Tabla2[[#This Row],[Área del terreno (m²)2]]*DATA!$F$4,-2)</f>
        <v>300</v>
      </c>
      <c r="Q227" s="243">
        <f>+Tabla2[[#This Row],[Valor Comercial (US$)]]-Tabla2[[#This Row],[Valor del terreno (US$)]]</f>
        <v>3700</v>
      </c>
      <c r="R22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4000</v>
      </c>
      <c r="S227" s="244">
        <f>ROUND(Tabla2[[#This Row],[Valor Comercial (US$)]]*0.8,-2)</f>
        <v>3200</v>
      </c>
      <c r="T227" s="244">
        <f>IF(Informe!$I$6=DATA!$B$4,R227,ROUND(Tabla2[[#This Row],[Área techada (m²)4]]*DATA!$F$5*1.15,-2))</f>
        <v>4000</v>
      </c>
      <c r="U227" s="8">
        <f t="shared" si="3"/>
        <v>3.3479999999999999</v>
      </c>
      <c r="V227" s="244">
        <f>ROUND(Tabla2[[#This Row],[Valor del terreno (US$)]]*Tabla2[[#This Row],[Tipo de Cambio]],-2)</f>
        <v>1000</v>
      </c>
      <c r="W227" s="244">
        <f>Tabla2[[#This Row],[Valor Comercial (S/.)]]-Tabla2[[#This Row],[Valor del terreno (S/.)]]</f>
        <v>12400</v>
      </c>
      <c r="X227" s="244">
        <f>ROUND(Tabla2[[#This Row],[Valor Comercial (US$)]]*Tabla2[[#This Row],[Tipo de Cambio]],-2)</f>
        <v>13400</v>
      </c>
      <c r="Y227" s="244">
        <f>ROUND(Tabla2[[#This Row],[Valor Realización (US$)]]*Tabla2[[#This Row],[Tipo de Cambio]],-2)</f>
        <v>10700</v>
      </c>
      <c r="Z227" s="244">
        <f>+ROUND(Tabla2[[#This Row],[Importe Asegurable (US$)]]*Tabla2[[#This Row],[Tipo de Cambio]],-2)</f>
        <v>13400</v>
      </c>
      <c r="AA227" s="245"/>
      <c r="AB227" s="2">
        <f>+Tabla2[[#This Row],[Valor Comercial (US$)]]/Tabla2[[#This Row],[Área techada (m²)4]]</f>
        <v>629.9212598425197</v>
      </c>
      <c r="AC22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27" s="1" t="s">
        <v>422</v>
      </c>
      <c r="AE227" s="222">
        <f>IF(Tabla2[[#This Row],[Moneda]]="Soles",Tabla2[[#This Row],[Valor de Venta]]/Tabla2[[#This Row],[Área techada (m²)]]/Tabla2[[#This Row],[Tipo de Cambio]],Tabla2[[#This Row],[Valor de Venta]]/Tabla2[[#This Row],[Área techada (m²)]])</f>
        <v>235.1856555564963</v>
      </c>
      <c r="AF227" s="347">
        <f>VLOOKUP(Tabla2[[#This Row],[VISTA]],DATA!$H$4:$I$17,2,FALSE)</f>
        <v>4000</v>
      </c>
      <c r="AG227" s="221">
        <f>+Tabla2[[#This Row],[Valor Comercial (S/.)]]/Tabla2[[#This Row],[Valor de Venta]]-1</f>
        <v>1.6800000000000002</v>
      </c>
    </row>
    <row r="228" spans="1:33" s="1" customFormat="1" ht="15" customHeight="1" x14ac:dyDescent="0.25">
      <c r="A228" s="225" t="s">
        <v>424</v>
      </c>
      <c r="B228" s="22" t="s">
        <v>433</v>
      </c>
      <c r="C228" s="14">
        <v>-1</v>
      </c>
      <c r="D228" s="35"/>
      <c r="E228" s="29"/>
      <c r="F228" s="12">
        <v>0.31</v>
      </c>
      <c r="G228" s="12">
        <v>4.49</v>
      </c>
      <c r="H228" s="12">
        <v>4.49</v>
      </c>
      <c r="I228" s="12">
        <v>0.67</v>
      </c>
      <c r="J228" s="18" t="s">
        <v>33</v>
      </c>
      <c r="K228" s="7">
        <v>5000</v>
      </c>
      <c r="L228" s="240">
        <v>0.31</v>
      </c>
      <c r="M228" s="240">
        <v>4.49</v>
      </c>
      <c r="N228" s="240">
        <v>4.49</v>
      </c>
      <c r="O228" s="243">
        <v>0.67</v>
      </c>
      <c r="P228" s="6">
        <v>200</v>
      </c>
      <c r="Q228" s="243">
        <v>3800</v>
      </c>
      <c r="R228" s="244">
        <v>4000</v>
      </c>
      <c r="S228" s="244">
        <v>3200</v>
      </c>
      <c r="T228" s="244">
        <v>2300</v>
      </c>
      <c r="U228" s="8">
        <v>3.3479999999999999</v>
      </c>
      <c r="V228" s="244">
        <v>700</v>
      </c>
      <c r="W228" s="244">
        <v>12700</v>
      </c>
      <c r="X228" s="244">
        <v>13400</v>
      </c>
      <c r="Y228" s="244">
        <v>10700</v>
      </c>
      <c r="Z228" s="244">
        <v>7700</v>
      </c>
      <c r="AA228" s="245"/>
      <c r="AB228" s="2">
        <f>+Tabla2[[#This Row],[Valor Comercial (US$)]]/Tabla2[[#This Row],[Área techada (m²)4]]</f>
        <v>890.86859688195989</v>
      </c>
      <c r="AC228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28" s="1" t="s">
        <v>422</v>
      </c>
      <c r="AE228" s="222">
        <f>IF(Tabla2[[#This Row],[Moneda]]="Soles",Tabla2[[#This Row],[Valor de Venta]]/Tabla2[[#This Row],[Área techada (m²)]]/Tabla2[[#This Row],[Tipo de Cambio]],Tabla2[[#This Row],[Valor de Venta]]/Tabla2[[#This Row],[Área techada (m²)]])</f>
        <v>332.61223001865289</v>
      </c>
      <c r="AF228" s="347">
        <f>VLOOKUP(Tabla2[[#This Row],[VISTA]],DATA!$H$4:$I$17,2,FALSE)</f>
        <v>4000</v>
      </c>
      <c r="AG228" s="221">
        <f>+Tabla2[[#This Row],[Valor Comercial (S/.)]]/Tabla2[[#This Row],[Valor de Venta]]-1</f>
        <v>1.6800000000000002</v>
      </c>
    </row>
    <row r="229" spans="1:33" s="1" customFormat="1" ht="15" customHeight="1" x14ac:dyDescent="0.25">
      <c r="A229" s="225" t="s">
        <v>424</v>
      </c>
      <c r="B229" s="22" t="s">
        <v>432</v>
      </c>
      <c r="C229" s="14">
        <v>-1</v>
      </c>
      <c r="D229" s="35"/>
      <c r="E229" s="29"/>
      <c r="F229" s="12">
        <v>0.31</v>
      </c>
      <c r="G229" s="12">
        <v>4.49</v>
      </c>
      <c r="H229" s="12">
        <v>4.49</v>
      </c>
      <c r="I229" s="12">
        <v>0.67</v>
      </c>
      <c r="J229" s="18" t="s">
        <v>33</v>
      </c>
      <c r="K229" s="7">
        <v>5000</v>
      </c>
      <c r="L229" s="240">
        <v>0.31</v>
      </c>
      <c r="M229" s="240">
        <v>4.49</v>
      </c>
      <c r="N229" s="240">
        <v>4.49</v>
      </c>
      <c r="O229" s="243">
        <v>0.67</v>
      </c>
      <c r="P229" s="6">
        <v>200</v>
      </c>
      <c r="Q229" s="243">
        <v>3800</v>
      </c>
      <c r="R229" s="244">
        <v>4000</v>
      </c>
      <c r="S229" s="244">
        <v>3200</v>
      </c>
      <c r="T229" s="244">
        <v>2300</v>
      </c>
      <c r="U229" s="8">
        <v>3.3479999999999999</v>
      </c>
      <c r="V229" s="244">
        <v>700</v>
      </c>
      <c r="W229" s="244">
        <v>12700</v>
      </c>
      <c r="X229" s="244">
        <v>13400</v>
      </c>
      <c r="Y229" s="244">
        <v>10700</v>
      </c>
      <c r="Z229" s="244">
        <v>7700</v>
      </c>
      <c r="AA229" s="245"/>
      <c r="AB229" s="2">
        <f>+Tabla2[[#This Row],[Valor Comercial (US$)]]/Tabla2[[#This Row],[Área techada (m²)4]]</f>
        <v>890.86859688195989</v>
      </c>
      <c r="AC229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29" s="1" t="s">
        <v>422</v>
      </c>
      <c r="AE229" s="222">
        <f>IF(Tabla2[[#This Row],[Moneda]]="Soles",Tabla2[[#This Row],[Valor de Venta]]/Tabla2[[#This Row],[Área techada (m²)]]/Tabla2[[#This Row],[Tipo de Cambio]],Tabla2[[#This Row],[Valor de Venta]]/Tabla2[[#This Row],[Área techada (m²)]])</f>
        <v>332.61223001865289</v>
      </c>
      <c r="AF229" s="347">
        <f>VLOOKUP(Tabla2[[#This Row],[VISTA]],DATA!$H$4:$I$17,2,FALSE)</f>
        <v>4000</v>
      </c>
      <c r="AG229" s="221">
        <f>+Tabla2[[#This Row],[Valor Comercial (S/.)]]/Tabla2[[#This Row],[Valor de Venta]]-1</f>
        <v>1.6800000000000002</v>
      </c>
    </row>
    <row r="230" spans="1:33" s="1" customFormat="1" ht="15" customHeight="1" x14ac:dyDescent="0.25">
      <c r="A230" s="225" t="s">
        <v>424</v>
      </c>
      <c r="B230" s="22" t="s">
        <v>431</v>
      </c>
      <c r="C230" s="14">
        <v>-2</v>
      </c>
      <c r="D230" s="35"/>
      <c r="E230" s="29"/>
      <c r="F230" s="12">
        <v>0.31</v>
      </c>
      <c r="G230" s="12">
        <v>4.49</v>
      </c>
      <c r="H230" s="12">
        <v>4.49</v>
      </c>
      <c r="I230" s="12">
        <v>0.67</v>
      </c>
      <c r="J230" s="18" t="s">
        <v>33</v>
      </c>
      <c r="K230" s="7">
        <v>5000</v>
      </c>
      <c r="L230" s="240">
        <v>0.31</v>
      </c>
      <c r="M230" s="240">
        <v>4.49</v>
      </c>
      <c r="N230" s="240">
        <v>4.49</v>
      </c>
      <c r="O230" s="243">
        <v>0.67</v>
      </c>
      <c r="P230" s="6">
        <v>200</v>
      </c>
      <c r="Q230" s="243">
        <v>3800</v>
      </c>
      <c r="R230" s="244">
        <v>4000</v>
      </c>
      <c r="S230" s="244">
        <v>3200</v>
      </c>
      <c r="T230" s="244">
        <v>2300</v>
      </c>
      <c r="U230" s="8">
        <v>3.3479999999999999</v>
      </c>
      <c r="V230" s="244">
        <v>700</v>
      </c>
      <c r="W230" s="244">
        <v>12700</v>
      </c>
      <c r="X230" s="244">
        <v>13400</v>
      </c>
      <c r="Y230" s="244">
        <v>10700</v>
      </c>
      <c r="Z230" s="244">
        <v>7700</v>
      </c>
      <c r="AA230" s="245"/>
      <c r="AB230" s="2">
        <f>+Tabla2[[#This Row],[Valor Comercial (US$)]]/Tabla2[[#This Row],[Área techada (m²)4]]</f>
        <v>890.86859688195989</v>
      </c>
      <c r="AC230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30" s="1" t="s">
        <v>422</v>
      </c>
      <c r="AE230" s="222">
        <f>IF(Tabla2[[#This Row],[Moneda]]="Soles",Tabla2[[#This Row],[Valor de Venta]]/Tabla2[[#This Row],[Área techada (m²)]]/Tabla2[[#This Row],[Tipo de Cambio]],Tabla2[[#This Row],[Valor de Venta]]/Tabla2[[#This Row],[Área techada (m²)]])</f>
        <v>332.61223001865289</v>
      </c>
      <c r="AF230" s="347">
        <f>VLOOKUP(Tabla2[[#This Row],[VISTA]],DATA!$H$4:$I$17,2,FALSE)</f>
        <v>4000</v>
      </c>
      <c r="AG230" s="221">
        <f>+Tabla2[[#This Row],[Valor Comercial (S/.)]]/Tabla2[[#This Row],[Valor de Venta]]-1</f>
        <v>1.6800000000000002</v>
      </c>
    </row>
    <row r="231" spans="1:33" s="1" customFormat="1" ht="15" customHeight="1" x14ac:dyDescent="0.25">
      <c r="A231" s="225" t="s">
        <v>424</v>
      </c>
      <c r="B231" s="22" t="s">
        <v>430</v>
      </c>
      <c r="C231" s="14">
        <v>-2</v>
      </c>
      <c r="D231" s="35" t="s">
        <v>539</v>
      </c>
      <c r="E231" s="29" t="s">
        <v>534</v>
      </c>
      <c r="F231" s="12">
        <v>0.44</v>
      </c>
      <c r="G231" s="12">
        <v>6.24</v>
      </c>
      <c r="H231" s="12">
        <v>6.24</v>
      </c>
      <c r="I231" s="12">
        <v>0.94</v>
      </c>
      <c r="J231" s="18" t="s">
        <v>33</v>
      </c>
      <c r="K231" s="7">
        <v>5500</v>
      </c>
      <c r="L231" s="240">
        <v>0.44</v>
      </c>
      <c r="M231" s="240">
        <v>6.24</v>
      </c>
      <c r="N231" s="240">
        <v>6.24</v>
      </c>
      <c r="O231" s="243">
        <v>0.94</v>
      </c>
      <c r="P231" s="6">
        <v>300</v>
      </c>
      <c r="Q231" s="243">
        <v>3700</v>
      </c>
      <c r="R231" s="244">
        <v>4000</v>
      </c>
      <c r="S231" s="244">
        <v>3200</v>
      </c>
      <c r="T231" s="244">
        <v>3200</v>
      </c>
      <c r="U231" s="8">
        <v>3.5</v>
      </c>
      <c r="V231" s="244">
        <v>1000</v>
      </c>
      <c r="W231" s="244">
        <v>12400</v>
      </c>
      <c r="X231" s="244">
        <v>13400</v>
      </c>
      <c r="Y231" s="244">
        <v>10700</v>
      </c>
      <c r="Z231" s="244">
        <v>10700</v>
      </c>
      <c r="AA231" s="245">
        <v>44110</v>
      </c>
      <c r="AB231" s="2">
        <v>641.02564102564099</v>
      </c>
      <c r="AC231" s="1" t="s">
        <v>526</v>
      </c>
      <c r="AD231" s="1" t="s">
        <v>422</v>
      </c>
      <c r="AE231" s="222">
        <v>251.83150183150181</v>
      </c>
      <c r="AF231" s="347">
        <v>4000</v>
      </c>
      <c r="AG231" s="221">
        <v>1.4363636363636365</v>
      </c>
    </row>
    <row r="232" spans="1:33" s="1" customFormat="1" ht="15" customHeight="1" x14ac:dyDescent="0.25">
      <c r="A232" s="225" t="s">
        <v>424</v>
      </c>
      <c r="B232" s="22" t="s">
        <v>429</v>
      </c>
      <c r="C232" s="14">
        <v>-2</v>
      </c>
      <c r="D232" s="35" t="s">
        <v>529</v>
      </c>
      <c r="E232" s="29" t="s">
        <v>525</v>
      </c>
      <c r="F232" s="12">
        <v>0.22</v>
      </c>
      <c r="G232" s="12">
        <v>3.21</v>
      </c>
      <c r="H232" s="12">
        <v>3.21</v>
      </c>
      <c r="I232" s="12">
        <v>0.48</v>
      </c>
      <c r="J232" s="18" t="s">
        <v>33</v>
      </c>
      <c r="K232" s="7">
        <v>5000</v>
      </c>
      <c r="L232" s="240">
        <v>0.22</v>
      </c>
      <c r="M232" s="240">
        <v>3.21</v>
      </c>
      <c r="N232" s="240">
        <v>3.21</v>
      </c>
      <c r="O232" s="243">
        <v>0.48</v>
      </c>
      <c r="P232" s="6">
        <v>200</v>
      </c>
      <c r="Q232" s="243">
        <v>3800</v>
      </c>
      <c r="R232" s="244">
        <v>4000</v>
      </c>
      <c r="S232" s="244">
        <v>3200</v>
      </c>
      <c r="T232" s="244">
        <v>4000</v>
      </c>
      <c r="U232" s="8">
        <v>3.5</v>
      </c>
      <c r="V232" s="244">
        <v>700</v>
      </c>
      <c r="W232" s="244">
        <v>13300</v>
      </c>
      <c r="X232" s="244">
        <v>14000</v>
      </c>
      <c r="Y232" s="244">
        <v>11200</v>
      </c>
      <c r="Z232" s="244">
        <v>14000</v>
      </c>
      <c r="AA232" s="245">
        <v>44106</v>
      </c>
      <c r="AB232" s="2">
        <v>1246.1059190031153</v>
      </c>
      <c r="AC232" s="1" t="s">
        <v>526</v>
      </c>
      <c r="AD232" s="1" t="s">
        <v>422</v>
      </c>
      <c r="AE232" s="222">
        <v>445.03782821539829</v>
      </c>
      <c r="AF232" s="347">
        <v>4000</v>
      </c>
      <c r="AG232" s="221">
        <v>1.7999999999999998</v>
      </c>
    </row>
    <row r="233" spans="1:33" s="1" customFormat="1" ht="15" customHeight="1" x14ac:dyDescent="0.25">
      <c r="A233" s="225" t="s">
        <v>424</v>
      </c>
      <c r="B233" s="22" t="s">
        <v>428</v>
      </c>
      <c r="C233" s="14">
        <v>-2</v>
      </c>
      <c r="D233" s="35"/>
      <c r="E233" s="29"/>
      <c r="F233" s="12">
        <f>ROUND(Tabla2[[#This Row],[Área ocupada (m²)]]/20*1.4,2)</f>
        <v>0.22</v>
      </c>
      <c r="G233" s="12">
        <v>3.21</v>
      </c>
      <c r="H233" s="12">
        <v>3.21</v>
      </c>
      <c r="I233" s="12">
        <f>ROUND(Tabla2[[#This Row],[Área techada (m²)]]*0.15,2)</f>
        <v>0.48</v>
      </c>
      <c r="J233" s="18" t="s">
        <v>33</v>
      </c>
      <c r="K233" s="7">
        <v>5000</v>
      </c>
      <c r="L233" s="240">
        <f>ROUND(Tabla2[[#This Row],[Área ocupada (m²)3]]/20*1.4,2)</f>
        <v>0.22</v>
      </c>
      <c r="M233" s="240">
        <f>ROUND(Tabla2[[#This Row],[Área ocupada (m²)]],2)</f>
        <v>3.21</v>
      </c>
      <c r="N233" s="240">
        <f>ROUND(Tabla2[[#This Row],[Área techada (m²)]],2)</f>
        <v>3.21</v>
      </c>
      <c r="O233" s="243">
        <f>ROUND(Tabla2[[#This Row],[Área techada (m²)4]]*0.15,2)</f>
        <v>0.48</v>
      </c>
      <c r="P233" s="6">
        <f>ROUND(Tabla2[[#This Row],[Área del terreno (m²)2]]*DATA!$F$4,-2)</f>
        <v>200</v>
      </c>
      <c r="Q233" s="243">
        <f>+Tabla2[[#This Row],[Valor Comercial (US$)]]-Tabla2[[#This Row],[Valor del terreno (US$)]]</f>
        <v>3800</v>
      </c>
      <c r="R233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4000</v>
      </c>
      <c r="S233" s="244">
        <f>ROUND(Tabla2[[#This Row],[Valor Comercial (US$)]]*0.8,-2)</f>
        <v>3200</v>
      </c>
      <c r="T233" s="244">
        <f>IF(Informe!$I$6=DATA!$B$4,R233,ROUND(Tabla2[[#This Row],[Área techada (m²)4]]*DATA!$F$5*1.15,-2))</f>
        <v>4000</v>
      </c>
      <c r="U233" s="8">
        <f t="shared" si="3"/>
        <v>3.3479999999999999</v>
      </c>
      <c r="V233" s="244">
        <f>ROUND(Tabla2[[#This Row],[Valor del terreno (US$)]]*Tabla2[[#This Row],[Tipo de Cambio]],-2)</f>
        <v>700</v>
      </c>
      <c r="W233" s="244">
        <f>Tabla2[[#This Row],[Valor Comercial (S/.)]]-Tabla2[[#This Row],[Valor del terreno (S/.)]]</f>
        <v>12700</v>
      </c>
      <c r="X233" s="244">
        <f>ROUND(Tabla2[[#This Row],[Valor Comercial (US$)]]*Tabla2[[#This Row],[Tipo de Cambio]],-2)</f>
        <v>13400</v>
      </c>
      <c r="Y233" s="244">
        <f>ROUND(Tabla2[[#This Row],[Valor Realización (US$)]]*Tabla2[[#This Row],[Tipo de Cambio]],-2)</f>
        <v>10700</v>
      </c>
      <c r="Z233" s="244">
        <f>+ROUND(Tabla2[[#This Row],[Importe Asegurable (US$)]]*Tabla2[[#This Row],[Tipo de Cambio]],-2)</f>
        <v>13400</v>
      </c>
      <c r="AA233" s="245"/>
      <c r="AB233" s="2">
        <f>+Tabla2[[#This Row],[Valor Comercial (US$)]]/Tabla2[[#This Row],[Área techada (m²)4]]</f>
        <v>1246.1059190031153</v>
      </c>
      <c r="AC233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33" s="1" t="s">
        <v>422</v>
      </c>
      <c r="AE233" s="222">
        <f>IF(Tabla2[[#This Row],[Moneda]]="Soles",Tabla2[[#This Row],[Valor de Venta]]/Tabla2[[#This Row],[Área techada (m²)]]/Tabla2[[#This Row],[Tipo de Cambio]],Tabla2[[#This Row],[Valor de Venta]]/Tabla2[[#This Row],[Área techada (m²)]])</f>
        <v>465.24265195755498</v>
      </c>
      <c r="AF233" s="347">
        <f>VLOOKUP(Tabla2[[#This Row],[VISTA]],DATA!$H$4:$I$17,2,FALSE)</f>
        <v>4000</v>
      </c>
      <c r="AG233" s="221">
        <f>+Tabla2[[#This Row],[Valor Comercial (S/.)]]/Tabla2[[#This Row],[Valor de Venta]]-1</f>
        <v>1.6800000000000002</v>
      </c>
    </row>
    <row r="234" spans="1:33" s="1" customFormat="1" ht="15" customHeight="1" x14ac:dyDescent="0.25">
      <c r="A234" s="225" t="s">
        <v>424</v>
      </c>
      <c r="B234" s="22" t="s">
        <v>427</v>
      </c>
      <c r="C234" s="14">
        <v>-2</v>
      </c>
      <c r="D234" s="35"/>
      <c r="E234" s="29"/>
      <c r="F234" s="12">
        <f>ROUND(Tabla2[[#This Row],[Área ocupada (m²)]]/20*1.4,2)</f>
        <v>0.32</v>
      </c>
      <c r="G234" s="12">
        <v>4.58</v>
      </c>
      <c r="H234" s="12">
        <v>4.58</v>
      </c>
      <c r="I234" s="12">
        <f>ROUND(Tabla2[[#This Row],[Área techada (m²)]]*0.15,2)</f>
        <v>0.69</v>
      </c>
      <c r="J234" s="18" t="s">
        <v>33</v>
      </c>
      <c r="K234" s="7">
        <v>5000</v>
      </c>
      <c r="L234" s="240">
        <f>ROUND(Tabla2[[#This Row],[Área ocupada (m²)3]]/20*1.4,2)</f>
        <v>0.32</v>
      </c>
      <c r="M234" s="240">
        <f>ROUND(Tabla2[[#This Row],[Área ocupada (m²)]],2)</f>
        <v>4.58</v>
      </c>
      <c r="N234" s="240">
        <f>ROUND(Tabla2[[#This Row],[Área techada (m²)]],2)</f>
        <v>4.58</v>
      </c>
      <c r="O234" s="243">
        <f>ROUND(Tabla2[[#This Row],[Área techada (m²)4]]*0.15,2)</f>
        <v>0.69</v>
      </c>
      <c r="P234" s="6">
        <f>ROUND(Tabla2[[#This Row],[Área del terreno (m²)2]]*DATA!$F$4,-2)</f>
        <v>200</v>
      </c>
      <c r="Q234" s="243">
        <f>+Tabla2[[#This Row],[Valor Comercial (US$)]]-Tabla2[[#This Row],[Valor del terreno (US$)]]</f>
        <v>3800</v>
      </c>
      <c r="R234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4000</v>
      </c>
      <c r="S234" s="244">
        <f>ROUND(Tabla2[[#This Row],[Valor Comercial (US$)]]*0.8,-2)</f>
        <v>3200</v>
      </c>
      <c r="T234" s="244">
        <f>IF(Informe!$I$6=DATA!$B$4,R234,ROUND(Tabla2[[#This Row],[Área techada (m²)4]]*DATA!$F$5*1.15,-2))</f>
        <v>4000</v>
      </c>
      <c r="U234" s="8">
        <f t="shared" si="3"/>
        <v>3.3479999999999999</v>
      </c>
      <c r="V234" s="244">
        <f>ROUND(Tabla2[[#This Row],[Valor del terreno (US$)]]*Tabla2[[#This Row],[Tipo de Cambio]],-2)</f>
        <v>700</v>
      </c>
      <c r="W234" s="244">
        <f>Tabla2[[#This Row],[Valor Comercial (S/.)]]-Tabla2[[#This Row],[Valor del terreno (S/.)]]</f>
        <v>12700</v>
      </c>
      <c r="X234" s="244">
        <f>ROUND(Tabla2[[#This Row],[Valor Comercial (US$)]]*Tabla2[[#This Row],[Tipo de Cambio]],-2)</f>
        <v>13400</v>
      </c>
      <c r="Y234" s="244">
        <f>ROUND(Tabla2[[#This Row],[Valor Realización (US$)]]*Tabla2[[#This Row],[Tipo de Cambio]],-2)</f>
        <v>10700</v>
      </c>
      <c r="Z234" s="244">
        <f>+ROUND(Tabla2[[#This Row],[Importe Asegurable (US$)]]*Tabla2[[#This Row],[Tipo de Cambio]],-2)</f>
        <v>13400</v>
      </c>
      <c r="AA234" s="245"/>
      <c r="AB234" s="2">
        <f>+Tabla2[[#This Row],[Valor Comercial (US$)]]/Tabla2[[#This Row],[Área techada (m²)4]]</f>
        <v>873.36244541484712</v>
      </c>
      <c r="AC234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34" s="1" t="s">
        <v>422</v>
      </c>
      <c r="AE234" s="222">
        <f>IF(Tabla2[[#This Row],[Moneda]]="Soles",Tabla2[[#This Row],[Valor de Venta]]/Tabla2[[#This Row],[Área techada (m²)]]/Tabla2[[#This Row],[Tipo de Cambio]],Tabla2[[#This Row],[Valor de Venta]]/Tabla2[[#This Row],[Área techada (m²)]])</f>
        <v>326.07618183051346</v>
      </c>
      <c r="AF234" s="347">
        <f>VLOOKUP(Tabla2[[#This Row],[VISTA]],DATA!$H$4:$I$17,2,FALSE)</f>
        <v>4000</v>
      </c>
      <c r="AG234" s="221">
        <f>+Tabla2[[#This Row],[Valor Comercial (S/.)]]/Tabla2[[#This Row],[Valor de Venta]]-1</f>
        <v>1.6800000000000002</v>
      </c>
    </row>
    <row r="235" spans="1:33" s="1" customFormat="1" ht="15" customHeight="1" x14ac:dyDescent="0.25">
      <c r="A235" s="225" t="s">
        <v>424</v>
      </c>
      <c r="B235" s="22" t="s">
        <v>426</v>
      </c>
      <c r="C235" s="14">
        <v>-3</v>
      </c>
      <c r="D235" s="35"/>
      <c r="E235" s="29"/>
      <c r="F235" s="12">
        <f>ROUND(Tabla2[[#This Row],[Área ocupada (m²)]]/20*1.4,2)</f>
        <v>0.52</v>
      </c>
      <c r="G235" s="12">
        <v>7.37</v>
      </c>
      <c r="H235" s="12">
        <v>7.37</v>
      </c>
      <c r="I235" s="12">
        <f>ROUND(Tabla2[[#This Row],[Área techada (m²)]]*0.15,2)</f>
        <v>1.1100000000000001</v>
      </c>
      <c r="J235" s="18" t="s">
        <v>33</v>
      </c>
      <c r="K235" s="7">
        <v>17000</v>
      </c>
      <c r="L235" s="240">
        <f>ROUND(Tabla2[[#This Row],[Área ocupada (m²)3]]/20*1.4,2)</f>
        <v>0.52</v>
      </c>
      <c r="M235" s="240">
        <f>ROUND(Tabla2[[#This Row],[Área ocupada (m²)]],2)</f>
        <v>7.37</v>
      </c>
      <c r="N235" s="240">
        <f>ROUND(Tabla2[[#This Row],[Área techada (m²)]],2)</f>
        <v>7.37</v>
      </c>
      <c r="O235" s="243">
        <f>ROUND(Tabla2[[#This Row],[Área techada (m²)4]]*0.15,2)</f>
        <v>1.1100000000000001</v>
      </c>
      <c r="P235" s="6">
        <f>ROUND(Tabla2[[#This Row],[Área del terreno (m²)2]]*DATA!$F$4,-2)</f>
        <v>400</v>
      </c>
      <c r="Q235" s="243">
        <f>+Tabla2[[#This Row],[Valor Comercial (US$)]]-Tabla2[[#This Row],[Valor del terreno (US$)]]</f>
        <v>3600</v>
      </c>
      <c r="R235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4000</v>
      </c>
      <c r="S235" s="244">
        <f>ROUND(Tabla2[[#This Row],[Valor Comercial (US$)]]*0.8,-2)</f>
        <v>3200</v>
      </c>
      <c r="T235" s="244">
        <f>IF(Informe!$I$6=DATA!$B$4,R235,ROUND(Tabla2[[#This Row],[Área techada (m²)4]]*DATA!$F$5*1.15,-2))</f>
        <v>4000</v>
      </c>
      <c r="U235" s="8">
        <f t="shared" si="3"/>
        <v>3.3479999999999999</v>
      </c>
      <c r="V235" s="244">
        <f>ROUND(Tabla2[[#This Row],[Valor del terreno (US$)]]*Tabla2[[#This Row],[Tipo de Cambio]],-2)</f>
        <v>1300</v>
      </c>
      <c r="W235" s="244">
        <f>Tabla2[[#This Row],[Valor Comercial (S/.)]]-Tabla2[[#This Row],[Valor del terreno (S/.)]]</f>
        <v>12100</v>
      </c>
      <c r="X235" s="244">
        <f>ROUND(Tabla2[[#This Row],[Valor Comercial (US$)]]*Tabla2[[#This Row],[Tipo de Cambio]],-2)</f>
        <v>13400</v>
      </c>
      <c r="Y235" s="244">
        <f>ROUND(Tabla2[[#This Row],[Valor Realización (US$)]]*Tabla2[[#This Row],[Tipo de Cambio]],-2)</f>
        <v>10700</v>
      </c>
      <c r="Z235" s="244">
        <f>+ROUND(Tabla2[[#This Row],[Importe Asegurable (US$)]]*Tabla2[[#This Row],[Tipo de Cambio]],-2)</f>
        <v>13400</v>
      </c>
      <c r="AA235" s="245"/>
      <c r="AB235" s="2">
        <f>+Tabla2[[#This Row],[Valor Comercial (US$)]]/Tabla2[[#This Row],[Área techada (m²)4]]</f>
        <v>542.74084124830392</v>
      </c>
      <c r="AC235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Revisar valores</v>
      </c>
      <c r="AD235" s="1" t="s">
        <v>422</v>
      </c>
      <c r="AE235" s="222">
        <f>IF(Tabla2[[#This Row],[Moneda]]="Soles",Tabla2[[#This Row],[Valor de Venta]]/Tabla2[[#This Row],[Área techada (m²)]]/Tabla2[[#This Row],[Tipo de Cambio]],Tabla2[[#This Row],[Valor de Venta]]/Tabla2[[#This Row],[Área techada (m²)]])</f>
        <v>688.96313479847424</v>
      </c>
      <c r="AF235" s="347">
        <f>VLOOKUP(Tabla2[[#This Row],[VISTA]],DATA!$H$4:$I$17,2,FALSE)</f>
        <v>4000</v>
      </c>
      <c r="AG235" s="221">
        <f>+Tabla2[[#This Row],[Valor Comercial (S/.)]]/Tabla2[[#This Row],[Valor de Venta]]-1</f>
        <v>-0.21176470588235297</v>
      </c>
    </row>
    <row r="236" spans="1:33" s="1" customFormat="1" ht="15" customHeight="1" x14ac:dyDescent="0.25">
      <c r="A236" s="225" t="s">
        <v>424</v>
      </c>
      <c r="B236" s="22" t="s">
        <v>425</v>
      </c>
      <c r="C236" s="14">
        <v>-3</v>
      </c>
      <c r="D236" s="35"/>
      <c r="E236" s="29"/>
      <c r="F236" s="12">
        <f>ROUND(Tabla2[[#This Row],[Área ocupada (m²)]]/20*1.4,2)</f>
        <v>0.44</v>
      </c>
      <c r="G236" s="12">
        <v>6.24</v>
      </c>
      <c r="H236" s="12">
        <v>6.24</v>
      </c>
      <c r="I236" s="12">
        <f>ROUND(Tabla2[[#This Row],[Área techada (m²)]]*0.15,2)</f>
        <v>0.94</v>
      </c>
      <c r="J236" s="18" t="s">
        <v>33</v>
      </c>
      <c r="K236" s="7">
        <v>5000</v>
      </c>
      <c r="L236" s="240">
        <f>ROUND(Tabla2[[#This Row],[Área ocupada (m²)3]]/20*1.4,2)</f>
        <v>0.44</v>
      </c>
      <c r="M236" s="240">
        <f>ROUND(Tabla2[[#This Row],[Área ocupada (m²)]],2)</f>
        <v>6.24</v>
      </c>
      <c r="N236" s="240">
        <f>ROUND(Tabla2[[#This Row],[Área techada (m²)]],2)</f>
        <v>6.24</v>
      </c>
      <c r="O236" s="243">
        <f>ROUND(Tabla2[[#This Row],[Área techada (m²)4]]*0.15,2)</f>
        <v>0.94</v>
      </c>
      <c r="P236" s="6">
        <f>ROUND(Tabla2[[#This Row],[Área del terreno (m²)2]]*DATA!$F$4,-2)</f>
        <v>300</v>
      </c>
      <c r="Q236" s="243">
        <f>+Tabla2[[#This Row],[Valor Comercial (US$)]]-Tabla2[[#This Row],[Valor del terreno (US$)]]</f>
        <v>3700</v>
      </c>
      <c r="R236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4000</v>
      </c>
      <c r="S236" s="244">
        <f>ROUND(Tabla2[[#This Row],[Valor Comercial (US$)]]*0.8,-2)</f>
        <v>3200</v>
      </c>
      <c r="T236" s="244">
        <f>IF(Informe!$I$6=DATA!$B$4,R236,ROUND(Tabla2[[#This Row],[Área techada (m²)4]]*DATA!$F$5*1.15,-2))</f>
        <v>4000</v>
      </c>
      <c r="U236" s="8">
        <f t="shared" si="3"/>
        <v>3.3479999999999999</v>
      </c>
      <c r="V236" s="244">
        <f>ROUND(Tabla2[[#This Row],[Valor del terreno (US$)]]*Tabla2[[#This Row],[Tipo de Cambio]],-2)</f>
        <v>1000</v>
      </c>
      <c r="W236" s="244">
        <f>Tabla2[[#This Row],[Valor Comercial (S/.)]]-Tabla2[[#This Row],[Valor del terreno (S/.)]]</f>
        <v>12400</v>
      </c>
      <c r="X236" s="244">
        <f>ROUND(Tabla2[[#This Row],[Valor Comercial (US$)]]*Tabla2[[#This Row],[Tipo de Cambio]],-2)</f>
        <v>13400</v>
      </c>
      <c r="Y236" s="244">
        <f>ROUND(Tabla2[[#This Row],[Valor Realización (US$)]]*Tabla2[[#This Row],[Tipo de Cambio]],-2)</f>
        <v>10700</v>
      </c>
      <c r="Z236" s="244">
        <f>+ROUND(Tabla2[[#This Row],[Importe Asegurable (US$)]]*Tabla2[[#This Row],[Tipo de Cambio]],-2)</f>
        <v>13400</v>
      </c>
      <c r="AA236" s="245"/>
      <c r="AB236" s="2">
        <f>+Tabla2[[#This Row],[Valor Comercial (US$)]]/Tabla2[[#This Row],[Área techada (m²)4]]</f>
        <v>641.02564102564099</v>
      </c>
      <c r="AC236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36" s="1" t="s">
        <v>422</v>
      </c>
      <c r="AE236" s="222">
        <f>IF(Tabla2[[#This Row],[Moneda]]="Soles",Tabla2[[#This Row],[Valor de Venta]]/Tabla2[[#This Row],[Área techada (m²)]]/Tabla2[[#This Row],[Tipo de Cambio]],Tabla2[[#This Row],[Valor de Venta]]/Tabla2[[#This Row],[Área techada (m²)]])</f>
        <v>239.33155653585763</v>
      </c>
      <c r="AF236" s="347">
        <f>VLOOKUP(Tabla2[[#This Row],[VISTA]],DATA!$H$4:$I$17,2,FALSE)</f>
        <v>4000</v>
      </c>
      <c r="AG236" s="221">
        <f>+Tabla2[[#This Row],[Valor Comercial (S/.)]]/Tabla2[[#This Row],[Valor de Venta]]-1</f>
        <v>1.6800000000000002</v>
      </c>
    </row>
    <row r="237" spans="1:33" s="1" customFormat="1" ht="15" customHeight="1" x14ac:dyDescent="0.25">
      <c r="A237" s="225" t="s">
        <v>424</v>
      </c>
      <c r="B237" s="22" t="s">
        <v>423</v>
      </c>
      <c r="C237" s="14">
        <v>-3</v>
      </c>
      <c r="D237" s="35"/>
      <c r="E237" s="29"/>
      <c r="F237" s="12">
        <f>ROUND(Tabla2[[#This Row],[Área ocupada (m²)]]/20*1.4,2)</f>
        <v>0.22</v>
      </c>
      <c r="G237" s="12">
        <v>3.21</v>
      </c>
      <c r="H237" s="12">
        <v>3.21</v>
      </c>
      <c r="I237" s="12">
        <f>ROUND(Tabla2[[#This Row],[Área techada (m²)]]*0.15,2)</f>
        <v>0.48</v>
      </c>
      <c r="J237" s="18" t="s">
        <v>33</v>
      </c>
      <c r="K237" s="7">
        <v>5000</v>
      </c>
      <c r="L237" s="240">
        <f>ROUND(Tabla2[[#This Row],[Área ocupada (m²)3]]/20*1.4,2)</f>
        <v>0.22</v>
      </c>
      <c r="M237" s="240">
        <f>ROUND(Tabla2[[#This Row],[Área ocupada (m²)]],2)</f>
        <v>3.21</v>
      </c>
      <c r="N237" s="240">
        <f>ROUND(Tabla2[[#This Row],[Área techada (m²)]],2)</f>
        <v>3.21</v>
      </c>
      <c r="O237" s="243">
        <f>ROUND(Tabla2[[#This Row],[Área techada (m²)4]]*0.15,2)</f>
        <v>0.48</v>
      </c>
      <c r="P237" s="6">
        <f>ROUND(Tabla2[[#This Row],[Área del terreno (m²)2]]*DATA!$F$4,-2)</f>
        <v>200</v>
      </c>
      <c r="Q237" s="243">
        <f>+Tabla2[[#This Row],[Valor Comercial (US$)]]-Tabla2[[#This Row],[Valor del terreno (US$)]]</f>
        <v>3800</v>
      </c>
      <c r="R237" s="244">
        <f>IF(Tabla2[[#This Row],[Unidad Inmobiliaria]]=DATA!$B$16,ROUND(Tabla2[[#This Row],[Rev2]]*(Tabla2[[#This Row],[Área techada (m²)4]]+(Tabla2[[#This Row],[Área ocupada (m²)3]]-Tabla2[[#This Row],[Área techada (m²)4]])*0.3),-2),Tabla2[[#This Row],[Rev2]])</f>
        <v>4000</v>
      </c>
      <c r="S237" s="244">
        <f>ROUND(Tabla2[[#This Row],[Valor Comercial (US$)]]*0.8,-2)</f>
        <v>3200</v>
      </c>
      <c r="T237" s="244">
        <f>IF(Informe!$I$6=DATA!$B$4,R237,ROUND(Tabla2[[#This Row],[Área techada (m²)4]]*DATA!$F$5*1.15,-2))</f>
        <v>4000</v>
      </c>
      <c r="U237" s="8">
        <f t="shared" si="3"/>
        <v>3.3479999999999999</v>
      </c>
      <c r="V237" s="244">
        <f>ROUND(Tabla2[[#This Row],[Valor del terreno (US$)]]*Tabla2[[#This Row],[Tipo de Cambio]],-2)</f>
        <v>700</v>
      </c>
      <c r="W237" s="244">
        <f>Tabla2[[#This Row],[Valor Comercial (S/.)]]-Tabla2[[#This Row],[Valor del terreno (S/.)]]</f>
        <v>12700</v>
      </c>
      <c r="X237" s="244">
        <f>ROUND(Tabla2[[#This Row],[Valor Comercial (US$)]]*Tabla2[[#This Row],[Tipo de Cambio]],-2)</f>
        <v>13400</v>
      </c>
      <c r="Y237" s="244">
        <f>ROUND(Tabla2[[#This Row],[Valor Realización (US$)]]*Tabla2[[#This Row],[Tipo de Cambio]],-2)</f>
        <v>10700</v>
      </c>
      <c r="Z237" s="244">
        <f>+ROUND(Tabla2[[#This Row],[Importe Asegurable (US$)]]*Tabla2[[#This Row],[Tipo de Cambio]],-2)</f>
        <v>13400</v>
      </c>
      <c r="AA237" s="245"/>
      <c r="AB237" s="2">
        <f>+Tabla2[[#This Row],[Valor Comercial (US$)]]/Tabla2[[#This Row],[Área techada (m²)4]]</f>
        <v>1246.1059190031153</v>
      </c>
      <c r="AC237" s="1" t="str">
        <f>IF(Tabla2[[#This Row],[Moneda]]="Soles",IF(Tabla2[[#This Row],[Valor Comercial (S/.)]]&gt;Tabla2[[#This Row],[Valor de Venta]],"OK","Revisar valores"),IF(Tabla2[[#This Row],[Valor Comercial (US$)]]&gt;Tabla2[[#This Row],[Valor de Venta]],"OK","Revisar valores"))</f>
        <v>OK</v>
      </c>
      <c r="AD237" s="1" t="s">
        <v>422</v>
      </c>
      <c r="AE237" s="222">
        <f>IF(Tabla2[[#This Row],[Moneda]]="Soles",Tabla2[[#This Row],[Valor de Venta]]/Tabla2[[#This Row],[Área techada (m²)]]/Tabla2[[#This Row],[Tipo de Cambio]],Tabla2[[#This Row],[Valor de Venta]]/Tabla2[[#This Row],[Área techada (m²)]])</f>
        <v>465.24265195755498</v>
      </c>
      <c r="AF237" s="347">
        <f>VLOOKUP(Tabla2[[#This Row],[VISTA]],DATA!$H$4:$I$17,2,FALSE)</f>
        <v>4000</v>
      </c>
      <c r="AG237" s="221">
        <f>+Tabla2[[#This Row],[Valor Comercial (S/.)]]/Tabla2[[#This Row],[Valor de Venta]]-1</f>
        <v>1.6800000000000002</v>
      </c>
    </row>
    <row r="238" spans="1:33" ht="12.75" x14ac:dyDescent="0.2">
      <c r="F238" s="6">
        <v>750</v>
      </c>
      <c r="G238" s="6">
        <f>SUM(G12:G237)</f>
        <v>11104.429999999998</v>
      </c>
      <c r="H238" s="6">
        <f t="shared" ref="H238:I238" si="4">SUM(H12:H237)</f>
        <v>11104.429999999998</v>
      </c>
      <c r="I238" s="6">
        <f t="shared" si="4"/>
        <v>1666.0799999999983</v>
      </c>
      <c r="J238" s="56"/>
      <c r="K238" s="47"/>
      <c r="L238" s="55"/>
    </row>
    <row r="239" spans="1:33" ht="15" customHeight="1" x14ac:dyDescent="0.2">
      <c r="F239" s="47"/>
      <c r="G239" s="47"/>
      <c r="H239" s="47"/>
      <c r="I239" s="47"/>
      <c r="J239" s="48"/>
    </row>
    <row r="240" spans="1:33" ht="15" customHeight="1" x14ac:dyDescent="0.2">
      <c r="B240" s="49" t="s">
        <v>21</v>
      </c>
      <c r="C240" s="50"/>
      <c r="D240" s="51" t="s">
        <v>22</v>
      </c>
      <c r="G240" s="46"/>
      <c r="AB240" s="41"/>
    </row>
    <row r="241" spans="2:28" ht="12.75" x14ac:dyDescent="0.2">
      <c r="C241" s="52"/>
      <c r="D241" s="53" t="s">
        <v>23</v>
      </c>
      <c r="AB241" s="41"/>
    </row>
    <row r="242" spans="2:28" ht="15" customHeight="1" x14ac:dyDescent="0.2">
      <c r="AB242" s="41"/>
    </row>
    <row r="243" spans="2:28" ht="15" customHeight="1" x14ac:dyDescent="0.2">
      <c r="B243" s="49" t="s">
        <v>24</v>
      </c>
      <c r="C243" s="41" t="s">
        <v>25</v>
      </c>
      <c r="AB243" s="41"/>
    </row>
    <row r="244" spans="2:28" ht="15" customHeight="1" x14ac:dyDescent="0.2">
      <c r="C244" s="41" t="s">
        <v>26</v>
      </c>
      <c r="AB244" s="41"/>
    </row>
    <row r="245" spans="2:28" ht="15" customHeight="1" x14ac:dyDescent="0.2">
      <c r="C245" s="41" t="s">
        <v>27</v>
      </c>
      <c r="AB245" s="41"/>
    </row>
    <row r="246" spans="2:28" ht="15" customHeight="1" x14ac:dyDescent="0.2">
      <c r="C246" s="41" t="s">
        <v>28</v>
      </c>
      <c r="AB246" s="41"/>
    </row>
    <row r="247" spans="2:28" ht="15" customHeight="1" x14ac:dyDescent="0.2">
      <c r="C247" s="41" t="s">
        <v>29</v>
      </c>
      <c r="AB247" s="41"/>
    </row>
  </sheetData>
  <sortState xmlns:xlrd2="http://schemas.microsoft.com/office/spreadsheetml/2017/richdata2" ref="A15:AD268">
    <sortCondition ref="E15:E268"/>
    <sortCondition ref="A15:A268"/>
    <sortCondition ref="D15:D268"/>
  </sortState>
  <mergeCells count="4">
    <mergeCell ref="L10:AA10"/>
    <mergeCell ref="D7:E7"/>
    <mergeCell ref="D8:E8"/>
    <mergeCell ref="F10:K10"/>
  </mergeCells>
  <conditionalFormatting sqref="B44:B49 D47:E49 B57 D51:E51 D94:E94 D91:E92 D109:E113 B20:E42 D43:E43 D63:E71 C13 C15:E15 C17:E17 C50:E50 C58:C59 B60:C63 B65:C65 C64 C66:C70 B71:C73 B76:C76 C74:C75 C77:C82 D96:E101 D104:E106 C116:E116 B14:E14 B16:E16 B18:E18 B124:E124 B126 J142:J171 D115:E115 D117:E123 B128:B131 D125:E131 B132:E137 B141:B147 D141:E145 G14 B140:E140 B148:E171 A13:A171 D73:E89 J238 B138:C139 J23:J77 J103 A172:E172 G178:G214 G21:G172 J172:K172 A214:C214 B122 A175:E175 AH12:XFD214 J178:K214 AD172 A12:E12 G16:G18 A178:E213 A176:C177">
    <cfRule type="expression" dxfId="278" priority="1025">
      <formula>$AA12&gt;0</formula>
    </cfRule>
  </conditionalFormatting>
  <conditionalFormatting sqref="B43">
    <cfRule type="expression" dxfId="277" priority="838">
      <formula>$AA43&gt;0</formula>
    </cfRule>
  </conditionalFormatting>
  <conditionalFormatting sqref="D90:E90">
    <cfRule type="expression" dxfId="276" priority="835">
      <formula>$AA90&gt;0</formula>
    </cfRule>
  </conditionalFormatting>
  <conditionalFormatting sqref="D46:E46">
    <cfRule type="expression" dxfId="275" priority="834">
      <formula>$AA46&gt;0</formula>
    </cfRule>
  </conditionalFormatting>
  <conditionalFormatting sqref="D108:E108">
    <cfRule type="expression" dxfId="274" priority="833">
      <formula>$AA108&gt;0</formula>
    </cfRule>
  </conditionalFormatting>
  <conditionalFormatting sqref="D95:E95">
    <cfRule type="expression" dxfId="273" priority="832">
      <formula>$AA95&gt;0</formula>
    </cfRule>
  </conditionalFormatting>
  <conditionalFormatting sqref="D102">
    <cfRule type="expression" dxfId="272" priority="831">
      <formula>$AA102&gt;0</formula>
    </cfRule>
  </conditionalFormatting>
  <conditionalFormatting sqref="D44:E44">
    <cfRule type="expression" dxfId="271" priority="830">
      <formula>$AA44&gt;0</formula>
    </cfRule>
  </conditionalFormatting>
  <conditionalFormatting sqref="D52:E61">
    <cfRule type="expression" dxfId="270" priority="829">
      <formula>$AA52&gt;0</formula>
    </cfRule>
  </conditionalFormatting>
  <conditionalFormatting sqref="D107:E107">
    <cfRule type="expression" dxfId="269" priority="828">
      <formula>$AA107&gt;0</formula>
    </cfRule>
  </conditionalFormatting>
  <conditionalFormatting sqref="D93:E93">
    <cfRule type="expression" dxfId="268" priority="827">
      <formula>$AA93&gt;0</formula>
    </cfRule>
  </conditionalFormatting>
  <conditionalFormatting sqref="D114:E114">
    <cfRule type="expression" dxfId="267" priority="826">
      <formula>$AA114&gt;0</formula>
    </cfRule>
  </conditionalFormatting>
  <conditionalFormatting sqref="E102">
    <cfRule type="expression" dxfId="266" priority="825">
      <formula>$AA102&gt;0</formula>
    </cfRule>
  </conditionalFormatting>
  <conditionalFormatting sqref="G20">
    <cfRule type="expression" dxfId="265" priority="824">
      <formula>$AA20&gt;0</formula>
    </cfRule>
  </conditionalFormatting>
  <conditionalFormatting sqref="D45:E45">
    <cfRule type="expression" dxfId="264" priority="823">
      <formula>$AA45&gt;0</formula>
    </cfRule>
  </conditionalFormatting>
  <conditionalFormatting sqref="E103">
    <cfRule type="expression" dxfId="263" priority="822">
      <formula>$AA103&gt;0</formula>
    </cfRule>
  </conditionalFormatting>
  <conditionalFormatting sqref="D103">
    <cfRule type="expression" dxfId="262" priority="821">
      <formula>$AA103&gt;0</formula>
    </cfRule>
  </conditionalFormatting>
  <conditionalFormatting sqref="C43:C49">
    <cfRule type="expression" dxfId="261" priority="820">
      <formula>$AA43&gt;0</formula>
    </cfRule>
  </conditionalFormatting>
  <conditionalFormatting sqref="C51:C57">
    <cfRule type="expression" dxfId="260" priority="819">
      <formula>$AA51&gt;0</formula>
    </cfRule>
  </conditionalFormatting>
  <conditionalFormatting sqref="C83:C84">
    <cfRule type="expression" dxfId="259" priority="818">
      <formula>$AA83&gt;0</formula>
    </cfRule>
  </conditionalFormatting>
  <conditionalFormatting sqref="C92">
    <cfRule type="expression" dxfId="258" priority="817">
      <formula>$AA92&gt;0</formula>
    </cfRule>
  </conditionalFormatting>
  <conditionalFormatting sqref="C100">
    <cfRule type="expression" dxfId="257" priority="816">
      <formula>$AA100&gt;0</formula>
    </cfRule>
  </conditionalFormatting>
  <conditionalFormatting sqref="C108">
    <cfRule type="expression" dxfId="256" priority="815">
      <formula>$AA108&gt;0</formula>
    </cfRule>
  </conditionalFormatting>
  <conditionalFormatting sqref="K238">
    <cfRule type="expression" dxfId="255" priority="810">
      <formula>$AA238&gt;0</formula>
    </cfRule>
  </conditionalFormatting>
  <conditionalFormatting sqref="D62:E62">
    <cfRule type="expression" dxfId="254" priority="806">
      <formula>$AA62&gt;0</formula>
    </cfRule>
  </conditionalFormatting>
  <conditionalFormatting sqref="D146:E146">
    <cfRule type="expression" dxfId="253" priority="805">
      <formula>$AA146&gt;0</formula>
    </cfRule>
  </conditionalFormatting>
  <conditionalFormatting sqref="D72:E72">
    <cfRule type="expression" dxfId="252" priority="803">
      <formula>$AA72&gt;0</formula>
    </cfRule>
  </conditionalFormatting>
  <conditionalFormatting sqref="D147:E147">
    <cfRule type="expression" dxfId="251" priority="802">
      <formula>$AA147&gt;0</formula>
    </cfRule>
  </conditionalFormatting>
  <conditionalFormatting sqref="J14 J20:J22 J16:J18">
    <cfRule type="expression" dxfId="250" priority="801">
      <formula>$AA14&gt;0</formula>
    </cfRule>
  </conditionalFormatting>
  <conditionalFormatting sqref="B51">
    <cfRule type="expression" dxfId="249" priority="796">
      <formula>$AA51&gt;0</formula>
    </cfRule>
  </conditionalFormatting>
  <conditionalFormatting sqref="J78:J102">
    <cfRule type="expression" dxfId="248" priority="799">
      <formula>$AA78&gt;0</formula>
    </cfRule>
  </conditionalFormatting>
  <conditionalFormatting sqref="J104:J141">
    <cfRule type="expression" dxfId="247" priority="798">
      <formula>$AA104&gt;0</formula>
    </cfRule>
  </conditionalFormatting>
  <conditionalFormatting sqref="B52:B56 B50">
    <cfRule type="expression" dxfId="246" priority="797">
      <formula>$AA50&gt;0</formula>
    </cfRule>
  </conditionalFormatting>
  <conditionalFormatting sqref="B68:B70 B66">
    <cfRule type="expression" dxfId="245" priority="792">
      <formula>$AA66&gt;0</formula>
    </cfRule>
  </conditionalFormatting>
  <conditionalFormatting sqref="B58">
    <cfRule type="expression" dxfId="244" priority="795">
      <formula>$AA58&gt;0</formula>
    </cfRule>
  </conditionalFormatting>
  <conditionalFormatting sqref="B59">
    <cfRule type="expression" dxfId="243" priority="794">
      <formula>$AA59&gt;0</formula>
    </cfRule>
  </conditionalFormatting>
  <conditionalFormatting sqref="B64">
    <cfRule type="expression" dxfId="242" priority="793">
      <formula>$AA64&gt;0</formula>
    </cfRule>
  </conditionalFormatting>
  <conditionalFormatting sqref="B67">
    <cfRule type="expression" dxfId="241" priority="791">
      <formula>$AA67&gt;0</formula>
    </cfRule>
  </conditionalFormatting>
  <conditionalFormatting sqref="B74">
    <cfRule type="expression" dxfId="240" priority="790">
      <formula>$AA74&gt;0</formula>
    </cfRule>
  </conditionalFormatting>
  <conditionalFormatting sqref="B75">
    <cfRule type="expression" dxfId="239" priority="789">
      <formula>$AA75&gt;0</formula>
    </cfRule>
  </conditionalFormatting>
  <conditionalFormatting sqref="B77:B80">
    <cfRule type="expression" dxfId="238" priority="788">
      <formula>$AA77&gt;0</formula>
    </cfRule>
  </conditionalFormatting>
  <conditionalFormatting sqref="B81">
    <cfRule type="expression" dxfId="237" priority="787">
      <formula>$AA81&gt;0</formula>
    </cfRule>
  </conditionalFormatting>
  <conditionalFormatting sqref="B84:B89 B82">
    <cfRule type="expression" dxfId="236" priority="786">
      <formula>$AA82&gt;0</formula>
    </cfRule>
  </conditionalFormatting>
  <conditionalFormatting sqref="B83">
    <cfRule type="expression" dxfId="235" priority="785">
      <formula>$AA83&gt;0</formula>
    </cfRule>
  </conditionalFormatting>
  <conditionalFormatting sqref="B92:B97 B90">
    <cfRule type="expression" dxfId="234" priority="784">
      <formula>$AA90&gt;0</formula>
    </cfRule>
  </conditionalFormatting>
  <conditionalFormatting sqref="B91">
    <cfRule type="expression" dxfId="233" priority="783">
      <formula>$AA91&gt;0</formula>
    </cfRule>
  </conditionalFormatting>
  <conditionalFormatting sqref="B100:B105 B98">
    <cfRule type="expression" dxfId="232" priority="782">
      <formula>$AA98&gt;0</formula>
    </cfRule>
  </conditionalFormatting>
  <conditionalFormatting sqref="B99">
    <cfRule type="expression" dxfId="231" priority="781">
      <formula>$AA99&gt;0</formula>
    </cfRule>
  </conditionalFormatting>
  <conditionalFormatting sqref="B108:B113 B106">
    <cfRule type="expression" dxfId="230" priority="780">
      <formula>$AA106&gt;0</formula>
    </cfRule>
  </conditionalFormatting>
  <conditionalFormatting sqref="B107">
    <cfRule type="expression" dxfId="229" priority="779">
      <formula>$AA107&gt;0</formula>
    </cfRule>
  </conditionalFormatting>
  <conditionalFormatting sqref="B116:B121 B114 B123">
    <cfRule type="expression" dxfId="228" priority="778">
      <formula>$AA114&gt;0</formula>
    </cfRule>
  </conditionalFormatting>
  <conditionalFormatting sqref="B115">
    <cfRule type="expression" dxfId="227" priority="777">
      <formula>$AA115&gt;0</formula>
    </cfRule>
  </conditionalFormatting>
  <conditionalFormatting sqref="C85:C91">
    <cfRule type="expression" dxfId="226" priority="776">
      <formula>$AA85&gt;0</formula>
    </cfRule>
  </conditionalFormatting>
  <conditionalFormatting sqref="C93:C99">
    <cfRule type="expression" dxfId="225" priority="775">
      <formula>$AA93&gt;0</formula>
    </cfRule>
  </conditionalFormatting>
  <conditionalFormatting sqref="C101:C107">
    <cfRule type="expression" dxfId="224" priority="774">
      <formula>$AA101&gt;0</formula>
    </cfRule>
  </conditionalFormatting>
  <conditionalFormatting sqref="C109:C115">
    <cfRule type="expression" dxfId="223" priority="773">
      <formula>$AA109&gt;0</formula>
    </cfRule>
  </conditionalFormatting>
  <conditionalFormatting sqref="C117:C123">
    <cfRule type="expression" dxfId="222" priority="772">
      <formula>$AA117&gt;0</formula>
    </cfRule>
  </conditionalFormatting>
  <conditionalFormatting sqref="C125:C131">
    <cfRule type="expression" dxfId="221" priority="771">
      <formula>$AA125&gt;0</formula>
    </cfRule>
  </conditionalFormatting>
  <conditionalFormatting sqref="C141:C147">
    <cfRule type="expression" dxfId="220" priority="770">
      <formula>$AA141&gt;0</formula>
    </cfRule>
  </conditionalFormatting>
  <conditionalFormatting sqref="K19">
    <cfRule type="expression" dxfId="219" priority="762">
      <formula>$AA19&gt;0</formula>
    </cfRule>
  </conditionalFormatting>
  <conditionalFormatting sqref="K14 K20:K171 K16:K18">
    <cfRule type="expression" dxfId="218" priority="768">
      <formula>$AA14&gt;0</formula>
    </cfRule>
  </conditionalFormatting>
  <conditionalFormatting sqref="C19:E19 J19 G19">
    <cfRule type="expression" dxfId="217" priority="764">
      <formula>$AA19&gt;0</formula>
    </cfRule>
  </conditionalFormatting>
  <conditionalFormatting sqref="B19">
    <cfRule type="expression" dxfId="216" priority="763">
      <formula>$AA19&gt;0</formula>
    </cfRule>
  </conditionalFormatting>
  <conditionalFormatting sqref="D139:E139">
    <cfRule type="expression" dxfId="215" priority="751">
      <formula>$AA139&gt;0</formula>
    </cfRule>
  </conditionalFormatting>
  <conditionalFormatting sqref="B17">
    <cfRule type="expression" dxfId="214" priority="617">
      <formula>$AA17&gt;0</formula>
    </cfRule>
  </conditionalFormatting>
  <conditionalFormatting sqref="B127">
    <cfRule type="expression" dxfId="213" priority="616">
      <formula>$AA127&gt;0</formula>
    </cfRule>
  </conditionalFormatting>
  <conditionalFormatting sqref="B13">
    <cfRule type="expression" dxfId="212" priority="615">
      <formula>$AA13&gt;0</formula>
    </cfRule>
  </conditionalFormatting>
  <conditionalFormatting sqref="D138:E138">
    <cfRule type="expression" dxfId="211" priority="435">
      <formula>$AA138&gt;0</formula>
    </cfRule>
  </conditionalFormatting>
  <conditionalFormatting sqref="B15">
    <cfRule type="expression" dxfId="210" priority="434">
      <formula>$AA15&gt;0</formula>
    </cfRule>
  </conditionalFormatting>
  <conditionalFormatting sqref="A173:E174 J173:J174 G173:G174">
    <cfRule type="expression" dxfId="209" priority="429">
      <formula>$AA173&gt;0</formula>
    </cfRule>
  </conditionalFormatting>
  <conditionalFormatting sqref="K173:K174">
    <cfRule type="expression" dxfId="208" priority="428">
      <formula>$AA173&gt;0</formula>
    </cfRule>
  </conditionalFormatting>
  <conditionalFormatting sqref="H20">
    <cfRule type="expression" dxfId="207" priority="425">
      <formula>$AA20&gt;0</formula>
    </cfRule>
  </conditionalFormatting>
  <conditionalFormatting sqref="H14 H21:H172 H178:H214 H16:H18">
    <cfRule type="expression" dxfId="206" priority="426">
      <formula>$AA14&gt;0</formula>
    </cfRule>
  </conditionalFormatting>
  <conditionalFormatting sqref="AD173:AD175 AD178:AD214">
    <cfRule type="expression" dxfId="205" priority="421">
      <formula>$AA173&gt;0</formula>
    </cfRule>
  </conditionalFormatting>
  <conditionalFormatting sqref="H19">
    <cfRule type="expression" dxfId="204" priority="424">
      <formula>$AA19&gt;0</formula>
    </cfRule>
  </conditionalFormatting>
  <conditionalFormatting sqref="H173:H174">
    <cfRule type="expression" dxfId="203" priority="423">
      <formula>$AA173&gt;0</formula>
    </cfRule>
  </conditionalFormatting>
  <conditionalFormatting sqref="AD163 AD160:AD161 AD149:AD150 AD142 AD100 AD106 AD109 AD114 AD116:AD117 AD122 AD124:AD125 AD130 AD132:AD134 AD137:AD140 AD145:AD147 AD152:AD155">
    <cfRule type="expression" dxfId="202" priority="416">
      <formula>$AA100&gt;0</formula>
    </cfRule>
  </conditionalFormatting>
  <conditionalFormatting sqref="AD141 AD148 AD156:AD158 AD162">
    <cfRule type="expression" dxfId="201" priority="417">
      <formula>$AA141&gt;0</formula>
    </cfRule>
  </conditionalFormatting>
  <conditionalFormatting sqref="AD159 AD151 AD143:AD144 AD135:AD136 AD131 AD126:AD129 AD123 AD115 AD110 AD107:AD108 AD101:AD102 AD45 AD53 AD58 AD66 AD74 AD82:AD86 AD90 AD92:AD94 AD98 AD61 AD68:AD69 AD76:AD78 AD104:AD105 AD112:AD113 AD118:AD121">
    <cfRule type="expression" dxfId="200" priority="415">
      <formula>$AA45&gt;0</formula>
    </cfRule>
  </conditionalFormatting>
  <conditionalFormatting sqref="AD164 AD111 AD103 AD99 AD95:AD97 AD91 AD87:AD89 AD62 AD60 AD54 AD46 AD21 AD26 AD28:AD30 AD34 AD36:AD38 AD42 AD44 AD50 AD52 AD65 AD57 AD67 AD70:AD73 AD79:AD81">
    <cfRule type="expression" dxfId="199" priority="414">
      <formula>$AA21&gt;0</formula>
    </cfRule>
  </conditionalFormatting>
  <conditionalFormatting sqref="AD165:AD171 AD63:AD64 AD59 AD55:AD56 AD51 AD47:AD49 AD43 AD39:AD41 AD35 AD31:AD33 AD27 AD22 AD20 AD24:AD25">
    <cfRule type="expression" dxfId="198" priority="413">
      <formula>$AA20&gt;0</formula>
    </cfRule>
  </conditionalFormatting>
  <conditionalFormatting sqref="AD75 AD23">
    <cfRule type="expression" dxfId="197" priority="412">
      <formula>$AA23&gt;0</formula>
    </cfRule>
  </conditionalFormatting>
  <conditionalFormatting sqref="AD14 AD16:AD18">
    <cfRule type="expression" dxfId="196" priority="411">
      <formula>$AA14&gt;0</formula>
    </cfRule>
  </conditionalFormatting>
  <conditionalFormatting sqref="AD19">
    <cfRule type="expression" dxfId="195" priority="410">
      <formula>$AA19&gt;0</formula>
    </cfRule>
  </conditionalFormatting>
  <conditionalFormatting sqref="D214:E214">
    <cfRule type="expression" dxfId="194" priority="409">
      <formula>$AA214&gt;0</formula>
    </cfRule>
  </conditionalFormatting>
  <conditionalFormatting sqref="F238:I238">
    <cfRule type="expression" dxfId="193" priority="407">
      <formula>$AA238&gt;0</formula>
    </cfRule>
  </conditionalFormatting>
  <conditionalFormatting sqref="A215:C237 G215:G228 AH215:XFD237 J215:K228 J233:K237 G233:G237 J231:K231 G231">
    <cfRule type="expression" dxfId="192" priority="406">
      <formula>$AA215&gt;0</formula>
    </cfRule>
  </conditionalFormatting>
  <conditionalFormatting sqref="H215:H228 H233:H237 H231">
    <cfRule type="expression" dxfId="191" priority="405">
      <formula>$AA215&gt;0</formula>
    </cfRule>
  </conditionalFormatting>
  <conditionalFormatting sqref="AD215:AD228 AD231:AD237">
    <cfRule type="expression" dxfId="190" priority="404">
      <formula>$AA215&gt;0</formula>
    </cfRule>
  </conditionalFormatting>
  <conditionalFormatting sqref="D215:E228 D231:E237">
    <cfRule type="expression" dxfId="189" priority="403">
      <formula>$AA215&gt;0</formula>
    </cfRule>
  </conditionalFormatting>
  <conditionalFormatting sqref="AA178:AA227 AA231 AA233:AA237 AA16:AA174">
    <cfRule type="expression" dxfId="188" priority="390">
      <formula>$AA16&gt;0</formula>
    </cfRule>
  </conditionalFormatting>
  <conditionalFormatting sqref="I16:I174 I178:I227 I231 I233:I237">
    <cfRule type="expression" dxfId="187" priority="388">
      <formula>$AA16&gt;0</formula>
    </cfRule>
  </conditionalFormatting>
  <conditionalFormatting sqref="F16:F174 F178:F227 F231 F233:F237">
    <cfRule type="expression" dxfId="186" priority="387">
      <formula>$AA16&gt;0</formula>
    </cfRule>
  </conditionalFormatting>
  <conditionalFormatting sqref="L18:O174 Q18:Z174 L16:L17 O16:O17 Q16:Q17 S16:Z17 L179:O227 Q179:Z227 L178 O178 Q178 S178:Z178 L231:O231 Q231:Z231 Q233:Z237 L233:O237">
    <cfRule type="expression" dxfId="185" priority="384">
      <formula>$AA16&gt;0</formula>
    </cfRule>
  </conditionalFormatting>
  <conditionalFormatting sqref="P16:P174 P178:P227 P231 P233:P237">
    <cfRule type="expression" dxfId="184" priority="383">
      <formula>$AA16&gt;0</formula>
    </cfRule>
  </conditionalFormatting>
  <conditionalFormatting sqref="M17">
    <cfRule type="expression" dxfId="183" priority="374">
      <formula>$AA17&gt;0</formula>
    </cfRule>
  </conditionalFormatting>
  <conditionalFormatting sqref="N17">
    <cfRule type="expression" dxfId="182" priority="373">
      <formula>$AA17&gt;0</formula>
    </cfRule>
  </conditionalFormatting>
  <conditionalFormatting sqref="R17">
    <cfRule type="expression" dxfId="181" priority="372">
      <formula>$AA17&gt;0</formula>
    </cfRule>
  </conditionalFormatting>
  <conditionalFormatting sqref="M178">
    <cfRule type="expression" dxfId="180" priority="368">
      <formula>$AA178&gt;0</formula>
    </cfRule>
  </conditionalFormatting>
  <conditionalFormatting sqref="N178">
    <cfRule type="expression" dxfId="179" priority="367">
      <formula>$AA178&gt;0</formula>
    </cfRule>
  </conditionalFormatting>
  <conditionalFormatting sqref="R178">
    <cfRule type="expression" dxfId="178" priority="366">
      <formula>$AA178&gt;0</formula>
    </cfRule>
  </conditionalFormatting>
  <conditionalFormatting sqref="M16">
    <cfRule type="expression" dxfId="177" priority="302">
      <formula>$AA16&gt;0</formula>
    </cfRule>
  </conditionalFormatting>
  <conditionalFormatting sqref="N16">
    <cfRule type="expression" dxfId="176" priority="301">
      <formula>$AA16&gt;0</formula>
    </cfRule>
  </conditionalFormatting>
  <conditionalFormatting sqref="R16">
    <cfRule type="expression" dxfId="175" priority="300">
      <formula>$AA16&gt;0</formula>
    </cfRule>
  </conditionalFormatting>
  <conditionalFormatting sqref="F228">
    <cfRule type="expression" dxfId="174" priority="232">
      <formula>$AA228&gt;0</formula>
    </cfRule>
  </conditionalFormatting>
  <conditionalFormatting sqref="I228">
    <cfRule type="expression" dxfId="173" priority="231">
      <formula>$AA228&gt;0</formula>
    </cfRule>
  </conditionalFormatting>
  <conditionalFormatting sqref="L228:O228 Q228:Z228">
    <cfRule type="expression" dxfId="172" priority="227">
      <formula>$AA228&gt;0</formula>
    </cfRule>
  </conditionalFormatting>
  <conditionalFormatting sqref="P228">
    <cfRule type="expression" dxfId="171" priority="226">
      <formula>$AA228&gt;0</formula>
    </cfRule>
  </conditionalFormatting>
  <conditionalFormatting sqref="AA228">
    <cfRule type="expression" dxfId="170" priority="228">
      <formula>$AA228&gt;0</formula>
    </cfRule>
  </conditionalFormatting>
  <conditionalFormatting sqref="P175">
    <cfRule type="expression" dxfId="169" priority="109">
      <formula>$AA175&gt;0</formula>
    </cfRule>
  </conditionalFormatting>
  <conditionalFormatting sqref="J232:K232 G232">
    <cfRule type="expression" dxfId="168" priority="108">
      <formula>$AA232&gt;0</formula>
    </cfRule>
  </conditionalFormatting>
  <conditionalFormatting sqref="AA232">
    <cfRule type="expression" dxfId="167" priority="106">
      <formula>$AA232&gt;0</formula>
    </cfRule>
  </conditionalFormatting>
  <conditionalFormatting sqref="H232">
    <cfRule type="expression" dxfId="166" priority="107">
      <formula>$AA232&gt;0</formula>
    </cfRule>
  </conditionalFormatting>
  <conditionalFormatting sqref="AB16:AB175 AB178:AB228 AB231:AB237">
    <cfRule type="expression" dxfId="165" priority="97">
      <formula>$AA16&gt;0</formula>
    </cfRule>
  </conditionalFormatting>
  <conditionalFormatting sqref="Q175:Z175 L175:O175">
    <cfRule type="expression" dxfId="164" priority="110">
      <formula>$AA175&gt;0</formula>
    </cfRule>
  </conditionalFormatting>
  <conditionalFormatting sqref="P232">
    <cfRule type="expression" dxfId="163" priority="102">
      <formula>$AA232&gt;0</formula>
    </cfRule>
  </conditionalFormatting>
  <conditionalFormatting sqref="AC16:AC175 AC178:AC228 AC231:AC237">
    <cfRule type="expression" dxfId="162" priority="96">
      <formula>$AA16&gt;0</formula>
    </cfRule>
  </conditionalFormatting>
  <conditionalFormatting sqref="F175">
    <cfRule type="expression" dxfId="161" priority="111">
      <formula>$AA175&gt;0</formula>
    </cfRule>
  </conditionalFormatting>
  <conditionalFormatting sqref="I175">
    <cfRule type="expression" dxfId="160" priority="112">
      <formula>$AA175&gt;0</formula>
    </cfRule>
  </conditionalFormatting>
  <conditionalFormatting sqref="G175 J175:K175">
    <cfRule type="expression" dxfId="159" priority="115">
      <formula>$AA175&gt;0</formula>
    </cfRule>
  </conditionalFormatting>
  <conditionalFormatting sqref="H175">
    <cfRule type="expression" dxfId="158" priority="114">
      <formula>$AA175&gt;0</formula>
    </cfRule>
  </conditionalFormatting>
  <conditionalFormatting sqref="AA175">
    <cfRule type="expression" dxfId="157" priority="113">
      <formula>$AA175&gt;0</formula>
    </cfRule>
  </conditionalFormatting>
  <conditionalFormatting sqref="I232">
    <cfRule type="expression" dxfId="156" priority="105">
      <formula>$AA232&gt;0</formula>
    </cfRule>
  </conditionalFormatting>
  <conditionalFormatting sqref="F232">
    <cfRule type="expression" dxfId="155" priority="104">
      <formula>$AA232&gt;0</formula>
    </cfRule>
  </conditionalFormatting>
  <conditionalFormatting sqref="Q232:Z232 L232:O232">
    <cfRule type="expression" dxfId="154" priority="103">
      <formula>$AA232&gt;0</formula>
    </cfRule>
  </conditionalFormatting>
  <conditionalFormatting sqref="AE16:AG175 AE178:AG228 AE231:AG237">
    <cfRule type="expression" dxfId="153" priority="95">
      <formula>$AA16&gt;0</formula>
    </cfRule>
  </conditionalFormatting>
  <conditionalFormatting sqref="AD12">
    <cfRule type="expression" dxfId="152" priority="99">
      <formula>$AA12&gt;0</formula>
    </cfRule>
  </conditionalFormatting>
  <conditionalFormatting sqref="F12:G12 I12">
    <cfRule type="expression" dxfId="151" priority="94">
      <formula>$AA12&gt;0</formula>
    </cfRule>
  </conditionalFormatting>
  <conditionalFormatting sqref="J12">
    <cfRule type="expression" dxfId="150" priority="93">
      <formula>$AA12&gt;0</formula>
    </cfRule>
  </conditionalFormatting>
  <conditionalFormatting sqref="K12">
    <cfRule type="expression" dxfId="149" priority="92">
      <formula>$AA12&gt;0</formula>
    </cfRule>
  </conditionalFormatting>
  <conditionalFormatting sqref="H12">
    <cfRule type="expression" dxfId="148" priority="91">
      <formula>$AA12&gt;0</formula>
    </cfRule>
  </conditionalFormatting>
  <conditionalFormatting sqref="AA12">
    <cfRule type="expression" dxfId="147" priority="90">
      <formula>$AA12&gt;0</formula>
    </cfRule>
  </conditionalFormatting>
  <conditionalFormatting sqref="L12:O12 Q12:Z12">
    <cfRule type="expression" dxfId="146" priority="89">
      <formula>$AA12&gt;0</formula>
    </cfRule>
  </conditionalFormatting>
  <conditionalFormatting sqref="P12">
    <cfRule type="expression" dxfId="145" priority="88">
      <formula>$AA12&gt;0</formula>
    </cfRule>
  </conditionalFormatting>
  <conditionalFormatting sqref="AB12">
    <cfRule type="expression" dxfId="144" priority="87">
      <formula>$AA12&gt;0</formula>
    </cfRule>
  </conditionalFormatting>
  <conditionalFormatting sqref="AC12">
    <cfRule type="expression" dxfId="143" priority="86">
      <formula>$AA12&gt;0</formula>
    </cfRule>
  </conditionalFormatting>
  <conditionalFormatting sqref="AE12:AG12">
    <cfRule type="expression" dxfId="142" priority="85">
      <formula>$AA12&gt;0</formula>
    </cfRule>
  </conditionalFormatting>
  <conditionalFormatting sqref="L15 O15 Q15 S15:Z15">
    <cfRule type="expression" dxfId="141" priority="60">
      <formula>$AA15&gt;0</formula>
    </cfRule>
  </conditionalFormatting>
  <conditionalFormatting sqref="P15">
    <cfRule type="expression" dxfId="140" priority="59">
      <formula>$AA15&gt;0</formula>
    </cfRule>
  </conditionalFormatting>
  <conditionalFormatting sqref="M15">
    <cfRule type="expression" dxfId="139" priority="58">
      <formula>$AA15&gt;0</formula>
    </cfRule>
  </conditionalFormatting>
  <conditionalFormatting sqref="N15">
    <cfRule type="expression" dxfId="138" priority="57">
      <formula>$AA15&gt;0</formula>
    </cfRule>
  </conditionalFormatting>
  <conditionalFormatting sqref="R15">
    <cfRule type="expression" dxfId="137" priority="56">
      <formula>$AA15&gt;0</formula>
    </cfRule>
  </conditionalFormatting>
  <conditionalFormatting sqref="AB15">
    <cfRule type="expression" dxfId="136" priority="55">
      <formula>$AA15&gt;0</formula>
    </cfRule>
  </conditionalFormatting>
  <conditionalFormatting sqref="AC15">
    <cfRule type="expression" dxfId="135" priority="54">
      <formula>$AA15&gt;0</formula>
    </cfRule>
  </conditionalFormatting>
  <conditionalFormatting sqref="AE15:AG15">
    <cfRule type="expression" dxfId="134" priority="53">
      <formula>$AA15&gt;0</formula>
    </cfRule>
  </conditionalFormatting>
  <conditionalFormatting sqref="G15">
    <cfRule type="expression" dxfId="133" priority="68">
      <formula>$AA15&gt;0</formula>
    </cfRule>
  </conditionalFormatting>
  <conditionalFormatting sqref="J15">
    <cfRule type="expression" dxfId="132" priority="67">
      <formula>$AA15&gt;0</formula>
    </cfRule>
  </conditionalFormatting>
  <conditionalFormatting sqref="K15">
    <cfRule type="expression" dxfId="131" priority="66">
      <formula>$AA15&gt;0</formula>
    </cfRule>
  </conditionalFormatting>
  <conditionalFormatting sqref="H15">
    <cfRule type="expression" dxfId="130" priority="65">
      <formula>$AA15&gt;0</formula>
    </cfRule>
  </conditionalFormatting>
  <conditionalFormatting sqref="AD15">
    <cfRule type="expression" dxfId="129" priority="64">
      <formula>$AA15&gt;0</formula>
    </cfRule>
  </conditionalFormatting>
  <conditionalFormatting sqref="AA15">
    <cfRule type="expression" dxfId="128" priority="63">
      <formula>$AA15&gt;0</formula>
    </cfRule>
  </conditionalFormatting>
  <conditionalFormatting sqref="I15">
    <cfRule type="expression" dxfId="127" priority="62">
      <formula>$AA15&gt;0</formula>
    </cfRule>
  </conditionalFormatting>
  <conditionalFormatting sqref="F15">
    <cfRule type="expression" dxfId="126" priority="61">
      <formula>$AA15&gt;0</formula>
    </cfRule>
  </conditionalFormatting>
  <conditionalFormatting sqref="F14">
    <cfRule type="expression" dxfId="125" priority="44">
      <formula>$AA14&gt;0</formula>
    </cfRule>
  </conditionalFormatting>
  <conditionalFormatting sqref="I14">
    <cfRule type="expression" dxfId="124" priority="43">
      <formula>$AA14&gt;0</formula>
    </cfRule>
  </conditionalFormatting>
  <conditionalFormatting sqref="AA14">
    <cfRule type="expression" dxfId="123" priority="42">
      <formula>$AA14&gt;0</formula>
    </cfRule>
  </conditionalFormatting>
  <conditionalFormatting sqref="L14:O14 Q14:Z14">
    <cfRule type="expression" dxfId="122" priority="41">
      <formula>$AA14&gt;0</formula>
    </cfRule>
  </conditionalFormatting>
  <conditionalFormatting sqref="P14">
    <cfRule type="expression" dxfId="121" priority="40">
      <formula>$AA14&gt;0</formula>
    </cfRule>
  </conditionalFormatting>
  <conditionalFormatting sqref="AB14">
    <cfRule type="expression" dxfId="120" priority="39">
      <formula>$AA14&gt;0</formula>
    </cfRule>
  </conditionalFormatting>
  <conditionalFormatting sqref="AC14">
    <cfRule type="expression" dxfId="119" priority="38">
      <formula>$AA14&gt;0</formula>
    </cfRule>
  </conditionalFormatting>
  <conditionalFormatting sqref="AE14:AG14">
    <cfRule type="expression" dxfId="118" priority="37">
      <formula>$AA14&gt;0</formula>
    </cfRule>
  </conditionalFormatting>
  <conditionalFormatting sqref="D13:E13">
    <cfRule type="expression" dxfId="117" priority="36">
      <formula>$AA13&gt;0</formula>
    </cfRule>
  </conditionalFormatting>
  <conditionalFormatting sqref="AD13">
    <cfRule type="expression" dxfId="116" priority="35">
      <formula>$AA13&gt;0</formula>
    </cfRule>
  </conditionalFormatting>
  <conditionalFormatting sqref="F13:G13 I13">
    <cfRule type="expression" dxfId="115" priority="34">
      <formula>$AA13&gt;0</formula>
    </cfRule>
  </conditionalFormatting>
  <conditionalFormatting sqref="J13">
    <cfRule type="expression" dxfId="114" priority="33">
      <formula>$AA13&gt;0</formula>
    </cfRule>
  </conditionalFormatting>
  <conditionalFormatting sqref="K13">
    <cfRule type="expression" dxfId="113" priority="32">
      <formula>$AA13&gt;0</formula>
    </cfRule>
  </conditionalFormatting>
  <conditionalFormatting sqref="H13">
    <cfRule type="expression" dxfId="112" priority="31">
      <formula>$AA13&gt;0</formula>
    </cfRule>
  </conditionalFormatting>
  <conditionalFormatting sqref="AA13">
    <cfRule type="expression" dxfId="111" priority="30">
      <formula>$AA13&gt;0</formula>
    </cfRule>
  </conditionalFormatting>
  <conditionalFormatting sqref="L13:O13 Q13:Z13">
    <cfRule type="expression" dxfId="110" priority="29">
      <formula>$AA13&gt;0</formula>
    </cfRule>
  </conditionalFormatting>
  <conditionalFormatting sqref="P13">
    <cfRule type="expression" dxfId="109" priority="28">
      <formula>$AA13&gt;0</formula>
    </cfRule>
  </conditionalFormatting>
  <conditionalFormatting sqref="AB13">
    <cfRule type="expression" dxfId="108" priority="27">
      <formula>$AA13&gt;0</formula>
    </cfRule>
  </conditionalFormatting>
  <conditionalFormatting sqref="AC13">
    <cfRule type="expression" dxfId="107" priority="26">
      <formula>$AA13&gt;0</formula>
    </cfRule>
  </conditionalFormatting>
  <conditionalFormatting sqref="AE13:AG13">
    <cfRule type="expression" dxfId="106" priority="25">
      <formula>$AA13&gt;0</formula>
    </cfRule>
  </conditionalFormatting>
  <conditionalFormatting sqref="D176:E177">
    <cfRule type="expression" dxfId="105" priority="24">
      <formula>$AA176&gt;0</formula>
    </cfRule>
  </conditionalFormatting>
  <conditionalFormatting sqref="AD176:AD177">
    <cfRule type="expression" dxfId="104" priority="23">
      <formula>$AA176&gt;0</formula>
    </cfRule>
  </conditionalFormatting>
  <conditionalFormatting sqref="P176:P177">
    <cfRule type="expression" dxfId="103" priority="16">
      <formula>$AA176&gt;0</formula>
    </cfRule>
  </conditionalFormatting>
  <conditionalFormatting sqref="AB176:AB177">
    <cfRule type="expression" dxfId="102" priority="15">
      <formula>$AA176&gt;0</formula>
    </cfRule>
  </conditionalFormatting>
  <conditionalFormatting sqref="Q176:Z177 L176:O177">
    <cfRule type="expression" dxfId="101" priority="17">
      <formula>$AA176&gt;0</formula>
    </cfRule>
  </conditionalFormatting>
  <conditionalFormatting sqref="AC176:AC177">
    <cfRule type="expression" dxfId="100" priority="14">
      <formula>$AA176&gt;0</formula>
    </cfRule>
  </conditionalFormatting>
  <conditionalFormatting sqref="F176:F177">
    <cfRule type="expression" dxfId="99" priority="18">
      <formula>$AA176&gt;0</formula>
    </cfRule>
  </conditionalFormatting>
  <conditionalFormatting sqref="I176:I177">
    <cfRule type="expression" dxfId="98" priority="19">
      <formula>$AA176&gt;0</formula>
    </cfRule>
  </conditionalFormatting>
  <conditionalFormatting sqref="G176:G177 J176:K177">
    <cfRule type="expression" dxfId="97" priority="22">
      <formula>$AA176&gt;0</formula>
    </cfRule>
  </conditionalFormatting>
  <conditionalFormatting sqref="H176:H177">
    <cfRule type="expression" dxfId="96" priority="21">
      <formula>$AA176&gt;0</formula>
    </cfRule>
  </conditionalFormatting>
  <conditionalFormatting sqref="AA176:AA177">
    <cfRule type="expression" dxfId="95" priority="20">
      <formula>$AA176&gt;0</formula>
    </cfRule>
  </conditionalFormatting>
  <conditionalFormatting sqref="AE176:AG177">
    <cfRule type="expression" dxfId="94" priority="13">
      <formula>$AA176&gt;0</formula>
    </cfRule>
  </conditionalFormatting>
  <conditionalFormatting sqref="G229:G230 J229:K230">
    <cfRule type="expression" dxfId="93" priority="12">
      <formula>$AA229&gt;0</formula>
    </cfRule>
  </conditionalFormatting>
  <conditionalFormatting sqref="H229:H230">
    <cfRule type="expression" dxfId="92" priority="11">
      <formula>$AA229&gt;0</formula>
    </cfRule>
  </conditionalFormatting>
  <conditionalFormatting sqref="AD229:AD230">
    <cfRule type="expression" dxfId="91" priority="10">
      <formula>$AA229&gt;0</formula>
    </cfRule>
  </conditionalFormatting>
  <conditionalFormatting sqref="D229:E230">
    <cfRule type="expression" dxfId="90" priority="9">
      <formula>$AA229&gt;0</formula>
    </cfRule>
  </conditionalFormatting>
  <conditionalFormatting sqref="F229:F230">
    <cfRule type="expression" dxfId="89" priority="8">
      <formula>$AA229&gt;0</formula>
    </cfRule>
  </conditionalFormatting>
  <conditionalFormatting sqref="I229:I230">
    <cfRule type="expression" dxfId="88" priority="7">
      <formula>$AA229&gt;0</formula>
    </cfRule>
  </conditionalFormatting>
  <conditionalFormatting sqref="L229:O230 Q229:Z230">
    <cfRule type="expression" dxfId="87" priority="5">
      <formula>$AA229&gt;0</formula>
    </cfRule>
  </conditionalFormatting>
  <conditionalFormatting sqref="P229:P230">
    <cfRule type="expression" dxfId="86" priority="4">
      <formula>$AA229&gt;0</formula>
    </cfRule>
  </conditionalFormatting>
  <conditionalFormatting sqref="AA229:AA230">
    <cfRule type="expression" dxfId="85" priority="6">
      <formula>$AA229&gt;0</formula>
    </cfRule>
  </conditionalFormatting>
  <conditionalFormatting sqref="AB229:AB230">
    <cfRule type="expression" dxfId="84" priority="3">
      <formula>$AA229&gt;0</formula>
    </cfRule>
  </conditionalFormatting>
  <conditionalFormatting sqref="AC229:AC230">
    <cfRule type="expression" dxfId="83" priority="2">
      <formula>$AA229&gt;0</formula>
    </cfRule>
  </conditionalFormatting>
  <conditionalFormatting sqref="AE229:AG230">
    <cfRule type="expression" dxfId="82" priority="1">
      <formula>$AA229&gt;0</formula>
    </cfRule>
  </conditionalFormatting>
  <dataValidations count="3">
    <dataValidation type="list" allowBlank="1" showInputMessage="1" showErrorMessage="1" sqref="J12:J237" xr:uid="{B7E10FCB-4DB2-43AB-8FCF-C2DDB694165C}">
      <formula1>Moneda</formula1>
    </dataValidation>
    <dataValidation type="list" allowBlank="1" showInputMessage="1" showErrorMessage="1" sqref="AD12:AD237" xr:uid="{00000000-0002-0000-0000-000000000000}">
      <formula1>Vista</formula1>
    </dataValidation>
    <dataValidation type="list" allowBlank="1" showInputMessage="1" showErrorMessage="1" sqref="A12:A237" xr:uid="{EC91EBEA-9791-4A46-8BBC-3437D5070E15}">
      <formula1>Tipo</formula1>
    </dataValidation>
  </dataValidations>
  <printOptions horizontalCentered="1"/>
  <pageMargins left="0.23622047244094491" right="0.23622047244094491" top="1.3779527559055118" bottom="0.74803149606299213" header="0.31496062992125984" footer="0.31496062992125984"/>
  <pageSetup paperSize="8" scale="29" fitToHeight="0" orientation="landscape" r:id="rId1"/>
  <headerFooter scaleWithDoc="0">
    <oddHeader>&amp;L&amp;G&amp;R&amp;"Verdana,Normal"&amp;8&amp;K00-024Página &amp;P de &amp;N</oddHeader>
  </headerFooter>
  <rowBreaks count="1" manualBreakCount="1">
    <brk id="83" max="26" man="1"/>
  </rowBreaks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C775-38EF-4E5C-A544-30F8B084F6C8}">
  <sheetPr codeName="shTotal"/>
  <dimension ref="A1:AG9"/>
  <sheetViews>
    <sheetView workbookViewId="0">
      <selection activeCell="P20" sqref="P20"/>
    </sheetView>
  </sheetViews>
  <sheetFormatPr defaultColWidth="10.7109375" defaultRowHeight="15" x14ac:dyDescent="0.25"/>
  <cols>
    <col min="1" max="1" width="21.7109375" bestFit="1" customWidth="1"/>
    <col min="2" max="2" width="5.140625" bestFit="1" customWidth="1"/>
    <col min="3" max="3" width="7" bestFit="1" customWidth="1"/>
    <col min="4" max="4" width="8.5703125" bestFit="1" customWidth="1"/>
    <col min="5" max="5" width="9.42578125" bestFit="1" customWidth="1"/>
    <col min="6" max="6" width="9.85546875" bestFit="1" customWidth="1"/>
    <col min="7" max="7" width="10.140625" bestFit="1" customWidth="1"/>
    <col min="8" max="8" width="9.7109375" bestFit="1" customWidth="1"/>
    <col min="9" max="9" width="11" bestFit="1" customWidth="1"/>
    <col min="10" max="10" width="9.42578125" bestFit="1" customWidth="1"/>
    <col min="11" max="11" width="14.140625" bestFit="1" customWidth="1"/>
    <col min="12" max="12" width="9.85546875" bestFit="1" customWidth="1"/>
    <col min="13" max="13" width="10.140625" bestFit="1" customWidth="1"/>
    <col min="14" max="14" width="9.7109375" bestFit="1" customWidth="1"/>
    <col min="15" max="15" width="11" bestFit="1" customWidth="1"/>
    <col min="16" max="16" width="11.5703125" bestFit="1" customWidth="1"/>
    <col min="17" max="20" width="12.85546875" bestFit="1" customWidth="1"/>
    <col min="21" max="21" width="9.140625" bestFit="1" customWidth="1"/>
    <col min="22" max="22" width="12.85546875" bestFit="1" customWidth="1"/>
    <col min="23" max="26" width="14.140625" bestFit="1" customWidth="1"/>
    <col min="27" max="27" width="12.85546875" bestFit="1" customWidth="1"/>
    <col min="28" max="28" width="11.5703125" bestFit="1" customWidth="1"/>
    <col min="29" max="29" width="6.5703125" bestFit="1" customWidth="1"/>
    <col min="30" max="30" width="11.85546875" bestFit="1" customWidth="1"/>
    <col min="31" max="31" width="12.42578125" bestFit="1" customWidth="1"/>
    <col min="32" max="32" width="9.140625" bestFit="1" customWidth="1"/>
    <col min="33" max="33" width="10.85546875" bestFit="1" customWidth="1"/>
  </cols>
  <sheetData>
    <row r="1" spans="1:33" x14ac:dyDescent="0.25">
      <c r="A1" t="s">
        <v>487</v>
      </c>
    </row>
    <row r="2" spans="1:33" s="1" customFormat="1" ht="15" customHeight="1" x14ac:dyDescent="0.25">
      <c r="A2" s="9" t="str">
        <f ca="1">+"Fecha: "&amp;TEXT(TODAY(),"dd/mm/yyyy")</f>
        <v>Fecha: 06/10/2020</v>
      </c>
      <c r="B2" s="4"/>
      <c r="D2" s="17"/>
      <c r="E2" s="246"/>
      <c r="F2" s="459" t="s">
        <v>11</v>
      </c>
      <c r="G2" s="460"/>
      <c r="H2" s="460"/>
      <c r="I2" s="460"/>
      <c r="J2" s="460"/>
      <c r="K2" s="461"/>
      <c r="L2" s="455" t="s">
        <v>12</v>
      </c>
      <c r="M2" s="456"/>
      <c r="N2" s="456"/>
      <c r="O2" s="456"/>
      <c r="P2" s="456"/>
      <c r="Q2" s="456"/>
      <c r="R2" s="456"/>
      <c r="S2" s="456"/>
      <c r="T2" s="456"/>
      <c r="U2" s="456"/>
      <c r="V2" s="456"/>
      <c r="W2" s="456"/>
      <c r="X2" s="456"/>
      <c r="Y2" s="456"/>
      <c r="Z2" s="456"/>
      <c r="AA2" s="457"/>
      <c r="AB2" s="2"/>
      <c r="AF2" s="344"/>
    </row>
    <row r="3" spans="1:33" s="234" customFormat="1" ht="49.5" customHeight="1" x14ac:dyDescent="0.25">
      <c r="A3" s="228" t="s">
        <v>9</v>
      </c>
      <c r="B3" s="228" t="s">
        <v>445</v>
      </c>
      <c r="C3" s="229" t="s">
        <v>10</v>
      </c>
      <c r="D3" s="359" t="s">
        <v>6</v>
      </c>
      <c r="E3" s="359" t="s">
        <v>5</v>
      </c>
      <c r="F3" s="360" t="s">
        <v>452</v>
      </c>
      <c r="G3" s="360" t="s">
        <v>453</v>
      </c>
      <c r="H3" s="360" t="s">
        <v>454</v>
      </c>
      <c r="I3" s="360" t="s">
        <v>15</v>
      </c>
      <c r="J3" s="360" t="s">
        <v>31</v>
      </c>
      <c r="K3" s="360" t="s">
        <v>32</v>
      </c>
      <c r="L3" s="232" t="s">
        <v>455</v>
      </c>
      <c r="M3" s="232" t="s">
        <v>456</v>
      </c>
      <c r="N3" s="232" t="s">
        <v>457</v>
      </c>
      <c r="O3" s="232" t="s">
        <v>444</v>
      </c>
      <c r="P3" s="232" t="s">
        <v>458</v>
      </c>
      <c r="Q3" s="232" t="s">
        <v>459</v>
      </c>
      <c r="R3" s="232" t="s">
        <v>460</v>
      </c>
      <c r="S3" s="232" t="s">
        <v>461</v>
      </c>
      <c r="T3" s="232" t="s">
        <v>462</v>
      </c>
      <c r="U3" s="232" t="s">
        <v>13</v>
      </c>
      <c r="V3" s="232" t="s">
        <v>463</v>
      </c>
      <c r="W3" s="232" t="s">
        <v>464</v>
      </c>
      <c r="X3" s="232" t="s">
        <v>465</v>
      </c>
      <c r="Y3" s="232" t="s">
        <v>466</v>
      </c>
      <c r="Z3" s="232" t="s">
        <v>467</v>
      </c>
      <c r="AA3" s="232" t="s">
        <v>14</v>
      </c>
      <c r="AB3" s="233" t="s">
        <v>35</v>
      </c>
      <c r="AC3" s="234" t="s">
        <v>449</v>
      </c>
      <c r="AD3" s="234" t="s">
        <v>34</v>
      </c>
      <c r="AE3" s="235" t="s">
        <v>468</v>
      </c>
      <c r="AF3" s="346" t="s">
        <v>450</v>
      </c>
      <c r="AG3" s="234" t="s">
        <v>451</v>
      </c>
    </row>
    <row r="4" spans="1:33" s="1" customFormat="1" ht="15" customHeight="1" x14ac:dyDescent="0.25">
      <c r="A4" s="225" t="s">
        <v>424</v>
      </c>
      <c r="B4" s="22" t="s">
        <v>430</v>
      </c>
      <c r="C4" s="14">
        <v>-2</v>
      </c>
      <c r="D4" s="35" t="s">
        <v>539</v>
      </c>
      <c r="E4" s="29" t="s">
        <v>534</v>
      </c>
      <c r="F4" s="12">
        <v>0.44</v>
      </c>
      <c r="G4" s="12">
        <v>6.24</v>
      </c>
      <c r="H4" s="12">
        <v>6.24</v>
      </c>
      <c r="I4" s="12">
        <v>0.94</v>
      </c>
      <c r="J4" s="18" t="s">
        <v>33</v>
      </c>
      <c r="K4" s="7">
        <v>5500</v>
      </c>
      <c r="L4" s="240">
        <v>0.44</v>
      </c>
      <c r="M4" s="240">
        <v>6.24</v>
      </c>
      <c r="N4" s="240">
        <v>6.24</v>
      </c>
      <c r="O4" s="243">
        <v>0.94</v>
      </c>
      <c r="P4" s="6">
        <v>300</v>
      </c>
      <c r="Q4" s="243">
        <v>3700</v>
      </c>
      <c r="R4" s="244">
        <v>4000</v>
      </c>
      <c r="S4" s="244">
        <v>3200</v>
      </c>
      <c r="T4" s="244">
        <v>3200</v>
      </c>
      <c r="U4" s="8">
        <v>3.5</v>
      </c>
      <c r="V4" s="244">
        <v>1000</v>
      </c>
      <c r="W4" s="244">
        <v>12400</v>
      </c>
      <c r="X4" s="244">
        <v>13400</v>
      </c>
      <c r="Y4" s="244">
        <v>10700</v>
      </c>
      <c r="Z4" s="244">
        <v>10700</v>
      </c>
      <c r="AA4" s="245">
        <v>44110</v>
      </c>
      <c r="AB4" s="2">
        <v>641.02564102564099</v>
      </c>
      <c r="AC4" s="1" t="s">
        <v>526</v>
      </c>
      <c r="AD4" s="1" t="s">
        <v>422</v>
      </c>
      <c r="AE4" s="222">
        <v>251.83150183150181</v>
      </c>
      <c r="AF4" s="347">
        <v>4000</v>
      </c>
      <c r="AG4" s="221">
        <v>1.4363636363636365</v>
      </c>
    </row>
    <row r="5" spans="1:33" s="1" customFormat="1" ht="15" customHeight="1" x14ac:dyDescent="0.25">
      <c r="A5" s="225" t="s">
        <v>39</v>
      </c>
      <c r="B5" s="22">
        <v>181</v>
      </c>
      <c r="C5" s="14">
        <v>1</v>
      </c>
      <c r="D5" s="27">
        <v>625616</v>
      </c>
      <c r="E5" s="20" t="s">
        <v>534</v>
      </c>
      <c r="F5" s="12">
        <v>0.84</v>
      </c>
      <c r="G5" s="12">
        <v>12</v>
      </c>
      <c r="H5" s="12">
        <v>12</v>
      </c>
      <c r="I5" s="12">
        <v>1.8</v>
      </c>
      <c r="J5" s="18" t="s">
        <v>33</v>
      </c>
      <c r="K5" s="7">
        <v>28000</v>
      </c>
      <c r="L5" s="240">
        <v>0.84</v>
      </c>
      <c r="M5" s="240">
        <v>12</v>
      </c>
      <c r="N5" s="240">
        <v>12</v>
      </c>
      <c r="O5" s="243">
        <v>1.8</v>
      </c>
      <c r="P5" s="6">
        <v>600</v>
      </c>
      <c r="Q5" s="243">
        <v>8400</v>
      </c>
      <c r="R5" s="244">
        <v>9000</v>
      </c>
      <c r="S5" s="244">
        <v>7200</v>
      </c>
      <c r="T5" s="244">
        <v>9000</v>
      </c>
      <c r="U5" s="8">
        <v>3.5</v>
      </c>
      <c r="V5" s="244">
        <v>2100</v>
      </c>
      <c r="W5" s="244">
        <v>29400</v>
      </c>
      <c r="X5" s="244">
        <v>31500</v>
      </c>
      <c r="Y5" s="244">
        <v>25200</v>
      </c>
      <c r="Z5" s="244">
        <v>31500</v>
      </c>
      <c r="AA5" s="245">
        <v>44110</v>
      </c>
      <c r="AB5" s="2">
        <v>750</v>
      </c>
      <c r="AC5" s="1" t="s">
        <v>526</v>
      </c>
      <c r="AD5" s="1" t="s">
        <v>41</v>
      </c>
      <c r="AE5" s="222">
        <v>666.66666666666674</v>
      </c>
      <c r="AF5" s="347">
        <v>9000</v>
      </c>
      <c r="AG5" s="221">
        <v>0.125</v>
      </c>
    </row>
    <row r="6" spans="1:33" s="1" customFormat="1" ht="12.75" x14ac:dyDescent="0.25">
      <c r="A6" s="225" t="s">
        <v>30</v>
      </c>
      <c r="B6" s="22">
        <v>104</v>
      </c>
      <c r="C6" s="15">
        <v>1</v>
      </c>
      <c r="D6" s="27">
        <v>625616</v>
      </c>
      <c r="E6" s="30" t="s">
        <v>534</v>
      </c>
      <c r="F6" s="12">
        <v>4.4000000000000004</v>
      </c>
      <c r="G6" s="12">
        <v>62.9</v>
      </c>
      <c r="H6" s="12">
        <v>62.9</v>
      </c>
      <c r="I6" s="12">
        <v>9.44</v>
      </c>
      <c r="J6" s="18" t="s">
        <v>33</v>
      </c>
      <c r="K6" s="7">
        <v>237800</v>
      </c>
      <c r="L6" s="240">
        <v>4.4000000000000004</v>
      </c>
      <c r="M6" s="240">
        <v>62.9</v>
      </c>
      <c r="N6" s="240">
        <v>62.9</v>
      </c>
      <c r="O6" s="243">
        <v>9.44</v>
      </c>
      <c r="P6" s="6">
        <v>3100</v>
      </c>
      <c r="Q6" s="243">
        <v>72400</v>
      </c>
      <c r="R6" s="244">
        <v>75500</v>
      </c>
      <c r="S6" s="244">
        <v>60400</v>
      </c>
      <c r="T6" s="244">
        <v>75500</v>
      </c>
      <c r="U6" s="8">
        <v>3.5</v>
      </c>
      <c r="V6" s="244">
        <v>10900</v>
      </c>
      <c r="W6" s="244">
        <v>253400</v>
      </c>
      <c r="X6" s="244">
        <v>264300</v>
      </c>
      <c r="Y6" s="244">
        <v>211400</v>
      </c>
      <c r="Z6" s="244">
        <v>264300</v>
      </c>
      <c r="AA6" s="245">
        <v>44110</v>
      </c>
      <c r="AB6" s="2">
        <v>1200.3179650238474</v>
      </c>
      <c r="AC6" s="1" t="s">
        <v>526</v>
      </c>
      <c r="AD6" s="1" t="s">
        <v>45</v>
      </c>
      <c r="AE6" s="222">
        <v>1080.1726095843744</v>
      </c>
      <c r="AF6" s="347">
        <v>1200</v>
      </c>
      <c r="AG6" s="221">
        <v>0.11143818334735078</v>
      </c>
    </row>
    <row r="7" spans="1:33" s="1" customFormat="1" ht="15" customHeight="1" x14ac:dyDescent="0.25">
      <c r="A7" s="225" t="s">
        <v>424</v>
      </c>
      <c r="B7" s="22" t="s">
        <v>429</v>
      </c>
      <c r="C7" s="14">
        <v>-2</v>
      </c>
      <c r="D7" s="35" t="s">
        <v>529</v>
      </c>
      <c r="E7" s="29" t="s">
        <v>525</v>
      </c>
      <c r="F7" s="12">
        <v>0.22</v>
      </c>
      <c r="G7" s="12">
        <v>3.21</v>
      </c>
      <c r="H7" s="12">
        <v>3.21</v>
      </c>
      <c r="I7" s="12">
        <v>0.48</v>
      </c>
      <c r="J7" s="18" t="s">
        <v>33</v>
      </c>
      <c r="K7" s="7">
        <v>5000</v>
      </c>
      <c r="L7" s="240">
        <v>0.22</v>
      </c>
      <c r="M7" s="240">
        <v>3.21</v>
      </c>
      <c r="N7" s="240">
        <v>3.21</v>
      </c>
      <c r="O7" s="243">
        <v>0.48</v>
      </c>
      <c r="P7" s="6">
        <v>200</v>
      </c>
      <c r="Q7" s="243">
        <v>3800</v>
      </c>
      <c r="R7" s="244">
        <v>4000</v>
      </c>
      <c r="S7" s="244">
        <v>3200</v>
      </c>
      <c r="T7" s="244">
        <v>4000</v>
      </c>
      <c r="U7" s="8">
        <v>3.5</v>
      </c>
      <c r="V7" s="244">
        <v>700</v>
      </c>
      <c r="W7" s="244">
        <v>13300</v>
      </c>
      <c r="X7" s="244">
        <v>14000</v>
      </c>
      <c r="Y7" s="244">
        <v>11200</v>
      </c>
      <c r="Z7" s="244">
        <v>14000</v>
      </c>
      <c r="AA7" s="245">
        <v>44106</v>
      </c>
      <c r="AB7" s="2">
        <v>1246.1059190031153</v>
      </c>
      <c r="AC7" s="1" t="s">
        <v>526</v>
      </c>
      <c r="AD7" s="1" t="s">
        <v>422</v>
      </c>
      <c r="AE7" s="222">
        <v>445.03782821539829</v>
      </c>
      <c r="AF7" s="347">
        <v>4000</v>
      </c>
      <c r="AG7" s="221">
        <v>1.7999999999999998</v>
      </c>
    </row>
    <row r="8" spans="1:33" s="1" customFormat="1" ht="15" customHeight="1" x14ac:dyDescent="0.25">
      <c r="A8" s="225" t="s">
        <v>39</v>
      </c>
      <c r="B8" s="22">
        <v>185</v>
      </c>
      <c r="C8" s="14"/>
      <c r="D8" s="27">
        <v>51516</v>
      </c>
      <c r="E8" s="20" t="s">
        <v>525</v>
      </c>
      <c r="F8" s="12">
        <v>0.84</v>
      </c>
      <c r="G8" s="12">
        <v>12</v>
      </c>
      <c r="H8" s="12">
        <v>12</v>
      </c>
      <c r="I8" s="12">
        <v>1.8</v>
      </c>
      <c r="J8" s="18" t="s">
        <v>33</v>
      </c>
      <c r="K8" s="7">
        <v>28000</v>
      </c>
      <c r="L8" s="240">
        <v>0.84</v>
      </c>
      <c r="M8" s="240">
        <v>12</v>
      </c>
      <c r="N8" s="240">
        <v>12</v>
      </c>
      <c r="O8" s="243">
        <v>1.8</v>
      </c>
      <c r="P8" s="6">
        <v>600</v>
      </c>
      <c r="Q8" s="243">
        <v>8400</v>
      </c>
      <c r="R8" s="244">
        <v>9000</v>
      </c>
      <c r="S8" s="244">
        <v>7200</v>
      </c>
      <c r="T8" s="244">
        <v>9000</v>
      </c>
      <c r="U8" s="8">
        <v>3.5</v>
      </c>
      <c r="V8" s="244">
        <v>2100</v>
      </c>
      <c r="W8" s="244">
        <v>29400</v>
      </c>
      <c r="X8" s="244">
        <v>31500</v>
      </c>
      <c r="Y8" s="244">
        <v>25200</v>
      </c>
      <c r="Z8" s="244">
        <v>31500</v>
      </c>
      <c r="AA8" s="245">
        <v>44106</v>
      </c>
      <c r="AB8" s="2">
        <v>750</v>
      </c>
      <c r="AC8" s="1" t="s">
        <v>526</v>
      </c>
      <c r="AD8" s="1" t="s">
        <v>41</v>
      </c>
      <c r="AE8" s="222">
        <v>666.66666666666674</v>
      </c>
      <c r="AF8" s="347">
        <v>9000</v>
      </c>
      <c r="AG8" s="221">
        <v>0.125</v>
      </c>
    </row>
    <row r="9" spans="1:33" s="1" customFormat="1" ht="12.75" x14ac:dyDescent="0.25">
      <c r="A9" s="225" t="s">
        <v>30</v>
      </c>
      <c r="B9" s="22">
        <v>103</v>
      </c>
      <c r="C9" s="14">
        <v>1</v>
      </c>
      <c r="D9" s="34">
        <v>51516</v>
      </c>
      <c r="E9" s="29" t="s">
        <v>525</v>
      </c>
      <c r="F9" s="12">
        <v>4.38</v>
      </c>
      <c r="G9" s="12">
        <v>62.5</v>
      </c>
      <c r="H9" s="12">
        <v>62.5</v>
      </c>
      <c r="I9" s="12">
        <v>9.3800000000000008</v>
      </c>
      <c r="J9" s="18" t="s">
        <v>33</v>
      </c>
      <c r="K9" s="7">
        <v>227200</v>
      </c>
      <c r="L9" s="240">
        <v>4.38</v>
      </c>
      <c r="M9" s="240">
        <v>62.5</v>
      </c>
      <c r="N9" s="240">
        <v>62.5</v>
      </c>
      <c r="O9" s="243">
        <v>9.3800000000000008</v>
      </c>
      <c r="P9" s="6">
        <v>3100</v>
      </c>
      <c r="Q9" s="243">
        <v>68800</v>
      </c>
      <c r="R9" s="244">
        <v>71900</v>
      </c>
      <c r="S9" s="244">
        <v>57500</v>
      </c>
      <c r="T9" s="244">
        <v>71900</v>
      </c>
      <c r="U9" s="8">
        <v>3.5</v>
      </c>
      <c r="V9" s="244">
        <v>10900</v>
      </c>
      <c r="W9" s="244">
        <v>240800</v>
      </c>
      <c r="X9" s="244">
        <v>251700</v>
      </c>
      <c r="Y9" s="244">
        <v>201300</v>
      </c>
      <c r="Z9" s="244">
        <v>251700</v>
      </c>
      <c r="AA9" s="245">
        <v>44106</v>
      </c>
      <c r="AB9" s="2">
        <v>1150.4000000000001</v>
      </c>
      <c r="AC9" s="1" t="s">
        <v>526</v>
      </c>
      <c r="AD9" s="1" t="s">
        <v>46</v>
      </c>
      <c r="AE9" s="222">
        <v>1038.6285714285714</v>
      </c>
      <c r="AF9" s="347">
        <v>1150</v>
      </c>
      <c r="AG9" s="221">
        <v>0.1078345070422535</v>
      </c>
    </row>
  </sheetData>
  <mergeCells count="2">
    <mergeCell ref="F2:K2"/>
    <mergeCell ref="L2:AA2"/>
  </mergeCells>
  <conditionalFormatting sqref="G9 A9:E9 AH9:XFD9">
    <cfRule type="expression" dxfId="81" priority="82">
      <formula>$AA9&gt;0</formula>
    </cfRule>
  </conditionalFormatting>
  <conditionalFormatting sqref="J9">
    <cfRule type="expression" dxfId="80" priority="81">
      <formula>$AA9&gt;0</formula>
    </cfRule>
  </conditionalFormatting>
  <conditionalFormatting sqref="K9">
    <cfRule type="expression" dxfId="79" priority="80">
      <formula>$AA9&gt;0</formula>
    </cfRule>
  </conditionalFormatting>
  <conditionalFormatting sqref="H9">
    <cfRule type="expression" dxfId="78" priority="79">
      <formula>$AA9&gt;0</formula>
    </cfRule>
  </conditionalFormatting>
  <conditionalFormatting sqref="AD9">
    <cfRule type="expression" dxfId="77" priority="78">
      <formula>$AA9&gt;0</formula>
    </cfRule>
  </conditionalFormatting>
  <conditionalFormatting sqref="F9">
    <cfRule type="expression" dxfId="76" priority="77">
      <formula>$AA9&gt;0</formula>
    </cfRule>
  </conditionalFormatting>
  <conditionalFormatting sqref="I9">
    <cfRule type="expression" dxfId="75" priority="76">
      <formula>$AA9&gt;0</formula>
    </cfRule>
  </conditionalFormatting>
  <conditionalFormatting sqref="AA9">
    <cfRule type="expression" dxfId="74" priority="75">
      <formula>$AA9&gt;0</formula>
    </cfRule>
  </conditionalFormatting>
  <conditionalFormatting sqref="L9:O9 Q9:Z9">
    <cfRule type="expression" dxfId="73" priority="74">
      <formula>$AA9&gt;0</formula>
    </cfRule>
  </conditionalFormatting>
  <conditionalFormatting sqref="P9">
    <cfRule type="expression" dxfId="72" priority="73">
      <formula>$AA9&gt;0</formula>
    </cfRule>
  </conditionalFormatting>
  <conditionalFormatting sqref="AB9">
    <cfRule type="expression" dxfId="71" priority="72">
      <formula>$AA9&gt;0</formula>
    </cfRule>
  </conditionalFormatting>
  <conditionalFormatting sqref="AC9">
    <cfRule type="expression" dxfId="70" priority="71">
      <formula>$AA9&gt;0</formula>
    </cfRule>
  </conditionalFormatting>
  <conditionalFormatting sqref="AE9:AG9">
    <cfRule type="expression" dxfId="69" priority="70">
      <formula>$AA9&gt;0</formula>
    </cfRule>
  </conditionalFormatting>
  <conditionalFormatting sqref="AH8:XFD8 A8:C8">
    <cfRule type="expression" dxfId="68" priority="69">
      <formula>$AA8&gt;0</formula>
    </cfRule>
  </conditionalFormatting>
  <conditionalFormatting sqref="D8:E8">
    <cfRule type="expression" dxfId="67" priority="68">
      <formula>$AA8&gt;0</formula>
    </cfRule>
  </conditionalFormatting>
  <conditionalFormatting sqref="AD8">
    <cfRule type="expression" dxfId="66" priority="67">
      <formula>$AA8&gt;0</formula>
    </cfRule>
  </conditionalFormatting>
  <conditionalFormatting sqref="P8">
    <cfRule type="expression" dxfId="65" priority="60">
      <formula>$AA8&gt;0</formula>
    </cfRule>
  </conditionalFormatting>
  <conditionalFormatting sqref="AB8">
    <cfRule type="expression" dxfId="64" priority="59">
      <formula>$AA8&gt;0</formula>
    </cfRule>
  </conditionalFormatting>
  <conditionalFormatting sqref="Q8:Z8 L8:O8">
    <cfRule type="expression" dxfId="63" priority="61">
      <formula>$AA8&gt;0</formula>
    </cfRule>
  </conditionalFormatting>
  <conditionalFormatting sqref="AC8">
    <cfRule type="expression" dxfId="62" priority="58">
      <formula>$AA8&gt;0</formula>
    </cfRule>
  </conditionalFormatting>
  <conditionalFormatting sqref="F8">
    <cfRule type="expression" dxfId="61" priority="62">
      <formula>$AA8&gt;0</formula>
    </cfRule>
  </conditionalFormatting>
  <conditionalFormatting sqref="I8">
    <cfRule type="expression" dxfId="60" priority="63">
      <formula>$AA8&gt;0</formula>
    </cfRule>
  </conditionalFormatting>
  <conditionalFormatting sqref="G8 J8:K8">
    <cfRule type="expression" dxfId="59" priority="66">
      <formula>$AA8&gt;0</formula>
    </cfRule>
  </conditionalFormatting>
  <conditionalFormatting sqref="H8">
    <cfRule type="expression" dxfId="58" priority="65">
      <formula>$AA8&gt;0</formula>
    </cfRule>
  </conditionalFormatting>
  <conditionalFormatting sqref="AA8">
    <cfRule type="expression" dxfId="57" priority="64">
      <formula>$AA8&gt;0</formula>
    </cfRule>
  </conditionalFormatting>
  <conditionalFormatting sqref="AE8:AG8">
    <cfRule type="expression" dxfId="56" priority="57">
      <formula>$AA8&gt;0</formula>
    </cfRule>
  </conditionalFormatting>
  <conditionalFormatting sqref="A7:C7 AH7:XFD7">
    <cfRule type="expression" dxfId="55" priority="56">
      <formula>$AA7&gt;0</formula>
    </cfRule>
  </conditionalFormatting>
  <conditionalFormatting sqref="AD7">
    <cfRule type="expression" dxfId="54" priority="55">
      <formula>$AA7&gt;0</formula>
    </cfRule>
  </conditionalFormatting>
  <conditionalFormatting sqref="D7:E7">
    <cfRule type="expression" dxfId="53" priority="54">
      <formula>$AA7&gt;0</formula>
    </cfRule>
  </conditionalFormatting>
  <conditionalFormatting sqref="J7:K7 G7">
    <cfRule type="expression" dxfId="52" priority="53">
      <formula>$AA7&gt;0</formula>
    </cfRule>
  </conditionalFormatting>
  <conditionalFormatting sqref="AA7">
    <cfRule type="expression" dxfId="51" priority="51">
      <formula>$AA7&gt;0</formula>
    </cfRule>
  </conditionalFormatting>
  <conditionalFormatting sqref="H7">
    <cfRule type="expression" dxfId="50" priority="52">
      <formula>$AA7&gt;0</formula>
    </cfRule>
  </conditionalFormatting>
  <conditionalFormatting sqref="AB7">
    <cfRule type="expression" dxfId="49" priority="46">
      <formula>$AA7&gt;0</formula>
    </cfRule>
  </conditionalFormatting>
  <conditionalFormatting sqref="P7">
    <cfRule type="expression" dxfId="48" priority="47">
      <formula>$AA7&gt;0</formula>
    </cfRule>
  </conditionalFormatting>
  <conditionalFormatting sqref="AC7">
    <cfRule type="expression" dxfId="47" priority="45">
      <formula>$AA7&gt;0</formula>
    </cfRule>
  </conditionalFormatting>
  <conditionalFormatting sqref="I7">
    <cfRule type="expression" dxfId="46" priority="50">
      <formula>$AA7&gt;0</formula>
    </cfRule>
  </conditionalFormatting>
  <conditionalFormatting sqref="F7">
    <cfRule type="expression" dxfId="45" priority="49">
      <formula>$AA7&gt;0</formula>
    </cfRule>
  </conditionalFormatting>
  <conditionalFormatting sqref="Q7:Z7 L7:O7">
    <cfRule type="expression" dxfId="44" priority="48">
      <formula>$AA7&gt;0</formula>
    </cfRule>
  </conditionalFormatting>
  <conditionalFormatting sqref="AE7:AG7">
    <cfRule type="expression" dxfId="43" priority="44">
      <formula>$AA7&gt;0</formula>
    </cfRule>
  </conditionalFormatting>
  <conditionalFormatting sqref="C6:E6 A6 AH6:XFD6">
    <cfRule type="expression" dxfId="42" priority="43">
      <formula>$AA6&gt;0</formula>
    </cfRule>
  </conditionalFormatting>
  <conditionalFormatting sqref="B6">
    <cfRule type="expression" dxfId="41" priority="42">
      <formula>$AA6&gt;0</formula>
    </cfRule>
  </conditionalFormatting>
  <conditionalFormatting sqref="L6 O6 Q6 S6:Z6">
    <cfRule type="expression" dxfId="40" priority="33">
      <formula>$AA6&gt;0</formula>
    </cfRule>
  </conditionalFormatting>
  <conditionalFormatting sqref="P6">
    <cfRule type="expression" dxfId="39" priority="32">
      <formula>$AA6&gt;0</formula>
    </cfRule>
  </conditionalFormatting>
  <conditionalFormatting sqref="M6">
    <cfRule type="expression" dxfId="38" priority="31">
      <formula>$AA6&gt;0</formula>
    </cfRule>
  </conditionalFormatting>
  <conditionalFormatting sqref="N6">
    <cfRule type="expression" dxfId="37" priority="30">
      <formula>$AA6&gt;0</formula>
    </cfRule>
  </conditionalFormatting>
  <conditionalFormatting sqref="R6">
    <cfRule type="expression" dxfId="36" priority="29">
      <formula>$AA6&gt;0</formula>
    </cfRule>
  </conditionalFormatting>
  <conditionalFormatting sqref="AB6">
    <cfRule type="expression" dxfId="35" priority="28">
      <formula>$AA6&gt;0</formula>
    </cfRule>
  </conditionalFormatting>
  <conditionalFormatting sqref="AC6">
    <cfRule type="expression" dxfId="34" priority="27">
      <formula>$AA6&gt;0</formula>
    </cfRule>
  </conditionalFormatting>
  <conditionalFormatting sqref="AE6:AG6">
    <cfRule type="expression" dxfId="33" priority="26">
      <formula>$AA6&gt;0</formula>
    </cfRule>
  </conditionalFormatting>
  <conditionalFormatting sqref="G6">
    <cfRule type="expression" dxfId="32" priority="41">
      <formula>$AA6&gt;0</formula>
    </cfRule>
  </conditionalFormatting>
  <conditionalFormatting sqref="J6">
    <cfRule type="expression" dxfId="31" priority="40">
      <formula>$AA6&gt;0</formula>
    </cfRule>
  </conditionalFormatting>
  <conditionalFormatting sqref="K6">
    <cfRule type="expression" dxfId="30" priority="39">
      <formula>$AA6&gt;0</formula>
    </cfRule>
  </conditionalFormatting>
  <conditionalFormatting sqref="H6">
    <cfRule type="expression" dxfId="29" priority="38">
      <formula>$AA6&gt;0</formula>
    </cfRule>
  </conditionalFormatting>
  <conditionalFormatting sqref="AD6">
    <cfRule type="expression" dxfId="28" priority="37">
      <formula>$AA6&gt;0</formula>
    </cfRule>
  </conditionalFormatting>
  <conditionalFormatting sqref="AA6">
    <cfRule type="expression" dxfId="27" priority="36">
      <formula>$AA6&gt;0</formula>
    </cfRule>
  </conditionalFormatting>
  <conditionalFormatting sqref="I6">
    <cfRule type="expression" dxfId="26" priority="35">
      <formula>$AA6&gt;0</formula>
    </cfRule>
  </conditionalFormatting>
  <conditionalFormatting sqref="F6">
    <cfRule type="expression" dxfId="25" priority="34">
      <formula>$AA6&gt;0</formula>
    </cfRule>
  </conditionalFormatting>
  <conditionalFormatting sqref="AH5:XFD5 A5:C5">
    <cfRule type="expression" dxfId="24" priority="25">
      <formula>$AA5&gt;0</formula>
    </cfRule>
  </conditionalFormatting>
  <conditionalFormatting sqref="D5:E5">
    <cfRule type="expression" dxfId="23" priority="24">
      <formula>$AA5&gt;0</formula>
    </cfRule>
  </conditionalFormatting>
  <conditionalFormatting sqref="AD5">
    <cfRule type="expression" dxfId="22" priority="23">
      <formula>$AA5&gt;0</formula>
    </cfRule>
  </conditionalFormatting>
  <conditionalFormatting sqref="P5">
    <cfRule type="expression" dxfId="21" priority="16">
      <formula>$AA5&gt;0</formula>
    </cfRule>
  </conditionalFormatting>
  <conditionalFormatting sqref="AB5">
    <cfRule type="expression" dxfId="20" priority="15">
      <formula>$AA5&gt;0</formula>
    </cfRule>
  </conditionalFormatting>
  <conditionalFormatting sqref="Q5:Z5 L5:O5">
    <cfRule type="expression" dxfId="19" priority="17">
      <formula>$AA5&gt;0</formula>
    </cfRule>
  </conditionalFormatting>
  <conditionalFormatting sqref="AC5">
    <cfRule type="expression" dxfId="18" priority="14">
      <formula>$AA5&gt;0</formula>
    </cfRule>
  </conditionalFormatting>
  <conditionalFormatting sqref="F5">
    <cfRule type="expression" dxfId="17" priority="18">
      <formula>$AA5&gt;0</formula>
    </cfRule>
  </conditionalFormatting>
  <conditionalFormatting sqref="I5">
    <cfRule type="expression" dxfId="16" priority="19">
      <formula>$AA5&gt;0</formula>
    </cfRule>
  </conditionalFormatting>
  <conditionalFormatting sqref="G5 J5:K5">
    <cfRule type="expression" dxfId="15" priority="22">
      <formula>$AA5&gt;0</formula>
    </cfRule>
  </conditionalFormatting>
  <conditionalFormatting sqref="H5">
    <cfRule type="expression" dxfId="14" priority="21">
      <formula>$AA5&gt;0</formula>
    </cfRule>
  </conditionalFormatting>
  <conditionalFormatting sqref="AA5">
    <cfRule type="expression" dxfId="13" priority="20">
      <formula>$AA5&gt;0</formula>
    </cfRule>
  </conditionalFormatting>
  <conditionalFormatting sqref="AE5:AG5">
    <cfRule type="expression" dxfId="12" priority="13">
      <formula>$AA5&gt;0</formula>
    </cfRule>
  </conditionalFormatting>
  <conditionalFormatting sqref="A4:C4 AH4:XFD4 J4:K4 G4">
    <cfRule type="expression" dxfId="11" priority="12">
      <formula>$AA4&gt;0</formula>
    </cfRule>
  </conditionalFormatting>
  <conditionalFormatting sqref="H4">
    <cfRule type="expression" dxfId="10" priority="11">
      <formula>$AA4&gt;0</formula>
    </cfRule>
  </conditionalFormatting>
  <conditionalFormatting sqref="AD4">
    <cfRule type="expression" dxfId="9" priority="10">
      <formula>$AA4&gt;0</formula>
    </cfRule>
  </conditionalFormatting>
  <conditionalFormatting sqref="D4:E4">
    <cfRule type="expression" dxfId="8" priority="9">
      <formula>$AA4&gt;0</formula>
    </cfRule>
  </conditionalFormatting>
  <conditionalFormatting sqref="AA4">
    <cfRule type="expression" dxfId="7" priority="8">
      <formula>$AA4&gt;0</formula>
    </cfRule>
  </conditionalFormatting>
  <conditionalFormatting sqref="I4">
    <cfRule type="expression" dxfId="6" priority="7">
      <formula>$AA4&gt;0</formula>
    </cfRule>
  </conditionalFormatting>
  <conditionalFormatting sqref="F4">
    <cfRule type="expression" dxfId="5" priority="6">
      <formula>$AA4&gt;0</formula>
    </cfRule>
  </conditionalFormatting>
  <conditionalFormatting sqref="L4:O4 Q4:Z4">
    <cfRule type="expression" dxfId="4" priority="5">
      <formula>$AA4&gt;0</formula>
    </cfRule>
  </conditionalFormatting>
  <conditionalFormatting sqref="P4">
    <cfRule type="expression" dxfId="3" priority="4">
      <formula>$AA4&gt;0</formula>
    </cfRule>
  </conditionalFormatting>
  <conditionalFormatting sqref="AB4">
    <cfRule type="expression" dxfId="2" priority="3">
      <formula>$AA4&gt;0</formula>
    </cfRule>
  </conditionalFormatting>
  <conditionalFormatting sqref="AC4">
    <cfRule type="expression" dxfId="1" priority="2">
      <formula>$AA4&gt;0</formula>
    </cfRule>
  </conditionalFormatting>
  <conditionalFormatting sqref="AE4:AG4">
    <cfRule type="expression" dxfId="0" priority="1">
      <formula>$AA4&gt;0</formula>
    </cfRule>
  </conditionalFormatting>
  <dataValidations count="3">
    <dataValidation type="list" allowBlank="1" showInputMessage="1" showErrorMessage="1" sqref="A4:A9" xr:uid="{218B601F-1228-48F9-8F72-15F8CC5CCECB}">
      <formula1>Tipo</formula1>
    </dataValidation>
    <dataValidation type="list" allowBlank="1" showInputMessage="1" showErrorMessage="1" sqref="AD4:AD9" xr:uid="{7D496CE2-9FD4-4012-925A-70A18B5C00A4}">
      <formula1>Vista</formula1>
    </dataValidation>
    <dataValidation type="list" allowBlank="1" showInputMessage="1" showErrorMessage="1" sqref="J4:J9" xr:uid="{1385E73A-E3E8-4462-A042-9E3CF60E5353}">
      <formula1>Moneda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E67B8-5371-451A-B131-4837607E8495}">
  <sheetPr codeName="sh4Tasacion"/>
  <dimension ref="A1:AY330"/>
  <sheetViews>
    <sheetView tabSelected="1" view="pageBreakPreview" topLeftCell="A249" zoomScaleNormal="100" zoomScaleSheetLayoutView="100" workbookViewId="0">
      <selection activeCell="AM313" sqref="AM313"/>
    </sheetView>
  </sheetViews>
  <sheetFormatPr defaultColWidth="4.5703125" defaultRowHeight="15" customHeight="1" outlineLevelRow="1" x14ac:dyDescent="0.25"/>
  <cols>
    <col min="1" max="1" width="0.85546875" style="61" customWidth="1"/>
    <col min="2" max="9" width="3.7109375" style="61" customWidth="1"/>
    <col min="10" max="10" width="6.5703125" style="61" customWidth="1"/>
    <col min="11" max="37" width="3.7109375" style="61" customWidth="1"/>
    <col min="38" max="38" width="0.85546875" style="61" customWidth="1"/>
    <col min="39" max="39" width="4.85546875" style="61" customWidth="1"/>
    <col min="40" max="40" width="18.85546875" style="61" customWidth="1"/>
    <col min="41" max="41" width="16.140625" style="61" customWidth="1"/>
    <col min="42" max="42" width="10.85546875" style="61" bestFit="1" customWidth="1"/>
    <col min="43" max="43" width="4.5703125" style="343"/>
    <col min="44" max="44" width="11.7109375" style="61" bestFit="1" customWidth="1"/>
    <col min="45" max="45" width="7.140625" style="61" bestFit="1" customWidth="1"/>
    <col min="46" max="48" width="4.5703125" style="61"/>
    <col min="49" max="49" width="8.140625" style="61" bestFit="1" customWidth="1"/>
    <col min="50" max="50" width="5.140625" style="61" bestFit="1" customWidth="1"/>
    <col min="51" max="16384" width="4.5703125" style="61"/>
  </cols>
  <sheetData>
    <row r="1" spans="1:43" ht="15" customHeight="1" x14ac:dyDescent="0.25">
      <c r="A1" s="251"/>
      <c r="B1" s="534" t="s">
        <v>232</v>
      </c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  <c r="P1" s="534"/>
      <c r="Q1" s="534"/>
      <c r="R1" s="534"/>
      <c r="S1" s="534"/>
      <c r="T1" s="534"/>
      <c r="U1" s="534"/>
      <c r="V1" s="534"/>
      <c r="W1" s="534"/>
      <c r="X1" s="534"/>
      <c r="Y1" s="534"/>
      <c r="Z1" s="534"/>
      <c r="AA1" s="534"/>
      <c r="AB1" s="534"/>
      <c r="AC1" s="534"/>
      <c r="AD1" s="534"/>
      <c r="AE1" s="534"/>
      <c r="AF1" s="534"/>
      <c r="AG1" s="534"/>
      <c r="AH1" s="534"/>
      <c r="AI1" s="534"/>
      <c r="AJ1" s="534"/>
      <c r="AK1" s="534"/>
      <c r="AL1" s="251"/>
      <c r="AM1" s="251"/>
      <c r="AQ1" s="290" t="s">
        <v>476</v>
      </c>
    </row>
    <row r="2" spans="1:43" ht="15" customHeight="1" x14ac:dyDescent="0.25">
      <c r="A2" s="251"/>
      <c r="B2" s="534" t="s">
        <v>231</v>
      </c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34"/>
      <c r="O2" s="534"/>
      <c r="P2" s="534"/>
      <c r="Q2" s="534"/>
      <c r="R2" s="534"/>
      <c r="S2" s="534"/>
      <c r="T2" s="534"/>
      <c r="U2" s="534"/>
      <c r="V2" s="534"/>
      <c r="W2" s="534"/>
      <c r="X2" s="534"/>
      <c r="Y2" s="534"/>
      <c r="Z2" s="534"/>
      <c r="AA2" s="534"/>
      <c r="AB2" s="534"/>
      <c r="AC2" s="534"/>
      <c r="AD2" s="534"/>
      <c r="AE2" s="534"/>
      <c r="AF2" s="534"/>
      <c r="AG2" s="534"/>
      <c r="AH2" s="534"/>
      <c r="AI2" s="534"/>
      <c r="AJ2" s="534"/>
      <c r="AK2" s="534"/>
      <c r="AL2" s="251"/>
      <c r="AM2" s="251"/>
    </row>
    <row r="3" spans="1:43" ht="6" customHeight="1" x14ac:dyDescent="0.25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62"/>
    </row>
    <row r="4" spans="1:43" ht="15" customHeight="1" x14ac:dyDescent="0.25">
      <c r="A4" s="160"/>
      <c r="B4" s="518" t="s">
        <v>543</v>
      </c>
      <c r="C4" s="518"/>
      <c r="D4" s="518"/>
      <c r="E4" s="518"/>
      <c r="F4" s="518"/>
      <c r="G4" s="518"/>
      <c r="H4" s="518"/>
      <c r="I4" s="518"/>
      <c r="J4" s="518"/>
      <c r="K4" s="518"/>
      <c r="L4" s="518"/>
      <c r="M4" s="518"/>
      <c r="N4" s="518"/>
      <c r="O4" s="518"/>
      <c r="P4" s="518"/>
      <c r="Q4" s="518"/>
      <c r="R4" s="518"/>
      <c r="S4" s="518"/>
      <c r="T4" s="518"/>
      <c r="U4" s="518"/>
      <c r="V4" s="518"/>
      <c r="W4" s="518"/>
      <c r="X4" s="518"/>
      <c r="Y4" s="518"/>
      <c r="Z4" s="518"/>
      <c r="AA4" s="518"/>
      <c r="AB4" s="518"/>
      <c r="AC4" s="518"/>
      <c r="AD4" s="518"/>
      <c r="AE4" s="518"/>
      <c r="AF4" s="518"/>
      <c r="AG4" s="518"/>
      <c r="AH4" s="518"/>
      <c r="AI4" s="518"/>
      <c r="AJ4" s="518"/>
      <c r="AK4" s="518"/>
      <c r="AL4" s="160"/>
      <c r="AM4" s="160"/>
      <c r="AQ4" s="291" t="s">
        <v>491</v>
      </c>
    </row>
    <row r="5" spans="1:43" ht="15" customHeight="1" x14ac:dyDescent="0.25">
      <c r="B5" s="159" t="s">
        <v>230</v>
      </c>
      <c r="C5" s="158"/>
      <c r="D5" s="158"/>
      <c r="E5" s="157"/>
      <c r="F5" s="157"/>
      <c r="G5" s="157"/>
      <c r="H5" s="157"/>
      <c r="I5" s="485" t="s">
        <v>229</v>
      </c>
      <c r="J5" s="485"/>
      <c r="K5" s="485"/>
      <c r="L5" s="485"/>
      <c r="M5" s="485"/>
      <c r="N5" s="485"/>
      <c r="O5" s="485"/>
      <c r="P5" s="485"/>
      <c r="Q5" s="485"/>
      <c r="R5" s="485"/>
      <c r="S5" s="485"/>
      <c r="T5" s="485"/>
      <c r="U5" s="485"/>
      <c r="V5" s="485"/>
      <c r="W5" s="485"/>
      <c r="X5" s="485"/>
      <c r="Y5" s="485"/>
      <c r="Z5" s="485"/>
      <c r="AA5" s="485"/>
      <c r="AB5" s="485"/>
      <c r="AC5" s="485"/>
      <c r="AD5" s="485"/>
      <c r="AE5" s="485"/>
      <c r="AF5" s="485"/>
      <c r="AG5" s="485"/>
      <c r="AH5" s="485"/>
      <c r="AI5" s="485"/>
      <c r="AJ5" s="485"/>
      <c r="AK5" s="485"/>
    </row>
    <row r="6" spans="1:43" ht="15" customHeight="1" x14ac:dyDescent="0.25">
      <c r="B6" s="153" t="s">
        <v>228</v>
      </c>
      <c r="C6" s="152"/>
      <c r="D6" s="152"/>
      <c r="E6" s="151"/>
      <c r="F6" s="151"/>
      <c r="G6" s="151"/>
      <c r="H6" s="151"/>
      <c r="I6" s="559" t="str">
        <f>+Memoria!D7</f>
        <v>BANCO INTERNACIONAL DEL PERÚ S.A.A. - INTERBANK</v>
      </c>
      <c r="J6" s="559"/>
      <c r="K6" s="559"/>
      <c r="L6" s="559"/>
      <c r="M6" s="559"/>
      <c r="N6" s="559"/>
      <c r="O6" s="559"/>
      <c r="P6" s="559"/>
      <c r="Q6" s="559"/>
      <c r="R6" s="559"/>
      <c r="S6" s="559"/>
      <c r="T6" s="559"/>
      <c r="U6" s="559"/>
      <c r="V6" s="559"/>
      <c r="W6" s="559"/>
      <c r="X6" s="559"/>
      <c r="Y6" s="559"/>
      <c r="Z6" s="559"/>
      <c r="AA6" s="559"/>
      <c r="AB6" s="559"/>
      <c r="AC6" s="559"/>
      <c r="AD6" s="559"/>
      <c r="AE6" s="559"/>
      <c r="AF6" s="559"/>
      <c r="AG6" s="559"/>
      <c r="AH6" s="559"/>
      <c r="AI6" s="559"/>
      <c r="AJ6" s="559"/>
      <c r="AK6" s="559"/>
      <c r="AQ6" s="291" t="s">
        <v>492</v>
      </c>
    </row>
    <row r="7" spans="1:43" ht="15" customHeight="1" x14ac:dyDescent="0.25">
      <c r="B7" s="153" t="s">
        <v>226</v>
      </c>
      <c r="C7" s="152"/>
      <c r="D7" s="152"/>
      <c r="E7" s="151"/>
      <c r="F7" s="151"/>
      <c r="G7" s="151"/>
      <c r="H7" s="151"/>
      <c r="I7" s="560" t="s">
        <v>534</v>
      </c>
      <c r="J7" s="560"/>
      <c r="K7" s="560"/>
      <c r="L7" s="560"/>
      <c r="M7" s="560"/>
      <c r="N7" s="560"/>
      <c r="O7" s="560"/>
      <c r="P7" s="560"/>
      <c r="Q7" s="560"/>
      <c r="R7" s="560"/>
      <c r="S7" s="560"/>
      <c r="T7" s="560"/>
      <c r="U7" s="560"/>
      <c r="V7" s="560"/>
      <c r="W7" s="560"/>
      <c r="X7" s="560"/>
      <c r="Y7" s="560"/>
      <c r="Z7" s="560"/>
      <c r="AA7" s="560"/>
      <c r="AB7" s="560"/>
      <c r="AC7" s="560"/>
      <c r="AD7" s="560"/>
      <c r="AE7" s="560"/>
      <c r="AF7" s="560"/>
      <c r="AG7" s="560"/>
      <c r="AH7" s="560"/>
      <c r="AI7" s="560"/>
      <c r="AJ7" s="560"/>
      <c r="AK7" s="560"/>
      <c r="AN7" s="61" t="s">
        <v>539</v>
      </c>
      <c r="AQ7" s="291" t="s">
        <v>493</v>
      </c>
    </row>
    <row r="8" spans="1:43" ht="15" customHeight="1" x14ac:dyDescent="0.25">
      <c r="B8" s="153" t="s">
        <v>225</v>
      </c>
      <c r="C8" s="152"/>
      <c r="D8" s="152"/>
      <c r="E8" s="151"/>
      <c r="F8" s="151"/>
      <c r="G8" s="151"/>
      <c r="H8" s="151"/>
      <c r="I8" s="485" t="str">
        <f>+Memoria!D11</f>
        <v>BESCO S.A.C.</v>
      </c>
      <c r="J8" s="485"/>
      <c r="K8" s="485"/>
      <c r="L8" s="485"/>
      <c r="M8" s="485"/>
      <c r="N8" s="485"/>
      <c r="O8" s="485"/>
      <c r="P8" s="485"/>
      <c r="Q8" s="485"/>
      <c r="R8" s="485"/>
      <c r="S8" s="485"/>
      <c r="T8" s="485"/>
      <c r="U8" s="485"/>
      <c r="V8" s="485"/>
      <c r="W8" s="485"/>
      <c r="X8" s="485"/>
      <c r="Y8" s="485"/>
      <c r="Z8" s="485"/>
      <c r="AA8" s="485"/>
      <c r="AB8" s="485"/>
      <c r="AC8" s="485"/>
      <c r="AD8" s="485"/>
      <c r="AE8" s="485"/>
      <c r="AF8" s="485"/>
      <c r="AG8" s="485"/>
      <c r="AH8" s="485"/>
      <c r="AI8" s="485"/>
      <c r="AJ8" s="485"/>
      <c r="AK8" s="485"/>
    </row>
    <row r="9" spans="1:43" ht="30" customHeight="1" x14ac:dyDescent="0.25">
      <c r="B9" s="159" t="s">
        <v>224</v>
      </c>
      <c r="C9" s="158"/>
      <c r="D9" s="158"/>
      <c r="E9" s="157"/>
      <c r="F9" s="157"/>
      <c r="G9" s="157"/>
      <c r="H9" s="157"/>
      <c r="I9" s="485" t="str">
        <f>+Memoria!D31</f>
        <v>DIRECCIÓN REGISTRAL: (Matriz) Calle Roetgen número 110-160 Fundo La Calera de La Merced - Distrito de Surquillo, provincia y departamento de Lima.</v>
      </c>
      <c r="J9" s="485"/>
      <c r="K9" s="485"/>
      <c r="L9" s="485"/>
      <c r="M9" s="485"/>
      <c r="N9" s="485"/>
      <c r="O9" s="485"/>
      <c r="P9" s="485"/>
      <c r="Q9" s="485"/>
      <c r="R9" s="485"/>
      <c r="S9" s="485"/>
      <c r="T9" s="485"/>
      <c r="U9" s="485"/>
      <c r="V9" s="485"/>
      <c r="W9" s="485"/>
      <c r="X9" s="485"/>
      <c r="Y9" s="485"/>
      <c r="Z9" s="485"/>
      <c r="AA9" s="485"/>
      <c r="AB9" s="485"/>
      <c r="AC9" s="485"/>
      <c r="AD9" s="485"/>
      <c r="AE9" s="485"/>
      <c r="AF9" s="485"/>
      <c r="AG9" s="485"/>
      <c r="AH9" s="485"/>
      <c r="AI9" s="485"/>
      <c r="AJ9" s="485"/>
      <c r="AK9" s="485"/>
    </row>
    <row r="10" spans="1:43" ht="30" customHeight="1" x14ac:dyDescent="0.25">
      <c r="B10" s="156"/>
      <c r="C10" s="155"/>
      <c r="D10" s="155"/>
      <c r="E10" s="154"/>
      <c r="F10" s="154"/>
      <c r="G10" s="154"/>
      <c r="H10" s="154"/>
      <c r="I10" s="485" t="str">
        <f>+Memoria!D32</f>
        <v>DIRECCIÓN DE AUTO-AVALÚO: (Matriz) Cl. Roentgen s/n Mz Q Lt 19-20 Asoc. Prov. Trabajadores de Educación (Copervide) - Distrito de Surquillo, provincia y departamento de Lima.</v>
      </c>
      <c r="J10" s="485"/>
      <c r="K10" s="485"/>
      <c r="L10" s="485"/>
      <c r="M10" s="485"/>
      <c r="N10" s="485"/>
      <c r="O10" s="485"/>
      <c r="P10" s="485"/>
      <c r="Q10" s="485"/>
      <c r="R10" s="485"/>
      <c r="S10" s="485"/>
      <c r="T10" s="485"/>
      <c r="U10" s="485"/>
      <c r="V10" s="485"/>
      <c r="W10" s="485"/>
      <c r="X10" s="485"/>
      <c r="Y10" s="485"/>
      <c r="Z10" s="485"/>
      <c r="AA10" s="485"/>
      <c r="AB10" s="485"/>
      <c r="AC10" s="485"/>
      <c r="AD10" s="485"/>
      <c r="AE10" s="485"/>
      <c r="AF10" s="485"/>
      <c r="AG10" s="485"/>
      <c r="AH10" s="485"/>
      <c r="AI10" s="485"/>
      <c r="AJ10" s="485"/>
      <c r="AK10" s="485"/>
    </row>
    <row r="11" spans="1:43" ht="42" customHeight="1" x14ac:dyDescent="0.25">
      <c r="B11" s="150"/>
      <c r="C11" s="149"/>
      <c r="D11" s="149"/>
      <c r="E11" s="148"/>
      <c r="F11" s="148"/>
      <c r="G11" s="148"/>
      <c r="H11" s="148"/>
      <c r="I11" s="561" t="s">
        <v>542</v>
      </c>
      <c r="J11" s="561"/>
      <c r="K11" s="561"/>
      <c r="L11" s="561"/>
      <c r="M11" s="561"/>
      <c r="N11" s="561"/>
      <c r="O11" s="561"/>
      <c r="P11" s="561"/>
      <c r="Q11" s="561"/>
      <c r="R11" s="561"/>
      <c r="S11" s="561"/>
      <c r="T11" s="561"/>
      <c r="U11" s="561"/>
      <c r="V11" s="561"/>
      <c r="W11" s="561"/>
      <c r="X11" s="561"/>
      <c r="Y11" s="561"/>
      <c r="Z11" s="561"/>
      <c r="AA11" s="561"/>
      <c r="AB11" s="561"/>
      <c r="AC11" s="561"/>
      <c r="AD11" s="561"/>
      <c r="AE11" s="561"/>
      <c r="AF11" s="561"/>
      <c r="AG11" s="561"/>
      <c r="AH11" s="561"/>
      <c r="AI11" s="561"/>
      <c r="AJ11" s="561"/>
      <c r="AK11" s="561"/>
      <c r="AQ11" s="291" t="s">
        <v>494</v>
      </c>
    </row>
    <row r="12" spans="1:43" s="223" customFormat="1" ht="15" customHeight="1" x14ac:dyDescent="0.25">
      <c r="B12" s="609" t="s">
        <v>223</v>
      </c>
      <c r="C12" s="610"/>
      <c r="D12" s="610"/>
      <c r="E12" s="610"/>
      <c r="F12" s="610"/>
      <c r="G12" s="610"/>
      <c r="H12" s="611"/>
      <c r="I12" s="562">
        <v>43992</v>
      </c>
      <c r="J12" s="562"/>
      <c r="K12" s="562"/>
      <c r="L12" s="562"/>
      <c r="M12" s="562"/>
      <c r="N12" s="562"/>
      <c r="O12" s="562"/>
      <c r="P12" s="562"/>
      <c r="Q12" s="562"/>
      <c r="R12" s="562"/>
      <c r="S12" s="562"/>
      <c r="T12" s="562"/>
      <c r="U12" s="562"/>
      <c r="V12" s="562"/>
      <c r="W12" s="562"/>
      <c r="X12" s="562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62"/>
      <c r="AJ12" s="562"/>
      <c r="AK12" s="562"/>
      <c r="AQ12" s="326" t="s">
        <v>495</v>
      </c>
    </row>
    <row r="13" spans="1:43" x14ac:dyDescent="0.25">
      <c r="B13" s="609" t="s">
        <v>222</v>
      </c>
      <c r="C13" s="610"/>
      <c r="D13" s="610"/>
      <c r="E13" s="610"/>
      <c r="F13" s="610"/>
      <c r="G13" s="610"/>
      <c r="H13" s="611"/>
      <c r="I13" s="563">
        <f>+Memoria!$J$34</f>
        <v>150111</v>
      </c>
      <c r="J13" s="559"/>
      <c r="K13" s="559"/>
      <c r="L13" s="559"/>
      <c r="M13" s="559"/>
      <c r="N13" s="559"/>
      <c r="O13" s="559"/>
      <c r="P13" s="559"/>
      <c r="Q13" s="559"/>
      <c r="R13" s="559"/>
      <c r="S13" s="559"/>
      <c r="T13" s="559"/>
      <c r="U13" s="559"/>
      <c r="V13" s="559"/>
      <c r="W13" s="559"/>
      <c r="X13" s="559"/>
      <c r="Y13" s="559"/>
      <c r="Z13" s="559"/>
      <c r="AA13" s="559"/>
      <c r="AB13" s="559"/>
      <c r="AC13" s="559"/>
      <c r="AD13" s="559"/>
      <c r="AE13" s="559"/>
      <c r="AF13" s="559"/>
      <c r="AG13" s="559"/>
      <c r="AH13" s="559"/>
      <c r="AI13" s="559"/>
      <c r="AJ13" s="559"/>
      <c r="AK13" s="559"/>
    </row>
    <row r="14" spans="1:43" x14ac:dyDescent="0.25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</row>
    <row r="15" spans="1:43" s="364" customFormat="1" ht="15" customHeight="1" x14ac:dyDescent="0.25">
      <c r="B15" s="417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  <c r="Q15" s="418"/>
      <c r="R15" s="418"/>
      <c r="S15" s="418"/>
      <c r="T15" s="418"/>
      <c r="U15" s="418"/>
      <c r="V15" s="418"/>
      <c r="W15" s="418"/>
      <c r="X15" s="418"/>
      <c r="Y15" s="418"/>
      <c r="Z15" s="418"/>
      <c r="AA15" s="418"/>
      <c r="AB15" s="418"/>
      <c r="AC15" s="418"/>
      <c r="AD15" s="418"/>
      <c r="AE15" s="418"/>
      <c r="AF15" s="418"/>
      <c r="AG15" s="418"/>
      <c r="AH15" s="418"/>
      <c r="AI15" s="418"/>
      <c r="AJ15" s="418"/>
      <c r="AK15" s="419"/>
      <c r="AQ15" s="343" t="s">
        <v>496</v>
      </c>
    </row>
    <row r="16" spans="1:43" s="364" customFormat="1" ht="15" customHeight="1" x14ac:dyDescent="0.25">
      <c r="B16" s="420"/>
      <c r="C16" s="421"/>
      <c r="D16" s="421"/>
      <c r="E16" s="421"/>
      <c r="F16" s="421"/>
      <c r="G16" s="421"/>
      <c r="H16" s="421"/>
      <c r="I16" s="421"/>
      <c r="J16" s="421"/>
      <c r="K16" s="421"/>
      <c r="L16" s="421"/>
      <c r="M16" s="421"/>
      <c r="N16" s="421"/>
      <c r="O16" s="421"/>
      <c r="P16" s="421"/>
      <c r="Q16" s="421"/>
      <c r="R16" s="421"/>
      <c r="S16" s="421"/>
      <c r="T16" s="421"/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  <c r="AE16" s="421"/>
      <c r="AF16" s="421"/>
      <c r="AG16" s="421"/>
      <c r="AH16" s="421"/>
      <c r="AI16" s="421"/>
      <c r="AJ16" s="421"/>
      <c r="AK16" s="422"/>
      <c r="AQ16" s="343"/>
    </row>
    <row r="17" spans="2:43" s="364" customFormat="1" ht="15" customHeight="1" x14ac:dyDescent="0.25">
      <c r="B17" s="420"/>
      <c r="C17" s="421"/>
      <c r="D17" s="421"/>
      <c r="E17" s="421"/>
      <c r="F17" s="421"/>
      <c r="G17" s="421"/>
      <c r="H17" s="421"/>
      <c r="I17" s="421"/>
      <c r="J17" s="421"/>
      <c r="K17" s="421"/>
      <c r="L17" s="421"/>
      <c r="M17" s="421"/>
      <c r="N17" s="421"/>
      <c r="O17" s="421"/>
      <c r="P17" s="421"/>
      <c r="Q17" s="421"/>
      <c r="R17" s="421"/>
      <c r="S17" s="421"/>
      <c r="T17" s="421"/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  <c r="AE17" s="421"/>
      <c r="AF17" s="421"/>
      <c r="AG17" s="421"/>
      <c r="AH17" s="421"/>
      <c r="AI17" s="421"/>
      <c r="AJ17" s="421"/>
      <c r="AK17" s="422"/>
      <c r="AQ17" s="343"/>
    </row>
    <row r="18" spans="2:43" s="364" customFormat="1" ht="15" customHeight="1" x14ac:dyDescent="0.25">
      <c r="B18" s="420"/>
      <c r="C18" s="421"/>
      <c r="D18" s="421"/>
      <c r="E18" s="421"/>
      <c r="F18" s="421"/>
      <c r="G18" s="421"/>
      <c r="H18" s="421"/>
      <c r="I18" s="421"/>
      <c r="J18" s="421"/>
      <c r="K18" s="421"/>
      <c r="L18" s="421"/>
      <c r="M18" s="421"/>
      <c r="N18" s="421"/>
      <c r="O18" s="421"/>
      <c r="P18" s="421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  <c r="AE18" s="421"/>
      <c r="AF18" s="421"/>
      <c r="AG18" s="421"/>
      <c r="AH18" s="421"/>
      <c r="AI18" s="421"/>
      <c r="AJ18" s="421"/>
      <c r="AK18" s="422"/>
      <c r="AQ18" s="343"/>
    </row>
    <row r="19" spans="2:43" s="364" customFormat="1" ht="15" customHeight="1" x14ac:dyDescent="0.25">
      <c r="B19" s="420"/>
      <c r="C19" s="421"/>
      <c r="D19" s="421"/>
      <c r="E19" s="421"/>
      <c r="F19" s="421"/>
      <c r="G19" s="421"/>
      <c r="H19" s="421"/>
      <c r="I19" s="421"/>
      <c r="J19" s="421"/>
      <c r="K19" s="421"/>
      <c r="L19" s="421"/>
      <c r="M19" s="421"/>
      <c r="N19" s="421"/>
      <c r="O19" s="421"/>
      <c r="P19" s="421"/>
      <c r="Q19" s="421"/>
      <c r="R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  <c r="AE19" s="421"/>
      <c r="AF19" s="421"/>
      <c r="AG19" s="421"/>
      <c r="AH19" s="421"/>
      <c r="AI19" s="421"/>
      <c r="AJ19" s="421"/>
      <c r="AK19" s="422"/>
      <c r="AQ19" s="343"/>
    </row>
    <row r="20" spans="2:43" s="364" customFormat="1" ht="15" customHeight="1" x14ac:dyDescent="0.25">
      <c r="B20" s="420"/>
      <c r="C20" s="421"/>
      <c r="D20" s="421"/>
      <c r="E20" s="421"/>
      <c r="F20" s="421"/>
      <c r="G20" s="421"/>
      <c r="H20" s="421"/>
      <c r="I20" s="421"/>
      <c r="J20" s="421"/>
      <c r="K20" s="421"/>
      <c r="L20" s="421"/>
      <c r="M20" s="421"/>
      <c r="N20" s="421"/>
      <c r="O20" s="421"/>
      <c r="P20" s="421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  <c r="AE20" s="421"/>
      <c r="AF20" s="421"/>
      <c r="AG20" s="421"/>
      <c r="AH20" s="421"/>
      <c r="AI20" s="421"/>
      <c r="AJ20" s="421"/>
      <c r="AK20" s="422"/>
      <c r="AQ20" s="343"/>
    </row>
    <row r="21" spans="2:43" s="364" customFormat="1" ht="15" customHeight="1" x14ac:dyDescent="0.25">
      <c r="B21" s="420"/>
      <c r="C21" s="421"/>
      <c r="D21" s="421"/>
      <c r="E21" s="421"/>
      <c r="F21" s="421"/>
      <c r="G21" s="421"/>
      <c r="H21" s="421"/>
      <c r="I21" s="421"/>
      <c r="J21" s="421"/>
      <c r="K21" s="421"/>
      <c r="L21" s="421"/>
      <c r="M21" s="421"/>
      <c r="N21" s="421"/>
      <c r="O21" s="421"/>
      <c r="P21" s="421"/>
      <c r="Q21" s="421"/>
      <c r="R21" s="421"/>
      <c r="S21" s="421"/>
      <c r="T21" s="421"/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  <c r="AE21" s="421"/>
      <c r="AF21" s="421"/>
      <c r="AG21" s="421"/>
      <c r="AH21" s="421"/>
      <c r="AI21" s="421"/>
      <c r="AJ21" s="421"/>
      <c r="AK21" s="422"/>
      <c r="AQ21" s="343"/>
    </row>
    <row r="22" spans="2:43" s="364" customFormat="1" ht="15" customHeight="1" x14ac:dyDescent="0.25">
      <c r="B22" s="420"/>
      <c r="C22" s="421"/>
      <c r="D22" s="421"/>
      <c r="E22" s="421"/>
      <c r="F22" s="421"/>
      <c r="G22" s="421"/>
      <c r="H22" s="421"/>
      <c r="I22" s="421"/>
      <c r="J22" s="421"/>
      <c r="K22" s="421"/>
      <c r="L22" s="421"/>
      <c r="M22" s="421"/>
      <c r="N22" s="421"/>
      <c r="O22" s="421"/>
      <c r="P22" s="421"/>
      <c r="Q22" s="421"/>
      <c r="R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  <c r="AE22" s="421"/>
      <c r="AF22" s="421"/>
      <c r="AG22" s="421"/>
      <c r="AH22" s="421"/>
      <c r="AI22" s="421"/>
      <c r="AJ22" s="421"/>
      <c r="AK22" s="422"/>
      <c r="AQ22" s="343"/>
    </row>
    <row r="23" spans="2:43" s="364" customFormat="1" ht="15" customHeight="1" x14ac:dyDescent="0.25">
      <c r="B23" s="420"/>
      <c r="C23" s="421"/>
      <c r="D23" s="421"/>
      <c r="E23" s="421"/>
      <c r="F23" s="421"/>
      <c r="G23" s="421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  <c r="AE23" s="421"/>
      <c r="AF23" s="421"/>
      <c r="AG23" s="421"/>
      <c r="AH23" s="421"/>
      <c r="AI23" s="421"/>
      <c r="AJ23" s="421"/>
      <c r="AK23" s="422"/>
      <c r="AQ23" s="343"/>
    </row>
    <row r="24" spans="2:43" s="364" customFormat="1" ht="15" customHeight="1" x14ac:dyDescent="0.25">
      <c r="B24" s="420"/>
      <c r="C24" s="421"/>
      <c r="D24" s="421"/>
      <c r="E24" s="421"/>
      <c r="F24" s="421"/>
      <c r="G24" s="421"/>
      <c r="H24" s="421"/>
      <c r="I24" s="421"/>
      <c r="J24" s="421"/>
      <c r="K24" s="421"/>
      <c r="L24" s="421"/>
      <c r="M24" s="421"/>
      <c r="N24" s="421"/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  <c r="AC24" s="421"/>
      <c r="AD24" s="421"/>
      <c r="AE24" s="421"/>
      <c r="AF24" s="421"/>
      <c r="AG24" s="421"/>
      <c r="AH24" s="421"/>
      <c r="AI24" s="421"/>
      <c r="AJ24" s="421"/>
      <c r="AK24" s="422"/>
      <c r="AQ24" s="343"/>
    </row>
    <row r="25" spans="2:43" s="364" customFormat="1" ht="15" customHeight="1" x14ac:dyDescent="0.25">
      <c r="B25" s="420"/>
      <c r="C25" s="421"/>
      <c r="D25" s="421"/>
      <c r="E25" s="421"/>
      <c r="F25" s="421"/>
      <c r="G25" s="421"/>
      <c r="H25" s="421"/>
      <c r="I25" s="421"/>
      <c r="J25" s="421"/>
      <c r="K25" s="421"/>
      <c r="L25" s="421"/>
      <c r="M25" s="421"/>
      <c r="N25" s="421"/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  <c r="Z25" s="421"/>
      <c r="AA25" s="421"/>
      <c r="AB25" s="421"/>
      <c r="AC25" s="421"/>
      <c r="AD25" s="421"/>
      <c r="AE25" s="421"/>
      <c r="AF25" s="421"/>
      <c r="AG25" s="421"/>
      <c r="AH25" s="421"/>
      <c r="AI25" s="421"/>
      <c r="AJ25" s="421"/>
      <c r="AK25" s="422"/>
      <c r="AQ25" s="343"/>
    </row>
    <row r="26" spans="2:43" s="364" customFormat="1" ht="15" customHeight="1" x14ac:dyDescent="0.25">
      <c r="B26" s="420"/>
      <c r="C26" s="421"/>
      <c r="D26" s="421"/>
      <c r="E26" s="421"/>
      <c r="F26" s="421"/>
      <c r="G26" s="421"/>
      <c r="H26" s="421"/>
      <c r="I26" s="421"/>
      <c r="J26" s="421"/>
      <c r="K26" s="421"/>
      <c r="L26" s="421"/>
      <c r="M26" s="421"/>
      <c r="N26" s="421"/>
      <c r="O26" s="421"/>
      <c r="P26" s="421"/>
      <c r="Q26" s="421"/>
      <c r="R26" s="421"/>
      <c r="S26" s="421"/>
      <c r="T26" s="421"/>
      <c r="U26" s="421"/>
      <c r="V26" s="421"/>
      <c r="W26" s="421"/>
      <c r="X26" s="421"/>
      <c r="Y26" s="421"/>
      <c r="Z26" s="421"/>
      <c r="AA26" s="421"/>
      <c r="AB26" s="421"/>
      <c r="AC26" s="421"/>
      <c r="AD26" s="421"/>
      <c r="AE26" s="421"/>
      <c r="AF26" s="421"/>
      <c r="AG26" s="421"/>
      <c r="AH26" s="421"/>
      <c r="AI26" s="421"/>
      <c r="AJ26" s="421"/>
      <c r="AK26" s="422"/>
      <c r="AQ26" s="343"/>
    </row>
    <row r="27" spans="2:43" s="364" customFormat="1" ht="15" customHeight="1" x14ac:dyDescent="0.25">
      <c r="B27" s="420"/>
      <c r="C27" s="421"/>
      <c r="D27" s="421"/>
      <c r="E27" s="421"/>
      <c r="F27" s="421"/>
      <c r="G27" s="421"/>
      <c r="H27" s="421"/>
      <c r="I27" s="421"/>
      <c r="J27" s="421"/>
      <c r="K27" s="421"/>
      <c r="L27" s="421"/>
      <c r="M27" s="421"/>
      <c r="N27" s="421"/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  <c r="Z27" s="421"/>
      <c r="AA27" s="421"/>
      <c r="AB27" s="421"/>
      <c r="AC27" s="421"/>
      <c r="AD27" s="421"/>
      <c r="AE27" s="421"/>
      <c r="AF27" s="421"/>
      <c r="AG27" s="421"/>
      <c r="AH27" s="421"/>
      <c r="AI27" s="421"/>
      <c r="AJ27" s="421"/>
      <c r="AK27" s="422"/>
      <c r="AQ27" s="343"/>
    </row>
    <row r="28" spans="2:43" s="364" customFormat="1" ht="15" customHeight="1" x14ac:dyDescent="0.25">
      <c r="B28" s="420"/>
      <c r="C28" s="421"/>
      <c r="D28" s="421"/>
      <c r="E28" s="421"/>
      <c r="F28" s="421"/>
      <c r="G28" s="421"/>
      <c r="H28" s="421"/>
      <c r="I28" s="421"/>
      <c r="J28" s="421"/>
      <c r="K28" s="421"/>
      <c r="L28" s="421"/>
      <c r="M28" s="421"/>
      <c r="N28" s="421"/>
      <c r="O28" s="421"/>
      <c r="P28" s="421"/>
      <c r="Q28" s="421"/>
      <c r="R28" s="421"/>
      <c r="S28" s="421"/>
      <c r="T28" s="421"/>
      <c r="U28" s="421"/>
      <c r="V28" s="421"/>
      <c r="W28" s="421"/>
      <c r="X28" s="421"/>
      <c r="Y28" s="421"/>
      <c r="Z28" s="421"/>
      <c r="AA28" s="421"/>
      <c r="AB28" s="421"/>
      <c r="AC28" s="421"/>
      <c r="AD28" s="421"/>
      <c r="AE28" s="421"/>
      <c r="AF28" s="421"/>
      <c r="AG28" s="421"/>
      <c r="AH28" s="421"/>
      <c r="AI28" s="421"/>
      <c r="AJ28" s="421"/>
      <c r="AK28" s="422"/>
      <c r="AQ28" s="343"/>
    </row>
    <row r="29" spans="2:43" s="364" customFormat="1" ht="15" customHeight="1" x14ac:dyDescent="0.25">
      <c r="B29" s="420"/>
      <c r="C29" s="421"/>
      <c r="D29" s="421"/>
      <c r="E29" s="421"/>
      <c r="F29" s="421"/>
      <c r="G29" s="421"/>
      <c r="H29" s="421"/>
      <c r="I29" s="421"/>
      <c r="J29" s="421"/>
      <c r="K29" s="421"/>
      <c r="L29" s="421"/>
      <c r="M29" s="421"/>
      <c r="N29" s="421"/>
      <c r="O29" s="421"/>
      <c r="P29" s="421"/>
      <c r="Q29" s="421"/>
      <c r="R29" s="421"/>
      <c r="S29" s="421"/>
      <c r="T29" s="421"/>
      <c r="U29" s="421"/>
      <c r="V29" s="421"/>
      <c r="W29" s="421"/>
      <c r="X29" s="421"/>
      <c r="Y29" s="421"/>
      <c r="Z29" s="421"/>
      <c r="AA29" s="421"/>
      <c r="AB29" s="421"/>
      <c r="AC29" s="421"/>
      <c r="AD29" s="421"/>
      <c r="AE29" s="421"/>
      <c r="AF29" s="421"/>
      <c r="AG29" s="421"/>
      <c r="AH29" s="421"/>
      <c r="AI29" s="421"/>
      <c r="AJ29" s="421"/>
      <c r="AK29" s="422"/>
      <c r="AQ29" s="343"/>
    </row>
    <row r="30" spans="2:43" s="364" customFormat="1" ht="15" customHeight="1" x14ac:dyDescent="0.25">
      <c r="B30" s="420"/>
      <c r="C30" s="421"/>
      <c r="D30" s="421"/>
      <c r="E30" s="421"/>
      <c r="F30" s="421"/>
      <c r="G30" s="421"/>
      <c r="H30" s="421"/>
      <c r="I30" s="421"/>
      <c r="J30" s="421"/>
      <c r="K30" s="421"/>
      <c r="L30" s="421"/>
      <c r="M30" s="421"/>
      <c r="N30" s="421"/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  <c r="Z30" s="421"/>
      <c r="AA30" s="421"/>
      <c r="AB30" s="421"/>
      <c r="AC30" s="421"/>
      <c r="AD30" s="421"/>
      <c r="AE30" s="421"/>
      <c r="AF30" s="421"/>
      <c r="AG30" s="421"/>
      <c r="AH30" s="421"/>
      <c r="AI30" s="421"/>
      <c r="AJ30" s="421"/>
      <c r="AK30" s="422"/>
      <c r="AQ30" s="343"/>
    </row>
    <row r="31" spans="2:43" s="364" customFormat="1" ht="15" customHeight="1" x14ac:dyDescent="0.25">
      <c r="B31" s="420"/>
      <c r="C31" s="421"/>
      <c r="D31" s="421"/>
      <c r="E31" s="421"/>
      <c r="F31" s="421"/>
      <c r="G31" s="421"/>
      <c r="H31" s="421"/>
      <c r="I31" s="421"/>
      <c r="J31" s="421"/>
      <c r="K31" s="421"/>
      <c r="L31" s="421"/>
      <c r="M31" s="421"/>
      <c r="N31" s="421"/>
      <c r="O31" s="421"/>
      <c r="P31" s="421"/>
      <c r="Q31" s="421"/>
      <c r="R31" s="421"/>
      <c r="S31" s="421"/>
      <c r="T31" s="421"/>
      <c r="U31" s="421"/>
      <c r="V31" s="421"/>
      <c r="W31" s="421"/>
      <c r="X31" s="421"/>
      <c r="Y31" s="421"/>
      <c r="Z31" s="421"/>
      <c r="AA31" s="421"/>
      <c r="AB31" s="421"/>
      <c r="AC31" s="421"/>
      <c r="AD31" s="421"/>
      <c r="AE31" s="421"/>
      <c r="AF31" s="421"/>
      <c r="AG31" s="421"/>
      <c r="AH31" s="421"/>
      <c r="AI31" s="421"/>
      <c r="AJ31" s="421"/>
      <c r="AK31" s="422"/>
      <c r="AQ31" s="343"/>
    </row>
    <row r="32" spans="2:43" s="364" customFormat="1" ht="15" customHeight="1" x14ac:dyDescent="0.25">
      <c r="B32" s="420"/>
      <c r="C32" s="421"/>
      <c r="D32" s="421"/>
      <c r="E32" s="421"/>
      <c r="F32" s="421"/>
      <c r="G32" s="421"/>
      <c r="H32" s="421"/>
      <c r="I32" s="421"/>
      <c r="J32" s="421"/>
      <c r="K32" s="421"/>
      <c r="L32" s="421"/>
      <c r="M32" s="421"/>
      <c r="N32" s="421"/>
      <c r="O32" s="421"/>
      <c r="P32" s="421"/>
      <c r="Q32" s="421"/>
      <c r="R32" s="421"/>
      <c r="S32" s="421"/>
      <c r="T32" s="421"/>
      <c r="U32" s="421"/>
      <c r="V32" s="421"/>
      <c r="W32" s="421"/>
      <c r="X32" s="421"/>
      <c r="Y32" s="421"/>
      <c r="Z32" s="421"/>
      <c r="AA32" s="421"/>
      <c r="AB32" s="421"/>
      <c r="AC32" s="421"/>
      <c r="AD32" s="421"/>
      <c r="AE32" s="421"/>
      <c r="AF32" s="421"/>
      <c r="AG32" s="421"/>
      <c r="AH32" s="421"/>
      <c r="AI32" s="421"/>
      <c r="AJ32" s="421"/>
      <c r="AK32" s="422"/>
      <c r="AQ32" s="343"/>
    </row>
    <row r="33" spans="1:43" s="364" customFormat="1" ht="15" customHeight="1" x14ac:dyDescent="0.25">
      <c r="B33" s="420"/>
      <c r="C33" s="421"/>
      <c r="D33" s="421"/>
      <c r="E33" s="421"/>
      <c r="F33" s="421"/>
      <c r="G33" s="421"/>
      <c r="H33" s="421"/>
      <c r="I33" s="421"/>
      <c r="J33" s="421"/>
      <c r="K33" s="421"/>
      <c r="L33" s="421"/>
      <c r="M33" s="421"/>
      <c r="N33" s="421"/>
      <c r="O33" s="421"/>
      <c r="P33" s="421"/>
      <c r="Q33" s="421"/>
      <c r="R33" s="421"/>
      <c r="S33" s="421"/>
      <c r="T33" s="421"/>
      <c r="U33" s="421"/>
      <c r="V33" s="421"/>
      <c r="W33" s="421"/>
      <c r="X33" s="421"/>
      <c r="Y33" s="421"/>
      <c r="Z33" s="421"/>
      <c r="AA33" s="421"/>
      <c r="AB33" s="421"/>
      <c r="AC33" s="421"/>
      <c r="AD33" s="421"/>
      <c r="AE33" s="421"/>
      <c r="AF33" s="421"/>
      <c r="AG33" s="421"/>
      <c r="AH33" s="421"/>
      <c r="AI33" s="421"/>
      <c r="AJ33" s="421"/>
      <c r="AK33" s="422"/>
      <c r="AQ33" s="343"/>
    </row>
    <row r="34" spans="1:43" s="364" customFormat="1" ht="15" customHeight="1" x14ac:dyDescent="0.25">
      <c r="B34" s="420"/>
      <c r="C34" s="421"/>
      <c r="D34" s="421"/>
      <c r="E34" s="421"/>
      <c r="F34" s="421"/>
      <c r="G34" s="421"/>
      <c r="H34" s="421"/>
      <c r="I34" s="421"/>
      <c r="J34" s="421"/>
      <c r="K34" s="421"/>
      <c r="L34" s="421"/>
      <c r="M34" s="421"/>
      <c r="N34" s="421"/>
      <c r="O34" s="421"/>
      <c r="P34" s="421"/>
      <c r="Q34" s="421"/>
      <c r="R34" s="421"/>
      <c r="S34" s="421"/>
      <c r="T34" s="421"/>
      <c r="U34" s="421"/>
      <c r="V34" s="421"/>
      <c r="W34" s="421"/>
      <c r="X34" s="421"/>
      <c r="Y34" s="421"/>
      <c r="Z34" s="421"/>
      <c r="AA34" s="421"/>
      <c r="AB34" s="421"/>
      <c r="AC34" s="421"/>
      <c r="AD34" s="421"/>
      <c r="AE34" s="421"/>
      <c r="AF34" s="421"/>
      <c r="AG34" s="421"/>
      <c r="AH34" s="421"/>
      <c r="AI34" s="421"/>
      <c r="AJ34" s="421"/>
      <c r="AK34" s="422"/>
      <c r="AQ34" s="343"/>
    </row>
    <row r="35" spans="1:43" s="364" customFormat="1" ht="15" customHeight="1" x14ac:dyDescent="0.25">
      <c r="B35" s="420"/>
      <c r="C35" s="421"/>
      <c r="D35" s="421"/>
      <c r="E35" s="421"/>
      <c r="F35" s="421"/>
      <c r="G35" s="421"/>
      <c r="H35" s="421"/>
      <c r="I35" s="421"/>
      <c r="J35" s="421"/>
      <c r="K35" s="421"/>
      <c r="L35" s="421"/>
      <c r="M35" s="421"/>
      <c r="N35" s="421"/>
      <c r="O35" s="421"/>
      <c r="P35" s="421"/>
      <c r="Q35" s="421"/>
      <c r="R35" s="421"/>
      <c r="S35" s="421"/>
      <c r="T35" s="421"/>
      <c r="U35" s="421"/>
      <c r="V35" s="421"/>
      <c r="W35" s="421"/>
      <c r="X35" s="421"/>
      <c r="Y35" s="421"/>
      <c r="Z35" s="421"/>
      <c r="AA35" s="421"/>
      <c r="AB35" s="421"/>
      <c r="AC35" s="421"/>
      <c r="AD35" s="421"/>
      <c r="AE35" s="421"/>
      <c r="AF35" s="421"/>
      <c r="AG35" s="421"/>
      <c r="AH35" s="421"/>
      <c r="AI35" s="421"/>
      <c r="AJ35" s="421"/>
      <c r="AK35" s="422"/>
      <c r="AQ35" s="343"/>
    </row>
    <row r="36" spans="1:43" s="364" customFormat="1" ht="15" customHeight="1" x14ac:dyDescent="0.25">
      <c r="B36" s="420"/>
      <c r="C36" s="421"/>
      <c r="D36" s="421"/>
      <c r="E36" s="421"/>
      <c r="F36" s="421"/>
      <c r="G36" s="421"/>
      <c r="H36" s="421"/>
      <c r="I36" s="421"/>
      <c r="J36" s="421"/>
      <c r="K36" s="421"/>
      <c r="L36" s="421"/>
      <c r="M36" s="421"/>
      <c r="N36" s="421"/>
      <c r="O36" s="421"/>
      <c r="P36" s="421"/>
      <c r="Q36" s="421"/>
      <c r="R36" s="421"/>
      <c r="S36" s="421"/>
      <c r="T36" s="421"/>
      <c r="U36" s="421"/>
      <c r="V36" s="421"/>
      <c r="W36" s="421"/>
      <c r="X36" s="421"/>
      <c r="Y36" s="421"/>
      <c r="Z36" s="421"/>
      <c r="AA36" s="421"/>
      <c r="AB36" s="421"/>
      <c r="AC36" s="421"/>
      <c r="AD36" s="421"/>
      <c r="AE36" s="421"/>
      <c r="AF36" s="421"/>
      <c r="AG36" s="421"/>
      <c r="AH36" s="421"/>
      <c r="AI36" s="421"/>
      <c r="AJ36" s="421"/>
      <c r="AK36" s="422"/>
      <c r="AQ36" s="343"/>
    </row>
    <row r="37" spans="1:43" s="364" customFormat="1" ht="15" customHeight="1" x14ac:dyDescent="0.25">
      <c r="B37" s="420"/>
      <c r="C37" s="421"/>
      <c r="D37" s="421"/>
      <c r="E37" s="421"/>
      <c r="F37" s="421"/>
      <c r="G37" s="421"/>
      <c r="H37" s="421"/>
      <c r="I37" s="421"/>
      <c r="J37" s="421"/>
      <c r="K37" s="421"/>
      <c r="L37" s="421"/>
      <c r="M37" s="421"/>
      <c r="N37" s="421"/>
      <c r="O37" s="421"/>
      <c r="P37" s="421"/>
      <c r="Q37" s="421"/>
      <c r="R37" s="421"/>
      <c r="S37" s="421"/>
      <c r="T37" s="421"/>
      <c r="U37" s="421"/>
      <c r="V37" s="421"/>
      <c r="W37" s="421"/>
      <c r="X37" s="421"/>
      <c r="Y37" s="421"/>
      <c r="Z37" s="421"/>
      <c r="AA37" s="421"/>
      <c r="AB37" s="421"/>
      <c r="AC37" s="421"/>
      <c r="AD37" s="421"/>
      <c r="AE37" s="421"/>
      <c r="AF37" s="421"/>
      <c r="AG37" s="421"/>
      <c r="AH37" s="421"/>
      <c r="AI37" s="421"/>
      <c r="AJ37" s="421"/>
      <c r="AK37" s="422"/>
      <c r="AQ37" s="343"/>
    </row>
    <row r="38" spans="1:43" s="364" customFormat="1" ht="15" customHeight="1" x14ac:dyDescent="0.25">
      <c r="B38" s="423"/>
      <c r="C38" s="424"/>
      <c r="D38" s="424"/>
      <c r="E38" s="424"/>
      <c r="F38" s="424"/>
      <c r="G38" s="424"/>
      <c r="H38" s="424"/>
      <c r="I38" s="424"/>
      <c r="J38" s="424"/>
      <c r="K38" s="424"/>
      <c r="L38" s="424"/>
      <c r="M38" s="424"/>
      <c r="N38" s="424"/>
      <c r="O38" s="424"/>
      <c r="P38" s="424"/>
      <c r="Q38" s="424"/>
      <c r="R38" s="424"/>
      <c r="S38" s="424"/>
      <c r="T38" s="424"/>
      <c r="U38" s="424"/>
      <c r="V38" s="424"/>
      <c r="W38" s="424"/>
      <c r="X38" s="424"/>
      <c r="Y38" s="424"/>
      <c r="Z38" s="424"/>
      <c r="AA38" s="424"/>
      <c r="AB38" s="424"/>
      <c r="AC38" s="424"/>
      <c r="AD38" s="424"/>
      <c r="AE38" s="424"/>
      <c r="AF38" s="424"/>
      <c r="AG38" s="424"/>
      <c r="AH38" s="424"/>
      <c r="AI38" s="424"/>
      <c r="AJ38" s="424"/>
      <c r="AK38" s="425"/>
      <c r="AQ38" s="343"/>
    </row>
    <row r="39" spans="1:43" x14ac:dyDescent="0.25">
      <c r="A39" s="267"/>
      <c r="B39" s="564" t="s">
        <v>220</v>
      </c>
      <c r="C39" s="564"/>
      <c r="D39" s="564"/>
      <c r="E39" s="564"/>
      <c r="F39" s="564"/>
      <c r="G39" s="564"/>
      <c r="H39" s="564"/>
      <c r="I39" s="564"/>
      <c r="J39" s="564"/>
      <c r="K39" s="564"/>
      <c r="L39" s="564"/>
      <c r="M39" s="564"/>
      <c r="N39" s="564"/>
      <c r="O39" s="564"/>
      <c r="P39" s="564"/>
      <c r="Q39" s="564"/>
      <c r="R39" s="564"/>
      <c r="S39" s="564"/>
      <c r="T39" s="564"/>
      <c r="U39" s="564"/>
      <c r="V39" s="564"/>
      <c r="W39" s="564"/>
      <c r="X39" s="564"/>
      <c r="Y39" s="564"/>
      <c r="Z39" s="564"/>
      <c r="AA39" s="564"/>
      <c r="AB39" s="564"/>
      <c r="AC39" s="564"/>
      <c r="AD39" s="564"/>
      <c r="AE39" s="564"/>
      <c r="AF39" s="564"/>
      <c r="AG39" s="564"/>
      <c r="AH39" s="564"/>
      <c r="AI39" s="564"/>
      <c r="AJ39" s="564"/>
      <c r="AK39" s="564"/>
      <c r="AL39" s="267"/>
      <c r="AM39" s="267"/>
    </row>
    <row r="40" spans="1:43" s="119" customFormat="1" ht="42" customHeight="1" x14ac:dyDescent="0.25">
      <c r="A40" s="105"/>
      <c r="B40" s="555" t="s">
        <v>154</v>
      </c>
      <c r="C40" s="556"/>
      <c r="D40" s="556"/>
      <c r="E40" s="556"/>
      <c r="F40" s="556"/>
      <c r="G40" s="556"/>
      <c r="H40" s="557"/>
      <c r="I40" s="555" t="s">
        <v>219</v>
      </c>
      <c r="J40" s="556"/>
      <c r="K40" s="556"/>
      <c r="L40" s="555" t="s">
        <v>218</v>
      </c>
      <c r="M40" s="556"/>
      <c r="N40" s="556"/>
      <c r="O40" s="557"/>
      <c r="P40" s="555" t="s">
        <v>211</v>
      </c>
      <c r="Q40" s="556"/>
      <c r="R40" s="556"/>
      <c r="S40" s="555" t="s">
        <v>217</v>
      </c>
      <c r="T40" s="556"/>
      <c r="U40" s="556"/>
      <c r="V40" s="555" t="s">
        <v>216</v>
      </c>
      <c r="W40" s="556"/>
      <c r="X40" s="556"/>
      <c r="Y40" s="557"/>
      <c r="Z40" s="555" t="s">
        <v>215</v>
      </c>
      <c r="AA40" s="556"/>
      <c r="AB40" s="556"/>
      <c r="AC40" s="556"/>
      <c r="AD40" s="555" t="s">
        <v>214</v>
      </c>
      <c r="AE40" s="556"/>
      <c r="AF40" s="556"/>
      <c r="AG40" s="557"/>
      <c r="AH40" s="555" t="s">
        <v>213</v>
      </c>
      <c r="AI40" s="556"/>
      <c r="AJ40" s="556"/>
      <c r="AK40" s="557"/>
      <c r="AL40" s="145"/>
      <c r="AM40" s="145"/>
      <c r="AO40" s="146"/>
      <c r="AQ40" s="292"/>
    </row>
    <row r="41" spans="1:43" s="223" customFormat="1" ht="15" customHeight="1" x14ac:dyDescent="0.25">
      <c r="A41" s="323"/>
      <c r="B41" s="463" t="str">
        <f>+D270</f>
        <v>Departamento No 104</v>
      </c>
      <c r="C41" s="464"/>
      <c r="D41" s="464"/>
      <c r="E41" s="464"/>
      <c r="F41" s="464"/>
      <c r="G41" s="464"/>
      <c r="H41" s="465"/>
      <c r="I41" s="466">
        <f>+P122</f>
        <v>4.4000000000000004</v>
      </c>
      <c r="J41" s="467"/>
      <c r="K41" s="467"/>
      <c r="L41" s="468">
        <f>+U243</f>
        <v>3300</v>
      </c>
      <c r="M41" s="469"/>
      <c r="N41" s="469"/>
      <c r="O41" s="470"/>
      <c r="P41" s="466">
        <f>+K133</f>
        <v>62.9</v>
      </c>
      <c r="Q41" s="467"/>
      <c r="R41" s="467"/>
      <c r="S41" s="466">
        <f>+P133</f>
        <v>62.9</v>
      </c>
      <c r="T41" s="467"/>
      <c r="U41" s="471"/>
      <c r="V41" s="468">
        <f>+AH257</f>
        <v>72200</v>
      </c>
      <c r="W41" s="469"/>
      <c r="X41" s="469"/>
      <c r="Y41" s="470"/>
      <c r="Z41" s="468">
        <f>+AD41</f>
        <v>75500</v>
      </c>
      <c r="AA41" s="469"/>
      <c r="AB41" s="469"/>
      <c r="AC41" s="469"/>
      <c r="AD41" s="468">
        <f>+S281</f>
        <v>75500</v>
      </c>
      <c r="AE41" s="469"/>
      <c r="AF41" s="469"/>
      <c r="AG41" s="470"/>
      <c r="AH41" s="468">
        <f>+S302</f>
        <v>60400</v>
      </c>
      <c r="AI41" s="469"/>
      <c r="AJ41" s="469"/>
      <c r="AK41" s="470"/>
      <c r="AL41" s="324"/>
      <c r="AM41" s="324"/>
      <c r="AO41" s="325"/>
      <c r="AQ41" s="326" t="s">
        <v>497</v>
      </c>
    </row>
    <row r="42" spans="1:43" s="401" customFormat="1" ht="15" customHeight="1" x14ac:dyDescent="0.25">
      <c r="A42" s="323"/>
      <c r="B42" s="463" t="str">
        <f>+D271</f>
        <v>Estacionamiento No 181</v>
      </c>
      <c r="C42" s="464"/>
      <c r="D42" s="464"/>
      <c r="E42" s="464"/>
      <c r="F42" s="464"/>
      <c r="G42" s="464"/>
      <c r="H42" s="465"/>
      <c r="I42" s="466">
        <f>+P123</f>
        <v>0.84</v>
      </c>
      <c r="J42" s="467"/>
      <c r="K42" s="467"/>
      <c r="L42" s="468">
        <f>+U244</f>
        <v>600</v>
      </c>
      <c r="M42" s="469"/>
      <c r="N42" s="469"/>
      <c r="O42" s="470"/>
      <c r="P42" s="466">
        <f>+K134</f>
        <v>12</v>
      </c>
      <c r="Q42" s="467"/>
      <c r="R42" s="467"/>
      <c r="S42" s="466">
        <f>+P134</f>
        <v>12</v>
      </c>
      <c r="T42" s="467"/>
      <c r="U42" s="471"/>
      <c r="V42" s="468">
        <f>+AH258</f>
        <v>8400</v>
      </c>
      <c r="W42" s="469"/>
      <c r="X42" s="469"/>
      <c r="Y42" s="470"/>
      <c r="Z42" s="468">
        <f>+AD42</f>
        <v>9000</v>
      </c>
      <c r="AA42" s="469"/>
      <c r="AB42" s="469"/>
      <c r="AC42" s="469"/>
      <c r="AD42" s="468">
        <f>+S282</f>
        <v>9000</v>
      </c>
      <c r="AE42" s="469"/>
      <c r="AF42" s="469"/>
      <c r="AG42" s="470"/>
      <c r="AH42" s="468">
        <f>+S303</f>
        <v>7200</v>
      </c>
      <c r="AI42" s="469"/>
      <c r="AJ42" s="469"/>
      <c r="AK42" s="470"/>
      <c r="AL42" s="324"/>
      <c r="AM42" s="324"/>
      <c r="AO42" s="325"/>
      <c r="AQ42" s="326"/>
    </row>
    <row r="43" spans="1:43" s="401" customFormat="1" ht="15" customHeight="1" x14ac:dyDescent="0.25">
      <c r="A43" s="323"/>
      <c r="B43" s="463" t="str">
        <f>+D272</f>
        <v>Depósito No 06</v>
      </c>
      <c r="C43" s="464"/>
      <c r="D43" s="464"/>
      <c r="E43" s="464"/>
      <c r="F43" s="464"/>
      <c r="G43" s="464"/>
      <c r="H43" s="465"/>
      <c r="I43" s="466">
        <f>+P124</f>
        <v>0.44</v>
      </c>
      <c r="J43" s="467"/>
      <c r="K43" s="467"/>
      <c r="L43" s="468">
        <f>+U245</f>
        <v>300</v>
      </c>
      <c r="M43" s="469"/>
      <c r="N43" s="469"/>
      <c r="O43" s="470"/>
      <c r="P43" s="466">
        <f>+K135</f>
        <v>6.24</v>
      </c>
      <c r="Q43" s="467"/>
      <c r="R43" s="467"/>
      <c r="S43" s="466">
        <f>+P135</f>
        <v>6.24</v>
      </c>
      <c r="T43" s="467"/>
      <c r="U43" s="471"/>
      <c r="V43" s="468">
        <f>+AH259</f>
        <v>3700</v>
      </c>
      <c r="W43" s="469"/>
      <c r="X43" s="469"/>
      <c r="Y43" s="470"/>
      <c r="Z43" s="468">
        <f>+AD43</f>
        <v>4000</v>
      </c>
      <c r="AA43" s="469"/>
      <c r="AB43" s="469"/>
      <c r="AC43" s="469"/>
      <c r="AD43" s="468">
        <f>+S283</f>
        <v>4000</v>
      </c>
      <c r="AE43" s="469"/>
      <c r="AF43" s="469"/>
      <c r="AG43" s="470"/>
      <c r="AH43" s="468">
        <f>+S304</f>
        <v>3200</v>
      </c>
      <c r="AI43" s="469"/>
      <c r="AJ43" s="469"/>
      <c r="AK43" s="470"/>
      <c r="AL43" s="324"/>
      <c r="AM43" s="324"/>
      <c r="AO43" s="325"/>
      <c r="AQ43" s="326"/>
    </row>
    <row r="44" spans="1:43" s="370" customFormat="1" ht="15" customHeight="1" x14ac:dyDescent="0.25">
      <c r="A44" s="323"/>
      <c r="B44" s="463" t="str">
        <f>+D273</f>
        <v>Estacionamiento No 185</v>
      </c>
      <c r="C44" s="464"/>
      <c r="D44" s="464"/>
      <c r="E44" s="464"/>
      <c r="F44" s="464"/>
      <c r="G44" s="464"/>
      <c r="H44" s="465"/>
      <c r="I44" s="466">
        <f>+P125</f>
        <v>0.84</v>
      </c>
      <c r="J44" s="467"/>
      <c r="K44" s="467"/>
      <c r="L44" s="468">
        <f>+U246</f>
        <v>600</v>
      </c>
      <c r="M44" s="469"/>
      <c r="N44" s="469"/>
      <c r="O44" s="470"/>
      <c r="P44" s="466">
        <f>+K136</f>
        <v>12</v>
      </c>
      <c r="Q44" s="467"/>
      <c r="R44" s="467"/>
      <c r="S44" s="466">
        <f>+P136</f>
        <v>12</v>
      </c>
      <c r="T44" s="467"/>
      <c r="U44" s="471"/>
      <c r="V44" s="468">
        <f>+AH260</f>
        <v>8400</v>
      </c>
      <c r="W44" s="469"/>
      <c r="X44" s="469"/>
      <c r="Y44" s="470"/>
      <c r="Z44" s="468">
        <f>+AD44</f>
        <v>9000</v>
      </c>
      <c r="AA44" s="469"/>
      <c r="AB44" s="469"/>
      <c r="AC44" s="469"/>
      <c r="AD44" s="468">
        <f>+S284</f>
        <v>9000</v>
      </c>
      <c r="AE44" s="469"/>
      <c r="AF44" s="469"/>
      <c r="AG44" s="470"/>
      <c r="AH44" s="468">
        <f>+S305</f>
        <v>7200</v>
      </c>
      <c r="AI44" s="469"/>
      <c r="AJ44" s="469"/>
      <c r="AK44" s="470"/>
      <c r="AL44" s="324"/>
      <c r="AM44" s="324"/>
      <c r="AO44" s="325"/>
      <c r="AQ44" s="326"/>
    </row>
    <row r="45" spans="1:43" s="370" customFormat="1" ht="15" customHeight="1" x14ac:dyDescent="0.25">
      <c r="A45" s="323"/>
      <c r="B45" s="463" t="str">
        <f>+D274</f>
        <v>Depósito No 07</v>
      </c>
      <c r="C45" s="464"/>
      <c r="D45" s="464"/>
      <c r="E45" s="464"/>
      <c r="F45" s="464"/>
      <c r="G45" s="464"/>
      <c r="H45" s="465"/>
      <c r="I45" s="466">
        <f>+P126</f>
        <v>0.22</v>
      </c>
      <c r="J45" s="467"/>
      <c r="K45" s="467"/>
      <c r="L45" s="468">
        <f>+U247</f>
        <v>200</v>
      </c>
      <c r="M45" s="469"/>
      <c r="N45" s="469"/>
      <c r="O45" s="470"/>
      <c r="P45" s="466">
        <f>+K137</f>
        <v>3.21</v>
      </c>
      <c r="Q45" s="467"/>
      <c r="R45" s="467"/>
      <c r="S45" s="466">
        <f>+P137</f>
        <v>3.21</v>
      </c>
      <c r="T45" s="467"/>
      <c r="U45" s="471"/>
      <c r="V45" s="468">
        <f>+AH261</f>
        <v>3800</v>
      </c>
      <c r="W45" s="469"/>
      <c r="X45" s="469"/>
      <c r="Y45" s="470"/>
      <c r="Z45" s="468">
        <f>+AD45</f>
        <v>4000</v>
      </c>
      <c r="AA45" s="469"/>
      <c r="AB45" s="469"/>
      <c r="AC45" s="469"/>
      <c r="AD45" s="468">
        <f>+S285</f>
        <v>4000</v>
      </c>
      <c r="AE45" s="469"/>
      <c r="AF45" s="469"/>
      <c r="AG45" s="470"/>
      <c r="AH45" s="468">
        <f>+S306</f>
        <v>3200</v>
      </c>
      <c r="AI45" s="469"/>
      <c r="AJ45" s="469"/>
      <c r="AK45" s="470"/>
      <c r="AL45" s="324"/>
      <c r="AM45" s="324"/>
      <c r="AO45" s="325"/>
      <c r="AQ45" s="326"/>
    </row>
    <row r="46" spans="1:43" s="223" customFormat="1" ht="15" hidden="1" customHeight="1" outlineLevel="1" x14ac:dyDescent="0.25">
      <c r="A46" s="323"/>
      <c r="B46" s="327"/>
      <c r="C46" s="328"/>
      <c r="D46" s="328"/>
      <c r="E46" s="328"/>
      <c r="F46" s="328"/>
      <c r="G46" s="328"/>
      <c r="H46" s="329"/>
      <c r="I46" s="330"/>
      <c r="J46" s="331"/>
      <c r="K46" s="331"/>
      <c r="L46" s="332"/>
      <c r="M46" s="333"/>
      <c r="N46" s="333"/>
      <c r="O46" s="333"/>
      <c r="P46" s="330"/>
      <c r="Q46" s="331"/>
      <c r="R46" s="331"/>
      <c r="S46" s="330"/>
      <c r="T46" s="331"/>
      <c r="U46" s="331"/>
      <c r="V46" s="332"/>
      <c r="W46" s="333"/>
      <c r="X46" s="333"/>
      <c r="Y46" s="333"/>
      <c r="Z46" s="332"/>
      <c r="AA46" s="333"/>
      <c r="AB46" s="333"/>
      <c r="AC46" s="333"/>
      <c r="AD46" s="332"/>
      <c r="AE46" s="333"/>
      <c r="AF46" s="333"/>
      <c r="AG46" s="333"/>
      <c r="AH46" s="332"/>
      <c r="AI46" s="333"/>
      <c r="AJ46" s="333"/>
      <c r="AK46" s="333"/>
      <c r="AL46" s="324"/>
      <c r="AM46" s="324"/>
      <c r="AO46" s="325"/>
      <c r="AQ46" s="326"/>
    </row>
    <row r="47" spans="1:43" ht="15" customHeight="1" collapsed="1" x14ac:dyDescent="0.25">
      <c r="A47" s="272"/>
      <c r="B47" s="522" t="s">
        <v>58</v>
      </c>
      <c r="C47" s="523"/>
      <c r="D47" s="523"/>
      <c r="E47" s="523"/>
      <c r="F47" s="523"/>
      <c r="G47" s="523"/>
      <c r="H47" s="524"/>
      <c r="I47" s="549">
        <f>SUM(I41:K46)</f>
        <v>6.74</v>
      </c>
      <c r="J47" s="550"/>
      <c r="K47" s="550"/>
      <c r="L47" s="549">
        <f>SUM(L41:O46)</f>
        <v>5000</v>
      </c>
      <c r="M47" s="550"/>
      <c r="N47" s="550"/>
      <c r="O47" s="550"/>
      <c r="P47" s="549">
        <f>SUM(P41:R46)</f>
        <v>96.35</v>
      </c>
      <c r="Q47" s="550"/>
      <c r="R47" s="550"/>
      <c r="S47" s="549">
        <f>SUM(S41:U46)</f>
        <v>96.35</v>
      </c>
      <c r="T47" s="550"/>
      <c r="U47" s="550"/>
      <c r="V47" s="549">
        <f>SUM(V41:Y46)</f>
        <v>96500</v>
      </c>
      <c r="W47" s="550"/>
      <c r="X47" s="550"/>
      <c r="Y47" s="550"/>
      <c r="Z47" s="549">
        <f>SUM(Z41:AC46)</f>
        <v>101500</v>
      </c>
      <c r="AA47" s="550"/>
      <c r="AB47" s="550"/>
      <c r="AC47" s="550"/>
      <c r="AD47" s="549">
        <f>SUM(AD41:AG46)</f>
        <v>101500</v>
      </c>
      <c r="AE47" s="550"/>
      <c r="AF47" s="550"/>
      <c r="AG47" s="550"/>
      <c r="AH47" s="558">
        <f>SUM(AH41:AK46)</f>
        <v>81200</v>
      </c>
      <c r="AI47" s="558"/>
      <c r="AJ47" s="558"/>
      <c r="AK47" s="558"/>
      <c r="AL47" s="143"/>
      <c r="AM47" s="143"/>
      <c r="AO47" s="80"/>
      <c r="AQ47" s="291"/>
    </row>
    <row r="48" spans="1:43" ht="6" customHeight="1" x14ac:dyDescent="0.25">
      <c r="A48" s="62"/>
    </row>
    <row r="49" spans="1:51" s="119" customFormat="1" ht="42" customHeight="1" x14ac:dyDescent="0.25">
      <c r="A49" s="105"/>
      <c r="B49" s="555" t="s">
        <v>154</v>
      </c>
      <c r="C49" s="556"/>
      <c r="D49" s="556"/>
      <c r="E49" s="556"/>
      <c r="F49" s="556"/>
      <c r="G49" s="556"/>
      <c r="H49" s="557"/>
      <c r="I49" s="555" t="str">
        <f>+I40</f>
        <v>Área del Terreno m²</v>
      </c>
      <c r="J49" s="556"/>
      <c r="K49" s="556"/>
      <c r="L49" s="555" t="s">
        <v>212</v>
      </c>
      <c r="M49" s="556"/>
      <c r="N49" s="556"/>
      <c r="O49" s="557"/>
      <c r="P49" s="555" t="s">
        <v>211</v>
      </c>
      <c r="Q49" s="556"/>
      <c r="R49" s="556"/>
      <c r="S49" s="555" t="str">
        <f>+S40</f>
        <v>Área Ocupada m²</v>
      </c>
      <c r="T49" s="556"/>
      <c r="U49" s="557"/>
      <c r="V49" s="555" t="s">
        <v>210</v>
      </c>
      <c r="W49" s="556"/>
      <c r="X49" s="556"/>
      <c r="Y49" s="557"/>
      <c r="Z49" s="555" t="s">
        <v>209</v>
      </c>
      <c r="AA49" s="556"/>
      <c r="AB49" s="556"/>
      <c r="AC49" s="556"/>
      <c r="AD49" s="555" t="s">
        <v>208</v>
      </c>
      <c r="AE49" s="556"/>
      <c r="AF49" s="556"/>
      <c r="AG49" s="557"/>
      <c r="AH49" s="555" t="s">
        <v>207</v>
      </c>
      <c r="AI49" s="556"/>
      <c r="AJ49" s="556"/>
      <c r="AK49" s="557"/>
      <c r="AL49" s="145"/>
      <c r="AM49" s="145"/>
      <c r="AN49" s="68"/>
      <c r="AO49" s="68"/>
      <c r="AP49" s="68"/>
      <c r="AQ49" s="343"/>
      <c r="AR49" s="68"/>
      <c r="AS49" s="68"/>
      <c r="AT49" s="68"/>
      <c r="AU49" s="68"/>
      <c r="AV49" s="68"/>
      <c r="AW49" s="68"/>
      <c r="AX49" s="68"/>
      <c r="AY49" s="68"/>
    </row>
    <row r="50" spans="1:51" ht="15" customHeight="1" x14ac:dyDescent="0.25">
      <c r="A50" s="144"/>
      <c r="B50" s="472" t="str">
        <f>+B41</f>
        <v>Departamento No 104</v>
      </c>
      <c r="C50" s="473"/>
      <c r="D50" s="473"/>
      <c r="E50" s="473"/>
      <c r="F50" s="473"/>
      <c r="G50" s="473"/>
      <c r="H50" s="474"/>
      <c r="I50" s="475">
        <f>I41</f>
        <v>4.4000000000000004</v>
      </c>
      <c r="J50" s="476"/>
      <c r="K50" s="476"/>
      <c r="L50" s="475">
        <f>ROUND(+L41*$E$57,-2)</f>
        <v>11600</v>
      </c>
      <c r="M50" s="476"/>
      <c r="N50" s="476"/>
      <c r="O50" s="476"/>
      <c r="P50" s="475">
        <f>+P41</f>
        <v>62.9</v>
      </c>
      <c r="Q50" s="476"/>
      <c r="R50" s="476"/>
      <c r="S50" s="475">
        <f>+S41</f>
        <v>62.9</v>
      </c>
      <c r="T50" s="476"/>
      <c r="U50" s="477"/>
      <c r="V50" s="478">
        <f>AD50-L50</f>
        <v>252700</v>
      </c>
      <c r="W50" s="479"/>
      <c r="X50" s="479"/>
      <c r="Y50" s="480"/>
      <c r="Z50" s="478">
        <f>ROUND(+Z41*$E$57,-2)</f>
        <v>264300</v>
      </c>
      <c r="AA50" s="479"/>
      <c r="AB50" s="479"/>
      <c r="AC50" s="480"/>
      <c r="AD50" s="478">
        <f>ROUND(+AD41*$E$57,-2)</f>
        <v>264300</v>
      </c>
      <c r="AE50" s="479"/>
      <c r="AF50" s="479"/>
      <c r="AG50" s="480"/>
      <c r="AH50" s="478">
        <f>ROUND(+AH41*$E$57,-2)</f>
        <v>211400</v>
      </c>
      <c r="AI50" s="479"/>
      <c r="AJ50" s="479"/>
      <c r="AK50" s="480"/>
      <c r="AL50" s="143"/>
      <c r="AM50" s="143">
        <v>1</v>
      </c>
      <c r="AN50" s="80"/>
      <c r="AQ50" s="293" t="s">
        <v>498</v>
      </c>
    </row>
    <row r="51" spans="1:51" ht="15" customHeight="1" x14ac:dyDescent="0.25">
      <c r="A51" s="144"/>
      <c r="B51" s="472" t="str">
        <f>+B42</f>
        <v>Estacionamiento No 181</v>
      </c>
      <c r="C51" s="473"/>
      <c r="D51" s="473"/>
      <c r="E51" s="473"/>
      <c r="F51" s="473"/>
      <c r="G51" s="473"/>
      <c r="H51" s="474"/>
      <c r="I51" s="475">
        <f>I42</f>
        <v>0.84</v>
      </c>
      <c r="J51" s="476"/>
      <c r="K51" s="476"/>
      <c r="L51" s="475">
        <f>ROUND(+L42*$E$57,-2)</f>
        <v>2100</v>
      </c>
      <c r="M51" s="476"/>
      <c r="N51" s="476"/>
      <c r="O51" s="476"/>
      <c r="P51" s="475">
        <f>+P42</f>
        <v>12</v>
      </c>
      <c r="Q51" s="476"/>
      <c r="R51" s="476"/>
      <c r="S51" s="475">
        <f>+S42</f>
        <v>12</v>
      </c>
      <c r="T51" s="476"/>
      <c r="U51" s="477"/>
      <c r="V51" s="478">
        <f>AD51-L51</f>
        <v>29400</v>
      </c>
      <c r="W51" s="479"/>
      <c r="X51" s="479"/>
      <c r="Y51" s="480"/>
      <c r="Z51" s="478">
        <f>ROUND(+Z42*$E$57,-2)</f>
        <v>31500</v>
      </c>
      <c r="AA51" s="479"/>
      <c r="AB51" s="479"/>
      <c r="AC51" s="480"/>
      <c r="AD51" s="478">
        <f>ROUND(+AD42*$E$57,-2)</f>
        <v>31500</v>
      </c>
      <c r="AE51" s="479"/>
      <c r="AF51" s="479"/>
      <c r="AG51" s="480"/>
      <c r="AH51" s="478">
        <f>ROUND(+AH42*$E$57,-2)</f>
        <v>25200</v>
      </c>
      <c r="AI51" s="479"/>
      <c r="AJ51" s="479"/>
      <c r="AK51" s="480"/>
      <c r="AL51" s="143"/>
      <c r="AM51" s="143"/>
      <c r="AN51" s="80"/>
      <c r="AQ51" s="293"/>
    </row>
    <row r="52" spans="1:51" ht="15" customHeight="1" x14ac:dyDescent="0.25">
      <c r="A52" s="144"/>
      <c r="B52" s="472" t="str">
        <f>+B43</f>
        <v>Depósito No 06</v>
      </c>
      <c r="C52" s="473"/>
      <c r="D52" s="473"/>
      <c r="E52" s="473"/>
      <c r="F52" s="473"/>
      <c r="G52" s="473"/>
      <c r="H52" s="474"/>
      <c r="I52" s="475">
        <f>I43</f>
        <v>0.44</v>
      </c>
      <c r="J52" s="476"/>
      <c r="K52" s="476"/>
      <c r="L52" s="475">
        <f>ROUND(+L43*$E$57,-2)</f>
        <v>1100</v>
      </c>
      <c r="M52" s="476"/>
      <c r="N52" s="476"/>
      <c r="O52" s="476"/>
      <c r="P52" s="475">
        <f>+P43</f>
        <v>6.24</v>
      </c>
      <c r="Q52" s="476"/>
      <c r="R52" s="476"/>
      <c r="S52" s="475">
        <f>+S43</f>
        <v>6.24</v>
      </c>
      <c r="T52" s="476"/>
      <c r="U52" s="477"/>
      <c r="V52" s="478">
        <f>AD52-L52</f>
        <v>12900</v>
      </c>
      <c r="W52" s="479"/>
      <c r="X52" s="479"/>
      <c r="Y52" s="480"/>
      <c r="Z52" s="478">
        <f>ROUND(+Z43*$E$57,-2)</f>
        <v>14000</v>
      </c>
      <c r="AA52" s="479"/>
      <c r="AB52" s="479"/>
      <c r="AC52" s="480"/>
      <c r="AD52" s="478">
        <f>ROUND(+AD43*$E$57,-2)</f>
        <v>14000</v>
      </c>
      <c r="AE52" s="479"/>
      <c r="AF52" s="479"/>
      <c r="AG52" s="480"/>
      <c r="AH52" s="478">
        <f>ROUND(+AH43*$E$57,-2)</f>
        <v>11200</v>
      </c>
      <c r="AI52" s="479"/>
      <c r="AJ52" s="479"/>
      <c r="AK52" s="480"/>
      <c r="AL52" s="143"/>
      <c r="AM52" s="143"/>
      <c r="AN52" s="80"/>
      <c r="AQ52" s="293"/>
    </row>
    <row r="53" spans="1:51" ht="15" customHeight="1" x14ac:dyDescent="0.25">
      <c r="A53" s="144"/>
      <c r="B53" s="472" t="str">
        <f>+B44</f>
        <v>Estacionamiento No 185</v>
      </c>
      <c r="C53" s="473"/>
      <c r="D53" s="473"/>
      <c r="E53" s="473"/>
      <c r="F53" s="473"/>
      <c r="G53" s="473"/>
      <c r="H53" s="474"/>
      <c r="I53" s="475">
        <f>I44</f>
        <v>0.84</v>
      </c>
      <c r="J53" s="476"/>
      <c r="K53" s="476"/>
      <c r="L53" s="475">
        <f>ROUND(+L44*$E$57,-2)</f>
        <v>2100</v>
      </c>
      <c r="M53" s="476"/>
      <c r="N53" s="476"/>
      <c r="O53" s="476"/>
      <c r="P53" s="475">
        <f>+P44</f>
        <v>12</v>
      </c>
      <c r="Q53" s="476"/>
      <c r="R53" s="476"/>
      <c r="S53" s="475">
        <f>+S44</f>
        <v>12</v>
      </c>
      <c r="T53" s="476"/>
      <c r="U53" s="477"/>
      <c r="V53" s="478">
        <f>AD53-L53</f>
        <v>29400</v>
      </c>
      <c r="W53" s="479"/>
      <c r="X53" s="479"/>
      <c r="Y53" s="480"/>
      <c r="Z53" s="478">
        <f>ROUND(+Z44*$E$57,-2)</f>
        <v>31500</v>
      </c>
      <c r="AA53" s="479"/>
      <c r="AB53" s="479"/>
      <c r="AC53" s="480"/>
      <c r="AD53" s="478">
        <f>ROUND(+AD44*$E$57,-2)</f>
        <v>31500</v>
      </c>
      <c r="AE53" s="479"/>
      <c r="AF53" s="479"/>
      <c r="AG53" s="480"/>
      <c r="AH53" s="478">
        <f>ROUND(+AH44*$E$57,-2)</f>
        <v>25200</v>
      </c>
      <c r="AI53" s="479"/>
      <c r="AJ53" s="479"/>
      <c r="AK53" s="480"/>
      <c r="AL53" s="143"/>
      <c r="AM53" s="143"/>
      <c r="AN53" s="80"/>
      <c r="AQ53" s="293"/>
    </row>
    <row r="54" spans="1:51" ht="15" customHeight="1" x14ac:dyDescent="0.25">
      <c r="A54" s="144"/>
      <c r="B54" s="472" t="str">
        <f>+B45</f>
        <v>Depósito No 07</v>
      </c>
      <c r="C54" s="473"/>
      <c r="D54" s="473"/>
      <c r="E54" s="473"/>
      <c r="F54" s="473"/>
      <c r="G54" s="473"/>
      <c r="H54" s="474"/>
      <c r="I54" s="475">
        <f>I45</f>
        <v>0.22</v>
      </c>
      <c r="J54" s="476"/>
      <c r="K54" s="476"/>
      <c r="L54" s="475">
        <f>ROUND(+L45*$E$57,-2)</f>
        <v>700</v>
      </c>
      <c r="M54" s="476"/>
      <c r="N54" s="476"/>
      <c r="O54" s="476"/>
      <c r="P54" s="475">
        <f>+P45</f>
        <v>3.21</v>
      </c>
      <c r="Q54" s="476"/>
      <c r="R54" s="476"/>
      <c r="S54" s="475">
        <f>+S45</f>
        <v>3.21</v>
      </c>
      <c r="T54" s="476"/>
      <c r="U54" s="477"/>
      <c r="V54" s="478">
        <f>AD54-L54</f>
        <v>13300</v>
      </c>
      <c r="W54" s="479"/>
      <c r="X54" s="479"/>
      <c r="Y54" s="480"/>
      <c r="Z54" s="478">
        <f>ROUND(+Z45*$E$57,-2)</f>
        <v>14000</v>
      </c>
      <c r="AA54" s="479"/>
      <c r="AB54" s="479"/>
      <c r="AC54" s="480"/>
      <c r="AD54" s="478">
        <f>ROUND(+AD45*$E$57,-2)</f>
        <v>14000</v>
      </c>
      <c r="AE54" s="479"/>
      <c r="AF54" s="479"/>
      <c r="AG54" s="480"/>
      <c r="AH54" s="478">
        <f>ROUND(+AH45*$E$57,-2)</f>
        <v>11200</v>
      </c>
      <c r="AI54" s="479"/>
      <c r="AJ54" s="479"/>
      <c r="AK54" s="480"/>
      <c r="AL54" s="143"/>
      <c r="AM54" s="143"/>
      <c r="AN54" s="80"/>
      <c r="AQ54" s="293"/>
    </row>
    <row r="55" spans="1:51" ht="15" hidden="1" customHeight="1" outlineLevel="1" x14ac:dyDescent="0.25">
      <c r="A55" s="144"/>
      <c r="B55" s="262"/>
      <c r="C55" s="263"/>
      <c r="D55" s="263"/>
      <c r="E55" s="263"/>
      <c r="F55" s="263"/>
      <c r="G55" s="263"/>
      <c r="H55" s="264"/>
      <c r="I55" s="265"/>
      <c r="J55" s="266"/>
      <c r="K55" s="266"/>
      <c r="L55" s="265"/>
      <c r="M55" s="266"/>
      <c r="N55" s="266"/>
      <c r="O55" s="266"/>
      <c r="P55" s="265"/>
      <c r="Q55" s="266"/>
      <c r="R55" s="266"/>
      <c r="S55" s="265"/>
      <c r="T55" s="266"/>
      <c r="U55" s="266"/>
      <c r="V55" s="258"/>
      <c r="W55" s="259"/>
      <c r="X55" s="259"/>
      <c r="Y55" s="259"/>
      <c r="Z55" s="258"/>
      <c r="AA55" s="259"/>
      <c r="AB55" s="259"/>
      <c r="AC55" s="259"/>
      <c r="AD55" s="258"/>
      <c r="AE55" s="259"/>
      <c r="AF55" s="259"/>
      <c r="AG55" s="259"/>
      <c r="AH55" s="258"/>
      <c r="AI55" s="259"/>
      <c r="AJ55" s="259"/>
      <c r="AK55" s="259"/>
      <c r="AL55" s="143"/>
      <c r="AM55" s="143"/>
      <c r="AN55" s="80"/>
      <c r="AQ55" s="293"/>
    </row>
    <row r="56" spans="1:51" ht="15" customHeight="1" collapsed="1" x14ac:dyDescent="0.25">
      <c r="A56" s="272"/>
      <c r="B56" s="522" t="s">
        <v>58</v>
      </c>
      <c r="C56" s="523"/>
      <c r="D56" s="523"/>
      <c r="E56" s="523"/>
      <c r="F56" s="523"/>
      <c r="G56" s="523"/>
      <c r="H56" s="524"/>
      <c r="I56" s="549">
        <f>SUM(I50:K55)</f>
        <v>6.74</v>
      </c>
      <c r="J56" s="550"/>
      <c r="K56" s="550"/>
      <c r="L56" s="549">
        <f>SUM(L50:O55)</f>
        <v>17600</v>
      </c>
      <c r="M56" s="550"/>
      <c r="N56" s="550"/>
      <c r="O56" s="550"/>
      <c r="P56" s="549">
        <f>SUM(P50:R55)</f>
        <v>96.35</v>
      </c>
      <c r="Q56" s="550"/>
      <c r="R56" s="550"/>
      <c r="S56" s="549">
        <f>SUM(S50:U55)</f>
        <v>96.35</v>
      </c>
      <c r="T56" s="550"/>
      <c r="U56" s="550"/>
      <c r="V56" s="549">
        <f>SUM(V50:Y55)</f>
        <v>337700</v>
      </c>
      <c r="W56" s="550"/>
      <c r="X56" s="550"/>
      <c r="Y56" s="550"/>
      <c r="Z56" s="549">
        <f>SUM(Z50:AC55)</f>
        <v>355300</v>
      </c>
      <c r="AA56" s="550"/>
      <c r="AB56" s="550"/>
      <c r="AC56" s="550"/>
      <c r="AD56" s="549">
        <f>SUM(AD50:AG55)</f>
        <v>355300</v>
      </c>
      <c r="AE56" s="550"/>
      <c r="AF56" s="550"/>
      <c r="AG56" s="550"/>
      <c r="AH56" s="558">
        <f>SUM(AH50:AK55)</f>
        <v>284200</v>
      </c>
      <c r="AI56" s="558"/>
      <c r="AJ56" s="558"/>
      <c r="AK56" s="558"/>
      <c r="AL56" s="143"/>
      <c r="AM56" s="143"/>
      <c r="AN56" s="80"/>
      <c r="AO56" s="92"/>
      <c r="AQ56" s="291"/>
    </row>
    <row r="57" spans="1:51" s="62" customFormat="1" ht="15" customHeight="1" x14ac:dyDescent="0.25">
      <c r="A57" s="142"/>
      <c r="B57" s="135" t="s">
        <v>206</v>
      </c>
      <c r="C57" s="142"/>
      <c r="D57" s="142"/>
      <c r="E57" s="542">
        <v>3.5</v>
      </c>
      <c r="F57" s="543"/>
      <c r="G57" s="543"/>
      <c r="H57" s="141" t="s">
        <v>55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61"/>
      <c r="AO57" s="61"/>
      <c r="AP57" s="61"/>
      <c r="AQ57" s="291" t="s">
        <v>499</v>
      </c>
      <c r="AR57" s="61"/>
      <c r="AS57" s="61"/>
      <c r="AT57" s="61"/>
      <c r="AU57" s="61"/>
      <c r="AV57" s="61"/>
      <c r="AW57" s="61"/>
      <c r="AX57" s="61"/>
      <c r="AY57" s="61"/>
    </row>
    <row r="58" spans="1:51" ht="30" customHeight="1" x14ac:dyDescent="0.25">
      <c r="B58" s="61" t="s">
        <v>123</v>
      </c>
      <c r="I58" s="99" t="s">
        <v>195</v>
      </c>
      <c r="J58" s="517" t="str">
        <f>+D222</f>
        <v>El presente informe se ha realizado con base en la información del proyecto proporcionada por el cliente. Se recomienda actualizar los valores cuando se efectúe la independización de las unidades inmobiliarias.</v>
      </c>
      <c r="K58" s="517"/>
      <c r="L58" s="517"/>
      <c r="M58" s="517"/>
      <c r="N58" s="517"/>
      <c r="O58" s="517"/>
      <c r="P58" s="517"/>
      <c r="Q58" s="517"/>
      <c r="R58" s="517"/>
      <c r="S58" s="517"/>
      <c r="T58" s="517"/>
      <c r="U58" s="517"/>
      <c r="V58" s="517"/>
      <c r="W58" s="517"/>
      <c r="X58" s="517"/>
      <c r="Y58" s="517"/>
      <c r="Z58" s="517"/>
      <c r="AA58" s="517"/>
      <c r="AB58" s="517"/>
      <c r="AC58" s="517"/>
      <c r="AD58" s="517"/>
      <c r="AE58" s="517"/>
      <c r="AF58" s="517"/>
      <c r="AG58" s="517"/>
      <c r="AH58" s="517"/>
      <c r="AI58" s="517"/>
      <c r="AJ58" s="517"/>
      <c r="AK58" s="517"/>
    </row>
    <row r="59" spans="1:51" ht="68.25" customHeight="1" x14ac:dyDescent="0.25">
      <c r="I59" s="99"/>
      <c r="J59" s="517" t="str">
        <f>+D223</f>
        <v>El inmueble matriz tiene una servidumbre de paso trasladada del antecedente, que le permite un camino de control y vigilancia sobre una extensión superficial de 547.00 m2 (asiento D00009), y una correlación de servidumbre como predio sirviente a favor de Luz del Sur (asiento D00007). El inmueble matriz presenta una hipoteca a favor del Banco Internacional del Perú - Interbank hasta por US$ 248,424,744.00, de fecha 02/06/2014 (asiento D00006).</v>
      </c>
      <c r="K59" s="517"/>
      <c r="L59" s="517"/>
      <c r="M59" s="517"/>
      <c r="N59" s="517"/>
      <c r="O59" s="517"/>
      <c r="P59" s="517"/>
      <c r="Q59" s="517"/>
      <c r="R59" s="517"/>
      <c r="S59" s="517"/>
      <c r="T59" s="517"/>
      <c r="U59" s="517"/>
      <c r="V59" s="517"/>
      <c r="W59" s="517"/>
      <c r="X59" s="517"/>
      <c r="Y59" s="517"/>
      <c r="Z59" s="517"/>
      <c r="AA59" s="517"/>
      <c r="AB59" s="517"/>
      <c r="AC59" s="517"/>
      <c r="AD59" s="517"/>
      <c r="AE59" s="517"/>
      <c r="AF59" s="517"/>
      <c r="AG59" s="517"/>
      <c r="AH59" s="517"/>
      <c r="AI59" s="517"/>
      <c r="AJ59" s="517"/>
      <c r="AK59" s="517"/>
    </row>
    <row r="60" spans="1:51" ht="15" customHeight="1" x14ac:dyDescent="0.25">
      <c r="I60" s="99"/>
      <c r="J60" s="483" t="str">
        <f>+IF(I6="BANCO INTERNACIONAL DEL PERÚ S.A.A. - INTERBANK","Por indicación del solicitante, se considera como importe asegurable al valor comercial.","")</f>
        <v>Por indicación del solicitante, se considera como importe asegurable al valor comercial.</v>
      </c>
      <c r="K60" s="483"/>
      <c r="L60" s="483"/>
      <c r="M60" s="483"/>
      <c r="N60" s="483"/>
      <c r="O60" s="483"/>
      <c r="P60" s="483"/>
      <c r="Q60" s="483"/>
      <c r="R60" s="483"/>
      <c r="S60" s="483"/>
      <c r="T60" s="483"/>
      <c r="U60" s="483"/>
      <c r="V60" s="483"/>
      <c r="W60" s="483"/>
      <c r="X60" s="483"/>
      <c r="Y60" s="483"/>
      <c r="Z60" s="483"/>
      <c r="AA60" s="483"/>
      <c r="AB60" s="483"/>
      <c r="AC60" s="483"/>
      <c r="AD60" s="483"/>
      <c r="AE60" s="483"/>
      <c r="AF60" s="483"/>
      <c r="AG60" s="483"/>
      <c r="AH60" s="483"/>
      <c r="AI60" s="483"/>
      <c r="AJ60" s="483"/>
      <c r="AK60" s="483"/>
      <c r="AN60" s="80"/>
      <c r="AQ60" s="291"/>
    </row>
    <row r="61" spans="1:51" ht="6" customHeight="1" x14ac:dyDescent="0.25">
      <c r="I61" s="99"/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  <c r="U61" s="253"/>
      <c r="V61" s="253"/>
      <c r="W61" s="253"/>
      <c r="X61" s="253"/>
      <c r="Y61" s="253"/>
      <c r="Z61" s="253"/>
      <c r="AA61" s="253"/>
      <c r="AB61" s="253"/>
      <c r="AC61" s="253"/>
      <c r="AD61" s="253"/>
      <c r="AE61" s="253"/>
      <c r="AF61" s="253"/>
      <c r="AG61" s="253"/>
      <c r="AH61" s="253"/>
      <c r="AI61" s="253"/>
      <c r="AJ61" s="253"/>
      <c r="AK61" s="253"/>
    </row>
    <row r="62" spans="1:51" ht="15" customHeight="1" x14ac:dyDescent="0.25">
      <c r="B62" s="61" t="s">
        <v>205</v>
      </c>
      <c r="I62" s="61" t="s">
        <v>195</v>
      </c>
      <c r="J62" s="570" t="str">
        <f ca="1">+TEXT(J73,"yyyy")</f>
        <v>2020</v>
      </c>
      <c r="K62" s="570"/>
    </row>
    <row r="63" spans="1:51" ht="15" customHeight="1" x14ac:dyDescent="0.25">
      <c r="B63" s="61" t="s">
        <v>204</v>
      </c>
      <c r="I63" s="61" t="s">
        <v>195</v>
      </c>
      <c r="J63" s="223" t="str">
        <f>+Memoria!L107</f>
        <v>Concreto</v>
      </c>
    </row>
    <row r="64" spans="1:51" ht="15" customHeight="1" x14ac:dyDescent="0.25">
      <c r="B64" s="61" t="s">
        <v>202</v>
      </c>
      <c r="I64" s="61" t="s">
        <v>195</v>
      </c>
      <c r="J64" s="223" t="s">
        <v>524</v>
      </c>
      <c r="AQ64" s="343" t="s">
        <v>500</v>
      </c>
    </row>
    <row r="65" spans="1:43" s="223" customFormat="1" ht="15" customHeight="1" x14ac:dyDescent="0.25">
      <c r="B65" s="223" t="s">
        <v>174</v>
      </c>
      <c r="E65" s="352"/>
      <c r="F65" s="352"/>
      <c r="G65" s="352"/>
      <c r="I65" s="352" t="s">
        <v>129</v>
      </c>
      <c r="J65" s="223" t="str">
        <f>+I116</f>
        <v>CV - Comercio Vecinal / RDM - Residencial de Densidad Media (según licencia de edificación)</v>
      </c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2"/>
      <c r="X65" s="352"/>
      <c r="Y65" s="352"/>
      <c r="Z65" s="352"/>
      <c r="AA65" s="352"/>
      <c r="AB65" s="352"/>
      <c r="AC65" s="352"/>
      <c r="AD65" s="352"/>
      <c r="AE65" s="352"/>
      <c r="AF65" s="352"/>
      <c r="AG65" s="352"/>
      <c r="AH65" s="352"/>
      <c r="AI65" s="352"/>
      <c r="AJ65" s="352"/>
      <c r="AK65" s="352"/>
      <c r="AQ65" s="353"/>
    </row>
    <row r="66" spans="1:43" s="223" customFormat="1" ht="15" customHeight="1" x14ac:dyDescent="0.25">
      <c r="B66" s="223" t="s">
        <v>173</v>
      </c>
      <c r="I66" s="223" t="s">
        <v>195</v>
      </c>
      <c r="J66" s="223" t="str">
        <f>+I117</f>
        <v>Vivienda</v>
      </c>
      <c r="AM66" s="223" t="s">
        <v>519</v>
      </c>
      <c r="AQ66" s="326"/>
    </row>
    <row r="67" spans="1:43" ht="15" customHeight="1" x14ac:dyDescent="0.25">
      <c r="B67" s="61" t="s">
        <v>200</v>
      </c>
      <c r="I67" s="61" t="s">
        <v>195</v>
      </c>
      <c r="J67" s="236" t="str">
        <f>+Memoria!X107</f>
        <v>20 y Azotea</v>
      </c>
      <c r="AQ67" s="294"/>
    </row>
    <row r="68" spans="1:43" ht="15" customHeight="1" x14ac:dyDescent="0.25">
      <c r="B68" s="61" t="s">
        <v>198</v>
      </c>
      <c r="I68" s="61" t="s">
        <v>195</v>
      </c>
      <c r="J68" s="236" t="str">
        <f>+Memoria!AJ107</f>
        <v>-</v>
      </c>
      <c r="AQ68" s="294"/>
    </row>
    <row r="69" spans="1:43" ht="6" customHeight="1" x14ac:dyDescent="0.25">
      <c r="J69" s="139"/>
    </row>
    <row r="70" spans="1:43" ht="15" customHeight="1" x14ac:dyDescent="0.25">
      <c r="B70" s="61" t="s">
        <v>196</v>
      </c>
      <c r="I70" s="61" t="s">
        <v>195</v>
      </c>
      <c r="J70" s="122" t="s">
        <v>194</v>
      </c>
      <c r="S70" s="62"/>
      <c r="T70" s="62"/>
    </row>
    <row r="71" spans="1:43" ht="15" customHeight="1" x14ac:dyDescent="0.25">
      <c r="J71" s="61" t="s">
        <v>193</v>
      </c>
      <c r="R71" s="62"/>
      <c r="S71" s="62"/>
      <c r="T71" s="62"/>
    </row>
    <row r="72" spans="1:43" ht="6" customHeight="1" x14ac:dyDescent="0.25">
      <c r="R72" s="62"/>
      <c r="S72" s="62"/>
      <c r="T72" s="62"/>
    </row>
    <row r="73" spans="1:43" ht="15" customHeight="1" x14ac:dyDescent="0.25">
      <c r="B73" s="61" t="s">
        <v>192</v>
      </c>
      <c r="I73" s="61" t="s">
        <v>129</v>
      </c>
      <c r="J73" s="571">
        <f ca="1">TODAY()</f>
        <v>44110</v>
      </c>
      <c r="K73" s="571"/>
      <c r="L73" s="571"/>
      <c r="M73" s="571"/>
      <c r="N73" s="571"/>
      <c r="O73" s="571"/>
      <c r="P73" s="571"/>
      <c r="Q73" s="571"/>
      <c r="R73" s="571"/>
      <c r="S73" s="571"/>
      <c r="T73" s="571"/>
      <c r="U73" s="571"/>
      <c r="V73" s="571"/>
      <c r="W73" s="571"/>
      <c r="X73" s="571"/>
      <c r="Y73" s="571"/>
      <c r="Z73" s="571"/>
      <c r="AA73" s="571"/>
      <c r="AB73" s="571"/>
      <c r="AC73" s="571"/>
      <c r="AD73" s="571"/>
      <c r="AE73" s="571"/>
      <c r="AF73" s="571"/>
      <c r="AG73" s="571"/>
      <c r="AH73" s="571"/>
      <c r="AI73" s="571"/>
      <c r="AJ73" s="571"/>
      <c r="AK73" s="571"/>
      <c r="AN73" s="61" t="str">
        <f ca="1">+TEXT(J73,"yyyy")</f>
        <v>2020</v>
      </c>
      <c r="AQ73" s="343" t="s">
        <v>501</v>
      </c>
    </row>
    <row r="74" spans="1:43" ht="15" customHeight="1" x14ac:dyDescent="0.25"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/>
    </row>
    <row r="75" spans="1:43" ht="15" customHeight="1" x14ac:dyDescent="0.25">
      <c r="A75" s="251"/>
      <c r="B75" s="534" t="s">
        <v>191</v>
      </c>
      <c r="C75" s="534"/>
      <c r="D75" s="534"/>
      <c r="E75" s="534"/>
      <c r="F75" s="534"/>
      <c r="G75" s="534"/>
      <c r="H75" s="534"/>
      <c r="I75" s="534"/>
      <c r="J75" s="534"/>
      <c r="K75" s="534"/>
      <c r="L75" s="534"/>
      <c r="M75" s="534"/>
      <c r="N75" s="534"/>
      <c r="O75" s="534"/>
      <c r="P75" s="534"/>
      <c r="Q75" s="534"/>
      <c r="R75" s="534"/>
      <c r="S75" s="534"/>
      <c r="T75" s="534"/>
      <c r="U75" s="534"/>
      <c r="V75" s="534"/>
      <c r="W75" s="534"/>
      <c r="X75" s="534"/>
      <c r="Y75" s="534"/>
      <c r="Z75" s="534"/>
      <c r="AA75" s="534"/>
      <c r="AB75" s="534"/>
      <c r="AC75" s="534"/>
      <c r="AD75" s="534"/>
      <c r="AE75" s="534"/>
      <c r="AF75" s="534"/>
      <c r="AG75" s="534"/>
      <c r="AH75" s="534"/>
      <c r="AI75" s="534"/>
      <c r="AJ75" s="534"/>
      <c r="AK75" s="534"/>
      <c r="AL75" s="251"/>
      <c r="AM75" s="251"/>
      <c r="AQ75" s="291"/>
    </row>
    <row r="76" spans="1:43" ht="15" customHeight="1" x14ac:dyDescent="0.25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</row>
    <row r="77" spans="1:43" ht="15" customHeight="1" x14ac:dyDescent="0.25">
      <c r="A77" s="251"/>
      <c r="B77" s="534" t="s">
        <v>190</v>
      </c>
      <c r="C77" s="534"/>
      <c r="D77" s="534"/>
      <c r="E77" s="534"/>
      <c r="F77" s="534"/>
      <c r="G77" s="534"/>
      <c r="H77" s="534"/>
      <c r="I77" s="534"/>
      <c r="J77" s="534"/>
      <c r="K77" s="534"/>
      <c r="L77" s="534"/>
      <c r="M77" s="534"/>
      <c r="N77" s="534"/>
      <c r="O77" s="534"/>
      <c r="P77" s="534"/>
      <c r="Q77" s="534"/>
      <c r="R77" s="534"/>
      <c r="S77" s="534"/>
      <c r="T77" s="534"/>
      <c r="U77" s="534"/>
      <c r="V77" s="534"/>
      <c r="W77" s="534"/>
      <c r="X77" s="534"/>
      <c r="Y77" s="534"/>
      <c r="Z77" s="534"/>
      <c r="AA77" s="534"/>
      <c r="AB77" s="534"/>
      <c r="AC77" s="534"/>
      <c r="AD77" s="534"/>
      <c r="AE77" s="534"/>
      <c r="AF77" s="534"/>
      <c r="AG77" s="534"/>
      <c r="AH77" s="534"/>
      <c r="AI77" s="534"/>
      <c r="AJ77" s="534"/>
      <c r="AK77" s="534"/>
      <c r="AL77" s="251"/>
      <c r="AM77" s="251"/>
    </row>
    <row r="79" spans="1:43" ht="15" customHeight="1" x14ac:dyDescent="0.25">
      <c r="A79" s="77"/>
      <c r="B79" s="77" t="s">
        <v>95</v>
      </c>
      <c r="D79" s="76" t="s">
        <v>189</v>
      </c>
      <c r="E79" s="136"/>
      <c r="F79" s="136"/>
      <c r="G79" s="136"/>
    </row>
    <row r="80" spans="1:43" ht="6" customHeight="1" x14ac:dyDescent="0.25">
      <c r="A80" s="77"/>
      <c r="B80" s="77"/>
      <c r="D80" s="76"/>
      <c r="E80" s="136"/>
      <c r="F80" s="136"/>
      <c r="G80" s="136"/>
    </row>
    <row r="81" spans="1:43" ht="15" customHeight="1" x14ac:dyDescent="0.25">
      <c r="D81" s="61" t="str">
        <f>+I6</f>
        <v>BANCO INTERNACIONAL DEL PERÚ S.A.A. - INTERBANK</v>
      </c>
    </row>
    <row r="83" spans="1:43" ht="15" customHeight="1" x14ac:dyDescent="0.25">
      <c r="A83" s="77"/>
      <c r="B83" s="77" t="s">
        <v>89</v>
      </c>
      <c r="D83" s="76" t="s">
        <v>188</v>
      </c>
      <c r="E83" s="136"/>
      <c r="F83" s="136"/>
      <c r="G83" s="136"/>
    </row>
    <row r="84" spans="1:43" ht="6" customHeight="1" x14ac:dyDescent="0.25">
      <c r="A84" s="77"/>
      <c r="B84" s="77"/>
      <c r="D84" s="76"/>
      <c r="E84" s="136"/>
      <c r="F84" s="136"/>
      <c r="G84" s="136"/>
    </row>
    <row r="85" spans="1:43" ht="15" customHeight="1" x14ac:dyDescent="0.25">
      <c r="D85" s="61" t="str">
        <f>+I8</f>
        <v>BESCO S.A.C.</v>
      </c>
    </row>
    <row r="87" spans="1:43" ht="15" customHeight="1" x14ac:dyDescent="0.25">
      <c r="A87" s="77"/>
      <c r="B87" s="77" t="s">
        <v>83</v>
      </c>
      <c r="D87" s="76" t="s">
        <v>187</v>
      </c>
    </row>
    <row r="88" spans="1:43" ht="6" customHeight="1" x14ac:dyDescent="0.25">
      <c r="A88" s="62"/>
      <c r="B88" s="62"/>
    </row>
    <row r="89" spans="1:43" ht="15" customHeight="1" x14ac:dyDescent="0.25">
      <c r="D89" s="61" t="s">
        <v>158</v>
      </c>
      <c r="I89" s="61" t="s">
        <v>129</v>
      </c>
      <c r="J89" s="61" t="s">
        <v>186</v>
      </c>
      <c r="P89" s="570">
        <f>+Memoria!P15</f>
        <v>13750983</v>
      </c>
      <c r="Q89" s="570"/>
      <c r="R89" s="570"/>
      <c r="S89" s="129" t="str">
        <f>+Memoria!S15</f>
        <v>del Registro de Propiedad Inmueble, Zona Registral IX Sede Lima.</v>
      </c>
      <c r="X89" s="129"/>
      <c r="Y89" s="129"/>
    </row>
    <row r="90" spans="1:43" s="223" customFormat="1" ht="15" customHeight="1" x14ac:dyDescent="0.25">
      <c r="D90" s="484" t="str">
        <f>"► "&amp;B41</f>
        <v>► Departamento No 104</v>
      </c>
      <c r="E90" s="484"/>
      <c r="F90" s="484"/>
      <c r="G90" s="484"/>
      <c r="H90" s="484"/>
      <c r="I90" s="484"/>
      <c r="J90" s="484"/>
      <c r="K90" s="223" t="s">
        <v>129</v>
      </c>
      <c r="L90" s="484" t="s">
        <v>481</v>
      </c>
      <c r="M90" s="484"/>
      <c r="N90" s="484"/>
      <c r="O90" s="484"/>
      <c r="P90" s="484"/>
      <c r="Q90" s="484"/>
      <c r="R90" s="484"/>
      <c r="S90" s="484"/>
      <c r="T90" s="484"/>
      <c r="U90" s="484"/>
      <c r="V90" s="484"/>
      <c r="W90" s="484"/>
      <c r="X90" s="484"/>
      <c r="Y90" s="484"/>
      <c r="Z90" s="484"/>
      <c r="AA90" s="484"/>
      <c r="AB90" s="484"/>
      <c r="AC90" s="484"/>
      <c r="AD90" s="484"/>
      <c r="AE90" s="484"/>
      <c r="AF90" s="484"/>
      <c r="AG90" s="484"/>
      <c r="AH90" s="484"/>
      <c r="AI90" s="484"/>
      <c r="AJ90" s="484"/>
      <c r="AK90" s="484"/>
      <c r="AQ90" s="353" t="s">
        <v>502</v>
      </c>
    </row>
    <row r="91" spans="1:43" s="401" customFormat="1" ht="15" customHeight="1" x14ac:dyDescent="0.25">
      <c r="D91" s="484" t="str">
        <f>"► "&amp;B42</f>
        <v>► Estacionamiento No 181</v>
      </c>
      <c r="E91" s="484"/>
      <c r="F91" s="484"/>
      <c r="G91" s="484"/>
      <c r="H91" s="484"/>
      <c r="I91" s="484"/>
      <c r="J91" s="484"/>
      <c r="K91" s="401" t="s">
        <v>129</v>
      </c>
      <c r="L91" s="484" t="s">
        <v>481</v>
      </c>
      <c r="M91" s="484"/>
      <c r="N91" s="484"/>
      <c r="O91" s="484"/>
      <c r="P91" s="484"/>
      <c r="Q91" s="484"/>
      <c r="R91" s="484"/>
      <c r="S91" s="484"/>
      <c r="T91" s="484"/>
      <c r="U91" s="484"/>
      <c r="V91" s="484"/>
      <c r="W91" s="484"/>
      <c r="X91" s="484"/>
      <c r="Y91" s="484"/>
      <c r="Z91" s="484"/>
      <c r="AA91" s="484"/>
      <c r="AB91" s="484"/>
      <c r="AC91" s="484"/>
      <c r="AD91" s="484"/>
      <c r="AE91" s="484"/>
      <c r="AF91" s="484"/>
      <c r="AG91" s="484"/>
      <c r="AH91" s="484"/>
      <c r="AI91" s="484"/>
      <c r="AJ91" s="484"/>
      <c r="AK91" s="484"/>
      <c r="AQ91" s="353"/>
    </row>
    <row r="92" spans="1:43" s="401" customFormat="1" ht="15" customHeight="1" x14ac:dyDescent="0.25">
      <c r="D92" s="484" t="str">
        <f>"► "&amp;B43</f>
        <v>► Depósito No 06</v>
      </c>
      <c r="E92" s="484"/>
      <c r="F92" s="484"/>
      <c r="G92" s="484"/>
      <c r="H92" s="484"/>
      <c r="I92" s="484"/>
      <c r="J92" s="484"/>
      <c r="K92" s="401" t="s">
        <v>129</v>
      </c>
      <c r="L92" s="484" t="s">
        <v>481</v>
      </c>
      <c r="M92" s="484"/>
      <c r="N92" s="484"/>
      <c r="O92" s="484"/>
      <c r="P92" s="484"/>
      <c r="Q92" s="484"/>
      <c r="R92" s="484"/>
      <c r="S92" s="484"/>
      <c r="T92" s="484"/>
      <c r="U92" s="484"/>
      <c r="V92" s="484"/>
      <c r="W92" s="484"/>
      <c r="X92" s="484"/>
      <c r="Y92" s="484"/>
      <c r="Z92" s="484"/>
      <c r="AA92" s="484"/>
      <c r="AB92" s="484"/>
      <c r="AC92" s="484"/>
      <c r="AD92" s="484"/>
      <c r="AE92" s="484"/>
      <c r="AF92" s="484"/>
      <c r="AG92" s="484"/>
      <c r="AH92" s="484"/>
      <c r="AI92" s="484"/>
      <c r="AJ92" s="484"/>
      <c r="AK92" s="484"/>
      <c r="AQ92" s="353"/>
    </row>
    <row r="93" spans="1:43" s="370" customFormat="1" ht="15" customHeight="1" x14ac:dyDescent="0.25">
      <c r="D93" s="484" t="str">
        <f>"► "&amp;B44</f>
        <v>► Estacionamiento No 185</v>
      </c>
      <c r="E93" s="484"/>
      <c r="F93" s="484"/>
      <c r="G93" s="484"/>
      <c r="H93" s="484"/>
      <c r="I93" s="484"/>
      <c r="J93" s="484"/>
      <c r="K93" s="370" t="s">
        <v>129</v>
      </c>
      <c r="L93" s="484" t="s">
        <v>481</v>
      </c>
      <c r="M93" s="484"/>
      <c r="N93" s="484"/>
      <c r="O93" s="484"/>
      <c r="P93" s="484"/>
      <c r="Q93" s="484"/>
      <c r="R93" s="484"/>
      <c r="S93" s="484"/>
      <c r="T93" s="484"/>
      <c r="U93" s="484"/>
      <c r="V93" s="484"/>
      <c r="W93" s="484"/>
      <c r="X93" s="484"/>
      <c r="Y93" s="484"/>
      <c r="Z93" s="484"/>
      <c r="AA93" s="484"/>
      <c r="AB93" s="484"/>
      <c r="AC93" s="484"/>
      <c r="AD93" s="484"/>
      <c r="AE93" s="484"/>
      <c r="AF93" s="484"/>
      <c r="AG93" s="484"/>
      <c r="AH93" s="484"/>
      <c r="AI93" s="484"/>
      <c r="AJ93" s="484"/>
      <c r="AK93" s="484"/>
      <c r="AQ93" s="353"/>
    </row>
    <row r="94" spans="1:43" s="370" customFormat="1" ht="15" customHeight="1" x14ac:dyDescent="0.25">
      <c r="D94" s="484" t="str">
        <f>"► "&amp;B45</f>
        <v>► Depósito No 07</v>
      </c>
      <c r="E94" s="484"/>
      <c r="F94" s="484"/>
      <c r="G94" s="484"/>
      <c r="H94" s="484"/>
      <c r="I94" s="484"/>
      <c r="J94" s="484"/>
      <c r="K94" s="370" t="s">
        <v>129</v>
      </c>
      <c r="L94" s="484" t="s">
        <v>481</v>
      </c>
      <c r="M94" s="484"/>
      <c r="N94" s="484"/>
      <c r="O94" s="484"/>
      <c r="P94" s="484"/>
      <c r="Q94" s="484"/>
      <c r="R94" s="484"/>
      <c r="S94" s="484"/>
      <c r="T94" s="484"/>
      <c r="U94" s="484"/>
      <c r="V94" s="484"/>
      <c r="W94" s="484"/>
      <c r="X94" s="484"/>
      <c r="Y94" s="484"/>
      <c r="Z94" s="484"/>
      <c r="AA94" s="484"/>
      <c r="AB94" s="484"/>
      <c r="AC94" s="484"/>
      <c r="AD94" s="484"/>
      <c r="AE94" s="484"/>
      <c r="AF94" s="484"/>
      <c r="AG94" s="484"/>
      <c r="AH94" s="484"/>
      <c r="AI94" s="484"/>
      <c r="AJ94" s="484"/>
      <c r="AK94" s="484"/>
      <c r="AQ94" s="353"/>
    </row>
    <row r="96" spans="1:43" ht="15" customHeight="1" x14ac:dyDescent="0.25">
      <c r="A96" s="77"/>
      <c r="B96" s="77" t="s">
        <v>75</v>
      </c>
      <c r="D96" s="76" t="s">
        <v>185</v>
      </c>
    </row>
    <row r="97" spans="1:43" ht="6" customHeight="1" x14ac:dyDescent="0.25">
      <c r="A97" s="77"/>
      <c r="B97" s="77"/>
      <c r="D97" s="76"/>
    </row>
    <row r="98" spans="1:43" ht="29.25" customHeight="1" x14ac:dyDescent="0.25">
      <c r="D98" s="482" t="s">
        <v>184</v>
      </c>
      <c r="E98" s="482"/>
      <c r="F98" s="482"/>
      <c r="G98" s="482"/>
      <c r="H98" s="482"/>
      <c r="I98" s="482"/>
      <c r="J98" s="482"/>
      <c r="K98" s="482"/>
      <c r="L98" s="482"/>
      <c r="M98" s="482"/>
      <c r="N98" s="482"/>
      <c r="O98" s="482"/>
      <c r="P98" s="482"/>
      <c r="Q98" s="482"/>
      <c r="R98" s="482"/>
      <c r="S98" s="482"/>
      <c r="T98" s="482"/>
      <c r="U98" s="482"/>
      <c r="V98" s="482"/>
      <c r="W98" s="482"/>
      <c r="X98" s="482"/>
      <c r="Y98" s="482"/>
      <c r="Z98" s="482"/>
      <c r="AA98" s="482"/>
      <c r="AB98" s="482"/>
      <c r="AC98" s="482"/>
      <c r="AD98" s="482"/>
      <c r="AE98" s="482"/>
      <c r="AF98" s="482"/>
      <c r="AG98" s="482"/>
      <c r="AH98" s="482"/>
      <c r="AI98" s="482"/>
      <c r="AJ98" s="482"/>
      <c r="AK98" s="482"/>
    </row>
    <row r="99" spans="1:43" ht="15" customHeight="1" x14ac:dyDescent="0.25">
      <c r="E99" s="252"/>
      <c r="F99" s="252"/>
      <c r="G99" s="252"/>
      <c r="H99" s="252"/>
      <c r="I99" s="252"/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  <c r="V99" s="252"/>
      <c r="W99" s="252"/>
      <c r="X99" s="252"/>
    </row>
    <row r="100" spans="1:43" ht="15" customHeight="1" x14ac:dyDescent="0.25">
      <c r="A100" s="77"/>
      <c r="B100" s="77" t="s">
        <v>72</v>
      </c>
      <c r="D100" s="76" t="s">
        <v>183</v>
      </c>
    </row>
    <row r="101" spans="1:43" ht="6" customHeight="1" x14ac:dyDescent="0.25"/>
    <row r="102" spans="1:43" ht="42" customHeight="1" x14ac:dyDescent="0.25">
      <c r="D102" s="517" t="s">
        <v>182</v>
      </c>
      <c r="E102" s="517"/>
      <c r="F102" s="517"/>
      <c r="G102" s="517"/>
      <c r="H102" s="517"/>
      <c r="I102" s="517"/>
      <c r="J102" s="517"/>
      <c r="K102" s="517"/>
      <c r="L102" s="517"/>
      <c r="M102" s="517"/>
      <c r="N102" s="517"/>
      <c r="O102" s="517"/>
      <c r="P102" s="517"/>
      <c r="Q102" s="517"/>
      <c r="R102" s="517"/>
      <c r="S102" s="517"/>
      <c r="T102" s="517"/>
      <c r="U102" s="517"/>
      <c r="V102" s="517"/>
      <c r="W102" s="517"/>
      <c r="X102" s="517"/>
      <c r="Y102" s="517"/>
      <c r="Z102" s="517"/>
      <c r="AA102" s="517"/>
      <c r="AB102" s="517"/>
      <c r="AC102" s="517"/>
      <c r="AD102" s="517"/>
      <c r="AE102" s="517"/>
      <c r="AF102" s="517"/>
      <c r="AG102" s="517"/>
      <c r="AH102" s="517"/>
      <c r="AI102" s="517"/>
      <c r="AJ102" s="517"/>
      <c r="AK102" s="517"/>
      <c r="AL102" s="253"/>
      <c r="AM102" s="253"/>
    </row>
    <row r="103" spans="1:43" ht="15" customHeight="1" x14ac:dyDescent="0.25">
      <c r="E103" s="252"/>
      <c r="F103" s="252"/>
      <c r="G103" s="252"/>
      <c r="H103" s="252"/>
      <c r="I103" s="25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</row>
    <row r="104" spans="1:43" ht="15" customHeight="1" x14ac:dyDescent="0.25">
      <c r="A104" s="77"/>
      <c r="B104" s="77" t="s">
        <v>181</v>
      </c>
      <c r="D104" s="76" t="s">
        <v>180</v>
      </c>
      <c r="R104" s="565">
        <f>+I12</f>
        <v>43992</v>
      </c>
      <c r="S104" s="565"/>
      <c r="T104" s="565"/>
      <c r="U104" s="565"/>
      <c r="V104" s="565"/>
      <c r="W104" s="565"/>
      <c r="X104" s="565"/>
      <c r="Y104" s="565"/>
    </row>
    <row r="105" spans="1:43" ht="15" customHeight="1" x14ac:dyDescent="0.25">
      <c r="A105" s="77"/>
      <c r="B105" s="77"/>
      <c r="D105" s="76"/>
    </row>
    <row r="106" spans="1:43" ht="15" customHeight="1" x14ac:dyDescent="0.25">
      <c r="A106" s="77"/>
      <c r="B106" s="77"/>
      <c r="D106" s="76" t="s">
        <v>179</v>
      </c>
      <c r="R106" s="566">
        <f ca="1">+J73</f>
        <v>44110</v>
      </c>
      <c r="S106" s="566"/>
      <c r="T106" s="566"/>
      <c r="U106" s="566"/>
      <c r="V106" s="566"/>
      <c r="W106" s="566"/>
      <c r="X106" s="566"/>
      <c r="Y106" s="566"/>
    </row>
    <row r="108" spans="1:43" ht="15" customHeight="1" x14ac:dyDescent="0.25">
      <c r="A108" s="77"/>
      <c r="B108" s="77" t="s">
        <v>178</v>
      </c>
      <c r="D108" s="76" t="s">
        <v>177</v>
      </c>
    </row>
    <row r="109" spans="1:43" ht="6" customHeight="1" x14ac:dyDescent="0.25">
      <c r="A109" s="77"/>
      <c r="B109" s="77"/>
      <c r="D109" s="76"/>
    </row>
    <row r="110" spans="1:43" s="68" customFormat="1" ht="30" customHeight="1" x14ac:dyDescent="0.25">
      <c r="D110" s="519" t="str">
        <f>+I9</f>
        <v>DIRECCIÓN REGISTRAL: (Matriz) Calle Roetgen número 110-160 Fundo La Calera de La Merced - Distrito de Surquillo, provincia y departamento de Lima.</v>
      </c>
      <c r="E110" s="519"/>
      <c r="F110" s="519"/>
      <c r="G110" s="519"/>
      <c r="H110" s="519"/>
      <c r="I110" s="519"/>
      <c r="J110" s="519"/>
      <c r="K110" s="519"/>
      <c r="L110" s="519"/>
      <c r="M110" s="519"/>
      <c r="N110" s="519"/>
      <c r="O110" s="519"/>
      <c r="P110" s="519"/>
      <c r="Q110" s="519"/>
      <c r="R110" s="519"/>
      <c r="S110" s="519"/>
      <c r="T110" s="519"/>
      <c r="U110" s="519"/>
      <c r="V110" s="519"/>
      <c r="W110" s="519"/>
      <c r="X110" s="519"/>
      <c r="Y110" s="519"/>
      <c r="Z110" s="519"/>
      <c r="AA110" s="519"/>
      <c r="AB110" s="519"/>
      <c r="AC110" s="519"/>
      <c r="AD110" s="519"/>
      <c r="AE110" s="519"/>
      <c r="AF110" s="519"/>
      <c r="AG110" s="519"/>
      <c r="AH110" s="519"/>
      <c r="AI110" s="519"/>
      <c r="AJ110" s="519"/>
      <c r="AK110" s="519"/>
      <c r="AL110" s="250"/>
      <c r="AM110" s="250"/>
      <c r="AQ110" s="343"/>
    </row>
    <row r="111" spans="1:43" s="68" customFormat="1" ht="30" customHeight="1" x14ac:dyDescent="0.25">
      <c r="D111" s="519" t="str">
        <f>+I10</f>
        <v>DIRECCIÓN DE AUTO-AVALÚO: (Matriz) Cl. Roentgen s/n Mz Q Lt 19-20 Asoc. Prov. Trabajadores de Educación (Copervide) - Distrito de Surquillo, provincia y departamento de Lima.</v>
      </c>
      <c r="E111" s="519"/>
      <c r="F111" s="519"/>
      <c r="G111" s="519"/>
      <c r="H111" s="519"/>
      <c r="I111" s="519"/>
      <c r="J111" s="519"/>
      <c r="K111" s="519"/>
      <c r="L111" s="519"/>
      <c r="M111" s="519"/>
      <c r="N111" s="519"/>
      <c r="O111" s="519"/>
      <c r="P111" s="519"/>
      <c r="Q111" s="519"/>
      <c r="R111" s="519"/>
      <c r="S111" s="519"/>
      <c r="T111" s="519"/>
      <c r="U111" s="519"/>
      <c r="V111" s="519"/>
      <c r="W111" s="519"/>
      <c r="X111" s="519"/>
      <c r="Y111" s="519"/>
      <c r="Z111" s="519"/>
      <c r="AA111" s="519"/>
      <c r="AB111" s="519"/>
      <c r="AC111" s="519"/>
      <c r="AD111" s="519"/>
      <c r="AE111" s="519"/>
      <c r="AF111" s="519"/>
      <c r="AG111" s="519"/>
      <c r="AH111" s="519"/>
      <c r="AI111" s="519"/>
      <c r="AJ111" s="519"/>
      <c r="AK111" s="519"/>
      <c r="AL111" s="250"/>
      <c r="AM111" s="250"/>
      <c r="AQ111" s="343"/>
    </row>
    <row r="112" spans="1:43" s="68" customFormat="1" ht="43.5" customHeight="1" x14ac:dyDescent="0.25">
      <c r="D112" s="519" t="str">
        <f>+I11</f>
        <v>DIRECCIÓN IN-SITU: Proyecto multifamiliar "Rua" con frente a la Calle Roentgen Nº 110-160 esquina con la Avenida Principal y la Calle Octavio Paz, Urbanización La Calera de la Merced - Distrito de Surquillo, provincia y departamento de Lima. Torre No 13, Departamento N° 104, Estacionamiento N° 181, Depósito N° 06.</v>
      </c>
      <c r="E112" s="519"/>
      <c r="F112" s="519"/>
      <c r="G112" s="519"/>
      <c r="H112" s="519"/>
      <c r="I112" s="519"/>
      <c r="J112" s="519"/>
      <c r="K112" s="519"/>
      <c r="L112" s="519"/>
      <c r="M112" s="519"/>
      <c r="N112" s="519"/>
      <c r="O112" s="519"/>
      <c r="P112" s="519"/>
      <c r="Q112" s="519"/>
      <c r="R112" s="519"/>
      <c r="S112" s="519"/>
      <c r="T112" s="519"/>
      <c r="U112" s="519"/>
      <c r="V112" s="519"/>
      <c r="W112" s="519"/>
      <c r="X112" s="519"/>
      <c r="Y112" s="519"/>
      <c r="Z112" s="519"/>
      <c r="AA112" s="519"/>
      <c r="AB112" s="519"/>
      <c r="AC112" s="519"/>
      <c r="AD112" s="519"/>
      <c r="AE112" s="519"/>
      <c r="AF112" s="519"/>
      <c r="AG112" s="519"/>
      <c r="AH112" s="519"/>
      <c r="AI112" s="519"/>
      <c r="AJ112" s="519"/>
      <c r="AK112" s="519"/>
      <c r="AL112" s="250"/>
      <c r="AM112" s="250"/>
      <c r="AQ112" s="293"/>
    </row>
    <row r="113" spans="1:44" ht="15" customHeight="1" x14ac:dyDescent="0.25">
      <c r="AQ113" s="293"/>
    </row>
    <row r="114" spans="1:44" ht="15" customHeight="1" x14ac:dyDescent="0.25">
      <c r="A114" s="77"/>
      <c r="B114" s="77" t="s">
        <v>176</v>
      </c>
      <c r="D114" s="76" t="s">
        <v>175</v>
      </c>
      <c r="AQ114" s="293"/>
    </row>
    <row r="115" spans="1:44" ht="6" customHeight="1" x14ac:dyDescent="0.25">
      <c r="A115" s="77"/>
      <c r="B115" s="77"/>
      <c r="D115" s="76"/>
    </row>
    <row r="116" spans="1:44" ht="15" customHeight="1" x14ac:dyDescent="0.25">
      <c r="D116" s="61" t="s">
        <v>174</v>
      </c>
      <c r="E116" s="99"/>
      <c r="F116" s="99"/>
      <c r="G116" s="99"/>
      <c r="H116" s="99" t="s">
        <v>129</v>
      </c>
      <c r="I116" s="61" t="str">
        <f>+Memoria!L64</f>
        <v>CV - Comercio Vecinal / RDM - Residencial de Densidad Media (según licencia de edificación)</v>
      </c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9"/>
      <c r="AD116" s="99"/>
      <c r="AE116" s="99"/>
      <c r="AF116" s="99"/>
      <c r="AG116" s="99"/>
      <c r="AH116" s="99"/>
      <c r="AI116" s="99"/>
      <c r="AJ116" s="99"/>
      <c r="AK116" s="99"/>
    </row>
    <row r="117" spans="1:44" ht="15" customHeight="1" x14ac:dyDescent="0.25">
      <c r="D117" s="61" t="s">
        <v>173</v>
      </c>
      <c r="E117" s="99"/>
      <c r="F117" s="99"/>
      <c r="G117" s="99"/>
      <c r="H117" s="99" t="s">
        <v>129</v>
      </c>
      <c r="I117" s="61" t="str">
        <f>+Memoria!L65</f>
        <v>Vivienda</v>
      </c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9"/>
      <c r="AD117" s="99"/>
      <c r="AE117" s="99"/>
      <c r="AF117" s="99"/>
      <c r="AG117" s="99"/>
      <c r="AH117" s="99"/>
      <c r="AI117" s="99"/>
      <c r="AJ117" s="99"/>
      <c r="AK117" s="99"/>
    </row>
    <row r="118" spans="1:44" ht="15" customHeight="1" x14ac:dyDescent="0.25">
      <c r="AN118" s="96"/>
    </row>
    <row r="119" spans="1:44" ht="15" customHeight="1" x14ac:dyDescent="0.25">
      <c r="A119" s="77"/>
      <c r="B119" s="77" t="s">
        <v>172</v>
      </c>
      <c r="D119" s="76" t="s">
        <v>171</v>
      </c>
      <c r="O119" s="81" t="s">
        <v>170</v>
      </c>
      <c r="P119" s="414">
        <f>+Memoria!P94</f>
        <v>55906.879999999997</v>
      </c>
      <c r="Q119" s="414"/>
      <c r="R119" s="414"/>
      <c r="S119" s="414"/>
      <c r="T119" s="135" t="s">
        <v>161</v>
      </c>
      <c r="Z119" s="62"/>
      <c r="AA119" s="62"/>
      <c r="AR119" s="107"/>
    </row>
    <row r="120" spans="1:44" ht="6" customHeight="1" x14ac:dyDescent="0.25">
      <c r="A120" s="77"/>
      <c r="B120" s="77"/>
      <c r="D120" s="76"/>
      <c r="Y120" s="62"/>
      <c r="Z120" s="62"/>
      <c r="AA120" s="62"/>
    </row>
    <row r="121" spans="1:44" s="68" customFormat="1" ht="30" customHeight="1" x14ac:dyDescent="0.25">
      <c r="A121" s="134"/>
      <c r="B121" s="134"/>
      <c r="D121" s="552" t="s">
        <v>61</v>
      </c>
      <c r="E121" s="553"/>
      <c r="F121" s="553"/>
      <c r="G121" s="553"/>
      <c r="H121" s="553"/>
      <c r="I121" s="553"/>
      <c r="J121" s="554"/>
      <c r="K121" s="555" t="s">
        <v>169</v>
      </c>
      <c r="L121" s="556"/>
      <c r="M121" s="556"/>
      <c r="N121" s="556"/>
      <c r="O121" s="557"/>
      <c r="P121" s="555" t="s">
        <v>168</v>
      </c>
      <c r="Q121" s="556"/>
      <c r="R121" s="556"/>
      <c r="S121" s="556"/>
      <c r="T121" s="557"/>
      <c r="U121" s="567" t="s">
        <v>123</v>
      </c>
      <c r="V121" s="568"/>
      <c r="W121" s="568"/>
      <c r="X121" s="568"/>
      <c r="Y121" s="568"/>
      <c r="Z121" s="568"/>
      <c r="AA121" s="568"/>
      <c r="AB121" s="568"/>
      <c r="AC121" s="568"/>
      <c r="AD121" s="568"/>
      <c r="AE121" s="568"/>
      <c r="AF121" s="568"/>
      <c r="AG121" s="568"/>
      <c r="AH121" s="568"/>
      <c r="AI121" s="568"/>
      <c r="AJ121" s="568"/>
      <c r="AK121" s="569"/>
      <c r="AQ121" s="343"/>
    </row>
    <row r="122" spans="1:44" s="68" customFormat="1" ht="15" customHeight="1" x14ac:dyDescent="0.25">
      <c r="D122" s="492" t="s">
        <v>535</v>
      </c>
      <c r="E122" s="493"/>
      <c r="F122" s="493"/>
      <c r="G122" s="493"/>
      <c r="H122" s="493"/>
      <c r="I122" s="493"/>
      <c r="J122" s="494"/>
      <c r="K122" s="501">
        <f>P122/$P$119</f>
        <v>7.8702299251898889E-5</v>
      </c>
      <c r="L122" s="502"/>
      <c r="M122" s="502"/>
      <c r="N122" s="502"/>
      <c r="O122" s="503"/>
      <c r="P122" s="495">
        <v>4.4000000000000004</v>
      </c>
      <c r="Q122" s="496"/>
      <c r="R122" s="496"/>
      <c r="S122" s="496"/>
      <c r="T122" s="334" t="s">
        <v>161</v>
      </c>
      <c r="U122" s="551" t="s">
        <v>167</v>
      </c>
      <c r="V122" s="551"/>
      <c r="W122" s="551"/>
      <c r="X122" s="551"/>
      <c r="Y122" s="551"/>
      <c r="Z122" s="551"/>
      <c r="AA122" s="551"/>
      <c r="AB122" s="551"/>
      <c r="AC122" s="551"/>
      <c r="AD122" s="551"/>
      <c r="AE122" s="551"/>
      <c r="AF122" s="551"/>
      <c r="AG122" s="551"/>
      <c r="AH122" s="551"/>
      <c r="AI122" s="551"/>
      <c r="AJ122" s="551"/>
      <c r="AK122" s="551"/>
      <c r="AQ122" s="343" t="s">
        <v>503</v>
      </c>
    </row>
    <row r="123" spans="1:44" s="68" customFormat="1" ht="15" customHeight="1" x14ac:dyDescent="0.25">
      <c r="D123" s="492" t="s">
        <v>537</v>
      </c>
      <c r="E123" s="493"/>
      <c r="F123" s="493"/>
      <c r="G123" s="493"/>
      <c r="H123" s="493"/>
      <c r="I123" s="493"/>
      <c r="J123" s="494"/>
      <c r="K123" s="501">
        <f>P123/$P$119</f>
        <v>1.502498440263524E-5</v>
      </c>
      <c r="L123" s="502"/>
      <c r="M123" s="502"/>
      <c r="N123" s="502"/>
      <c r="O123" s="503"/>
      <c r="P123" s="495">
        <v>0.84</v>
      </c>
      <c r="Q123" s="496"/>
      <c r="R123" s="496"/>
      <c r="S123" s="496"/>
      <c r="T123" s="334" t="s">
        <v>161</v>
      </c>
      <c r="U123" s="551"/>
      <c r="V123" s="551"/>
      <c r="W123" s="551"/>
      <c r="X123" s="551"/>
      <c r="Y123" s="551"/>
      <c r="Z123" s="551"/>
      <c r="AA123" s="551"/>
      <c r="AB123" s="551"/>
      <c r="AC123" s="551"/>
      <c r="AD123" s="551"/>
      <c r="AE123" s="551"/>
      <c r="AF123" s="551"/>
      <c r="AG123" s="551"/>
      <c r="AH123" s="551"/>
      <c r="AI123" s="551"/>
      <c r="AJ123" s="551"/>
      <c r="AK123" s="551"/>
      <c r="AQ123" s="343"/>
    </row>
    <row r="124" spans="1:44" s="68" customFormat="1" ht="15" customHeight="1" x14ac:dyDescent="0.25">
      <c r="D124" s="492" t="s">
        <v>540</v>
      </c>
      <c r="E124" s="493"/>
      <c r="F124" s="493"/>
      <c r="G124" s="493"/>
      <c r="H124" s="493"/>
      <c r="I124" s="493"/>
      <c r="J124" s="494"/>
      <c r="K124" s="501">
        <f>P124/$P$119</f>
        <v>7.8702299251898875E-6</v>
      </c>
      <c r="L124" s="502"/>
      <c r="M124" s="502"/>
      <c r="N124" s="502"/>
      <c r="O124" s="503"/>
      <c r="P124" s="495">
        <v>0.44</v>
      </c>
      <c r="Q124" s="496"/>
      <c r="R124" s="496"/>
      <c r="S124" s="496"/>
      <c r="T124" s="334" t="s">
        <v>161</v>
      </c>
      <c r="U124" s="551"/>
      <c r="V124" s="551"/>
      <c r="W124" s="551"/>
      <c r="X124" s="551"/>
      <c r="Y124" s="551"/>
      <c r="Z124" s="551"/>
      <c r="AA124" s="551"/>
      <c r="AB124" s="551"/>
      <c r="AC124" s="551"/>
      <c r="AD124" s="551"/>
      <c r="AE124" s="551"/>
      <c r="AF124" s="551"/>
      <c r="AG124" s="551"/>
      <c r="AH124" s="551"/>
      <c r="AI124" s="551"/>
      <c r="AJ124" s="551"/>
      <c r="AK124" s="551"/>
      <c r="AQ124" s="343"/>
    </row>
    <row r="125" spans="1:44" s="68" customFormat="1" ht="15" customHeight="1" x14ac:dyDescent="0.25">
      <c r="D125" s="492" t="s">
        <v>527</v>
      </c>
      <c r="E125" s="493"/>
      <c r="F125" s="493"/>
      <c r="G125" s="493"/>
      <c r="H125" s="493"/>
      <c r="I125" s="493"/>
      <c r="J125" s="494"/>
      <c r="K125" s="501">
        <f>P125/$P$119</f>
        <v>1.502498440263524E-5</v>
      </c>
      <c r="L125" s="502"/>
      <c r="M125" s="502"/>
      <c r="N125" s="502"/>
      <c r="O125" s="503"/>
      <c r="P125" s="495">
        <v>0.84</v>
      </c>
      <c r="Q125" s="496"/>
      <c r="R125" s="496"/>
      <c r="S125" s="496"/>
      <c r="T125" s="334" t="s">
        <v>161</v>
      </c>
      <c r="U125" s="551"/>
      <c r="V125" s="551"/>
      <c r="W125" s="551"/>
      <c r="X125" s="551"/>
      <c r="Y125" s="551"/>
      <c r="Z125" s="551"/>
      <c r="AA125" s="551"/>
      <c r="AB125" s="551"/>
      <c r="AC125" s="551"/>
      <c r="AD125" s="551"/>
      <c r="AE125" s="551"/>
      <c r="AF125" s="551"/>
      <c r="AG125" s="551"/>
      <c r="AH125" s="551"/>
      <c r="AI125" s="551"/>
      <c r="AJ125" s="551"/>
      <c r="AK125" s="551"/>
      <c r="AQ125" s="343"/>
    </row>
    <row r="126" spans="1:44" s="68" customFormat="1" ht="15" customHeight="1" x14ac:dyDescent="0.25">
      <c r="D126" s="492" t="s">
        <v>530</v>
      </c>
      <c r="E126" s="493"/>
      <c r="F126" s="493"/>
      <c r="G126" s="493"/>
      <c r="H126" s="493"/>
      <c r="I126" s="493"/>
      <c r="J126" s="494"/>
      <c r="K126" s="501">
        <f>P126/$P$119</f>
        <v>3.9351149625949437E-6</v>
      </c>
      <c r="L126" s="502"/>
      <c r="M126" s="502"/>
      <c r="N126" s="502"/>
      <c r="O126" s="503"/>
      <c r="P126" s="495">
        <v>0.22</v>
      </c>
      <c r="Q126" s="496"/>
      <c r="R126" s="496"/>
      <c r="S126" s="496"/>
      <c r="T126" s="334" t="s">
        <v>161</v>
      </c>
      <c r="U126" s="551"/>
      <c r="V126" s="551"/>
      <c r="W126" s="551"/>
      <c r="X126" s="551"/>
      <c r="Y126" s="551"/>
      <c r="Z126" s="551"/>
      <c r="AA126" s="551"/>
      <c r="AB126" s="551"/>
      <c r="AC126" s="551"/>
      <c r="AD126" s="551"/>
      <c r="AE126" s="551"/>
      <c r="AF126" s="551"/>
      <c r="AG126" s="551"/>
      <c r="AH126" s="551"/>
      <c r="AI126" s="551"/>
      <c r="AJ126" s="551"/>
      <c r="AK126" s="551"/>
      <c r="AQ126" s="343"/>
    </row>
    <row r="127" spans="1:44" s="68" customFormat="1" ht="15" hidden="1" customHeight="1" outlineLevel="1" x14ac:dyDescent="0.25">
      <c r="D127" s="255"/>
      <c r="E127" s="256"/>
      <c r="F127" s="256"/>
      <c r="G127" s="256"/>
      <c r="H127" s="256"/>
      <c r="I127" s="256"/>
      <c r="J127" s="257"/>
      <c r="K127" s="260"/>
      <c r="L127" s="261"/>
      <c r="M127" s="261"/>
      <c r="N127" s="261"/>
      <c r="O127" s="261"/>
      <c r="P127" s="335"/>
      <c r="Q127" s="336"/>
      <c r="R127" s="336"/>
      <c r="S127" s="336"/>
      <c r="T127" s="334"/>
      <c r="U127" s="551"/>
      <c r="V127" s="551"/>
      <c r="W127" s="551"/>
      <c r="X127" s="551"/>
      <c r="Y127" s="551"/>
      <c r="Z127" s="551"/>
      <c r="AA127" s="551"/>
      <c r="AB127" s="551"/>
      <c r="AC127" s="551"/>
      <c r="AD127" s="551"/>
      <c r="AE127" s="551"/>
      <c r="AF127" s="551"/>
      <c r="AG127" s="551"/>
      <c r="AH127" s="551"/>
      <c r="AI127" s="551"/>
      <c r="AJ127" s="551"/>
      <c r="AK127" s="551"/>
      <c r="AQ127" s="343"/>
    </row>
    <row r="128" spans="1:44" s="68" customFormat="1" ht="18.75" customHeight="1" collapsed="1" x14ac:dyDescent="0.25">
      <c r="D128" s="552" t="s">
        <v>162</v>
      </c>
      <c r="E128" s="553"/>
      <c r="F128" s="553"/>
      <c r="G128" s="553"/>
      <c r="H128" s="553"/>
      <c r="I128" s="553"/>
      <c r="J128" s="554"/>
      <c r="K128" s="581"/>
      <c r="L128" s="582"/>
      <c r="M128" s="582"/>
      <c r="N128" s="582"/>
      <c r="O128" s="132"/>
      <c r="P128" s="581">
        <f>SUM(P122:S127)</f>
        <v>6.74</v>
      </c>
      <c r="Q128" s="582"/>
      <c r="R128" s="582"/>
      <c r="S128" s="582">
        <f>+S122</f>
        <v>0</v>
      </c>
      <c r="T128" s="131" t="s">
        <v>161</v>
      </c>
      <c r="U128" s="551"/>
      <c r="V128" s="551"/>
      <c r="W128" s="551"/>
      <c r="X128" s="551"/>
      <c r="Y128" s="551"/>
      <c r="Z128" s="551"/>
      <c r="AA128" s="551"/>
      <c r="AB128" s="551"/>
      <c r="AC128" s="551"/>
      <c r="AD128" s="551"/>
      <c r="AE128" s="551"/>
      <c r="AF128" s="551"/>
      <c r="AG128" s="551"/>
      <c r="AH128" s="551"/>
      <c r="AI128" s="551"/>
      <c r="AJ128" s="551"/>
      <c r="AK128" s="551"/>
      <c r="AQ128" s="293"/>
    </row>
    <row r="129" spans="1:43" ht="15" customHeight="1" x14ac:dyDescent="0.25">
      <c r="Y129" s="125"/>
      <c r="Z129" s="62"/>
      <c r="AA129" s="133"/>
      <c r="AQ129" s="293"/>
    </row>
    <row r="130" spans="1:43" ht="15" customHeight="1" x14ac:dyDescent="0.25">
      <c r="A130" s="77"/>
      <c r="B130" s="77"/>
      <c r="D130" s="76" t="s">
        <v>166</v>
      </c>
      <c r="AQ130" s="293"/>
    </row>
    <row r="131" spans="1:43" ht="6" customHeight="1" x14ac:dyDescent="0.25">
      <c r="AQ131" s="293"/>
    </row>
    <row r="132" spans="1:43" s="68" customFormat="1" ht="30" customHeight="1" x14ac:dyDescent="0.25">
      <c r="D132" s="552" t="s">
        <v>61</v>
      </c>
      <c r="E132" s="553"/>
      <c r="F132" s="553"/>
      <c r="G132" s="553"/>
      <c r="H132" s="553"/>
      <c r="I132" s="553"/>
      <c r="J132" s="554"/>
      <c r="K132" s="555" t="s">
        <v>165</v>
      </c>
      <c r="L132" s="556"/>
      <c r="M132" s="556"/>
      <c r="N132" s="556"/>
      <c r="O132" s="557"/>
      <c r="P132" s="555" t="s">
        <v>164</v>
      </c>
      <c r="Q132" s="556"/>
      <c r="R132" s="556"/>
      <c r="S132" s="556"/>
      <c r="T132" s="557"/>
      <c r="U132" s="552" t="s">
        <v>523</v>
      </c>
      <c r="V132" s="553"/>
      <c r="W132" s="553"/>
      <c r="X132" s="553"/>
      <c r="Y132" s="553"/>
      <c r="Z132" s="553"/>
      <c r="AA132" s="553"/>
      <c r="AB132" s="553"/>
      <c r="AC132" s="553"/>
      <c r="AD132" s="553"/>
      <c r="AE132" s="553"/>
      <c r="AF132" s="553"/>
      <c r="AG132" s="553"/>
      <c r="AH132" s="553"/>
      <c r="AI132" s="553"/>
      <c r="AJ132" s="553"/>
      <c r="AK132" s="554"/>
      <c r="AQ132" s="343"/>
    </row>
    <row r="133" spans="1:43" s="68" customFormat="1" ht="15" customHeight="1" x14ac:dyDescent="0.25">
      <c r="D133" s="492" t="str">
        <f>+D302</f>
        <v>Departamento No 104</v>
      </c>
      <c r="E133" s="493"/>
      <c r="F133" s="493"/>
      <c r="G133" s="493"/>
      <c r="H133" s="493"/>
      <c r="I133" s="493"/>
      <c r="J133" s="494"/>
      <c r="K133" s="495">
        <v>62.9</v>
      </c>
      <c r="L133" s="496"/>
      <c r="M133" s="496"/>
      <c r="N133" s="496" t="s">
        <v>161</v>
      </c>
      <c r="O133" s="337" t="s">
        <v>161</v>
      </c>
      <c r="P133" s="497">
        <v>62.9</v>
      </c>
      <c r="Q133" s="498"/>
      <c r="R133" s="498"/>
      <c r="S133" s="498" t="s">
        <v>161</v>
      </c>
      <c r="T133" s="338" t="s">
        <v>161</v>
      </c>
      <c r="U133" s="572" t="s">
        <v>163</v>
      </c>
      <c r="V133" s="573"/>
      <c r="W133" s="573"/>
      <c r="X133" s="573"/>
      <c r="Y133" s="573"/>
      <c r="Z133" s="573"/>
      <c r="AA133" s="573"/>
      <c r="AB133" s="573"/>
      <c r="AC133" s="573"/>
      <c r="AD133" s="573"/>
      <c r="AE133" s="573"/>
      <c r="AF133" s="573"/>
      <c r="AG133" s="573"/>
      <c r="AH133" s="573"/>
      <c r="AI133" s="573"/>
      <c r="AJ133" s="573"/>
      <c r="AK133" s="574"/>
      <c r="AQ133" s="343" t="s">
        <v>504</v>
      </c>
    </row>
    <row r="134" spans="1:43" s="68" customFormat="1" ht="15" customHeight="1" x14ac:dyDescent="0.25">
      <c r="D134" s="492" t="str">
        <f>+D303</f>
        <v>Estacionamiento No 181</v>
      </c>
      <c r="E134" s="493"/>
      <c r="F134" s="493"/>
      <c r="G134" s="493"/>
      <c r="H134" s="493"/>
      <c r="I134" s="493"/>
      <c r="J134" s="494"/>
      <c r="K134" s="495">
        <v>12</v>
      </c>
      <c r="L134" s="496"/>
      <c r="M134" s="496"/>
      <c r="N134" s="496" t="s">
        <v>161</v>
      </c>
      <c r="O134" s="337" t="s">
        <v>161</v>
      </c>
      <c r="P134" s="497">
        <v>12</v>
      </c>
      <c r="Q134" s="498"/>
      <c r="R134" s="498"/>
      <c r="S134" s="498" t="s">
        <v>161</v>
      </c>
      <c r="T134" s="338" t="s">
        <v>161</v>
      </c>
      <c r="U134" s="575"/>
      <c r="V134" s="576"/>
      <c r="W134" s="576"/>
      <c r="X134" s="576"/>
      <c r="Y134" s="576"/>
      <c r="Z134" s="576"/>
      <c r="AA134" s="576"/>
      <c r="AB134" s="576"/>
      <c r="AC134" s="576"/>
      <c r="AD134" s="576"/>
      <c r="AE134" s="576"/>
      <c r="AF134" s="576"/>
      <c r="AG134" s="576"/>
      <c r="AH134" s="576"/>
      <c r="AI134" s="576"/>
      <c r="AJ134" s="576"/>
      <c r="AK134" s="577"/>
      <c r="AQ134" s="343"/>
    </row>
    <row r="135" spans="1:43" s="68" customFormat="1" ht="15" customHeight="1" x14ac:dyDescent="0.25">
      <c r="D135" s="492" t="str">
        <f>+D304</f>
        <v>Depósito No 06</v>
      </c>
      <c r="E135" s="493"/>
      <c r="F135" s="493"/>
      <c r="G135" s="493"/>
      <c r="H135" s="493"/>
      <c r="I135" s="493"/>
      <c r="J135" s="494"/>
      <c r="K135" s="495">
        <v>6.24</v>
      </c>
      <c r="L135" s="496"/>
      <c r="M135" s="496"/>
      <c r="N135" s="496" t="s">
        <v>161</v>
      </c>
      <c r="O135" s="337" t="s">
        <v>161</v>
      </c>
      <c r="P135" s="497">
        <v>6.24</v>
      </c>
      <c r="Q135" s="498"/>
      <c r="R135" s="498"/>
      <c r="S135" s="498" t="s">
        <v>161</v>
      </c>
      <c r="T135" s="338" t="s">
        <v>161</v>
      </c>
      <c r="U135" s="575"/>
      <c r="V135" s="576"/>
      <c r="W135" s="576"/>
      <c r="X135" s="576"/>
      <c r="Y135" s="576"/>
      <c r="Z135" s="576"/>
      <c r="AA135" s="576"/>
      <c r="AB135" s="576"/>
      <c r="AC135" s="576"/>
      <c r="AD135" s="576"/>
      <c r="AE135" s="576"/>
      <c r="AF135" s="576"/>
      <c r="AG135" s="576"/>
      <c r="AH135" s="576"/>
      <c r="AI135" s="576"/>
      <c r="AJ135" s="576"/>
      <c r="AK135" s="577"/>
      <c r="AQ135" s="343"/>
    </row>
    <row r="136" spans="1:43" s="68" customFormat="1" ht="15" customHeight="1" x14ac:dyDescent="0.25">
      <c r="D136" s="492" t="str">
        <f>+D305</f>
        <v>Estacionamiento No 185</v>
      </c>
      <c r="E136" s="493"/>
      <c r="F136" s="493"/>
      <c r="G136" s="493"/>
      <c r="H136" s="493"/>
      <c r="I136" s="493"/>
      <c r="J136" s="494"/>
      <c r="K136" s="495">
        <v>12</v>
      </c>
      <c r="L136" s="496"/>
      <c r="M136" s="496"/>
      <c r="N136" s="496" t="s">
        <v>161</v>
      </c>
      <c r="O136" s="337" t="s">
        <v>161</v>
      </c>
      <c r="P136" s="497">
        <v>12</v>
      </c>
      <c r="Q136" s="498"/>
      <c r="R136" s="498"/>
      <c r="S136" s="498" t="s">
        <v>161</v>
      </c>
      <c r="T136" s="338" t="s">
        <v>161</v>
      </c>
      <c r="U136" s="575"/>
      <c r="V136" s="576"/>
      <c r="W136" s="576"/>
      <c r="X136" s="576"/>
      <c r="Y136" s="576"/>
      <c r="Z136" s="576"/>
      <c r="AA136" s="576"/>
      <c r="AB136" s="576"/>
      <c r="AC136" s="576"/>
      <c r="AD136" s="576"/>
      <c r="AE136" s="576"/>
      <c r="AF136" s="576"/>
      <c r="AG136" s="576"/>
      <c r="AH136" s="576"/>
      <c r="AI136" s="576"/>
      <c r="AJ136" s="576"/>
      <c r="AK136" s="577"/>
      <c r="AQ136" s="343"/>
    </row>
    <row r="137" spans="1:43" s="68" customFormat="1" ht="15" customHeight="1" x14ac:dyDescent="0.25">
      <c r="D137" s="492" t="str">
        <f>+D306</f>
        <v>Depósito No 07</v>
      </c>
      <c r="E137" s="493"/>
      <c r="F137" s="493"/>
      <c r="G137" s="493"/>
      <c r="H137" s="493"/>
      <c r="I137" s="493"/>
      <c r="J137" s="494"/>
      <c r="K137" s="495">
        <v>3.21</v>
      </c>
      <c r="L137" s="496"/>
      <c r="M137" s="496"/>
      <c r="N137" s="496" t="s">
        <v>161</v>
      </c>
      <c r="O137" s="337" t="s">
        <v>161</v>
      </c>
      <c r="P137" s="497">
        <v>3.21</v>
      </c>
      <c r="Q137" s="498"/>
      <c r="R137" s="498"/>
      <c r="S137" s="498" t="s">
        <v>161</v>
      </c>
      <c r="T137" s="338" t="s">
        <v>161</v>
      </c>
      <c r="U137" s="575"/>
      <c r="V137" s="576"/>
      <c r="W137" s="576"/>
      <c r="X137" s="576"/>
      <c r="Y137" s="576"/>
      <c r="Z137" s="576"/>
      <c r="AA137" s="576"/>
      <c r="AB137" s="576"/>
      <c r="AC137" s="576"/>
      <c r="AD137" s="576"/>
      <c r="AE137" s="576"/>
      <c r="AF137" s="576"/>
      <c r="AG137" s="576"/>
      <c r="AH137" s="576"/>
      <c r="AI137" s="576"/>
      <c r="AJ137" s="576"/>
      <c r="AK137" s="577"/>
      <c r="AQ137" s="343"/>
    </row>
    <row r="138" spans="1:43" s="68" customFormat="1" ht="15" hidden="1" customHeight="1" outlineLevel="1" x14ac:dyDescent="0.25">
      <c r="D138" s="255"/>
      <c r="E138" s="256"/>
      <c r="F138" s="256"/>
      <c r="G138" s="256"/>
      <c r="H138" s="256"/>
      <c r="I138" s="256"/>
      <c r="J138" s="257"/>
      <c r="K138" s="335"/>
      <c r="L138" s="336"/>
      <c r="M138" s="336"/>
      <c r="N138" s="336"/>
      <c r="O138" s="334"/>
      <c r="P138" s="339"/>
      <c r="Q138" s="340"/>
      <c r="R138" s="340"/>
      <c r="S138" s="340"/>
      <c r="T138" s="338"/>
      <c r="U138" s="575"/>
      <c r="V138" s="576"/>
      <c r="W138" s="576"/>
      <c r="X138" s="576"/>
      <c r="Y138" s="576"/>
      <c r="Z138" s="576"/>
      <c r="AA138" s="576"/>
      <c r="AB138" s="576"/>
      <c r="AC138" s="576"/>
      <c r="AD138" s="576"/>
      <c r="AE138" s="576"/>
      <c r="AF138" s="576"/>
      <c r="AG138" s="576"/>
      <c r="AH138" s="576"/>
      <c r="AI138" s="576"/>
      <c r="AJ138" s="576"/>
      <c r="AK138" s="577"/>
      <c r="AQ138" s="343"/>
    </row>
    <row r="139" spans="1:43" s="68" customFormat="1" ht="18.75" customHeight="1" collapsed="1" x14ac:dyDescent="0.25">
      <c r="D139" s="552" t="s">
        <v>162</v>
      </c>
      <c r="E139" s="553"/>
      <c r="F139" s="553"/>
      <c r="G139" s="553"/>
      <c r="H139" s="553"/>
      <c r="I139" s="553"/>
      <c r="J139" s="554"/>
      <c r="K139" s="581">
        <f>SUM(K133:N138)</f>
        <v>96.35</v>
      </c>
      <c r="L139" s="582"/>
      <c r="M139" s="582"/>
      <c r="N139" s="582" t="str">
        <f>+N133</f>
        <v>m²</v>
      </c>
      <c r="O139" s="132" t="s">
        <v>161</v>
      </c>
      <c r="P139" s="581">
        <f>SUM(P133:S138)</f>
        <v>96.35</v>
      </c>
      <c r="Q139" s="582"/>
      <c r="R139" s="582"/>
      <c r="S139" s="582" t="str">
        <f>+S133</f>
        <v>m²</v>
      </c>
      <c r="T139" s="131" t="s">
        <v>161</v>
      </c>
      <c r="U139" s="578"/>
      <c r="V139" s="579"/>
      <c r="W139" s="579"/>
      <c r="X139" s="579"/>
      <c r="Y139" s="579"/>
      <c r="Z139" s="579"/>
      <c r="AA139" s="579"/>
      <c r="AB139" s="579"/>
      <c r="AC139" s="579"/>
      <c r="AD139" s="579"/>
      <c r="AE139" s="579"/>
      <c r="AF139" s="579"/>
      <c r="AG139" s="579"/>
      <c r="AH139" s="579"/>
      <c r="AI139" s="579"/>
      <c r="AJ139" s="579"/>
      <c r="AK139" s="580"/>
      <c r="AQ139" s="343"/>
    </row>
    <row r="140" spans="1:43" ht="15" customHeight="1" x14ac:dyDescent="0.25">
      <c r="AQ140" s="293"/>
    </row>
    <row r="141" spans="1:43" s="223" customFormat="1" ht="15" customHeight="1" x14ac:dyDescent="0.25">
      <c r="A141" s="237"/>
      <c r="B141" s="237" t="s">
        <v>160</v>
      </c>
      <c r="D141" s="341" t="s">
        <v>159</v>
      </c>
      <c r="AB141" s="237"/>
      <c r="AC141" s="237"/>
      <c r="AD141" s="237"/>
      <c r="AE141" s="237"/>
      <c r="AF141" s="237"/>
      <c r="AQ141" s="354"/>
    </row>
    <row r="142" spans="1:43" s="223" customFormat="1" ht="6" customHeight="1" x14ac:dyDescent="0.25">
      <c r="A142" s="237"/>
      <c r="B142" s="237"/>
      <c r="D142" s="341"/>
      <c r="AQ142" s="354"/>
    </row>
    <row r="143" spans="1:43" s="223" customFormat="1" ht="15" customHeight="1" x14ac:dyDescent="0.25">
      <c r="C143" s="355"/>
      <c r="D143" s="223" t="s">
        <v>158</v>
      </c>
      <c r="K143" s="350" t="s">
        <v>129</v>
      </c>
      <c r="L143" s="223" t="s">
        <v>157</v>
      </c>
      <c r="M143" s="356"/>
      <c r="N143" s="356"/>
      <c r="O143" s="356"/>
      <c r="P143" s="356"/>
      <c r="S143" s="518">
        <f>+P89</f>
        <v>13750983</v>
      </c>
      <c r="T143" s="518"/>
      <c r="U143" s="518"/>
      <c r="V143" s="357" t="s">
        <v>156</v>
      </c>
      <c r="AQ143" s="354"/>
    </row>
    <row r="144" spans="1:43" s="223" customFormat="1" ht="15" customHeight="1" x14ac:dyDescent="0.25">
      <c r="D144" s="484" t="str">
        <f>"► "&amp;B41</f>
        <v>► Departamento No 104</v>
      </c>
      <c r="E144" s="484"/>
      <c r="F144" s="484"/>
      <c r="G144" s="484"/>
      <c r="H144" s="484"/>
      <c r="I144" s="484"/>
      <c r="J144" s="484"/>
      <c r="K144" s="223" t="s">
        <v>129</v>
      </c>
      <c r="L144" s="484" t="s">
        <v>481</v>
      </c>
      <c r="M144" s="484"/>
      <c r="N144" s="484"/>
      <c r="O144" s="484"/>
      <c r="P144" s="484"/>
      <c r="Q144" s="484"/>
      <c r="R144" s="484"/>
      <c r="S144" s="484"/>
      <c r="T144" s="484"/>
      <c r="U144" s="484"/>
      <c r="V144" s="484"/>
      <c r="W144" s="484"/>
      <c r="X144" s="484"/>
      <c r="Y144" s="484"/>
      <c r="Z144" s="484"/>
      <c r="AA144" s="484"/>
      <c r="AB144" s="484"/>
      <c r="AC144" s="484"/>
      <c r="AD144" s="484"/>
      <c r="AE144" s="484"/>
      <c r="AF144" s="484"/>
      <c r="AG144" s="484"/>
      <c r="AH144" s="484"/>
      <c r="AI144" s="484"/>
      <c r="AJ144" s="484"/>
      <c r="AK144" s="484"/>
      <c r="AQ144" s="353" t="s">
        <v>505</v>
      </c>
    </row>
    <row r="145" spans="1:43" s="401" customFormat="1" ht="15" customHeight="1" x14ac:dyDescent="0.25">
      <c r="D145" s="484" t="str">
        <f>"► "&amp;B42</f>
        <v>► Estacionamiento No 181</v>
      </c>
      <c r="E145" s="484"/>
      <c r="F145" s="484"/>
      <c r="G145" s="484"/>
      <c r="H145" s="484"/>
      <c r="I145" s="484"/>
      <c r="J145" s="484"/>
      <c r="K145" s="401" t="s">
        <v>129</v>
      </c>
      <c r="L145" s="484" t="s">
        <v>481</v>
      </c>
      <c r="M145" s="484"/>
      <c r="N145" s="484"/>
      <c r="O145" s="484"/>
      <c r="P145" s="484"/>
      <c r="Q145" s="484"/>
      <c r="R145" s="484"/>
      <c r="S145" s="484"/>
      <c r="T145" s="484"/>
      <c r="U145" s="484"/>
      <c r="V145" s="484"/>
      <c r="W145" s="484"/>
      <c r="X145" s="484"/>
      <c r="Y145" s="484"/>
      <c r="Z145" s="484"/>
      <c r="AA145" s="484"/>
      <c r="AB145" s="484"/>
      <c r="AC145" s="484"/>
      <c r="AD145" s="484"/>
      <c r="AE145" s="484"/>
      <c r="AF145" s="484"/>
      <c r="AG145" s="484"/>
      <c r="AH145" s="484"/>
      <c r="AI145" s="484"/>
      <c r="AJ145" s="484"/>
      <c r="AK145" s="484"/>
      <c r="AQ145" s="353"/>
    </row>
    <row r="146" spans="1:43" s="401" customFormat="1" ht="15" customHeight="1" x14ac:dyDescent="0.25">
      <c r="D146" s="484" t="str">
        <f>"► "&amp;B43</f>
        <v>► Depósito No 06</v>
      </c>
      <c r="E146" s="484"/>
      <c r="F146" s="484"/>
      <c r="G146" s="484"/>
      <c r="H146" s="484"/>
      <c r="I146" s="484"/>
      <c r="J146" s="484"/>
      <c r="K146" s="401" t="s">
        <v>129</v>
      </c>
      <c r="L146" s="484" t="s">
        <v>481</v>
      </c>
      <c r="M146" s="484"/>
      <c r="N146" s="484"/>
      <c r="O146" s="484"/>
      <c r="P146" s="484"/>
      <c r="Q146" s="484"/>
      <c r="R146" s="484"/>
      <c r="S146" s="484"/>
      <c r="T146" s="484"/>
      <c r="U146" s="484"/>
      <c r="V146" s="484"/>
      <c r="W146" s="484"/>
      <c r="X146" s="484"/>
      <c r="Y146" s="484"/>
      <c r="Z146" s="484"/>
      <c r="AA146" s="484"/>
      <c r="AB146" s="484"/>
      <c r="AC146" s="484"/>
      <c r="AD146" s="484"/>
      <c r="AE146" s="484"/>
      <c r="AF146" s="484"/>
      <c r="AG146" s="484"/>
      <c r="AH146" s="484"/>
      <c r="AI146" s="484"/>
      <c r="AJ146" s="484"/>
      <c r="AK146" s="484"/>
      <c r="AQ146" s="353"/>
    </row>
    <row r="147" spans="1:43" s="370" customFormat="1" ht="15" customHeight="1" x14ac:dyDescent="0.25">
      <c r="D147" s="484" t="str">
        <f>"► "&amp;B44</f>
        <v>► Estacionamiento No 185</v>
      </c>
      <c r="E147" s="484"/>
      <c r="F147" s="484"/>
      <c r="G147" s="484"/>
      <c r="H147" s="484"/>
      <c r="I147" s="484"/>
      <c r="J147" s="484"/>
      <c r="K147" s="370" t="s">
        <v>129</v>
      </c>
      <c r="L147" s="484" t="s">
        <v>481</v>
      </c>
      <c r="M147" s="484"/>
      <c r="N147" s="484"/>
      <c r="O147" s="484"/>
      <c r="P147" s="484"/>
      <c r="Q147" s="484"/>
      <c r="R147" s="484"/>
      <c r="S147" s="484"/>
      <c r="T147" s="484"/>
      <c r="U147" s="484"/>
      <c r="V147" s="484"/>
      <c r="W147" s="484"/>
      <c r="X147" s="484"/>
      <c r="Y147" s="484"/>
      <c r="Z147" s="484"/>
      <c r="AA147" s="484"/>
      <c r="AB147" s="484"/>
      <c r="AC147" s="484"/>
      <c r="AD147" s="484"/>
      <c r="AE147" s="484"/>
      <c r="AF147" s="484"/>
      <c r="AG147" s="484"/>
      <c r="AH147" s="484"/>
      <c r="AI147" s="484"/>
      <c r="AJ147" s="484"/>
      <c r="AK147" s="484"/>
      <c r="AQ147" s="353"/>
    </row>
    <row r="148" spans="1:43" s="370" customFormat="1" ht="15" customHeight="1" x14ac:dyDescent="0.25">
      <c r="D148" s="484" t="str">
        <f>"► "&amp;B45</f>
        <v>► Depósito No 07</v>
      </c>
      <c r="E148" s="484"/>
      <c r="F148" s="484"/>
      <c r="G148" s="484"/>
      <c r="H148" s="484"/>
      <c r="I148" s="484"/>
      <c r="J148" s="484"/>
      <c r="K148" s="370" t="s">
        <v>129</v>
      </c>
      <c r="L148" s="484" t="s">
        <v>481</v>
      </c>
      <c r="M148" s="484"/>
      <c r="N148" s="484"/>
      <c r="O148" s="484"/>
      <c r="P148" s="484"/>
      <c r="Q148" s="484"/>
      <c r="R148" s="484"/>
      <c r="S148" s="484"/>
      <c r="T148" s="484"/>
      <c r="U148" s="484"/>
      <c r="V148" s="484"/>
      <c r="W148" s="484"/>
      <c r="X148" s="484"/>
      <c r="Y148" s="484"/>
      <c r="Z148" s="484"/>
      <c r="AA148" s="484"/>
      <c r="AB148" s="484"/>
      <c r="AC148" s="484"/>
      <c r="AD148" s="484"/>
      <c r="AE148" s="484"/>
      <c r="AF148" s="484"/>
      <c r="AG148" s="484"/>
      <c r="AH148" s="484"/>
      <c r="AI148" s="484"/>
      <c r="AJ148" s="484"/>
      <c r="AK148" s="484"/>
      <c r="AQ148" s="353"/>
    </row>
    <row r="149" spans="1:43" ht="15" customHeight="1" x14ac:dyDescent="0.25">
      <c r="C149" s="81"/>
      <c r="D149" s="128"/>
      <c r="E149" s="70"/>
      <c r="F149" s="70"/>
      <c r="G149" s="70"/>
      <c r="H149" s="70"/>
      <c r="I149" s="70"/>
      <c r="J149" s="70"/>
      <c r="K149" s="70"/>
      <c r="L149" s="70"/>
      <c r="M149" s="127"/>
      <c r="N149" s="127"/>
      <c r="O149" s="127"/>
      <c r="P149" s="127"/>
      <c r="Q149" s="127"/>
      <c r="R149" s="126"/>
      <c r="S149" s="126"/>
      <c r="T149" s="126"/>
      <c r="U149" s="126"/>
      <c r="V149" s="126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Q149" s="294"/>
    </row>
    <row r="150" spans="1:43" ht="15" customHeight="1" x14ac:dyDescent="0.25">
      <c r="A150" s="77"/>
      <c r="B150" s="77" t="s">
        <v>155</v>
      </c>
      <c r="D150" s="76" t="s">
        <v>154</v>
      </c>
      <c r="Y150" s="125"/>
      <c r="Z150" s="62"/>
      <c r="AA150" s="62"/>
      <c r="AQ150" s="294"/>
    </row>
    <row r="151" spans="1:43" ht="6" customHeight="1" x14ac:dyDescent="0.25">
      <c r="A151" s="77"/>
      <c r="B151" s="77"/>
      <c r="D151" s="76"/>
      <c r="Y151" s="125"/>
      <c r="Z151" s="62"/>
      <c r="AA151" s="62"/>
      <c r="AQ151" s="294"/>
    </row>
    <row r="152" spans="1:43" s="68" customFormat="1" ht="30" customHeight="1" x14ac:dyDescent="0.25">
      <c r="D152" s="519" t="str">
        <f>+Memoria!D102</f>
        <v>Sobre el terreno matriz se proyecta la construcción del edificio multifamiliar denominado "Rua", formado por doce pisos, azotea y tres sótanos para un total de 42 departamentos, 33 estacionamientos y 13 depósitos.</v>
      </c>
      <c r="E152" s="519"/>
      <c r="F152" s="519"/>
      <c r="G152" s="519"/>
      <c r="H152" s="519"/>
      <c r="I152" s="519"/>
      <c r="J152" s="519"/>
      <c r="K152" s="519"/>
      <c r="L152" s="519"/>
      <c r="M152" s="519"/>
      <c r="N152" s="519"/>
      <c r="O152" s="519"/>
      <c r="P152" s="519"/>
      <c r="Q152" s="519"/>
      <c r="R152" s="519"/>
      <c r="S152" s="519"/>
      <c r="T152" s="519"/>
      <c r="U152" s="519"/>
      <c r="V152" s="519"/>
      <c r="W152" s="519"/>
      <c r="X152" s="519"/>
      <c r="Y152" s="519"/>
      <c r="Z152" s="519"/>
      <c r="AA152" s="519"/>
      <c r="AB152" s="519"/>
      <c r="AC152" s="519"/>
      <c r="AD152" s="519"/>
      <c r="AE152" s="519"/>
      <c r="AF152" s="519"/>
      <c r="AG152" s="519"/>
      <c r="AH152" s="519"/>
      <c r="AI152" s="519"/>
      <c r="AJ152" s="519"/>
      <c r="AK152" s="519"/>
      <c r="AL152" s="250"/>
      <c r="AM152" s="250"/>
      <c r="AQ152" s="294"/>
    </row>
    <row r="153" spans="1:43" s="68" customFormat="1" ht="30" customHeight="1" x14ac:dyDescent="0.25">
      <c r="D153" s="520" t="str">
        <f>+Memoria!D103</f>
        <v>La presente corresponde a la Torre 13, conformada por un edificio de veinte (20) pisos y azotea, con 160 departamentos (158 de 2 dormitorios y 2 de 3 dormitorios).</v>
      </c>
      <c r="E153" s="520"/>
      <c r="F153" s="520"/>
      <c r="G153" s="520"/>
      <c r="H153" s="520"/>
      <c r="I153" s="520"/>
      <c r="J153" s="520"/>
      <c r="K153" s="520"/>
      <c r="L153" s="520"/>
      <c r="M153" s="520"/>
      <c r="N153" s="520"/>
      <c r="O153" s="520"/>
      <c r="P153" s="520"/>
      <c r="Q153" s="520"/>
      <c r="R153" s="520"/>
      <c r="S153" s="520"/>
      <c r="T153" s="520"/>
      <c r="U153" s="520"/>
      <c r="V153" s="520"/>
      <c r="W153" s="520"/>
      <c r="X153" s="520"/>
      <c r="Y153" s="520"/>
      <c r="Z153" s="520"/>
      <c r="AA153" s="520"/>
      <c r="AB153" s="520"/>
      <c r="AC153" s="520"/>
      <c r="AD153" s="520"/>
      <c r="AE153" s="520"/>
      <c r="AF153" s="520"/>
      <c r="AG153" s="520"/>
      <c r="AH153" s="520"/>
      <c r="AI153" s="520"/>
      <c r="AJ153" s="520"/>
      <c r="AK153" s="520"/>
      <c r="AL153" s="250"/>
      <c r="AM153" s="250"/>
      <c r="AQ153" s="343" t="s">
        <v>506</v>
      </c>
    </row>
    <row r="154" spans="1:43" ht="15" customHeight="1" x14ac:dyDescent="0.25">
      <c r="Y154" s="62"/>
      <c r="Z154" s="62"/>
      <c r="AA154" s="62"/>
    </row>
    <row r="155" spans="1:43" ht="15" customHeight="1" x14ac:dyDescent="0.25">
      <c r="A155" s="77"/>
      <c r="B155" s="77"/>
      <c r="D155" s="76" t="s">
        <v>153</v>
      </c>
      <c r="Y155" s="62"/>
      <c r="Z155" s="62"/>
      <c r="AA155" s="62"/>
    </row>
    <row r="156" spans="1:43" ht="6" customHeight="1" x14ac:dyDescent="0.25">
      <c r="D156" s="124"/>
      <c r="Y156" s="62"/>
      <c r="Z156" s="62"/>
      <c r="AA156" s="62"/>
      <c r="AQ156" s="293"/>
    </row>
    <row r="157" spans="1:43" s="68" customFormat="1" ht="15" customHeight="1" x14ac:dyDescent="0.25">
      <c r="D157" s="481" t="s">
        <v>536</v>
      </c>
      <c r="E157" s="481"/>
      <c r="F157" s="481"/>
      <c r="G157" s="481"/>
      <c r="H157" s="481"/>
      <c r="I157" s="481"/>
      <c r="J157" s="481"/>
      <c r="K157" s="481"/>
      <c r="L157" s="481"/>
      <c r="M157" s="481"/>
      <c r="N157" s="481"/>
      <c r="O157" s="481"/>
      <c r="P157" s="481"/>
      <c r="Q157" s="481"/>
      <c r="R157" s="481"/>
      <c r="S157" s="481"/>
      <c r="T157" s="481"/>
      <c r="U157" s="481"/>
      <c r="V157" s="481"/>
      <c r="W157" s="481"/>
      <c r="X157" s="481"/>
      <c r="Y157" s="481"/>
      <c r="Z157" s="481"/>
      <c r="AA157" s="481"/>
      <c r="AB157" s="481"/>
      <c r="AC157" s="481"/>
      <c r="AD157" s="481"/>
      <c r="AE157" s="481"/>
      <c r="AF157" s="481"/>
      <c r="AG157" s="481"/>
      <c r="AH157" s="481"/>
      <c r="AI157" s="481"/>
      <c r="AJ157" s="481"/>
      <c r="AK157" s="481"/>
      <c r="AL157" s="250"/>
      <c r="AM157" s="250"/>
      <c r="AQ157" s="293" t="s">
        <v>507</v>
      </c>
    </row>
    <row r="158" spans="1:43" s="68" customFormat="1" ht="15" customHeight="1" x14ac:dyDescent="0.25">
      <c r="D158" s="481" t="s">
        <v>538</v>
      </c>
      <c r="E158" s="481"/>
      <c r="F158" s="481"/>
      <c r="G158" s="481"/>
      <c r="H158" s="481"/>
      <c r="I158" s="481"/>
      <c r="J158" s="481"/>
      <c r="K158" s="481"/>
      <c r="L158" s="481"/>
      <c r="M158" s="481"/>
      <c r="N158" s="481"/>
      <c r="O158" s="481"/>
      <c r="P158" s="481"/>
      <c r="Q158" s="481"/>
      <c r="R158" s="481"/>
      <c r="S158" s="481"/>
      <c r="T158" s="481"/>
      <c r="U158" s="481"/>
      <c r="V158" s="481"/>
      <c r="W158" s="481"/>
      <c r="X158" s="481"/>
      <c r="Y158" s="481"/>
      <c r="Z158" s="481"/>
      <c r="AA158" s="481"/>
      <c r="AB158" s="481"/>
      <c r="AC158" s="481"/>
      <c r="AD158" s="481"/>
      <c r="AE158" s="481"/>
      <c r="AF158" s="481"/>
      <c r="AG158" s="481"/>
      <c r="AH158" s="481"/>
      <c r="AI158" s="481"/>
      <c r="AJ158" s="481"/>
      <c r="AK158" s="481"/>
      <c r="AL158" s="400"/>
      <c r="AM158" s="400"/>
      <c r="AQ158" s="293"/>
    </row>
    <row r="159" spans="1:43" s="68" customFormat="1" ht="15" customHeight="1" x14ac:dyDescent="0.25">
      <c r="D159" s="481" t="s">
        <v>541</v>
      </c>
      <c r="E159" s="481"/>
      <c r="F159" s="481"/>
      <c r="G159" s="481"/>
      <c r="H159" s="481"/>
      <c r="I159" s="481"/>
      <c r="J159" s="481"/>
      <c r="K159" s="481"/>
      <c r="L159" s="481"/>
      <c r="M159" s="481"/>
      <c r="N159" s="481"/>
      <c r="O159" s="481"/>
      <c r="P159" s="481"/>
      <c r="Q159" s="481"/>
      <c r="R159" s="481"/>
      <c r="S159" s="481"/>
      <c r="T159" s="481"/>
      <c r="U159" s="481"/>
      <c r="V159" s="481"/>
      <c r="W159" s="481"/>
      <c r="X159" s="481"/>
      <c r="Y159" s="481"/>
      <c r="Z159" s="481"/>
      <c r="AA159" s="481"/>
      <c r="AB159" s="481"/>
      <c r="AC159" s="481"/>
      <c r="AD159" s="481"/>
      <c r="AE159" s="481"/>
      <c r="AF159" s="481"/>
      <c r="AG159" s="481"/>
      <c r="AH159" s="481"/>
      <c r="AI159" s="481"/>
      <c r="AJ159" s="481"/>
      <c r="AK159" s="481"/>
      <c r="AL159" s="400"/>
      <c r="AM159" s="400"/>
      <c r="AQ159" s="293"/>
    </row>
    <row r="160" spans="1:43" s="68" customFormat="1" ht="15" customHeight="1" x14ac:dyDescent="0.25">
      <c r="D160" s="481" t="s">
        <v>528</v>
      </c>
      <c r="E160" s="481"/>
      <c r="F160" s="481"/>
      <c r="G160" s="481"/>
      <c r="H160" s="481"/>
      <c r="I160" s="481"/>
      <c r="J160" s="481"/>
      <c r="K160" s="481"/>
      <c r="L160" s="481"/>
      <c r="M160" s="481"/>
      <c r="N160" s="481"/>
      <c r="O160" s="481"/>
      <c r="P160" s="481"/>
      <c r="Q160" s="481"/>
      <c r="R160" s="481"/>
      <c r="S160" s="481"/>
      <c r="T160" s="481"/>
      <c r="U160" s="481"/>
      <c r="V160" s="481"/>
      <c r="W160" s="481"/>
      <c r="X160" s="481"/>
      <c r="Y160" s="481"/>
      <c r="Z160" s="481"/>
      <c r="AA160" s="481"/>
      <c r="AB160" s="481"/>
      <c r="AC160" s="481"/>
      <c r="AD160" s="481"/>
      <c r="AE160" s="481"/>
      <c r="AF160" s="481"/>
      <c r="AG160" s="481"/>
      <c r="AH160" s="481"/>
      <c r="AI160" s="481"/>
      <c r="AJ160" s="481"/>
      <c r="AK160" s="481"/>
      <c r="AL160" s="371"/>
      <c r="AM160" s="371"/>
      <c r="AQ160" s="293"/>
    </row>
    <row r="161" spans="1:43" s="68" customFormat="1" ht="15" customHeight="1" x14ac:dyDescent="0.25">
      <c r="D161" s="481" t="s">
        <v>531</v>
      </c>
      <c r="E161" s="481"/>
      <c r="F161" s="481"/>
      <c r="G161" s="481"/>
      <c r="H161" s="481"/>
      <c r="I161" s="481"/>
      <c r="J161" s="481"/>
      <c r="K161" s="481"/>
      <c r="L161" s="481"/>
      <c r="M161" s="481"/>
      <c r="N161" s="481"/>
      <c r="O161" s="481"/>
      <c r="P161" s="481"/>
      <c r="Q161" s="481"/>
      <c r="R161" s="481"/>
      <c r="S161" s="481"/>
      <c r="T161" s="481"/>
      <c r="U161" s="481"/>
      <c r="V161" s="481"/>
      <c r="W161" s="481"/>
      <c r="X161" s="481"/>
      <c r="Y161" s="481"/>
      <c r="Z161" s="481"/>
      <c r="AA161" s="481"/>
      <c r="AB161" s="481"/>
      <c r="AC161" s="481"/>
      <c r="AD161" s="481"/>
      <c r="AE161" s="481"/>
      <c r="AF161" s="481"/>
      <c r="AG161" s="481"/>
      <c r="AH161" s="481"/>
      <c r="AI161" s="481"/>
      <c r="AJ161" s="481"/>
      <c r="AK161" s="481"/>
      <c r="AL161" s="371"/>
      <c r="AM161" s="371"/>
      <c r="AQ161" s="293"/>
    </row>
    <row r="162" spans="1:43" ht="30" customHeight="1" x14ac:dyDescent="0.25">
      <c r="D162" s="81" t="s">
        <v>109</v>
      </c>
      <c r="E162" s="482" t="str">
        <f>+D122</f>
        <v>Departamento No 104</v>
      </c>
      <c r="F162" s="482"/>
      <c r="G162" s="482"/>
      <c r="H162" s="482"/>
      <c r="I162" s="482"/>
      <c r="J162" s="482"/>
      <c r="K162" s="254"/>
      <c r="L162" s="123" t="s">
        <v>129</v>
      </c>
      <c r="M162" s="483" t="s">
        <v>152</v>
      </c>
      <c r="N162" s="483"/>
      <c r="O162" s="483"/>
      <c r="P162" s="483"/>
      <c r="Q162" s="483"/>
      <c r="R162" s="483"/>
      <c r="S162" s="483"/>
      <c r="T162" s="483"/>
      <c r="U162" s="483"/>
      <c r="V162" s="483"/>
      <c r="W162" s="483"/>
      <c r="X162" s="483"/>
      <c r="Y162" s="483"/>
      <c r="Z162" s="483"/>
      <c r="AA162" s="483"/>
      <c r="AB162" s="483"/>
      <c r="AC162" s="483"/>
      <c r="AD162" s="483"/>
      <c r="AE162" s="483"/>
      <c r="AF162" s="483"/>
      <c r="AG162" s="483"/>
      <c r="AH162" s="483"/>
      <c r="AI162" s="483"/>
      <c r="AJ162" s="483"/>
      <c r="AK162" s="483"/>
      <c r="AL162" s="99"/>
      <c r="AM162" s="99"/>
      <c r="AN162" s="99"/>
      <c r="AO162" s="99"/>
      <c r="AP162" s="99"/>
      <c r="AQ162" s="343" t="s">
        <v>508</v>
      </c>
    </row>
    <row r="163" spans="1:43" ht="30" customHeight="1" x14ac:dyDescent="0.25">
      <c r="D163" s="81" t="s">
        <v>109</v>
      </c>
      <c r="E163" s="482" t="str">
        <f>+D123</f>
        <v>Estacionamiento No 181</v>
      </c>
      <c r="F163" s="482"/>
      <c r="G163" s="482"/>
      <c r="H163" s="482"/>
      <c r="I163" s="482"/>
      <c r="J163" s="482"/>
      <c r="K163" s="399"/>
      <c r="L163" s="123" t="s">
        <v>129</v>
      </c>
      <c r="M163" s="483" t="s">
        <v>39</v>
      </c>
      <c r="N163" s="483"/>
      <c r="O163" s="483"/>
      <c r="P163" s="483"/>
      <c r="Q163" s="483"/>
      <c r="R163" s="483"/>
      <c r="S163" s="483"/>
      <c r="T163" s="483"/>
      <c r="U163" s="483"/>
      <c r="V163" s="483"/>
      <c r="W163" s="483"/>
      <c r="X163" s="483"/>
      <c r="Y163" s="483"/>
      <c r="Z163" s="483"/>
      <c r="AA163" s="483"/>
      <c r="AB163" s="483"/>
      <c r="AC163" s="483"/>
      <c r="AD163" s="483"/>
      <c r="AE163" s="483"/>
      <c r="AF163" s="483"/>
      <c r="AG163" s="483"/>
      <c r="AH163" s="483"/>
      <c r="AI163" s="483"/>
      <c r="AJ163" s="483"/>
      <c r="AK163" s="483"/>
      <c r="AL163" s="99"/>
      <c r="AM163" s="99"/>
      <c r="AN163" s="99"/>
      <c r="AO163" s="99"/>
      <c r="AP163" s="99"/>
    </row>
    <row r="164" spans="1:43" ht="30" customHeight="1" x14ac:dyDescent="0.25">
      <c r="D164" s="81" t="s">
        <v>109</v>
      </c>
      <c r="E164" s="482" t="str">
        <f>+D124</f>
        <v>Depósito No 06</v>
      </c>
      <c r="F164" s="482"/>
      <c r="G164" s="482"/>
      <c r="H164" s="482"/>
      <c r="I164" s="482"/>
      <c r="J164" s="482"/>
      <c r="K164" s="399"/>
      <c r="L164" s="123" t="s">
        <v>129</v>
      </c>
      <c r="M164" s="483"/>
      <c r="N164" s="483"/>
      <c r="O164" s="483"/>
      <c r="P164" s="483"/>
      <c r="Q164" s="483"/>
      <c r="R164" s="483"/>
      <c r="S164" s="483"/>
      <c r="T164" s="483"/>
      <c r="U164" s="483"/>
      <c r="V164" s="483"/>
      <c r="W164" s="483"/>
      <c r="X164" s="483"/>
      <c r="Y164" s="483"/>
      <c r="Z164" s="483"/>
      <c r="AA164" s="483"/>
      <c r="AB164" s="483"/>
      <c r="AC164" s="483"/>
      <c r="AD164" s="483"/>
      <c r="AE164" s="483"/>
      <c r="AF164" s="483"/>
      <c r="AG164" s="483"/>
      <c r="AH164" s="483"/>
      <c r="AI164" s="483"/>
      <c r="AJ164" s="483"/>
      <c r="AK164" s="483"/>
      <c r="AL164" s="99"/>
      <c r="AM164" s="99"/>
      <c r="AN164" s="99"/>
      <c r="AO164" s="99"/>
      <c r="AP164" s="99"/>
    </row>
    <row r="165" spans="1:43" ht="30" customHeight="1" x14ac:dyDescent="0.25">
      <c r="D165" s="81" t="s">
        <v>109</v>
      </c>
      <c r="E165" s="482" t="str">
        <f>+D125</f>
        <v>Estacionamiento No 185</v>
      </c>
      <c r="F165" s="482"/>
      <c r="G165" s="482"/>
      <c r="H165" s="482"/>
      <c r="I165" s="482"/>
      <c r="J165" s="482"/>
      <c r="K165" s="369"/>
      <c r="L165" s="123" t="s">
        <v>129</v>
      </c>
      <c r="M165" s="483" t="s">
        <v>39</v>
      </c>
      <c r="N165" s="483"/>
      <c r="O165" s="483"/>
      <c r="P165" s="483"/>
      <c r="Q165" s="483"/>
      <c r="R165" s="483"/>
      <c r="S165" s="483"/>
      <c r="T165" s="483"/>
      <c r="U165" s="483"/>
      <c r="V165" s="483"/>
      <c r="W165" s="483"/>
      <c r="X165" s="483"/>
      <c r="Y165" s="483"/>
      <c r="Z165" s="483"/>
      <c r="AA165" s="483"/>
      <c r="AB165" s="483"/>
      <c r="AC165" s="483"/>
      <c r="AD165" s="483"/>
      <c r="AE165" s="483"/>
      <c r="AF165" s="483"/>
      <c r="AG165" s="483"/>
      <c r="AH165" s="483"/>
      <c r="AI165" s="483"/>
      <c r="AJ165" s="483"/>
      <c r="AK165" s="483"/>
      <c r="AL165" s="99"/>
      <c r="AM165" s="99"/>
      <c r="AN165" s="99"/>
      <c r="AO165" s="99"/>
      <c r="AP165" s="99"/>
    </row>
    <row r="166" spans="1:43" ht="30" customHeight="1" x14ac:dyDescent="0.25">
      <c r="D166" s="81" t="s">
        <v>109</v>
      </c>
      <c r="E166" s="482" t="str">
        <f>+D126</f>
        <v>Depósito No 07</v>
      </c>
      <c r="F166" s="482"/>
      <c r="G166" s="482"/>
      <c r="H166" s="482"/>
      <c r="I166" s="482"/>
      <c r="J166" s="482"/>
      <c r="K166" s="369"/>
      <c r="L166" s="123" t="s">
        <v>129</v>
      </c>
      <c r="M166" s="483"/>
      <c r="N166" s="483"/>
      <c r="O166" s="483"/>
      <c r="P166" s="483"/>
      <c r="Q166" s="483"/>
      <c r="R166" s="483"/>
      <c r="S166" s="483"/>
      <c r="T166" s="483"/>
      <c r="U166" s="483"/>
      <c r="V166" s="483"/>
      <c r="W166" s="483"/>
      <c r="X166" s="483"/>
      <c r="Y166" s="483"/>
      <c r="Z166" s="483"/>
      <c r="AA166" s="483"/>
      <c r="AB166" s="483"/>
      <c r="AC166" s="483"/>
      <c r="AD166" s="483"/>
      <c r="AE166" s="483"/>
      <c r="AF166" s="483"/>
      <c r="AG166" s="483"/>
      <c r="AH166" s="483"/>
      <c r="AI166" s="483"/>
      <c r="AJ166" s="483"/>
      <c r="AK166" s="483"/>
      <c r="AL166" s="99"/>
      <c r="AM166" s="99"/>
      <c r="AN166" s="99"/>
      <c r="AO166" s="99"/>
      <c r="AP166" s="99"/>
    </row>
    <row r="167" spans="1:43" x14ac:dyDescent="0.25">
      <c r="D167" s="81"/>
      <c r="E167" s="254"/>
      <c r="F167" s="254"/>
      <c r="G167" s="254"/>
      <c r="H167" s="254"/>
      <c r="I167" s="254"/>
      <c r="J167" s="254"/>
      <c r="K167" s="254"/>
      <c r="L167" s="123"/>
      <c r="M167" s="268"/>
      <c r="N167" s="268"/>
      <c r="O167" s="268"/>
      <c r="P167" s="268"/>
      <c r="Q167" s="268"/>
      <c r="R167" s="268"/>
      <c r="S167" s="268"/>
      <c r="T167" s="268"/>
      <c r="U167" s="268"/>
      <c r="V167" s="268"/>
      <c r="W167" s="268"/>
      <c r="X167" s="268"/>
      <c r="Y167" s="268"/>
      <c r="Z167" s="268"/>
      <c r="AA167" s="268"/>
      <c r="AB167" s="268"/>
      <c r="AC167" s="268"/>
      <c r="AD167" s="268"/>
      <c r="AE167" s="268"/>
      <c r="AF167" s="268"/>
      <c r="AG167" s="268"/>
      <c r="AH167" s="268"/>
      <c r="AI167" s="268"/>
      <c r="AJ167" s="268"/>
      <c r="AK167" s="268"/>
      <c r="AL167" s="99"/>
      <c r="AM167" s="99"/>
      <c r="AN167" s="99"/>
      <c r="AO167" s="99"/>
      <c r="AP167" s="99"/>
    </row>
    <row r="168" spans="1:43" ht="15" customHeight="1" x14ac:dyDescent="0.25">
      <c r="A168" s="77"/>
      <c r="B168" s="77"/>
      <c r="D168" s="76" t="s">
        <v>151</v>
      </c>
      <c r="AQ168" s="293"/>
    </row>
    <row r="169" spans="1:43" ht="6" customHeight="1" x14ac:dyDescent="0.25">
      <c r="AQ169" s="293"/>
    </row>
    <row r="170" spans="1:43" ht="15" customHeight="1" x14ac:dyDescent="0.25">
      <c r="D170" s="122" t="s">
        <v>150</v>
      </c>
      <c r="AQ170" s="291"/>
    </row>
    <row r="171" spans="1:43" ht="6" customHeight="1" x14ac:dyDescent="0.25"/>
    <row r="172" spans="1:43" ht="15" customHeight="1" x14ac:dyDescent="0.25">
      <c r="D172" s="122" t="s">
        <v>149</v>
      </c>
      <c r="E172" s="122" t="s">
        <v>148</v>
      </c>
      <c r="N172" s="121" t="s">
        <v>129</v>
      </c>
      <c r="O172" s="121"/>
      <c r="P172" s="517" t="str">
        <f>+Memoria!P111</f>
        <v xml:space="preserve">Muros de concreto armado, columnas, vigas y losas de concreto armado. </v>
      </c>
      <c r="Q172" s="517"/>
      <c r="R172" s="517"/>
      <c r="S172" s="517"/>
      <c r="T172" s="517"/>
      <c r="U172" s="517"/>
      <c r="V172" s="517"/>
      <c r="W172" s="517"/>
      <c r="X172" s="517"/>
      <c r="Y172" s="517"/>
      <c r="Z172" s="517"/>
      <c r="AA172" s="517"/>
      <c r="AB172" s="517"/>
      <c r="AC172" s="517"/>
      <c r="AD172" s="517"/>
      <c r="AE172" s="517"/>
      <c r="AF172" s="517"/>
      <c r="AG172" s="517"/>
      <c r="AH172" s="517"/>
      <c r="AI172" s="517"/>
      <c r="AJ172" s="517"/>
      <c r="AK172" s="517"/>
    </row>
    <row r="173" spans="1:43" ht="6" customHeight="1" x14ac:dyDescent="0.25">
      <c r="N173" s="81"/>
      <c r="O173" s="81"/>
      <c r="P173" s="517"/>
      <c r="Q173" s="517"/>
      <c r="R173" s="517"/>
      <c r="S173" s="517"/>
      <c r="T173" s="517"/>
      <c r="U173" s="517"/>
      <c r="V173" s="517"/>
      <c r="W173" s="517"/>
      <c r="X173" s="517"/>
      <c r="Y173" s="517"/>
      <c r="Z173" s="517"/>
      <c r="AA173" s="517"/>
      <c r="AB173" s="517"/>
      <c r="AC173" s="517"/>
      <c r="AD173" s="517"/>
      <c r="AE173" s="517"/>
      <c r="AF173" s="517"/>
      <c r="AG173" s="517"/>
      <c r="AH173" s="517"/>
      <c r="AI173" s="517"/>
      <c r="AJ173" s="517"/>
      <c r="AK173" s="517"/>
    </row>
    <row r="174" spans="1:43" ht="15" customHeight="1" x14ac:dyDescent="0.25">
      <c r="D174" s="122" t="s">
        <v>146</v>
      </c>
      <c r="E174" s="122" t="s">
        <v>145</v>
      </c>
      <c r="N174" s="121" t="s">
        <v>129</v>
      </c>
      <c r="O174" s="121"/>
      <c r="P174" s="517" t="str">
        <f>+Memoria!P113</f>
        <v>Muros empastados y pintados con látex. Techos empastados y pintados.</v>
      </c>
      <c r="Q174" s="517"/>
      <c r="R174" s="517"/>
      <c r="S174" s="517"/>
      <c r="T174" s="517"/>
      <c r="U174" s="517"/>
      <c r="V174" s="517"/>
      <c r="W174" s="517"/>
      <c r="X174" s="517"/>
      <c r="Y174" s="517"/>
      <c r="Z174" s="517"/>
      <c r="AA174" s="517"/>
      <c r="AB174" s="517"/>
      <c r="AC174" s="517"/>
      <c r="AD174" s="517"/>
      <c r="AE174" s="517"/>
      <c r="AF174" s="517"/>
      <c r="AG174" s="517"/>
      <c r="AH174" s="517"/>
      <c r="AI174" s="517"/>
      <c r="AJ174" s="517"/>
      <c r="AK174" s="517"/>
    </row>
    <row r="175" spans="1:43" ht="6" customHeight="1" x14ac:dyDescent="0.25">
      <c r="N175" s="81"/>
      <c r="O175" s="81"/>
      <c r="P175" s="517"/>
      <c r="Q175" s="517"/>
      <c r="R175" s="517"/>
      <c r="S175" s="517"/>
      <c r="T175" s="517"/>
      <c r="U175" s="517"/>
      <c r="V175" s="517"/>
      <c r="W175" s="517"/>
      <c r="X175" s="517"/>
      <c r="Y175" s="517"/>
      <c r="Z175" s="517"/>
      <c r="AA175" s="517"/>
      <c r="AB175" s="517"/>
      <c r="AC175" s="517"/>
      <c r="AD175" s="517"/>
      <c r="AE175" s="517"/>
      <c r="AF175" s="517"/>
      <c r="AG175" s="517"/>
      <c r="AH175" s="517"/>
      <c r="AI175" s="517"/>
      <c r="AJ175" s="517"/>
      <c r="AK175" s="517"/>
    </row>
    <row r="176" spans="1:43" ht="15" customHeight="1" x14ac:dyDescent="0.25">
      <c r="D176" s="122" t="s">
        <v>144</v>
      </c>
      <c r="E176" s="122" t="s">
        <v>143</v>
      </c>
      <c r="N176" s="121" t="s">
        <v>129</v>
      </c>
      <c r="O176" s="121"/>
      <c r="P176" s="517" t="str">
        <f>+Memoria!P115</f>
        <v>Laminado.</v>
      </c>
      <c r="Q176" s="517"/>
      <c r="R176" s="517"/>
      <c r="S176" s="517"/>
      <c r="T176" s="517"/>
      <c r="U176" s="517"/>
      <c r="V176" s="517"/>
      <c r="W176" s="517"/>
      <c r="X176" s="517"/>
      <c r="Y176" s="517"/>
      <c r="Z176" s="517"/>
      <c r="AA176" s="517"/>
      <c r="AB176" s="517"/>
      <c r="AC176" s="517"/>
      <c r="AD176" s="517"/>
      <c r="AE176" s="517"/>
      <c r="AF176" s="517"/>
      <c r="AG176" s="517"/>
      <c r="AH176" s="517"/>
      <c r="AI176" s="517"/>
      <c r="AJ176" s="517"/>
      <c r="AK176" s="517"/>
    </row>
    <row r="177" spans="1:37" ht="6" customHeight="1" x14ac:dyDescent="0.25">
      <c r="N177" s="81"/>
      <c r="O177" s="81"/>
      <c r="P177" s="517"/>
      <c r="Q177" s="517"/>
      <c r="R177" s="517"/>
      <c r="S177" s="517"/>
      <c r="T177" s="517"/>
      <c r="U177" s="517"/>
      <c r="V177" s="517"/>
      <c r="W177" s="517"/>
      <c r="X177" s="517"/>
      <c r="Y177" s="517"/>
      <c r="Z177" s="517"/>
      <c r="AA177" s="517"/>
      <c r="AB177" s="517"/>
      <c r="AC177" s="517"/>
      <c r="AD177" s="517"/>
      <c r="AE177" s="517"/>
      <c r="AF177" s="517"/>
      <c r="AG177" s="517"/>
      <c r="AH177" s="517"/>
      <c r="AI177" s="517"/>
      <c r="AJ177" s="517"/>
      <c r="AK177" s="517"/>
    </row>
    <row r="178" spans="1:37" ht="30" customHeight="1" x14ac:dyDescent="0.25">
      <c r="D178" s="122" t="s">
        <v>142</v>
      </c>
      <c r="E178" s="122" t="s">
        <v>141</v>
      </c>
      <c r="N178" s="121" t="s">
        <v>129</v>
      </c>
      <c r="O178" s="121"/>
      <c r="P178" s="517" t="str">
        <f>+Memoria!P117</f>
        <v>Puerta principal y puertas interiores de madera. Ventanas con perfiles de aluminio y vidrio templado.</v>
      </c>
      <c r="Q178" s="517"/>
      <c r="R178" s="517"/>
      <c r="S178" s="517"/>
      <c r="T178" s="517"/>
      <c r="U178" s="517"/>
      <c r="V178" s="517"/>
      <c r="W178" s="517"/>
      <c r="X178" s="517"/>
      <c r="Y178" s="517"/>
      <c r="Z178" s="517"/>
      <c r="AA178" s="517"/>
      <c r="AB178" s="517"/>
      <c r="AC178" s="517"/>
      <c r="AD178" s="517"/>
      <c r="AE178" s="517"/>
      <c r="AF178" s="517"/>
      <c r="AG178" s="517"/>
      <c r="AH178" s="517"/>
      <c r="AI178" s="517"/>
      <c r="AJ178" s="517"/>
      <c r="AK178" s="517"/>
    </row>
    <row r="179" spans="1:37" ht="6" customHeight="1" x14ac:dyDescent="0.25">
      <c r="N179" s="81"/>
      <c r="O179" s="81"/>
      <c r="P179" s="517"/>
      <c r="Q179" s="517"/>
      <c r="R179" s="517"/>
      <c r="S179" s="517"/>
      <c r="T179" s="517"/>
      <c r="U179" s="517"/>
      <c r="V179" s="517"/>
      <c r="W179" s="517"/>
      <c r="X179" s="517"/>
      <c r="Y179" s="517"/>
      <c r="Z179" s="517"/>
      <c r="AA179" s="517"/>
      <c r="AB179" s="517"/>
      <c r="AC179" s="517"/>
      <c r="AD179" s="517"/>
      <c r="AE179" s="517"/>
      <c r="AF179" s="517"/>
      <c r="AG179" s="517"/>
      <c r="AH179" s="517"/>
      <c r="AI179" s="517"/>
      <c r="AJ179" s="517"/>
      <c r="AK179" s="517"/>
    </row>
    <row r="180" spans="1:37" ht="15" customHeight="1" x14ac:dyDescent="0.25">
      <c r="D180" s="122" t="s">
        <v>140</v>
      </c>
      <c r="E180" s="122" t="s">
        <v>139</v>
      </c>
      <c r="N180" s="121" t="s">
        <v>129</v>
      </c>
      <c r="O180" s="121"/>
      <c r="P180" s="517" t="str">
        <f>+Memoria!P119</f>
        <v>Pisos: Cerámico.</v>
      </c>
      <c r="Q180" s="517"/>
      <c r="R180" s="517"/>
      <c r="S180" s="517"/>
      <c r="T180" s="517"/>
      <c r="U180" s="517"/>
      <c r="V180" s="517"/>
      <c r="W180" s="517"/>
      <c r="X180" s="517"/>
      <c r="Y180" s="517"/>
      <c r="Z180" s="517"/>
      <c r="AA180" s="517"/>
      <c r="AB180" s="517"/>
      <c r="AC180" s="517"/>
      <c r="AD180" s="517"/>
      <c r="AE180" s="517"/>
      <c r="AF180" s="517"/>
      <c r="AG180" s="517"/>
      <c r="AH180" s="517"/>
      <c r="AI180" s="517"/>
      <c r="AJ180" s="517"/>
      <c r="AK180" s="517"/>
    </row>
    <row r="181" spans="1:37" ht="15" customHeight="1" x14ac:dyDescent="0.25">
      <c r="N181" s="81"/>
      <c r="O181" s="81"/>
      <c r="P181" s="517" t="str">
        <f>+Memoria!P120</f>
        <v>Pared: Cerámico parcial, resto empastado y pintado.</v>
      </c>
      <c r="Q181" s="517"/>
      <c r="R181" s="517"/>
      <c r="S181" s="517"/>
      <c r="T181" s="517"/>
      <c r="U181" s="517"/>
      <c r="V181" s="517"/>
      <c r="W181" s="517"/>
      <c r="X181" s="517"/>
      <c r="Y181" s="517"/>
      <c r="Z181" s="517"/>
      <c r="AA181" s="517"/>
      <c r="AB181" s="517"/>
      <c r="AC181" s="517"/>
      <c r="AD181" s="517"/>
      <c r="AE181" s="517"/>
      <c r="AF181" s="517"/>
      <c r="AG181" s="517"/>
      <c r="AH181" s="517"/>
      <c r="AI181" s="517"/>
      <c r="AJ181" s="517"/>
      <c r="AK181" s="517"/>
    </row>
    <row r="182" spans="1:37" ht="30" customHeight="1" x14ac:dyDescent="0.25">
      <c r="N182" s="81"/>
      <c r="O182" s="81"/>
      <c r="P182" s="517" t="str">
        <f>+Memoria!P121</f>
        <v>Muebles: Altos y bajos de melamine, lavadero de una poza en acero inoxidable empotrado en tablero de granito.</v>
      </c>
      <c r="Q182" s="517"/>
      <c r="R182" s="517"/>
      <c r="S182" s="517"/>
      <c r="T182" s="517"/>
      <c r="U182" s="517"/>
      <c r="V182" s="517"/>
      <c r="W182" s="517"/>
      <c r="X182" s="517"/>
      <c r="Y182" s="517"/>
      <c r="Z182" s="517"/>
      <c r="AA182" s="517"/>
      <c r="AB182" s="517"/>
      <c r="AC182" s="517"/>
      <c r="AD182" s="517"/>
      <c r="AE182" s="517"/>
      <c r="AF182" s="517"/>
      <c r="AG182" s="517"/>
      <c r="AH182" s="517"/>
      <c r="AI182" s="517"/>
      <c r="AJ182" s="517"/>
      <c r="AK182" s="517"/>
    </row>
    <row r="183" spans="1:37" ht="6" customHeight="1" x14ac:dyDescent="0.25">
      <c r="N183" s="81"/>
      <c r="O183" s="81"/>
      <c r="P183" s="517"/>
      <c r="Q183" s="517"/>
      <c r="R183" s="517"/>
      <c r="S183" s="517"/>
      <c r="T183" s="517"/>
      <c r="U183" s="517"/>
      <c r="V183" s="517"/>
      <c r="W183" s="517"/>
      <c r="X183" s="517"/>
      <c r="Y183" s="517"/>
      <c r="Z183" s="517"/>
      <c r="AA183" s="517"/>
      <c r="AB183" s="517"/>
      <c r="AC183" s="517"/>
      <c r="AD183" s="517"/>
      <c r="AE183" s="517"/>
      <c r="AF183" s="517"/>
      <c r="AG183" s="517"/>
      <c r="AH183" s="517"/>
      <c r="AI183" s="517"/>
      <c r="AJ183" s="517"/>
      <c r="AK183" s="517"/>
    </row>
    <row r="184" spans="1:37" ht="15" customHeight="1" x14ac:dyDescent="0.25">
      <c r="D184" s="122" t="s">
        <v>138</v>
      </c>
      <c r="E184" s="122" t="s">
        <v>137</v>
      </c>
      <c r="F184" s="98"/>
      <c r="G184" s="98"/>
      <c r="N184" s="121" t="s">
        <v>129</v>
      </c>
      <c r="O184" s="121"/>
      <c r="P184" s="517" t="str">
        <f>+Memoria!P123</f>
        <v>Pisos: Cerámico.</v>
      </c>
      <c r="Q184" s="517"/>
      <c r="R184" s="517"/>
      <c r="S184" s="517"/>
      <c r="T184" s="517"/>
      <c r="U184" s="517"/>
      <c r="V184" s="517"/>
      <c r="W184" s="517"/>
      <c r="X184" s="517"/>
      <c r="Y184" s="517"/>
      <c r="Z184" s="517"/>
      <c r="AA184" s="517"/>
      <c r="AB184" s="517"/>
      <c r="AC184" s="517"/>
      <c r="AD184" s="517"/>
      <c r="AE184" s="517"/>
      <c r="AF184" s="517"/>
      <c r="AG184" s="517"/>
      <c r="AH184" s="517"/>
      <c r="AI184" s="517"/>
      <c r="AJ184" s="517"/>
      <c r="AK184" s="517"/>
    </row>
    <row r="185" spans="1:37" ht="15" customHeight="1" x14ac:dyDescent="0.25">
      <c r="N185" s="81"/>
      <c r="O185" s="81"/>
      <c r="P185" s="517" t="str">
        <f>+Memoria!P124</f>
        <v>Pared: Cerámico parcial, resto empastado y pintado.</v>
      </c>
      <c r="Q185" s="517"/>
      <c r="R185" s="517"/>
      <c r="S185" s="517"/>
      <c r="T185" s="517"/>
      <c r="U185" s="517"/>
      <c r="V185" s="517"/>
      <c r="W185" s="517"/>
      <c r="X185" s="517"/>
      <c r="Y185" s="517"/>
      <c r="Z185" s="517"/>
      <c r="AA185" s="517"/>
      <c r="AB185" s="517"/>
      <c r="AC185" s="517"/>
      <c r="AD185" s="517"/>
      <c r="AE185" s="517"/>
      <c r="AF185" s="517"/>
      <c r="AG185" s="517"/>
      <c r="AH185" s="517"/>
      <c r="AI185" s="517"/>
      <c r="AJ185" s="517"/>
      <c r="AK185" s="517"/>
    </row>
    <row r="186" spans="1:37" ht="15" customHeight="1" x14ac:dyDescent="0.25">
      <c r="N186" s="81"/>
      <c r="O186" s="81"/>
      <c r="P186" s="517" t="str">
        <f>+Memoria!P125</f>
        <v>Sanitarios: Aparatos sanitarios de losa vitrificada de color blanco. Lavatorio tipo pedestal, inodoro tipo one piece, ducha.</v>
      </c>
      <c r="Q186" s="517"/>
      <c r="R186" s="517"/>
      <c r="S186" s="517"/>
      <c r="T186" s="517"/>
      <c r="U186" s="517"/>
      <c r="V186" s="517"/>
      <c r="W186" s="517"/>
      <c r="X186" s="517"/>
      <c r="Y186" s="517"/>
      <c r="Z186" s="517"/>
      <c r="AA186" s="517"/>
      <c r="AB186" s="517"/>
      <c r="AC186" s="517"/>
      <c r="AD186" s="517"/>
      <c r="AE186" s="517"/>
      <c r="AF186" s="517"/>
      <c r="AG186" s="517"/>
      <c r="AH186" s="517"/>
      <c r="AI186" s="517"/>
      <c r="AJ186" s="517"/>
      <c r="AK186" s="517"/>
    </row>
    <row r="187" spans="1:37" ht="6" customHeight="1" x14ac:dyDescent="0.25">
      <c r="N187" s="81"/>
      <c r="O187" s="81"/>
      <c r="P187" s="517"/>
      <c r="Q187" s="517"/>
      <c r="R187" s="517"/>
      <c r="S187" s="517"/>
      <c r="T187" s="517"/>
      <c r="U187" s="517"/>
      <c r="V187" s="517"/>
      <c r="W187" s="517"/>
      <c r="X187" s="517"/>
      <c r="Y187" s="517"/>
      <c r="Z187" s="517"/>
      <c r="AA187" s="517"/>
      <c r="AB187" s="517"/>
      <c r="AC187" s="517"/>
      <c r="AD187" s="517"/>
      <c r="AE187" s="517"/>
      <c r="AF187" s="517"/>
      <c r="AG187" s="517"/>
      <c r="AH187" s="517"/>
      <c r="AI187" s="517"/>
      <c r="AJ187" s="517"/>
      <c r="AK187" s="517"/>
    </row>
    <row r="188" spans="1:37" ht="15" customHeight="1" x14ac:dyDescent="0.25">
      <c r="A188" s="62"/>
      <c r="B188" s="62"/>
      <c r="D188" s="122" t="s">
        <v>135</v>
      </c>
      <c r="E188" s="122" t="s">
        <v>134</v>
      </c>
      <c r="N188" s="121" t="s">
        <v>129</v>
      </c>
      <c r="O188" s="121"/>
      <c r="P188" s="517" t="str">
        <f>+Memoria!P127</f>
        <v>Redes empotradas. Agua fría y agua caliente.</v>
      </c>
      <c r="Q188" s="517"/>
      <c r="R188" s="517"/>
      <c r="S188" s="517"/>
      <c r="T188" s="517"/>
      <c r="U188" s="517"/>
      <c r="V188" s="517"/>
      <c r="W188" s="517"/>
      <c r="X188" s="517"/>
      <c r="Y188" s="517"/>
      <c r="Z188" s="517"/>
      <c r="AA188" s="517"/>
      <c r="AB188" s="517"/>
      <c r="AC188" s="517"/>
      <c r="AD188" s="517"/>
      <c r="AE188" s="517"/>
      <c r="AF188" s="517"/>
      <c r="AG188" s="517"/>
      <c r="AH188" s="517"/>
      <c r="AI188" s="517"/>
      <c r="AJ188" s="517"/>
      <c r="AK188" s="517"/>
    </row>
    <row r="189" spans="1:37" ht="6" customHeight="1" x14ac:dyDescent="0.25">
      <c r="N189" s="81"/>
      <c r="O189" s="81"/>
      <c r="P189" s="517"/>
      <c r="Q189" s="517"/>
      <c r="R189" s="517"/>
      <c r="S189" s="517"/>
      <c r="T189" s="517"/>
      <c r="U189" s="517"/>
      <c r="V189" s="517"/>
      <c r="W189" s="517"/>
      <c r="X189" s="517"/>
      <c r="Y189" s="517"/>
      <c r="Z189" s="517"/>
      <c r="AA189" s="517"/>
      <c r="AB189" s="517"/>
      <c r="AC189" s="517"/>
      <c r="AD189" s="517"/>
      <c r="AE189" s="517"/>
      <c r="AF189" s="517"/>
      <c r="AG189" s="517"/>
      <c r="AH189" s="517"/>
      <c r="AI189" s="517"/>
      <c r="AJ189" s="517"/>
      <c r="AK189" s="517"/>
    </row>
    <row r="190" spans="1:37" ht="15" customHeight="1" x14ac:dyDescent="0.25">
      <c r="D190" s="122" t="s">
        <v>133</v>
      </c>
      <c r="E190" s="122" t="s">
        <v>132</v>
      </c>
      <c r="N190" s="121" t="s">
        <v>129</v>
      </c>
      <c r="O190" s="121"/>
      <c r="P190" s="517" t="str">
        <f>+Memoria!P129</f>
        <v>Redes empotradas. Corriente monofásica. Ascensor.</v>
      </c>
      <c r="Q190" s="517"/>
      <c r="R190" s="517"/>
      <c r="S190" s="517"/>
      <c r="T190" s="517"/>
      <c r="U190" s="517"/>
      <c r="V190" s="517"/>
      <c r="W190" s="517"/>
      <c r="X190" s="517"/>
      <c r="Y190" s="517"/>
      <c r="Z190" s="517"/>
      <c r="AA190" s="517"/>
      <c r="AB190" s="517"/>
      <c r="AC190" s="517"/>
      <c r="AD190" s="517"/>
      <c r="AE190" s="517"/>
      <c r="AF190" s="517"/>
      <c r="AG190" s="517"/>
      <c r="AH190" s="517"/>
      <c r="AI190" s="517"/>
      <c r="AJ190" s="517"/>
      <c r="AK190" s="517"/>
    </row>
    <row r="191" spans="1:37" ht="6" customHeight="1" x14ac:dyDescent="0.25">
      <c r="N191" s="81"/>
      <c r="O191" s="81"/>
      <c r="P191" s="517"/>
      <c r="Q191" s="517"/>
      <c r="R191" s="517"/>
      <c r="S191" s="517"/>
      <c r="T191" s="517"/>
      <c r="U191" s="517"/>
      <c r="V191" s="517"/>
      <c r="W191" s="517"/>
      <c r="X191" s="517"/>
      <c r="Y191" s="517"/>
      <c r="Z191" s="517"/>
      <c r="AA191" s="517"/>
      <c r="AB191" s="517"/>
      <c r="AC191" s="517"/>
      <c r="AD191" s="517"/>
      <c r="AE191" s="517"/>
      <c r="AF191" s="517"/>
      <c r="AG191" s="517"/>
      <c r="AH191" s="517"/>
      <c r="AI191" s="517"/>
      <c r="AJ191" s="517"/>
      <c r="AK191" s="517"/>
    </row>
    <row r="192" spans="1:37" ht="27.75" customHeight="1" x14ac:dyDescent="0.25">
      <c r="D192" s="122" t="s">
        <v>131</v>
      </c>
      <c r="E192" s="122" t="s">
        <v>130</v>
      </c>
      <c r="N192" s="121" t="s">
        <v>129</v>
      </c>
      <c r="O192" s="121"/>
      <c r="P192" s="517" t="str">
        <f>+Memoria!P131</f>
        <v>Gabinetes en pisos superiores, sistema de aspersores en sótanos. Alarma con pulsador, detectores de humo y luces de emergencia.</v>
      </c>
      <c r="Q192" s="517"/>
      <c r="R192" s="517"/>
      <c r="S192" s="517"/>
      <c r="T192" s="517"/>
      <c r="U192" s="517"/>
      <c r="V192" s="517"/>
      <c r="W192" s="517"/>
      <c r="X192" s="517"/>
      <c r="Y192" s="517"/>
      <c r="Z192" s="517"/>
      <c r="AA192" s="517"/>
      <c r="AB192" s="517"/>
      <c r="AC192" s="517"/>
      <c r="AD192" s="517"/>
      <c r="AE192" s="517"/>
      <c r="AF192" s="517"/>
      <c r="AG192" s="517"/>
      <c r="AH192" s="517"/>
      <c r="AI192" s="517"/>
      <c r="AJ192" s="517"/>
      <c r="AK192" s="517"/>
    </row>
    <row r="194" spans="1:37" ht="15" customHeight="1" x14ac:dyDescent="0.25">
      <c r="A194" s="77"/>
      <c r="B194" s="77" t="s">
        <v>128</v>
      </c>
      <c r="D194" s="76" t="s">
        <v>127</v>
      </c>
    </row>
    <row r="195" spans="1:37" ht="6" customHeight="1" x14ac:dyDescent="0.25">
      <c r="A195" s="62"/>
      <c r="B195" s="62"/>
    </row>
    <row r="196" spans="1:37" ht="15" customHeight="1" x14ac:dyDescent="0.25">
      <c r="D196" s="537" t="s">
        <v>126</v>
      </c>
      <c r="E196" s="537"/>
      <c r="F196" s="537"/>
      <c r="G196" s="537"/>
      <c r="H196" s="524" t="s">
        <v>125</v>
      </c>
      <c r="I196" s="537"/>
      <c r="J196" s="537"/>
      <c r="K196" s="537"/>
      <c r="L196" s="522" t="s">
        <v>124</v>
      </c>
      <c r="M196" s="523"/>
      <c r="N196" s="523"/>
      <c r="O196" s="523"/>
      <c r="P196" s="524"/>
      <c r="Q196" s="522" t="s">
        <v>123</v>
      </c>
      <c r="R196" s="523"/>
      <c r="S196" s="523"/>
      <c r="T196" s="523"/>
      <c r="U196" s="523"/>
      <c r="V196" s="523"/>
      <c r="W196" s="523"/>
      <c r="X196" s="523"/>
      <c r="Y196" s="523"/>
      <c r="Z196" s="523"/>
      <c r="AA196" s="523"/>
      <c r="AB196" s="523"/>
      <c r="AC196" s="523"/>
      <c r="AD196" s="523"/>
      <c r="AE196" s="523"/>
      <c r="AF196" s="523"/>
      <c r="AG196" s="523"/>
      <c r="AH196" s="523"/>
      <c r="AI196" s="523"/>
      <c r="AJ196" s="523"/>
      <c r="AK196" s="524"/>
    </row>
    <row r="197" spans="1:37" ht="15" customHeight="1" x14ac:dyDescent="0.25">
      <c r="D197" s="538">
        <f ca="1">2019-J62</f>
        <v>-1</v>
      </c>
      <c r="E197" s="538"/>
      <c r="F197" s="538"/>
      <c r="G197" s="538"/>
      <c r="H197" s="539" t="s">
        <v>122</v>
      </c>
      <c r="I197" s="538"/>
      <c r="J197" s="538"/>
      <c r="K197" s="538"/>
      <c r="L197" s="544">
        <v>0</v>
      </c>
      <c r="M197" s="545"/>
      <c r="N197" s="545"/>
      <c r="O197" s="545" t="s">
        <v>64</v>
      </c>
      <c r="P197" s="539"/>
      <c r="Q197" s="546" t="s">
        <v>121</v>
      </c>
      <c r="R197" s="547"/>
      <c r="S197" s="547"/>
      <c r="T197" s="547"/>
      <c r="U197" s="547"/>
      <c r="V197" s="547"/>
      <c r="W197" s="547"/>
      <c r="X197" s="547"/>
      <c r="Y197" s="547"/>
      <c r="Z197" s="547"/>
      <c r="AA197" s="547"/>
      <c r="AB197" s="547"/>
      <c r="AC197" s="547"/>
      <c r="AD197" s="547"/>
      <c r="AE197" s="547"/>
      <c r="AF197" s="547"/>
      <c r="AG197" s="547"/>
      <c r="AH197" s="547"/>
      <c r="AI197" s="547"/>
      <c r="AJ197" s="547"/>
      <c r="AK197" s="548"/>
    </row>
    <row r="199" spans="1:37" ht="15" customHeight="1" x14ac:dyDescent="0.25">
      <c r="A199" s="77"/>
      <c r="B199" s="77" t="s">
        <v>120</v>
      </c>
      <c r="D199" s="76" t="s">
        <v>119</v>
      </c>
    </row>
    <row r="200" spans="1:37" ht="6" customHeight="1" x14ac:dyDescent="0.25"/>
    <row r="201" spans="1:37" ht="29.25" customHeight="1" x14ac:dyDescent="0.25">
      <c r="A201" s="62"/>
      <c r="B201" s="62"/>
      <c r="D201" s="519" t="str">
        <f>+Memoria!D140</f>
        <v>La zona es residencial consolidada y cuenta con todas las obras de infraestructura urbana y servicios públicos; sus principales vías de acceso son: Av. Manuel Villarán, Avenida Aviación, Avenida Principal, Av. Angamos Este, entre otras.</v>
      </c>
      <c r="E201" s="519"/>
      <c r="F201" s="519"/>
      <c r="G201" s="519"/>
      <c r="H201" s="519"/>
      <c r="I201" s="519"/>
      <c r="J201" s="519"/>
      <c r="K201" s="519"/>
      <c r="L201" s="519"/>
      <c r="M201" s="519"/>
      <c r="N201" s="519"/>
      <c r="O201" s="519"/>
      <c r="P201" s="519"/>
      <c r="Q201" s="519"/>
      <c r="R201" s="519"/>
      <c r="S201" s="519"/>
      <c r="T201" s="519"/>
      <c r="U201" s="519"/>
      <c r="V201" s="519"/>
      <c r="W201" s="519"/>
      <c r="X201" s="519"/>
      <c r="Y201" s="519"/>
      <c r="Z201" s="519"/>
      <c r="AA201" s="519"/>
      <c r="AB201" s="519"/>
      <c r="AC201" s="519"/>
      <c r="AD201" s="519"/>
      <c r="AE201" s="519"/>
      <c r="AF201" s="519"/>
      <c r="AG201" s="519"/>
      <c r="AH201" s="519"/>
      <c r="AI201" s="519"/>
      <c r="AJ201" s="519"/>
      <c r="AK201" s="519"/>
    </row>
    <row r="203" spans="1:37" ht="15" customHeight="1" x14ac:dyDescent="0.25">
      <c r="A203" s="77"/>
      <c r="B203" s="77" t="s">
        <v>118</v>
      </c>
      <c r="D203" s="76" t="s">
        <v>117</v>
      </c>
    </row>
    <row r="204" spans="1:37" ht="6" customHeight="1" x14ac:dyDescent="0.25"/>
    <row r="205" spans="1:37" ht="45" customHeight="1" x14ac:dyDescent="0.25">
      <c r="A205" s="62"/>
      <c r="B205" s="62"/>
      <c r="D205" s="520" t="str">
        <f>+Memoria!D144</f>
        <v>El inmueble matriz tiene una servidumbre de paso trasladada del antecedente, que le permite un camino de control y vigilancia sobre una extensión superficial de 547.00 m2 (asiento D00009), y una correlación de servidumbre como predio sirviente a favor de Luz del Sur (asiento D00007).</v>
      </c>
      <c r="E205" s="520"/>
      <c r="F205" s="520"/>
      <c r="G205" s="520"/>
      <c r="H205" s="520"/>
      <c r="I205" s="520"/>
      <c r="J205" s="520"/>
      <c r="K205" s="520"/>
      <c r="L205" s="520"/>
      <c r="M205" s="520"/>
      <c r="N205" s="520"/>
      <c r="O205" s="520"/>
      <c r="P205" s="520"/>
      <c r="Q205" s="520"/>
      <c r="R205" s="520"/>
      <c r="S205" s="520"/>
      <c r="T205" s="520"/>
      <c r="U205" s="520"/>
      <c r="V205" s="520"/>
      <c r="W205" s="520"/>
      <c r="X205" s="520"/>
      <c r="Y205" s="520"/>
      <c r="Z205" s="520"/>
      <c r="AA205" s="520"/>
      <c r="AB205" s="520"/>
      <c r="AC205" s="520"/>
      <c r="AD205" s="520"/>
      <c r="AE205" s="520"/>
      <c r="AF205" s="520"/>
      <c r="AG205" s="520"/>
      <c r="AH205" s="520"/>
      <c r="AI205" s="520"/>
      <c r="AJ205" s="520"/>
      <c r="AK205" s="520"/>
    </row>
    <row r="206" spans="1:37" ht="15" customHeight="1" x14ac:dyDescent="0.25"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23"/>
      <c r="S206" s="223"/>
      <c r="T206" s="223"/>
      <c r="U206" s="223"/>
      <c r="V206" s="223"/>
      <c r="W206" s="223"/>
      <c r="X206" s="223"/>
      <c r="Y206" s="223"/>
      <c r="Z206" s="223"/>
      <c r="AA206" s="223"/>
      <c r="AB206" s="223"/>
      <c r="AC206" s="223"/>
      <c r="AD206" s="223"/>
      <c r="AE206" s="223"/>
      <c r="AF206" s="223"/>
      <c r="AG206" s="223"/>
      <c r="AH206" s="223"/>
      <c r="AI206" s="223"/>
      <c r="AJ206" s="223"/>
      <c r="AK206" s="223"/>
    </row>
    <row r="207" spans="1:37" ht="15" customHeight="1" x14ac:dyDescent="0.25">
      <c r="A207" s="77"/>
      <c r="B207" s="77" t="s">
        <v>115</v>
      </c>
      <c r="D207" s="341" t="s">
        <v>114</v>
      </c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23"/>
      <c r="S207" s="223"/>
      <c r="T207" s="223"/>
      <c r="U207" s="223"/>
      <c r="V207" s="223"/>
      <c r="W207" s="223"/>
      <c r="X207" s="223"/>
      <c r="Y207" s="223"/>
      <c r="Z207" s="223"/>
      <c r="AA207" s="223"/>
      <c r="AB207" s="223"/>
      <c r="AC207" s="223"/>
      <c r="AD207" s="223"/>
      <c r="AE207" s="223"/>
      <c r="AF207" s="223"/>
      <c r="AG207" s="223"/>
      <c r="AH207" s="223"/>
      <c r="AI207" s="223"/>
      <c r="AJ207" s="223"/>
      <c r="AK207" s="223"/>
    </row>
    <row r="208" spans="1:37" ht="6" customHeight="1" x14ac:dyDescent="0.25"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23"/>
      <c r="S208" s="223"/>
      <c r="T208" s="223"/>
      <c r="U208" s="223"/>
      <c r="V208" s="223"/>
      <c r="W208" s="223"/>
      <c r="X208" s="223"/>
      <c r="Y208" s="223"/>
      <c r="Z208" s="223"/>
      <c r="AA208" s="223"/>
      <c r="AB208" s="223"/>
      <c r="AC208" s="223"/>
      <c r="AD208" s="223"/>
      <c r="AE208" s="223"/>
      <c r="AF208" s="223"/>
      <c r="AG208" s="223"/>
      <c r="AH208" s="223"/>
      <c r="AI208" s="223"/>
      <c r="AJ208" s="223"/>
      <c r="AK208" s="223"/>
    </row>
    <row r="209" spans="1:43" ht="30" customHeight="1" x14ac:dyDescent="0.25">
      <c r="A209" s="62"/>
      <c r="B209" s="62"/>
      <c r="D209" s="483" t="str">
        <f>+Memoria!D148</f>
        <v>El inmueble matriz presenta una hipoteca a favor del Banco Internacional del Perú - Interbank hasta por US$ 248,424,744.00, de fecha 02/06/2014 (asiento D00006).</v>
      </c>
      <c r="E209" s="483"/>
      <c r="F209" s="483"/>
      <c r="G209" s="483"/>
      <c r="H209" s="483"/>
      <c r="I209" s="483"/>
      <c r="J209" s="483"/>
      <c r="K209" s="483"/>
      <c r="L209" s="483"/>
      <c r="M209" s="483"/>
      <c r="N209" s="483"/>
      <c r="O209" s="483"/>
      <c r="P209" s="483"/>
      <c r="Q209" s="483"/>
      <c r="R209" s="483"/>
      <c r="S209" s="483"/>
      <c r="T209" s="483"/>
      <c r="U209" s="483"/>
      <c r="V209" s="483"/>
      <c r="W209" s="483"/>
      <c r="X209" s="483"/>
      <c r="Y209" s="483"/>
      <c r="Z209" s="483"/>
      <c r="AA209" s="483"/>
      <c r="AB209" s="483"/>
      <c r="AC209" s="483"/>
      <c r="AD209" s="483"/>
      <c r="AE209" s="483"/>
      <c r="AF209" s="483"/>
      <c r="AG209" s="483"/>
      <c r="AH209" s="483"/>
      <c r="AI209" s="483"/>
      <c r="AJ209" s="483"/>
      <c r="AK209" s="483"/>
    </row>
    <row r="211" spans="1:43" ht="15" customHeight="1" x14ac:dyDescent="0.25">
      <c r="A211" s="77"/>
      <c r="B211" s="77" t="s">
        <v>112</v>
      </c>
      <c r="D211" s="76" t="s">
        <v>111</v>
      </c>
    </row>
    <row r="212" spans="1:43" ht="6" customHeight="1" x14ac:dyDescent="0.25"/>
    <row r="213" spans="1:43" ht="15" customHeight="1" x14ac:dyDescent="0.25">
      <c r="A213" s="62"/>
      <c r="B213" s="62"/>
      <c r="D213" s="61" t="s">
        <v>110</v>
      </c>
    </row>
    <row r="214" spans="1:43" ht="15" customHeight="1" x14ac:dyDescent="0.25">
      <c r="D214" s="81" t="s">
        <v>109</v>
      </c>
      <c r="E214" s="540" t="str">
        <f>+Memoria!E153</f>
        <v>Copia de la partida registral del terreno matriz (26/07/2018).</v>
      </c>
      <c r="F214" s="540"/>
      <c r="G214" s="540"/>
      <c r="H214" s="540"/>
      <c r="I214" s="540"/>
      <c r="J214" s="540"/>
      <c r="K214" s="540"/>
      <c r="L214" s="540"/>
      <c r="M214" s="540"/>
      <c r="N214" s="540"/>
      <c r="O214" s="540"/>
      <c r="P214" s="540"/>
      <c r="Q214" s="540"/>
      <c r="R214" s="540"/>
      <c r="S214" s="540"/>
      <c r="T214" s="540"/>
      <c r="U214" s="540"/>
      <c r="V214" s="540"/>
      <c r="W214" s="540"/>
      <c r="X214" s="540"/>
      <c r="Y214" s="540"/>
      <c r="Z214" s="540"/>
      <c r="AA214" s="540"/>
      <c r="AB214" s="540"/>
      <c r="AC214" s="540"/>
      <c r="AD214" s="540"/>
      <c r="AE214" s="540"/>
      <c r="AF214" s="540"/>
      <c r="AG214" s="540"/>
      <c r="AH214" s="540"/>
      <c r="AI214" s="540"/>
      <c r="AJ214" s="540"/>
      <c r="AK214" s="540"/>
    </row>
    <row r="215" spans="1:43" ht="15" customHeight="1" x14ac:dyDescent="0.25">
      <c r="D215" s="81" t="s">
        <v>109</v>
      </c>
      <c r="E215" s="541" t="str">
        <f>+Memoria!E154</f>
        <v>Copia de la declaración jurada de auto-avalúo (PU) del terreno matriz (2018).</v>
      </c>
      <c r="F215" s="541"/>
      <c r="G215" s="541"/>
      <c r="H215" s="541"/>
      <c r="I215" s="541"/>
      <c r="J215" s="541"/>
      <c r="K215" s="541"/>
      <c r="L215" s="541"/>
      <c r="M215" s="541"/>
      <c r="N215" s="541"/>
      <c r="O215" s="541"/>
      <c r="P215" s="541"/>
      <c r="Q215" s="541"/>
      <c r="R215" s="541"/>
      <c r="S215" s="541"/>
      <c r="T215" s="541"/>
      <c r="U215" s="541"/>
      <c r="V215" s="541"/>
      <c r="W215" s="541"/>
      <c r="X215" s="541"/>
      <c r="Y215" s="541"/>
      <c r="Z215" s="541"/>
      <c r="AA215" s="541"/>
      <c r="AB215" s="541"/>
      <c r="AC215" s="541"/>
      <c r="AD215" s="541"/>
      <c r="AE215" s="541"/>
      <c r="AF215" s="541"/>
      <c r="AG215" s="541"/>
      <c r="AH215" s="541"/>
      <c r="AI215" s="541"/>
      <c r="AJ215" s="541"/>
      <c r="AK215" s="541"/>
    </row>
    <row r="216" spans="1:43" ht="15" customHeight="1" x14ac:dyDescent="0.25">
      <c r="D216" s="81" t="s">
        <v>109</v>
      </c>
      <c r="E216" s="541" t="str">
        <f>+Memoria!E155</f>
        <v>Cuadro de áreas de las unidades inmobiliarias a tasar.</v>
      </c>
      <c r="F216" s="541"/>
      <c r="G216" s="541"/>
      <c r="H216" s="541"/>
      <c r="I216" s="541"/>
      <c r="J216" s="541"/>
      <c r="K216" s="541"/>
      <c r="L216" s="541"/>
      <c r="M216" s="541"/>
      <c r="N216" s="541"/>
      <c r="O216" s="541"/>
      <c r="P216" s="541"/>
      <c r="Q216" s="541"/>
      <c r="R216" s="541"/>
      <c r="S216" s="541"/>
      <c r="T216" s="541"/>
      <c r="U216" s="541"/>
      <c r="V216" s="541"/>
      <c r="W216" s="541"/>
      <c r="X216" s="541"/>
      <c r="Y216" s="541"/>
      <c r="Z216" s="541"/>
      <c r="AA216" s="541"/>
      <c r="AB216" s="541"/>
      <c r="AC216" s="541"/>
      <c r="AD216" s="541"/>
      <c r="AE216" s="541"/>
      <c r="AF216" s="541"/>
      <c r="AG216" s="541"/>
      <c r="AH216" s="541"/>
      <c r="AI216" s="541"/>
      <c r="AJ216" s="541"/>
      <c r="AK216" s="541"/>
    </row>
    <row r="217" spans="1:43" ht="15" customHeight="1" x14ac:dyDescent="0.25">
      <c r="D217" s="81" t="s">
        <v>109</v>
      </c>
      <c r="E217" s="541" t="str">
        <f>+Memoria!E156</f>
        <v>Copia de los planos arquitectónicos de distribución del proyecto.</v>
      </c>
      <c r="F217" s="541"/>
      <c r="G217" s="541"/>
      <c r="H217" s="541"/>
      <c r="I217" s="541"/>
      <c r="J217" s="541"/>
      <c r="K217" s="541"/>
      <c r="L217" s="541"/>
      <c r="M217" s="541"/>
      <c r="N217" s="541"/>
      <c r="O217" s="541"/>
      <c r="P217" s="541"/>
      <c r="Q217" s="541"/>
      <c r="R217" s="541"/>
      <c r="S217" s="541"/>
      <c r="T217" s="541"/>
      <c r="U217" s="541"/>
      <c r="V217" s="541"/>
      <c r="W217" s="541"/>
      <c r="X217" s="541"/>
      <c r="Y217" s="541"/>
      <c r="Z217" s="541"/>
      <c r="AA217" s="541"/>
      <c r="AB217" s="541"/>
      <c r="AC217" s="541"/>
      <c r="AD217" s="541"/>
      <c r="AE217" s="541"/>
      <c r="AF217" s="541"/>
      <c r="AG217" s="541"/>
      <c r="AH217" s="541"/>
      <c r="AI217" s="541"/>
      <c r="AJ217" s="541"/>
      <c r="AK217" s="541"/>
    </row>
    <row r="218" spans="1:43" ht="15" customHeight="1" x14ac:dyDescent="0.25">
      <c r="D218" s="81" t="s">
        <v>109</v>
      </c>
      <c r="E218" s="541" t="s">
        <v>482</v>
      </c>
      <c r="F218" s="541"/>
      <c r="G218" s="541"/>
      <c r="H218" s="541"/>
      <c r="I218" s="541"/>
      <c r="J218" s="541"/>
      <c r="K218" s="541"/>
      <c r="L218" s="541"/>
      <c r="M218" s="541"/>
      <c r="N218" s="541"/>
      <c r="O218" s="541"/>
      <c r="P218" s="541"/>
      <c r="Q218" s="541"/>
      <c r="R218" s="541"/>
      <c r="S218" s="541"/>
      <c r="T218" s="541"/>
      <c r="U218" s="541"/>
      <c r="V218" s="541"/>
      <c r="W218" s="541"/>
      <c r="X218" s="541"/>
      <c r="Y218" s="541"/>
      <c r="Z218" s="541"/>
      <c r="AA218" s="541"/>
      <c r="AB218" s="541"/>
      <c r="AC218" s="541"/>
      <c r="AD218" s="541"/>
      <c r="AE218" s="541"/>
      <c r="AF218" s="541"/>
      <c r="AG218" s="541"/>
      <c r="AH218" s="541"/>
      <c r="AI218" s="541"/>
      <c r="AJ218" s="541"/>
      <c r="AK218" s="541"/>
    </row>
    <row r="220" spans="1:43" s="223" customFormat="1" ht="15" customHeight="1" x14ac:dyDescent="0.25">
      <c r="A220" s="237"/>
      <c r="B220" s="237" t="s">
        <v>108</v>
      </c>
      <c r="D220" s="341" t="s">
        <v>107</v>
      </c>
      <c r="AQ220" s="353"/>
    </row>
    <row r="221" spans="1:43" ht="6" customHeight="1" x14ac:dyDescent="0.25"/>
    <row r="222" spans="1:43" s="68" customFormat="1" ht="29.25" customHeight="1" x14ac:dyDescent="0.25">
      <c r="A222" s="69"/>
      <c r="B222" s="69"/>
      <c r="D222" s="519" t="s">
        <v>446</v>
      </c>
      <c r="E222" s="519"/>
      <c r="F222" s="519"/>
      <c r="G222" s="519"/>
      <c r="H222" s="519"/>
      <c r="I222" s="519"/>
      <c r="J222" s="519"/>
      <c r="K222" s="519"/>
      <c r="L222" s="519"/>
      <c r="M222" s="519"/>
      <c r="N222" s="519"/>
      <c r="O222" s="519"/>
      <c r="P222" s="519"/>
      <c r="Q222" s="519"/>
      <c r="R222" s="519"/>
      <c r="S222" s="519"/>
      <c r="T222" s="519"/>
      <c r="U222" s="519"/>
      <c r="V222" s="519"/>
      <c r="W222" s="519"/>
      <c r="X222" s="519"/>
      <c r="Y222" s="519"/>
      <c r="Z222" s="519"/>
      <c r="AA222" s="519"/>
      <c r="AB222" s="519"/>
      <c r="AC222" s="519"/>
      <c r="AD222" s="519"/>
      <c r="AE222" s="519"/>
      <c r="AF222" s="519"/>
      <c r="AG222" s="519"/>
      <c r="AH222" s="519"/>
      <c r="AI222" s="519"/>
      <c r="AJ222" s="519"/>
      <c r="AK222" s="519"/>
      <c r="AQ222" s="343"/>
    </row>
    <row r="223" spans="1:43" s="68" customFormat="1" ht="60" customHeight="1" x14ac:dyDescent="0.25">
      <c r="A223" s="69"/>
      <c r="B223" s="69"/>
      <c r="D223" s="520" t="str">
        <f>CONCATENATE(D205," ",D209)</f>
        <v>El inmueble matriz tiene una servidumbre de paso trasladada del antecedente, que le permite un camino de control y vigilancia sobre una extensión superficial de 547.00 m2 (asiento D00009), y una correlación de servidumbre como predio sirviente a favor de Luz del Sur (asiento D00007). El inmueble matriz presenta una hipoteca a favor del Banco Internacional del Perú - Interbank hasta por US$ 248,424,744.00, de fecha 02/06/2014 (asiento D00006).</v>
      </c>
      <c r="E223" s="520"/>
      <c r="F223" s="520"/>
      <c r="G223" s="520"/>
      <c r="H223" s="520"/>
      <c r="I223" s="520"/>
      <c r="J223" s="520"/>
      <c r="K223" s="520"/>
      <c r="L223" s="520"/>
      <c r="M223" s="520"/>
      <c r="N223" s="520"/>
      <c r="O223" s="520"/>
      <c r="P223" s="520"/>
      <c r="Q223" s="520"/>
      <c r="R223" s="520"/>
      <c r="S223" s="520"/>
      <c r="T223" s="520"/>
      <c r="U223" s="520"/>
      <c r="V223" s="520"/>
      <c r="W223" s="520"/>
      <c r="X223" s="520"/>
      <c r="Y223" s="520"/>
      <c r="Z223" s="520"/>
      <c r="AA223" s="520"/>
      <c r="AB223" s="520"/>
      <c r="AC223" s="520"/>
      <c r="AD223" s="520"/>
      <c r="AE223" s="520"/>
      <c r="AF223" s="520"/>
      <c r="AG223" s="520"/>
      <c r="AH223" s="520"/>
      <c r="AI223" s="520"/>
      <c r="AJ223" s="520"/>
      <c r="AK223" s="520"/>
      <c r="AQ223" s="343"/>
    </row>
    <row r="224" spans="1:43" s="68" customFormat="1" ht="15" customHeight="1" x14ac:dyDescent="0.25">
      <c r="A224" s="69"/>
      <c r="B224" s="69"/>
      <c r="D224" s="519" t="str">
        <f>+J60</f>
        <v>Por indicación del solicitante, se considera como importe asegurable al valor comercial.</v>
      </c>
      <c r="E224" s="519"/>
      <c r="F224" s="519"/>
      <c r="G224" s="519"/>
      <c r="H224" s="519"/>
      <c r="I224" s="519"/>
      <c r="J224" s="519"/>
      <c r="K224" s="519"/>
      <c r="L224" s="519"/>
      <c r="M224" s="519"/>
      <c r="N224" s="519"/>
      <c r="O224" s="519"/>
      <c r="P224" s="519"/>
      <c r="Q224" s="519"/>
      <c r="R224" s="519"/>
      <c r="S224" s="519"/>
      <c r="T224" s="519"/>
      <c r="U224" s="519"/>
      <c r="V224" s="519"/>
      <c r="W224" s="519"/>
      <c r="X224" s="519"/>
      <c r="Y224" s="519"/>
      <c r="Z224" s="519"/>
      <c r="AA224" s="519"/>
      <c r="AB224" s="519"/>
      <c r="AC224" s="519"/>
      <c r="AD224" s="519"/>
      <c r="AE224" s="519"/>
      <c r="AF224" s="519"/>
      <c r="AG224" s="519"/>
      <c r="AH224" s="519"/>
      <c r="AI224" s="519"/>
      <c r="AJ224" s="519"/>
      <c r="AK224" s="519"/>
      <c r="AQ224" s="343"/>
    </row>
    <row r="225" spans="1:43" s="68" customFormat="1" ht="42" customHeight="1" x14ac:dyDescent="0.25">
      <c r="A225" s="69"/>
      <c r="B225" s="69"/>
      <c r="D225" s="519" t="s">
        <v>105</v>
      </c>
      <c r="E225" s="519"/>
      <c r="F225" s="519"/>
      <c r="G225" s="519"/>
      <c r="H225" s="519"/>
      <c r="I225" s="519"/>
      <c r="J225" s="519"/>
      <c r="K225" s="519"/>
      <c r="L225" s="519"/>
      <c r="M225" s="519"/>
      <c r="N225" s="519"/>
      <c r="O225" s="519"/>
      <c r="P225" s="519"/>
      <c r="Q225" s="519"/>
      <c r="R225" s="519"/>
      <c r="S225" s="519"/>
      <c r="T225" s="519"/>
      <c r="U225" s="519"/>
      <c r="V225" s="519"/>
      <c r="W225" s="519"/>
      <c r="X225" s="519"/>
      <c r="Y225" s="519"/>
      <c r="Z225" s="519"/>
      <c r="AA225" s="519"/>
      <c r="AB225" s="519"/>
      <c r="AC225" s="519"/>
      <c r="AD225" s="519"/>
      <c r="AE225" s="519"/>
      <c r="AF225" s="519"/>
      <c r="AG225" s="519"/>
      <c r="AH225" s="519"/>
      <c r="AI225" s="519"/>
      <c r="AJ225" s="519"/>
      <c r="AK225" s="519"/>
      <c r="AQ225" s="343"/>
    </row>
    <row r="226" spans="1:43" ht="15" customHeight="1" x14ac:dyDescent="0.25">
      <c r="D226" s="273"/>
      <c r="E226" s="273"/>
      <c r="F226" s="273"/>
      <c r="G226" s="274"/>
      <c r="H226" s="274"/>
      <c r="I226" s="274"/>
      <c r="J226" s="274"/>
      <c r="K226" s="274"/>
      <c r="L226" s="274"/>
      <c r="M226" s="274"/>
      <c r="N226" s="274"/>
      <c r="O226" s="274"/>
      <c r="P226" s="274"/>
      <c r="Q226" s="274"/>
      <c r="R226" s="274"/>
      <c r="S226" s="274"/>
      <c r="T226" s="274"/>
      <c r="U226" s="274"/>
      <c r="V226" s="274"/>
      <c r="W226" s="274"/>
      <c r="X226" s="274"/>
      <c r="Y226" s="274"/>
      <c r="Z226" s="274"/>
      <c r="AA226" s="274"/>
      <c r="AB226" s="274"/>
      <c r="AC226" s="274"/>
      <c r="AD226" s="274"/>
      <c r="AE226" s="274"/>
      <c r="AF226" s="274"/>
      <c r="AG226" s="274"/>
      <c r="AH226" s="274"/>
      <c r="AI226" s="274"/>
      <c r="AJ226" s="274"/>
      <c r="AK226" s="274"/>
      <c r="AL226" s="274"/>
      <c r="AM226" s="274"/>
      <c r="AQ226" s="293"/>
    </row>
    <row r="227" spans="1:43" ht="15" customHeight="1" x14ac:dyDescent="0.25">
      <c r="B227" s="77" t="s">
        <v>104</v>
      </c>
      <c r="D227" s="76" t="s">
        <v>103</v>
      </c>
      <c r="E227" s="273"/>
      <c r="F227" s="273"/>
      <c r="G227" s="274"/>
      <c r="H227" s="274"/>
      <c r="I227" s="274"/>
      <c r="J227" s="274"/>
      <c r="K227" s="274"/>
      <c r="L227" s="274"/>
      <c r="M227" s="274"/>
      <c r="N227" s="274"/>
      <c r="O227" s="274"/>
      <c r="P227" s="274"/>
      <c r="Q227" s="274"/>
      <c r="R227" s="274"/>
      <c r="S227" s="274"/>
      <c r="T227" s="274"/>
      <c r="U227" s="274"/>
      <c r="V227" s="274"/>
      <c r="W227" s="274"/>
      <c r="X227" s="274"/>
      <c r="Y227" s="274"/>
      <c r="Z227" s="274"/>
      <c r="AA227" s="274"/>
      <c r="AB227" s="274"/>
      <c r="AC227" s="274"/>
      <c r="AD227" s="274"/>
      <c r="AE227" s="274"/>
      <c r="AF227" s="274"/>
      <c r="AG227" s="274"/>
      <c r="AH227" s="274"/>
      <c r="AI227" s="274"/>
      <c r="AJ227" s="274"/>
      <c r="AK227" s="274"/>
      <c r="AL227" s="274"/>
      <c r="AM227" s="274"/>
      <c r="AQ227" s="293"/>
    </row>
    <row r="228" spans="1:43" ht="6" customHeight="1" x14ac:dyDescent="0.25">
      <c r="D228" s="273"/>
      <c r="E228" s="273"/>
      <c r="F228" s="273"/>
      <c r="G228" s="274"/>
      <c r="H228" s="274"/>
      <c r="I228" s="274"/>
      <c r="J228" s="274"/>
      <c r="K228" s="274"/>
      <c r="L228" s="274"/>
      <c r="M228" s="274"/>
      <c r="N228" s="274"/>
      <c r="O228" s="274"/>
      <c r="P228" s="274"/>
      <c r="Q228" s="274"/>
      <c r="R228" s="274"/>
      <c r="S228" s="274"/>
      <c r="T228" s="274"/>
      <c r="U228" s="274"/>
      <c r="V228" s="274"/>
      <c r="W228" s="274"/>
      <c r="X228" s="274"/>
      <c r="Y228" s="274"/>
      <c r="Z228" s="274"/>
      <c r="AA228" s="274"/>
      <c r="AB228" s="274"/>
      <c r="AC228" s="274"/>
      <c r="AD228" s="274"/>
      <c r="AE228" s="274"/>
      <c r="AF228" s="274"/>
      <c r="AG228" s="274"/>
      <c r="AH228" s="274"/>
      <c r="AI228" s="274"/>
      <c r="AJ228" s="274"/>
      <c r="AK228" s="274"/>
      <c r="AL228" s="274"/>
      <c r="AM228" s="274"/>
      <c r="AQ228" s="293"/>
    </row>
    <row r="229" spans="1:43" s="115" customFormat="1" ht="45" customHeight="1" x14ac:dyDescent="0.25">
      <c r="D229" s="521" t="s">
        <v>61</v>
      </c>
      <c r="E229" s="521"/>
      <c r="F229" s="521"/>
      <c r="G229" s="521"/>
      <c r="H229" s="521"/>
      <c r="I229" s="521"/>
      <c r="J229" s="521"/>
      <c r="K229" s="521"/>
      <c r="L229" s="521"/>
      <c r="M229" s="521" t="s">
        <v>102</v>
      </c>
      <c r="N229" s="521"/>
      <c r="O229" s="521"/>
      <c r="P229" s="521"/>
      <c r="Q229" s="521" t="s">
        <v>101</v>
      </c>
      <c r="R229" s="521"/>
      <c r="S229" s="521"/>
      <c r="T229" s="521"/>
      <c r="U229" s="521" t="s">
        <v>100</v>
      </c>
      <c r="V229" s="521"/>
      <c r="W229" s="521"/>
      <c r="X229" s="521"/>
      <c r="Y229" s="521" t="s">
        <v>99</v>
      </c>
      <c r="Z229" s="521"/>
      <c r="AA229" s="521"/>
      <c r="AB229" s="521"/>
      <c r="AC229" s="521" t="s">
        <v>98</v>
      </c>
      <c r="AD229" s="521"/>
      <c r="AE229" s="521"/>
      <c r="AF229" s="521"/>
      <c r="AG229" s="521" t="s">
        <v>97</v>
      </c>
      <c r="AH229" s="521"/>
      <c r="AI229" s="521"/>
      <c r="AJ229" s="521"/>
      <c r="AK229" s="521"/>
      <c r="AL229" s="105"/>
      <c r="AM229" s="105"/>
      <c r="AQ229" s="293"/>
    </row>
    <row r="230" spans="1:43" s="119" customFormat="1" ht="90" customHeight="1" x14ac:dyDescent="0.25">
      <c r="D230" s="527" t="str">
        <f>+Memoria!D167</f>
        <v>Oferta de departamento en Av. Principal 727, Residencial Doña Eva, 5to piso. 2 dormitorios 1 baño. A estrenar.</v>
      </c>
      <c r="E230" s="528"/>
      <c r="F230" s="528"/>
      <c r="G230" s="528"/>
      <c r="H230" s="528"/>
      <c r="I230" s="528"/>
      <c r="J230" s="528"/>
      <c r="K230" s="528"/>
      <c r="L230" s="529"/>
      <c r="M230" s="530">
        <f>+Memoria!M167</f>
        <v>80</v>
      </c>
      <c r="N230" s="531"/>
      <c r="O230" s="531"/>
      <c r="P230" s="532"/>
      <c r="Q230" s="530">
        <f>+Memoria!Q167</f>
        <v>80</v>
      </c>
      <c r="R230" s="531"/>
      <c r="S230" s="531"/>
      <c r="T230" s="532"/>
      <c r="U230" s="515">
        <f>+Memoria!U167</f>
        <v>150000</v>
      </c>
      <c r="V230" s="516"/>
      <c r="W230" s="516"/>
      <c r="X230" s="533"/>
      <c r="Y230" s="515">
        <f>+Memoria!Y167</f>
        <v>1875</v>
      </c>
      <c r="Z230" s="516"/>
      <c r="AA230" s="516"/>
      <c r="AB230" s="516"/>
      <c r="AC230" s="515">
        <f>+Memoria!AC167</f>
        <v>1875</v>
      </c>
      <c r="AD230" s="516"/>
      <c r="AE230" s="516"/>
      <c r="AF230" s="516"/>
      <c r="AG230" s="525" t="str">
        <f>+Memoria!AG167</f>
        <v>William Hilario
 941309666</v>
      </c>
      <c r="AH230" s="526"/>
      <c r="AI230" s="526"/>
      <c r="AJ230" s="526"/>
      <c r="AK230" s="526"/>
      <c r="AL230" s="105"/>
      <c r="AM230" s="105"/>
      <c r="AN230" s="115"/>
      <c r="AO230" s="115"/>
      <c r="AP230" s="120"/>
      <c r="AQ230" s="343"/>
    </row>
    <row r="231" spans="1:43" s="115" customFormat="1" ht="90" customHeight="1" x14ac:dyDescent="0.25">
      <c r="D231" s="527" t="str">
        <f>+Memoria!D168</f>
        <v>Oferta de departamento en Calle Alfa Centauro 178, Residencial Florencia, 1er piso. 3 dormitorios 3 baños. A estrenar.</v>
      </c>
      <c r="E231" s="528"/>
      <c r="F231" s="528"/>
      <c r="G231" s="528"/>
      <c r="H231" s="528"/>
      <c r="I231" s="528"/>
      <c r="J231" s="528"/>
      <c r="K231" s="528"/>
      <c r="L231" s="529"/>
      <c r="M231" s="530">
        <f>+Memoria!M168</f>
        <v>95</v>
      </c>
      <c r="N231" s="531"/>
      <c r="O231" s="531"/>
      <c r="P231" s="532"/>
      <c r="Q231" s="530">
        <f>+Memoria!Q168</f>
        <v>103</v>
      </c>
      <c r="R231" s="531"/>
      <c r="S231" s="531"/>
      <c r="T231" s="532"/>
      <c r="U231" s="515">
        <f>+Memoria!U168</f>
        <v>171517</v>
      </c>
      <c r="V231" s="516"/>
      <c r="W231" s="516"/>
      <c r="X231" s="533"/>
      <c r="Y231" s="515">
        <f>+Memoria!Y168</f>
        <v>1805.4421052631578</v>
      </c>
      <c r="Z231" s="516"/>
      <c r="AA231" s="516"/>
      <c r="AB231" s="516"/>
      <c r="AC231" s="515">
        <f>+Memoria!AC168</f>
        <v>1665.2135922330096</v>
      </c>
      <c r="AD231" s="516"/>
      <c r="AE231" s="516"/>
      <c r="AF231" s="516"/>
      <c r="AG231" s="525" t="str">
        <f>+Memoria!AG168</f>
        <v>Michael Salas
 255-6262
 996512278</v>
      </c>
      <c r="AH231" s="525"/>
      <c r="AI231" s="525"/>
      <c r="AJ231" s="525"/>
      <c r="AK231" s="525"/>
      <c r="AL231" s="105"/>
      <c r="AM231" s="105"/>
      <c r="AN231" s="117"/>
      <c r="AO231" s="117"/>
      <c r="AP231" s="116"/>
      <c r="AQ231" s="343"/>
    </row>
    <row r="232" spans="1:43" s="119" customFormat="1" ht="90" customHeight="1" x14ac:dyDescent="0.25">
      <c r="D232" s="527" t="str">
        <f>+Memoria!D169</f>
        <v>Oferta de departamento en Calle Manuel Bonilla. 2 dormitorios 1 baño. A estrenar.</v>
      </c>
      <c r="E232" s="528"/>
      <c r="F232" s="528"/>
      <c r="G232" s="528"/>
      <c r="H232" s="528"/>
      <c r="I232" s="528"/>
      <c r="J232" s="528"/>
      <c r="K232" s="528"/>
      <c r="L232" s="529"/>
      <c r="M232" s="530">
        <f>+Memoria!M169</f>
        <v>52</v>
      </c>
      <c r="N232" s="531"/>
      <c r="O232" s="531"/>
      <c r="P232" s="532"/>
      <c r="Q232" s="530">
        <f>+Memoria!Q169</f>
        <v>52</v>
      </c>
      <c r="R232" s="531"/>
      <c r="S232" s="531"/>
      <c r="T232" s="532"/>
      <c r="U232" s="515">
        <f>+Memoria!U169</f>
        <v>95000</v>
      </c>
      <c r="V232" s="516"/>
      <c r="W232" s="516"/>
      <c r="X232" s="533"/>
      <c r="Y232" s="515">
        <f>+Memoria!Y169</f>
        <v>1826.9230769230769</v>
      </c>
      <c r="Z232" s="516"/>
      <c r="AA232" s="516"/>
      <c r="AB232" s="516"/>
      <c r="AC232" s="515">
        <f>+Memoria!AC169</f>
        <v>1826.9230769230769</v>
      </c>
      <c r="AD232" s="516"/>
      <c r="AE232" s="516"/>
      <c r="AF232" s="516"/>
      <c r="AG232" s="525" t="str">
        <f>+Memoria!AG169</f>
        <v>ELIAS SOTO
 997427590
 945016917</v>
      </c>
      <c r="AH232" s="525"/>
      <c r="AI232" s="525"/>
      <c r="AJ232" s="525"/>
      <c r="AK232" s="525"/>
      <c r="AL232" s="105"/>
      <c r="AM232" s="105"/>
      <c r="AN232" s="115"/>
      <c r="AO232" s="115"/>
      <c r="AP232" s="120"/>
      <c r="AQ232" s="343"/>
    </row>
    <row r="233" spans="1:43" s="115" customFormat="1" ht="90" customHeight="1" x14ac:dyDescent="0.25">
      <c r="D233" s="527" t="str">
        <f>+Memoria!D170</f>
        <v>Oferta de departamento en Calle Alfa Leon. 3 dormitorios 1 estacionamiento. 7 años de antigüedad.</v>
      </c>
      <c r="E233" s="528"/>
      <c r="F233" s="528"/>
      <c r="G233" s="528"/>
      <c r="H233" s="528"/>
      <c r="I233" s="528"/>
      <c r="J233" s="528"/>
      <c r="K233" s="528"/>
      <c r="L233" s="529"/>
      <c r="M233" s="530">
        <f>+Memoria!M170</f>
        <v>89</v>
      </c>
      <c r="N233" s="531"/>
      <c r="O233" s="531"/>
      <c r="P233" s="532"/>
      <c r="Q233" s="530">
        <f>+Memoria!Q170</f>
        <v>89</v>
      </c>
      <c r="R233" s="531"/>
      <c r="S233" s="531"/>
      <c r="T233" s="532"/>
      <c r="U233" s="515">
        <f>+Memoria!U170</f>
        <v>130000</v>
      </c>
      <c r="V233" s="516"/>
      <c r="W233" s="516"/>
      <c r="X233" s="533"/>
      <c r="Y233" s="515">
        <f>+Memoria!Y170</f>
        <v>1460.6741573033707</v>
      </c>
      <c r="Z233" s="516"/>
      <c r="AA233" s="516"/>
      <c r="AB233" s="516"/>
      <c r="AC233" s="515">
        <f>+Memoria!AC170</f>
        <v>1460.6741573033707</v>
      </c>
      <c r="AD233" s="516"/>
      <c r="AE233" s="516"/>
      <c r="AF233" s="516"/>
      <c r="AG233" s="525" t="str">
        <f>+Memoria!AG170</f>
        <v>CONSORCIO LE INMOBILIARIA
 4478291 
 933310172</v>
      </c>
      <c r="AH233" s="525"/>
      <c r="AI233" s="525"/>
      <c r="AJ233" s="525"/>
      <c r="AK233" s="525"/>
      <c r="AL233" s="105"/>
      <c r="AM233" s="105"/>
      <c r="AN233" s="117"/>
      <c r="AO233" s="117"/>
      <c r="AP233" s="116"/>
      <c r="AQ233" s="295"/>
    </row>
    <row r="234" spans="1:43" s="115" customFormat="1" ht="90" customHeight="1" x14ac:dyDescent="0.25">
      <c r="D234" s="527" t="str">
        <f>+Memoria!D171</f>
        <v>Oferta de departamento en Calle Alfa Aguila 144. 3 dormitorios 2 baños. 2 años de antigüedad.</v>
      </c>
      <c r="E234" s="528"/>
      <c r="F234" s="528"/>
      <c r="G234" s="528"/>
      <c r="H234" s="528"/>
      <c r="I234" s="528"/>
      <c r="J234" s="528"/>
      <c r="K234" s="528"/>
      <c r="L234" s="529"/>
      <c r="M234" s="530">
        <f>+Memoria!M171</f>
        <v>70</v>
      </c>
      <c r="N234" s="531"/>
      <c r="O234" s="531"/>
      <c r="P234" s="532"/>
      <c r="Q234" s="530">
        <f>+Memoria!Q171</f>
        <v>70</v>
      </c>
      <c r="R234" s="531"/>
      <c r="S234" s="531"/>
      <c r="T234" s="532"/>
      <c r="U234" s="515">
        <f>+Memoria!U171</f>
        <v>132000</v>
      </c>
      <c r="V234" s="516"/>
      <c r="W234" s="516"/>
      <c r="X234" s="533"/>
      <c r="Y234" s="515">
        <f>+Memoria!Y171</f>
        <v>1885.7142857142858</v>
      </c>
      <c r="Z234" s="516"/>
      <c r="AA234" s="516"/>
      <c r="AB234" s="516"/>
      <c r="AC234" s="515">
        <f>+Memoria!AC171</f>
        <v>1885.7142857142858</v>
      </c>
      <c r="AD234" s="516"/>
      <c r="AE234" s="516"/>
      <c r="AF234" s="516"/>
      <c r="AG234" s="525" t="str">
        <f>+Memoria!AG171</f>
        <v xml:space="preserve">Flor Ascoy
981474917 </v>
      </c>
      <c r="AH234" s="525"/>
      <c r="AI234" s="525"/>
      <c r="AJ234" s="525"/>
      <c r="AK234" s="525"/>
      <c r="AL234" s="105"/>
      <c r="AM234" s="105"/>
      <c r="AN234" s="117"/>
      <c r="AO234" s="117"/>
      <c r="AP234" s="116"/>
      <c r="AQ234" s="292"/>
    </row>
    <row r="235" spans="1:43" s="64" customFormat="1" ht="15" customHeight="1" x14ac:dyDescent="0.25">
      <c r="D235" s="114"/>
      <c r="E235" s="114"/>
      <c r="F235" s="114"/>
      <c r="G235" s="114"/>
      <c r="H235" s="114"/>
      <c r="I235" s="114"/>
      <c r="J235" s="114"/>
      <c r="K235" s="114"/>
      <c r="L235" s="114"/>
      <c r="M235" s="113"/>
      <c r="N235" s="113"/>
      <c r="O235" s="113"/>
      <c r="P235" s="113"/>
      <c r="Q235" s="113"/>
      <c r="R235" s="113"/>
      <c r="S235" s="113"/>
      <c r="T235" s="113"/>
      <c r="U235" s="112"/>
      <c r="V235" s="112"/>
      <c r="W235" s="112"/>
      <c r="X235" s="112"/>
      <c r="Y235" s="112"/>
      <c r="Z235" s="112"/>
      <c r="AA235" s="112"/>
      <c r="AB235" s="112"/>
      <c r="AC235" s="112"/>
      <c r="AD235" s="112"/>
      <c r="AE235" s="112"/>
      <c r="AF235" s="112"/>
      <c r="AG235" s="111"/>
      <c r="AH235" s="111"/>
      <c r="AI235" s="111"/>
      <c r="AJ235" s="111"/>
      <c r="AK235" s="111"/>
      <c r="AL235" s="110"/>
      <c r="AM235" s="110"/>
      <c r="AN235" s="109"/>
      <c r="AP235" s="108"/>
      <c r="AQ235" s="295"/>
    </row>
    <row r="236" spans="1:43" ht="15" customHeight="1" x14ac:dyDescent="0.25">
      <c r="A236" s="251"/>
      <c r="B236" s="534" t="s">
        <v>96</v>
      </c>
      <c r="C236" s="534"/>
      <c r="D236" s="534"/>
      <c r="E236" s="534"/>
      <c r="F236" s="534"/>
      <c r="G236" s="534"/>
      <c r="H236" s="534"/>
      <c r="I236" s="534"/>
      <c r="J236" s="534"/>
      <c r="K236" s="534"/>
      <c r="L236" s="534"/>
      <c r="M236" s="534"/>
      <c r="N236" s="534"/>
      <c r="O236" s="534"/>
      <c r="P236" s="534"/>
      <c r="Q236" s="534"/>
      <c r="R236" s="534"/>
      <c r="S236" s="534"/>
      <c r="T236" s="534"/>
      <c r="U236" s="534"/>
      <c r="V236" s="534"/>
      <c r="W236" s="534"/>
      <c r="X236" s="534"/>
      <c r="Y236" s="534"/>
      <c r="Z236" s="534"/>
      <c r="AA236" s="534"/>
      <c r="AB236" s="534"/>
      <c r="AC236" s="534"/>
      <c r="AD236" s="534"/>
      <c r="AE236" s="534"/>
      <c r="AF236" s="534"/>
      <c r="AG236" s="534"/>
      <c r="AH236" s="534"/>
      <c r="AI236" s="534"/>
      <c r="AJ236" s="534"/>
      <c r="AK236" s="534"/>
      <c r="AL236" s="251"/>
      <c r="AM236" s="251"/>
      <c r="AQ236" s="292"/>
    </row>
    <row r="237" spans="1:43" ht="15" customHeight="1" x14ac:dyDescent="0.25">
      <c r="L237" s="535"/>
      <c r="M237" s="535"/>
      <c r="N237" s="535"/>
      <c r="AQ237" s="295"/>
    </row>
    <row r="238" spans="1:43" ht="15" customHeight="1" x14ac:dyDescent="0.25">
      <c r="A238" s="77"/>
      <c r="B238" s="77" t="s">
        <v>95</v>
      </c>
      <c r="D238" s="76" t="s">
        <v>94</v>
      </c>
      <c r="Y238" s="62"/>
      <c r="Z238" s="62"/>
      <c r="AA238" s="62"/>
      <c r="AB238" s="62"/>
      <c r="AC238" s="62"/>
      <c r="AD238" s="62"/>
      <c r="AE238" s="62"/>
      <c r="AQ238" s="295"/>
    </row>
    <row r="239" spans="1:43" ht="6" customHeight="1" x14ac:dyDescent="0.25">
      <c r="Y239" s="62"/>
      <c r="Z239" s="62"/>
      <c r="AA239" s="62"/>
      <c r="AB239" s="62"/>
      <c r="AC239" s="62"/>
      <c r="AD239" s="62"/>
      <c r="AE239" s="62"/>
      <c r="AQ239" s="296"/>
    </row>
    <row r="240" spans="1:43" ht="30" customHeight="1" x14ac:dyDescent="0.25">
      <c r="D240" s="536" t="s">
        <v>93</v>
      </c>
      <c r="E240" s="536"/>
      <c r="F240" s="536"/>
      <c r="G240" s="536"/>
      <c r="H240" s="536"/>
      <c r="I240" s="536"/>
      <c r="J240" s="536"/>
      <c r="K240" s="536"/>
      <c r="L240" s="536"/>
      <c r="M240" s="536"/>
      <c r="N240" s="536"/>
      <c r="O240" s="536"/>
      <c r="P240" s="536"/>
      <c r="Q240" s="536"/>
      <c r="R240" s="536"/>
      <c r="S240" s="536"/>
      <c r="T240" s="536"/>
      <c r="U240" s="536"/>
      <c r="V240" s="536"/>
      <c r="W240" s="536"/>
      <c r="X240" s="536"/>
      <c r="Y240" s="536"/>
      <c r="Z240" s="536"/>
      <c r="AA240" s="536"/>
      <c r="AB240" s="536"/>
      <c r="AC240" s="536"/>
      <c r="AD240" s="536"/>
      <c r="AE240" s="536"/>
      <c r="AF240" s="536"/>
      <c r="AG240" s="536"/>
      <c r="AH240" s="536"/>
      <c r="AI240" s="536"/>
      <c r="AJ240" s="536"/>
      <c r="AK240" s="536"/>
      <c r="AL240" s="278"/>
      <c r="AM240" s="278"/>
    </row>
    <row r="241" spans="1:45" ht="6" customHeight="1" x14ac:dyDescent="0.25">
      <c r="D241" s="253"/>
      <c r="E241" s="253"/>
      <c r="F241" s="253"/>
      <c r="G241" s="253"/>
      <c r="H241" s="107"/>
      <c r="I241" s="107"/>
      <c r="J241" s="107"/>
      <c r="K241" s="107"/>
      <c r="L241" s="253"/>
      <c r="M241" s="253"/>
      <c r="N241" s="253"/>
      <c r="O241" s="253"/>
      <c r="P241" s="253"/>
      <c r="Q241" s="253"/>
      <c r="R241" s="253"/>
      <c r="S241" s="253"/>
      <c r="T241" s="253"/>
      <c r="U241" s="253"/>
      <c r="V241" s="253"/>
      <c r="W241" s="253"/>
      <c r="X241" s="253"/>
      <c r="Y241" s="62"/>
      <c r="Z241" s="62"/>
      <c r="AA241" s="62"/>
      <c r="AB241" s="62"/>
      <c r="AC241" s="62"/>
      <c r="AD241" s="62"/>
      <c r="AE241" s="62"/>
    </row>
    <row r="242" spans="1:45" s="68" customFormat="1" ht="42" customHeight="1" x14ac:dyDescent="0.25">
      <c r="A242" s="69"/>
      <c r="B242" s="69"/>
      <c r="D242" s="555" t="s">
        <v>61</v>
      </c>
      <c r="E242" s="556"/>
      <c r="F242" s="556"/>
      <c r="G242" s="556"/>
      <c r="H242" s="556"/>
      <c r="I242" s="556"/>
      <c r="J242" s="557"/>
      <c r="K242" s="555" t="s">
        <v>92</v>
      </c>
      <c r="L242" s="556"/>
      <c r="M242" s="557"/>
      <c r="N242" s="555" t="s">
        <v>80</v>
      </c>
      <c r="O242" s="556"/>
      <c r="P242" s="557"/>
      <c r="Q242" s="555" t="s">
        <v>91</v>
      </c>
      <c r="R242" s="556"/>
      <c r="S242" s="556"/>
      <c r="T242" s="557"/>
      <c r="U242" s="555" t="s">
        <v>90</v>
      </c>
      <c r="V242" s="556"/>
      <c r="W242" s="556"/>
      <c r="X242" s="557"/>
      <c r="AF242" s="69"/>
      <c r="AG242" s="69"/>
      <c r="AH242" s="69"/>
      <c r="AI242" s="69"/>
      <c r="AJ242" s="69"/>
      <c r="AK242" s="69"/>
      <c r="AL242" s="69"/>
      <c r="AM242" s="69"/>
      <c r="AN242" s="69"/>
      <c r="AQ242" s="343"/>
    </row>
    <row r="243" spans="1:45" ht="15" customHeight="1" x14ac:dyDescent="0.25">
      <c r="D243" s="504" t="str">
        <f>+D122</f>
        <v>Departamento No 104</v>
      </c>
      <c r="E243" s="505"/>
      <c r="F243" s="505"/>
      <c r="G243" s="505"/>
      <c r="H243" s="505"/>
      <c r="I243" s="505"/>
      <c r="J243" s="506"/>
      <c r="K243" s="507">
        <f>+P122</f>
        <v>4.4000000000000004</v>
      </c>
      <c r="L243" s="508"/>
      <c r="M243" s="509"/>
      <c r="N243" s="500">
        <v>750</v>
      </c>
      <c r="O243" s="500"/>
      <c r="P243" s="500"/>
      <c r="Q243" s="510">
        <f>+N243*K243</f>
        <v>3300.0000000000005</v>
      </c>
      <c r="R243" s="511"/>
      <c r="S243" s="511"/>
      <c r="T243" s="512"/>
      <c r="U243" s="507">
        <f>ROUND(Q243,-2)</f>
        <v>3300</v>
      </c>
      <c r="V243" s="508"/>
      <c r="W243" s="508"/>
      <c r="X243" s="509"/>
      <c r="Y243" s="67"/>
      <c r="AB243" s="65"/>
      <c r="AC243" s="65"/>
      <c r="AD243" s="65"/>
      <c r="AE243" s="65"/>
      <c r="AF243" s="62"/>
      <c r="AG243" s="62"/>
      <c r="AH243" s="62"/>
      <c r="AI243" s="62"/>
      <c r="AJ243" s="62"/>
      <c r="AK243" s="62"/>
      <c r="AL243" s="62"/>
      <c r="AM243" s="62"/>
      <c r="AN243" s="62"/>
      <c r="AQ243" s="343" t="s">
        <v>509</v>
      </c>
    </row>
    <row r="244" spans="1:45" ht="15" customHeight="1" x14ac:dyDescent="0.25">
      <c r="D244" s="504" t="str">
        <f>+D123</f>
        <v>Estacionamiento No 181</v>
      </c>
      <c r="E244" s="505"/>
      <c r="F244" s="505"/>
      <c r="G244" s="505"/>
      <c r="H244" s="505"/>
      <c r="I244" s="505"/>
      <c r="J244" s="506"/>
      <c r="K244" s="507">
        <f>+P123</f>
        <v>0.84</v>
      </c>
      <c r="L244" s="508"/>
      <c r="M244" s="509"/>
      <c r="N244" s="500">
        <v>750</v>
      </c>
      <c r="O244" s="500"/>
      <c r="P244" s="500"/>
      <c r="Q244" s="510">
        <f>+N244*K244</f>
        <v>630</v>
      </c>
      <c r="R244" s="511"/>
      <c r="S244" s="511"/>
      <c r="T244" s="512"/>
      <c r="U244" s="507">
        <f>ROUND(Q244,-2)</f>
        <v>600</v>
      </c>
      <c r="V244" s="508"/>
      <c r="W244" s="508"/>
      <c r="X244" s="509"/>
      <c r="Y244" s="67"/>
      <c r="AB244" s="65"/>
      <c r="AC244" s="65"/>
      <c r="AD244" s="65"/>
      <c r="AE244" s="65"/>
      <c r="AF244" s="62"/>
      <c r="AG244" s="62"/>
      <c r="AH244" s="62"/>
      <c r="AI244" s="62"/>
      <c r="AJ244" s="62"/>
      <c r="AK244" s="62"/>
      <c r="AL244" s="62"/>
      <c r="AM244" s="62"/>
      <c r="AN244" s="62"/>
    </row>
    <row r="245" spans="1:45" ht="15" customHeight="1" x14ac:dyDescent="0.25">
      <c r="D245" s="504" t="str">
        <f>+D124</f>
        <v>Depósito No 06</v>
      </c>
      <c r="E245" s="505"/>
      <c r="F245" s="505"/>
      <c r="G245" s="505"/>
      <c r="H245" s="505"/>
      <c r="I245" s="505"/>
      <c r="J245" s="506"/>
      <c r="K245" s="507">
        <f>+P124</f>
        <v>0.44</v>
      </c>
      <c r="L245" s="508"/>
      <c r="M245" s="509"/>
      <c r="N245" s="500">
        <v>750</v>
      </c>
      <c r="O245" s="500"/>
      <c r="P245" s="500"/>
      <c r="Q245" s="510">
        <f>+N245*K245</f>
        <v>330</v>
      </c>
      <c r="R245" s="511"/>
      <c r="S245" s="511"/>
      <c r="T245" s="512"/>
      <c r="U245" s="507">
        <f>ROUND(Q245,-2)</f>
        <v>300</v>
      </c>
      <c r="V245" s="508"/>
      <c r="W245" s="508"/>
      <c r="X245" s="509"/>
      <c r="Y245" s="67"/>
      <c r="AB245" s="65"/>
      <c r="AC245" s="65"/>
      <c r="AD245" s="65"/>
      <c r="AE245" s="65"/>
      <c r="AF245" s="62"/>
      <c r="AG245" s="62"/>
      <c r="AH245" s="62"/>
      <c r="AI245" s="62"/>
      <c r="AJ245" s="62"/>
      <c r="AK245" s="62"/>
      <c r="AL245" s="62"/>
      <c r="AM245" s="62"/>
      <c r="AN245" s="62"/>
    </row>
    <row r="246" spans="1:45" ht="15" customHeight="1" x14ac:dyDescent="0.25">
      <c r="D246" s="504" t="str">
        <f>+D125</f>
        <v>Estacionamiento No 185</v>
      </c>
      <c r="E246" s="505"/>
      <c r="F246" s="505"/>
      <c r="G246" s="505"/>
      <c r="H246" s="505"/>
      <c r="I246" s="505"/>
      <c r="J246" s="506"/>
      <c r="K246" s="507">
        <f>+P125</f>
        <v>0.84</v>
      </c>
      <c r="L246" s="508"/>
      <c r="M246" s="509"/>
      <c r="N246" s="500">
        <v>750</v>
      </c>
      <c r="O246" s="500"/>
      <c r="P246" s="500"/>
      <c r="Q246" s="510">
        <f>+N246*K246</f>
        <v>630</v>
      </c>
      <c r="R246" s="511"/>
      <c r="S246" s="511"/>
      <c r="T246" s="512"/>
      <c r="U246" s="507">
        <f>ROUND(Q246,-2)</f>
        <v>600</v>
      </c>
      <c r="V246" s="508"/>
      <c r="W246" s="508"/>
      <c r="X246" s="509"/>
      <c r="Y246" s="67"/>
      <c r="AB246" s="65"/>
      <c r="AC246" s="65"/>
      <c r="AD246" s="65"/>
      <c r="AE246" s="65"/>
      <c r="AF246" s="62"/>
      <c r="AG246" s="62"/>
      <c r="AH246" s="62"/>
      <c r="AI246" s="62"/>
      <c r="AJ246" s="62"/>
      <c r="AK246" s="62"/>
      <c r="AL246" s="62"/>
      <c r="AM246" s="62"/>
      <c r="AN246" s="62"/>
    </row>
    <row r="247" spans="1:45" ht="15" customHeight="1" x14ac:dyDescent="0.25">
      <c r="D247" s="504" t="str">
        <f>+D126</f>
        <v>Depósito No 07</v>
      </c>
      <c r="E247" s="505"/>
      <c r="F247" s="505"/>
      <c r="G247" s="505"/>
      <c r="H247" s="505"/>
      <c r="I247" s="505"/>
      <c r="J247" s="506"/>
      <c r="K247" s="507">
        <f>+P126</f>
        <v>0.22</v>
      </c>
      <c r="L247" s="508"/>
      <c r="M247" s="509"/>
      <c r="N247" s="500">
        <v>750</v>
      </c>
      <c r="O247" s="500"/>
      <c r="P247" s="500"/>
      <c r="Q247" s="510">
        <f>+N247*K247</f>
        <v>165</v>
      </c>
      <c r="R247" s="511"/>
      <c r="S247" s="511"/>
      <c r="T247" s="512"/>
      <c r="U247" s="507">
        <f>ROUND(Q247,-2)</f>
        <v>200</v>
      </c>
      <c r="V247" s="508"/>
      <c r="W247" s="508"/>
      <c r="X247" s="509"/>
      <c r="Y247" s="67"/>
      <c r="AB247" s="65"/>
      <c r="AC247" s="65"/>
      <c r="AD247" s="65"/>
      <c r="AE247" s="65"/>
      <c r="AF247" s="62"/>
      <c r="AG247" s="62"/>
      <c r="AH247" s="62"/>
      <c r="AI247" s="62"/>
      <c r="AJ247" s="62"/>
      <c r="AK247" s="62"/>
      <c r="AL247" s="62"/>
      <c r="AM247" s="62"/>
      <c r="AN247" s="62"/>
    </row>
    <row r="248" spans="1:45" ht="15" hidden="1" customHeight="1" outlineLevel="1" x14ac:dyDescent="0.25">
      <c r="D248" s="279"/>
      <c r="E248" s="280"/>
      <c r="F248" s="280"/>
      <c r="G248" s="280"/>
      <c r="H248" s="280"/>
      <c r="I248" s="280"/>
      <c r="J248" s="281"/>
      <c r="K248" s="275"/>
      <c r="L248" s="276"/>
      <c r="M248" s="277"/>
      <c r="N248" s="282"/>
      <c r="O248" s="283"/>
      <c r="P248" s="284"/>
      <c r="Q248" s="282"/>
      <c r="R248" s="283"/>
      <c r="S248" s="283"/>
      <c r="T248" s="284"/>
      <c r="U248" s="275"/>
      <c r="V248" s="276"/>
      <c r="W248" s="276"/>
      <c r="X248" s="277"/>
      <c r="Y248" s="67"/>
      <c r="AB248" s="65"/>
      <c r="AC248" s="65"/>
      <c r="AD248" s="65"/>
      <c r="AE248" s="65"/>
      <c r="AF248" s="62"/>
      <c r="AG248" s="62"/>
      <c r="AH248" s="62"/>
      <c r="AI248" s="62"/>
      <c r="AJ248" s="62"/>
      <c r="AK248" s="62"/>
      <c r="AL248" s="62"/>
      <c r="AM248" s="62"/>
      <c r="AN248" s="62"/>
    </row>
    <row r="249" spans="1:45" ht="15" customHeight="1" collapsed="1" x14ac:dyDescent="0.25">
      <c r="D249" s="522" t="s">
        <v>58</v>
      </c>
      <c r="E249" s="523"/>
      <c r="F249" s="523"/>
      <c r="G249" s="523"/>
      <c r="H249" s="523"/>
      <c r="I249" s="523"/>
      <c r="J249" s="524"/>
      <c r="K249" s="549">
        <f>SUM(K243:M248)</f>
        <v>6.74</v>
      </c>
      <c r="L249" s="550"/>
      <c r="M249" s="601"/>
      <c r="N249" s="585"/>
      <c r="O249" s="586"/>
      <c r="P249" s="587"/>
      <c r="Q249" s="585">
        <f>SUM(Q243:T248)</f>
        <v>5055</v>
      </c>
      <c r="R249" s="586"/>
      <c r="S249" s="586"/>
      <c r="T249" s="587"/>
      <c r="U249" s="549">
        <f>SUM(U243:X248)</f>
        <v>5000</v>
      </c>
      <c r="V249" s="550"/>
      <c r="W249" s="550"/>
      <c r="X249" s="601"/>
      <c r="Y249" s="67"/>
      <c r="AB249" s="66"/>
      <c r="AC249" s="66"/>
      <c r="AD249" s="66"/>
      <c r="AE249" s="65"/>
      <c r="AF249" s="62"/>
      <c r="AG249" s="62"/>
      <c r="AH249" s="62"/>
      <c r="AI249" s="62"/>
      <c r="AJ249" s="62"/>
      <c r="AK249" s="62"/>
      <c r="AL249" s="62"/>
      <c r="AM249" s="62"/>
      <c r="AN249" s="73"/>
      <c r="AQ249" s="297"/>
    </row>
    <row r="250" spans="1:45" ht="15" customHeight="1" x14ac:dyDescent="0.25">
      <c r="Y250" s="62"/>
      <c r="Z250" s="62"/>
      <c r="AA250" s="62"/>
      <c r="AB250" s="62"/>
      <c r="AC250" s="62"/>
      <c r="AD250" s="62"/>
      <c r="AE250" s="62"/>
    </row>
    <row r="251" spans="1:45" ht="15" customHeight="1" x14ac:dyDescent="0.25">
      <c r="A251" s="77"/>
      <c r="B251" s="77" t="s">
        <v>89</v>
      </c>
      <c r="D251" s="76" t="s">
        <v>88</v>
      </c>
      <c r="Y251" s="62"/>
      <c r="Z251" s="62"/>
      <c r="AA251" s="62"/>
      <c r="AB251" s="62"/>
      <c r="AC251" s="62"/>
      <c r="AD251" s="62"/>
      <c r="AE251" s="62"/>
      <c r="AQ251" s="293"/>
    </row>
    <row r="252" spans="1:45" ht="6" customHeight="1" x14ac:dyDescent="0.25">
      <c r="Y252" s="62"/>
      <c r="Z252" s="62"/>
      <c r="AA252" s="62"/>
      <c r="AB252" s="62"/>
      <c r="AC252" s="62"/>
      <c r="AD252" s="62"/>
      <c r="AE252" s="62"/>
      <c r="AQ252" s="291"/>
    </row>
    <row r="253" spans="1:45" ht="30" customHeight="1" x14ac:dyDescent="0.25">
      <c r="D253" s="517" t="s">
        <v>81</v>
      </c>
      <c r="E253" s="517"/>
      <c r="F253" s="517"/>
      <c r="G253" s="517"/>
      <c r="H253" s="517"/>
      <c r="I253" s="517"/>
      <c r="J253" s="517"/>
      <c r="K253" s="517"/>
      <c r="L253" s="517"/>
      <c r="M253" s="517"/>
      <c r="N253" s="517"/>
      <c r="O253" s="517"/>
      <c r="P253" s="517"/>
      <c r="Q253" s="517"/>
      <c r="R253" s="517"/>
      <c r="S253" s="517"/>
      <c r="T253" s="517"/>
      <c r="U253" s="517"/>
      <c r="V253" s="517"/>
      <c r="W253" s="517"/>
      <c r="X253" s="517"/>
      <c r="Y253" s="517"/>
      <c r="Z253" s="517"/>
      <c r="AA253" s="517"/>
      <c r="AB253" s="517"/>
      <c r="AC253" s="517"/>
      <c r="AD253" s="517"/>
      <c r="AE253" s="517"/>
      <c r="AF253" s="517"/>
      <c r="AG253" s="517"/>
      <c r="AH253" s="517"/>
      <c r="AI253" s="517"/>
      <c r="AJ253" s="517"/>
      <c r="AK253" s="517"/>
      <c r="AL253" s="253"/>
      <c r="AM253" s="253"/>
      <c r="AQ253" s="291"/>
    </row>
    <row r="254" spans="1:45" ht="15" customHeight="1" x14ac:dyDescent="0.25">
      <c r="D254" s="482" t="s">
        <v>87</v>
      </c>
      <c r="E254" s="482"/>
      <c r="F254" s="482"/>
      <c r="G254" s="482"/>
      <c r="H254" s="482"/>
      <c r="I254" s="482"/>
      <c r="J254" s="482"/>
      <c r="K254" s="482"/>
      <c r="L254" s="482"/>
      <c r="M254" s="482"/>
      <c r="N254" s="482"/>
      <c r="O254" s="482"/>
      <c r="P254" s="482"/>
      <c r="Q254" s="482"/>
      <c r="R254" s="482"/>
      <c r="S254" s="482"/>
      <c r="T254" s="482"/>
      <c r="U254" s="253"/>
      <c r="V254" s="253"/>
      <c r="W254" s="253"/>
      <c r="X254" s="253"/>
      <c r="Y254" s="253"/>
      <c r="Z254" s="253"/>
      <c r="AA254" s="253"/>
      <c r="AB254" s="253"/>
      <c r="AC254" s="253"/>
      <c r="AD254" s="253"/>
      <c r="AE254" s="253"/>
      <c r="AF254" s="253"/>
      <c r="AG254" s="253"/>
      <c r="AH254" s="253"/>
      <c r="AI254" s="253"/>
      <c r="AJ254" s="253"/>
      <c r="AK254" s="253"/>
      <c r="AL254" s="253"/>
      <c r="AM254" s="253"/>
      <c r="AO254" s="106"/>
    </row>
    <row r="255" spans="1:45" ht="6" customHeight="1" x14ac:dyDescent="0.25">
      <c r="N255" s="96"/>
      <c r="O255" s="96"/>
      <c r="P255" s="96"/>
      <c r="Y255" s="62"/>
      <c r="Z255" s="62"/>
      <c r="AA255" s="62"/>
      <c r="AB255" s="62"/>
      <c r="AC255" s="62"/>
      <c r="AD255" s="62"/>
      <c r="AE255" s="62"/>
      <c r="AP255" s="97"/>
      <c r="AR255" s="97"/>
      <c r="AS255" s="97"/>
    </row>
    <row r="256" spans="1:45" s="68" customFormat="1" ht="42" customHeight="1" x14ac:dyDescent="0.25">
      <c r="A256" s="69"/>
      <c r="B256" s="69"/>
      <c r="D256" s="555" t="s">
        <v>61</v>
      </c>
      <c r="E256" s="556"/>
      <c r="F256" s="556"/>
      <c r="G256" s="556"/>
      <c r="H256" s="556"/>
      <c r="I256" s="556"/>
      <c r="J256" s="557"/>
      <c r="K256" s="555" t="str">
        <f>K132</f>
        <v>Área Techada</v>
      </c>
      <c r="L256" s="556"/>
      <c r="M256" s="557"/>
      <c r="N256" s="555" t="str">
        <f>P132</f>
        <v>Área Ocupada</v>
      </c>
      <c r="O256" s="556"/>
      <c r="P256" s="557"/>
      <c r="Q256" s="555" t="s">
        <v>80</v>
      </c>
      <c r="R256" s="556"/>
      <c r="S256" s="556"/>
      <c r="T256" s="555" t="s">
        <v>79</v>
      </c>
      <c r="U256" s="556"/>
      <c r="V256" s="556"/>
      <c r="W256" s="556"/>
      <c r="X256" s="555" t="s">
        <v>78</v>
      </c>
      <c r="Y256" s="556"/>
      <c r="Z256" s="556"/>
      <c r="AA256" s="557"/>
      <c r="AB256" s="555" t="s">
        <v>86</v>
      </c>
      <c r="AC256" s="557"/>
      <c r="AD256" s="555" t="s">
        <v>85</v>
      </c>
      <c r="AE256" s="556"/>
      <c r="AF256" s="556"/>
      <c r="AG256" s="557"/>
      <c r="AH256" s="555" t="s">
        <v>84</v>
      </c>
      <c r="AI256" s="556"/>
      <c r="AJ256" s="556"/>
      <c r="AK256" s="557"/>
      <c r="AL256" s="105"/>
      <c r="AM256" s="105"/>
      <c r="AN256" s="104"/>
      <c r="AO256" s="103"/>
      <c r="AP256" s="102"/>
      <c r="AQ256" s="343"/>
      <c r="AR256" s="102"/>
      <c r="AS256" s="102"/>
    </row>
    <row r="257" spans="1:46" ht="15" customHeight="1" x14ac:dyDescent="0.25">
      <c r="D257" s="472" t="str">
        <f>+D133</f>
        <v>Departamento No 104</v>
      </c>
      <c r="E257" s="473"/>
      <c r="F257" s="473"/>
      <c r="G257" s="473"/>
      <c r="H257" s="473"/>
      <c r="I257" s="473"/>
      <c r="J257" s="474"/>
      <c r="K257" s="462">
        <f>+K133</f>
        <v>62.9</v>
      </c>
      <c r="L257" s="462"/>
      <c r="M257" s="462"/>
      <c r="N257" s="462">
        <f>+P133</f>
        <v>62.9</v>
      </c>
      <c r="O257" s="462"/>
      <c r="P257" s="462"/>
      <c r="Q257" s="462">
        <f>ROUND(+AH257/1.15/K257/(1-AB257%),1)</f>
        <v>998.1</v>
      </c>
      <c r="R257" s="462"/>
      <c r="S257" s="462"/>
      <c r="T257" s="499">
        <f>+K257*Q257</f>
        <v>62780.49</v>
      </c>
      <c r="U257" s="499"/>
      <c r="V257" s="499"/>
      <c r="W257" s="499"/>
      <c r="X257" s="513">
        <f>+T257*0.15</f>
        <v>9417.0734999999986</v>
      </c>
      <c r="Y257" s="513"/>
      <c r="Z257" s="513"/>
      <c r="AA257" s="513"/>
      <c r="AB257" s="514">
        <f>+$L$197</f>
        <v>0</v>
      </c>
      <c r="AC257" s="514"/>
      <c r="AD257" s="462">
        <f>+(T257+X257)*(100%-AB257%)</f>
        <v>72197.563499999989</v>
      </c>
      <c r="AE257" s="462"/>
      <c r="AF257" s="462"/>
      <c r="AG257" s="462"/>
      <c r="AH257" s="462">
        <f>+O281</f>
        <v>72200</v>
      </c>
      <c r="AI257" s="462"/>
      <c r="AJ257" s="462"/>
      <c r="AK257" s="462"/>
      <c r="AL257" s="88"/>
      <c r="AM257" s="88"/>
      <c r="AN257" s="101"/>
      <c r="AO257" s="100"/>
      <c r="AP257" s="99"/>
      <c r="AQ257" s="343" t="s">
        <v>510</v>
      </c>
      <c r="AR257" s="97"/>
      <c r="AS257" s="97"/>
      <c r="AT257" s="65"/>
    </row>
    <row r="258" spans="1:46" ht="15" customHeight="1" x14ac:dyDescent="0.25">
      <c r="D258" s="472" t="str">
        <f>+D134</f>
        <v>Estacionamiento No 181</v>
      </c>
      <c r="E258" s="473"/>
      <c r="F258" s="473"/>
      <c r="G258" s="473"/>
      <c r="H258" s="473"/>
      <c r="I258" s="473"/>
      <c r="J258" s="474"/>
      <c r="K258" s="462">
        <f>+K134</f>
        <v>12</v>
      </c>
      <c r="L258" s="462"/>
      <c r="M258" s="462"/>
      <c r="N258" s="462">
        <f>+P134</f>
        <v>12</v>
      </c>
      <c r="O258" s="462"/>
      <c r="P258" s="462"/>
      <c r="Q258" s="462">
        <f>ROUND(+AH258/1.15/K258/(1-AB258%),1)</f>
        <v>608.70000000000005</v>
      </c>
      <c r="R258" s="462"/>
      <c r="S258" s="462"/>
      <c r="T258" s="499">
        <f>+K258*Q258</f>
        <v>7304.4000000000005</v>
      </c>
      <c r="U258" s="499"/>
      <c r="V258" s="499"/>
      <c r="W258" s="499"/>
      <c r="X258" s="513">
        <f>+T258*0.15</f>
        <v>1095.6600000000001</v>
      </c>
      <c r="Y258" s="513"/>
      <c r="Z258" s="513"/>
      <c r="AA258" s="513"/>
      <c r="AB258" s="514">
        <f>+$L$197</f>
        <v>0</v>
      </c>
      <c r="AC258" s="514"/>
      <c r="AD258" s="462">
        <f>+(T258+X258)*(100%-AB258%)</f>
        <v>8400.0600000000013</v>
      </c>
      <c r="AE258" s="462"/>
      <c r="AF258" s="462"/>
      <c r="AG258" s="462"/>
      <c r="AH258" s="462">
        <f>+O282</f>
        <v>8400</v>
      </c>
      <c r="AI258" s="462"/>
      <c r="AJ258" s="462"/>
      <c r="AK258" s="462"/>
      <c r="AL258" s="88"/>
      <c r="AM258" s="88"/>
      <c r="AN258" s="101"/>
      <c r="AO258" s="100"/>
      <c r="AP258" s="99"/>
      <c r="AR258" s="97"/>
      <c r="AS258" s="97"/>
      <c r="AT258" s="65"/>
    </row>
    <row r="259" spans="1:46" ht="15" customHeight="1" x14ac:dyDescent="0.25">
      <c r="D259" s="472" t="str">
        <f>+D135</f>
        <v>Depósito No 06</v>
      </c>
      <c r="E259" s="473"/>
      <c r="F259" s="473"/>
      <c r="G259" s="473"/>
      <c r="H259" s="473"/>
      <c r="I259" s="473"/>
      <c r="J259" s="474"/>
      <c r="K259" s="462">
        <f>+K135</f>
        <v>6.24</v>
      </c>
      <c r="L259" s="462"/>
      <c r="M259" s="462"/>
      <c r="N259" s="462">
        <f>+P135</f>
        <v>6.24</v>
      </c>
      <c r="O259" s="462"/>
      <c r="P259" s="462"/>
      <c r="Q259" s="462">
        <f>ROUND(+AH259/1.15/K259/(1-AB259%),1)</f>
        <v>515.6</v>
      </c>
      <c r="R259" s="462"/>
      <c r="S259" s="462"/>
      <c r="T259" s="499">
        <f>+K259*Q259</f>
        <v>3217.3440000000001</v>
      </c>
      <c r="U259" s="499"/>
      <c r="V259" s="499"/>
      <c r="W259" s="499"/>
      <c r="X259" s="513">
        <f>+T259*0.15</f>
        <v>482.60159999999996</v>
      </c>
      <c r="Y259" s="513"/>
      <c r="Z259" s="513"/>
      <c r="AA259" s="513"/>
      <c r="AB259" s="514">
        <f>+$L$197</f>
        <v>0</v>
      </c>
      <c r="AC259" s="514"/>
      <c r="AD259" s="462">
        <f>+(T259+X259)*(100%-AB259%)</f>
        <v>3699.9456</v>
      </c>
      <c r="AE259" s="462"/>
      <c r="AF259" s="462"/>
      <c r="AG259" s="462"/>
      <c r="AH259" s="462">
        <f>+O283</f>
        <v>3700</v>
      </c>
      <c r="AI259" s="462"/>
      <c r="AJ259" s="462"/>
      <c r="AK259" s="462"/>
      <c r="AL259" s="88"/>
      <c r="AM259" s="88"/>
      <c r="AN259" s="101"/>
      <c r="AO259" s="100"/>
      <c r="AP259" s="99"/>
      <c r="AR259" s="97"/>
      <c r="AS259" s="97"/>
      <c r="AT259" s="65"/>
    </row>
    <row r="260" spans="1:46" ht="15" customHeight="1" x14ac:dyDescent="0.25">
      <c r="D260" s="472" t="str">
        <f>+D136</f>
        <v>Estacionamiento No 185</v>
      </c>
      <c r="E260" s="473"/>
      <c r="F260" s="473"/>
      <c r="G260" s="473"/>
      <c r="H260" s="473"/>
      <c r="I260" s="473"/>
      <c r="J260" s="474"/>
      <c r="K260" s="462">
        <f>+K136</f>
        <v>12</v>
      </c>
      <c r="L260" s="462"/>
      <c r="M260" s="462"/>
      <c r="N260" s="462">
        <f>+P136</f>
        <v>12</v>
      </c>
      <c r="O260" s="462"/>
      <c r="P260" s="462"/>
      <c r="Q260" s="462">
        <f>ROUND(+AH260/1.15/K260/(1-AB260%),1)</f>
        <v>608.70000000000005</v>
      </c>
      <c r="R260" s="462"/>
      <c r="S260" s="462"/>
      <c r="T260" s="499">
        <f>+K260*Q260</f>
        <v>7304.4000000000005</v>
      </c>
      <c r="U260" s="499"/>
      <c r="V260" s="499"/>
      <c r="W260" s="499"/>
      <c r="X260" s="513">
        <f>+T260*0.15</f>
        <v>1095.6600000000001</v>
      </c>
      <c r="Y260" s="513"/>
      <c r="Z260" s="513"/>
      <c r="AA260" s="513"/>
      <c r="AB260" s="514">
        <f>+$L$197</f>
        <v>0</v>
      </c>
      <c r="AC260" s="514"/>
      <c r="AD260" s="462">
        <f>+(T260+X260)*(100%-AB260%)</f>
        <v>8400.0600000000013</v>
      </c>
      <c r="AE260" s="462"/>
      <c r="AF260" s="462"/>
      <c r="AG260" s="462"/>
      <c r="AH260" s="462">
        <f>+O284</f>
        <v>8400</v>
      </c>
      <c r="AI260" s="462"/>
      <c r="AJ260" s="462"/>
      <c r="AK260" s="462"/>
      <c r="AL260" s="88"/>
      <c r="AM260" s="88"/>
      <c r="AN260" s="101"/>
      <c r="AO260" s="100"/>
      <c r="AP260" s="99"/>
      <c r="AR260" s="97"/>
      <c r="AS260" s="97"/>
      <c r="AT260" s="65"/>
    </row>
    <row r="261" spans="1:46" ht="15" customHeight="1" x14ac:dyDescent="0.25">
      <c r="D261" s="472" t="str">
        <f>+D137</f>
        <v>Depósito No 07</v>
      </c>
      <c r="E261" s="473"/>
      <c r="F261" s="473"/>
      <c r="G261" s="473"/>
      <c r="H261" s="473"/>
      <c r="I261" s="473"/>
      <c r="J261" s="474"/>
      <c r="K261" s="462">
        <f>+K137</f>
        <v>3.21</v>
      </c>
      <c r="L261" s="462"/>
      <c r="M261" s="462"/>
      <c r="N261" s="462">
        <f>+P137</f>
        <v>3.21</v>
      </c>
      <c r="O261" s="462"/>
      <c r="P261" s="462"/>
      <c r="Q261" s="462">
        <f>ROUND(+AH261/1.15/K261/(1-AB261%),1)</f>
        <v>1029.4000000000001</v>
      </c>
      <c r="R261" s="462"/>
      <c r="S261" s="462"/>
      <c r="T261" s="499">
        <f>+K261*Q261</f>
        <v>3304.3740000000003</v>
      </c>
      <c r="U261" s="499"/>
      <c r="V261" s="499"/>
      <c r="W261" s="499"/>
      <c r="X261" s="513">
        <f>+T261*0.15</f>
        <v>495.65610000000004</v>
      </c>
      <c r="Y261" s="513"/>
      <c r="Z261" s="513"/>
      <c r="AA261" s="513"/>
      <c r="AB261" s="514">
        <f>+$L$197</f>
        <v>0</v>
      </c>
      <c r="AC261" s="514"/>
      <c r="AD261" s="462">
        <f>+(T261+X261)*(100%-AB261%)</f>
        <v>3800.0301000000004</v>
      </c>
      <c r="AE261" s="462"/>
      <c r="AF261" s="462"/>
      <c r="AG261" s="462"/>
      <c r="AH261" s="462">
        <f>+O285</f>
        <v>3800</v>
      </c>
      <c r="AI261" s="462"/>
      <c r="AJ261" s="462"/>
      <c r="AK261" s="462"/>
      <c r="AL261" s="88"/>
      <c r="AM261" s="88"/>
      <c r="AN261" s="101"/>
      <c r="AO261" s="100"/>
      <c r="AP261" s="99"/>
      <c r="AR261" s="97"/>
      <c r="AS261" s="97"/>
      <c r="AT261" s="65"/>
    </row>
    <row r="262" spans="1:46" ht="15" hidden="1" customHeight="1" outlineLevel="1" x14ac:dyDescent="0.25">
      <c r="D262" s="262"/>
      <c r="E262" s="263"/>
      <c r="F262" s="263"/>
      <c r="G262" s="263"/>
      <c r="H262" s="263"/>
      <c r="I262" s="263"/>
      <c r="J262" s="264"/>
      <c r="K262" s="312"/>
      <c r="L262" s="313"/>
      <c r="M262" s="314"/>
      <c r="N262" s="312"/>
      <c r="O262" s="313"/>
      <c r="P262" s="314"/>
      <c r="Q262" s="312"/>
      <c r="R262" s="313"/>
      <c r="S262" s="314"/>
      <c r="T262" s="315"/>
      <c r="U262" s="316"/>
      <c r="V262" s="316"/>
      <c r="W262" s="317"/>
      <c r="X262" s="318"/>
      <c r="Y262" s="319"/>
      <c r="Z262" s="319"/>
      <c r="AA262" s="320"/>
      <c r="AB262" s="321"/>
      <c r="AC262" s="322"/>
      <c r="AD262" s="312"/>
      <c r="AE262" s="313"/>
      <c r="AF262" s="313"/>
      <c r="AG262" s="314"/>
      <c r="AH262" s="312"/>
      <c r="AI262" s="313"/>
      <c r="AJ262" s="313"/>
      <c r="AK262" s="314"/>
      <c r="AL262" s="88"/>
      <c r="AM262" s="88"/>
      <c r="AN262" s="101"/>
      <c r="AO262" s="100"/>
      <c r="AP262" s="99"/>
      <c r="AR262" s="97"/>
      <c r="AS262" s="97"/>
      <c r="AT262" s="65"/>
    </row>
    <row r="263" spans="1:46" ht="15" customHeight="1" collapsed="1" x14ac:dyDescent="0.25">
      <c r="D263" s="522" t="s">
        <v>58</v>
      </c>
      <c r="E263" s="523"/>
      <c r="F263" s="523"/>
      <c r="G263" s="523"/>
      <c r="H263" s="523"/>
      <c r="I263" s="523"/>
      <c r="J263" s="524"/>
      <c r="K263" s="549">
        <f>SUM(K257:M262)</f>
        <v>96.35</v>
      </c>
      <c r="L263" s="550"/>
      <c r="M263" s="601"/>
      <c r="N263" s="549">
        <f>SUM(N257:P262)</f>
        <v>96.35</v>
      </c>
      <c r="O263" s="550"/>
      <c r="P263" s="601"/>
      <c r="Q263" s="585"/>
      <c r="R263" s="586"/>
      <c r="S263" s="587"/>
      <c r="T263" s="585">
        <f>SUM(T257:W262)</f>
        <v>83911.007999999987</v>
      </c>
      <c r="U263" s="586"/>
      <c r="V263" s="586"/>
      <c r="W263" s="587"/>
      <c r="X263" s="585">
        <f>SUM(X257:AA262)</f>
        <v>12586.651199999998</v>
      </c>
      <c r="Y263" s="586"/>
      <c r="Z263" s="586"/>
      <c r="AA263" s="587"/>
      <c r="AB263" s="583"/>
      <c r="AC263" s="584"/>
      <c r="AD263" s="585">
        <f>SUM(AD257:AG262)</f>
        <v>96497.659199999995</v>
      </c>
      <c r="AE263" s="586"/>
      <c r="AF263" s="586"/>
      <c r="AG263" s="587"/>
      <c r="AH263" s="585">
        <f>SUM(AH257:AK262)</f>
        <v>96500</v>
      </c>
      <c r="AI263" s="586"/>
      <c r="AJ263" s="586"/>
      <c r="AK263" s="587"/>
      <c r="AL263" s="88"/>
      <c r="AM263" s="88"/>
      <c r="AN263" s="101"/>
      <c r="AO263" s="100"/>
      <c r="AP263" s="99"/>
      <c r="AR263" s="97"/>
      <c r="AS263" s="97"/>
      <c r="AT263" s="65"/>
    </row>
    <row r="264" spans="1:46" ht="15" customHeight="1" x14ac:dyDescent="0.25">
      <c r="D264" s="76"/>
      <c r="E264" s="98"/>
      <c r="F264" s="98"/>
      <c r="G264" s="98"/>
      <c r="Y264" s="62"/>
      <c r="Z264" s="62"/>
      <c r="AA264" s="62"/>
      <c r="AB264" s="62"/>
      <c r="AC264" s="62"/>
      <c r="AD264" s="62"/>
      <c r="AE264" s="62"/>
      <c r="AO264" s="97"/>
      <c r="AP264" s="97"/>
      <c r="AR264" s="97"/>
      <c r="AS264" s="97"/>
    </row>
    <row r="265" spans="1:46" ht="15" customHeight="1" x14ac:dyDescent="0.25">
      <c r="A265" s="77"/>
      <c r="B265" s="77" t="s">
        <v>83</v>
      </c>
      <c r="D265" s="76" t="s">
        <v>82</v>
      </c>
      <c r="Y265" s="62"/>
      <c r="Z265" s="62"/>
      <c r="AA265" s="62"/>
      <c r="AB265" s="62"/>
      <c r="AC265" s="62"/>
      <c r="AD265" s="62"/>
      <c r="AE265" s="62"/>
      <c r="AO265" s="97"/>
      <c r="AP265" s="97"/>
      <c r="AQ265" s="298"/>
      <c r="AR265" s="97"/>
      <c r="AS265" s="97"/>
    </row>
    <row r="266" spans="1:46" ht="6" customHeight="1" x14ac:dyDescent="0.25">
      <c r="Y266" s="62"/>
      <c r="Z266" s="62"/>
      <c r="AA266" s="62"/>
      <c r="AB266" s="62"/>
      <c r="AC266" s="62"/>
      <c r="AD266" s="62"/>
      <c r="AE266" s="62"/>
      <c r="AO266" s="97"/>
      <c r="AP266" s="97"/>
      <c r="AQ266" s="299"/>
      <c r="AR266" s="97"/>
      <c r="AS266" s="97"/>
    </row>
    <row r="267" spans="1:46" ht="30" customHeight="1" x14ac:dyDescent="0.25">
      <c r="D267" s="517" t="s">
        <v>81</v>
      </c>
      <c r="E267" s="517"/>
      <c r="F267" s="517"/>
      <c r="G267" s="517"/>
      <c r="H267" s="517"/>
      <c r="I267" s="517"/>
      <c r="J267" s="517"/>
      <c r="K267" s="517"/>
      <c r="L267" s="517"/>
      <c r="M267" s="517"/>
      <c r="N267" s="517"/>
      <c r="O267" s="517"/>
      <c r="P267" s="517"/>
      <c r="Q267" s="517"/>
      <c r="R267" s="517"/>
      <c r="S267" s="517"/>
      <c r="T267" s="517"/>
      <c r="U267" s="517"/>
      <c r="V267" s="517"/>
      <c r="W267" s="517"/>
      <c r="X267" s="517"/>
      <c r="Y267" s="517"/>
      <c r="Z267" s="517"/>
      <c r="AA267" s="517"/>
      <c r="AB267" s="517"/>
      <c r="AC267" s="517"/>
      <c r="AD267" s="517"/>
      <c r="AE267" s="517"/>
      <c r="AF267" s="517"/>
      <c r="AG267" s="517"/>
      <c r="AH267" s="517"/>
      <c r="AI267" s="517"/>
      <c r="AJ267" s="517"/>
      <c r="AK267" s="517"/>
      <c r="AL267" s="253"/>
      <c r="AM267" s="253"/>
      <c r="AO267" s="97"/>
      <c r="AP267" s="97"/>
      <c r="AQ267" s="291"/>
      <c r="AR267" s="97"/>
      <c r="AS267" s="97"/>
    </row>
    <row r="268" spans="1:46" ht="6" customHeight="1" x14ac:dyDescent="0.25">
      <c r="N268" s="96"/>
      <c r="O268" s="96"/>
      <c r="P268" s="96"/>
      <c r="Y268" s="62"/>
      <c r="Z268" s="62"/>
      <c r="AA268" s="62"/>
      <c r="AB268" s="62"/>
      <c r="AC268" s="62"/>
      <c r="AD268" s="62"/>
      <c r="AE268" s="62"/>
      <c r="AQ268" s="291"/>
    </row>
    <row r="269" spans="1:46" s="68" customFormat="1" ht="42" customHeight="1" x14ac:dyDescent="0.25">
      <c r="A269" s="69"/>
      <c r="B269" s="69"/>
      <c r="D269" s="555" t="s">
        <v>61</v>
      </c>
      <c r="E269" s="556"/>
      <c r="F269" s="556"/>
      <c r="G269" s="556"/>
      <c r="H269" s="556"/>
      <c r="I269" s="556"/>
      <c r="J269" s="557"/>
      <c r="K269" s="555" t="str">
        <f>+K256</f>
        <v>Área Techada</v>
      </c>
      <c r="L269" s="556"/>
      <c r="M269" s="557"/>
      <c r="N269" s="555" t="str">
        <f>+N256</f>
        <v>Área Ocupada</v>
      </c>
      <c r="O269" s="556"/>
      <c r="P269" s="557"/>
      <c r="Q269" s="555" t="s">
        <v>80</v>
      </c>
      <c r="R269" s="556"/>
      <c r="S269" s="556"/>
      <c r="T269" s="555" t="s">
        <v>79</v>
      </c>
      <c r="U269" s="556"/>
      <c r="V269" s="556"/>
      <c r="W269" s="556"/>
      <c r="X269" s="555" t="s">
        <v>78</v>
      </c>
      <c r="Y269" s="556"/>
      <c r="Z269" s="556"/>
      <c r="AA269" s="557"/>
      <c r="AB269" s="555" t="s">
        <v>77</v>
      </c>
      <c r="AC269" s="556"/>
      <c r="AD269" s="556"/>
      <c r="AE269" s="557"/>
      <c r="AF269" s="555" t="s">
        <v>76</v>
      </c>
      <c r="AG269" s="556"/>
      <c r="AH269" s="556"/>
      <c r="AI269" s="557"/>
      <c r="AO269" s="95"/>
      <c r="AP269" s="94"/>
      <c r="AQ269" s="343"/>
    </row>
    <row r="270" spans="1:46" ht="15" customHeight="1" x14ac:dyDescent="0.25">
      <c r="D270" s="485" t="str">
        <f>+D257</f>
        <v>Departamento No 104</v>
      </c>
      <c r="E270" s="485"/>
      <c r="F270" s="485"/>
      <c r="G270" s="485"/>
      <c r="H270" s="485"/>
      <c r="I270" s="485"/>
      <c r="J270" s="485"/>
      <c r="K270" s="462">
        <f>+K257</f>
        <v>62.9</v>
      </c>
      <c r="L270" s="462"/>
      <c r="M270" s="462"/>
      <c r="N270" s="462">
        <f>+N257</f>
        <v>62.9</v>
      </c>
      <c r="O270" s="462"/>
      <c r="P270" s="462"/>
      <c r="Q270" s="500">
        <v>450</v>
      </c>
      <c r="R270" s="500"/>
      <c r="S270" s="500"/>
      <c r="T270" s="499">
        <f>+K270*Q270</f>
        <v>28305</v>
      </c>
      <c r="U270" s="499"/>
      <c r="V270" s="499"/>
      <c r="W270" s="499"/>
      <c r="X270" s="513">
        <f>+T270*0.15</f>
        <v>4245.75</v>
      </c>
      <c r="Y270" s="513"/>
      <c r="Z270" s="513"/>
      <c r="AA270" s="513"/>
      <c r="AB270" s="462">
        <f>+(T270+X270)</f>
        <v>32550.75</v>
      </c>
      <c r="AC270" s="462"/>
      <c r="AD270" s="462"/>
      <c r="AE270" s="462"/>
      <c r="AF270" s="462">
        <f>ROUND(AB270,-2)</f>
        <v>32600</v>
      </c>
      <c r="AG270" s="462"/>
      <c r="AH270" s="462"/>
      <c r="AI270" s="462"/>
      <c r="AJ270" s="65"/>
      <c r="AK270" s="65"/>
      <c r="AL270" s="65"/>
      <c r="AM270" s="65"/>
      <c r="AN270" s="65"/>
      <c r="AO270" s="93"/>
      <c r="AQ270" s="298" t="s">
        <v>511</v>
      </c>
    </row>
    <row r="271" spans="1:46" ht="15" customHeight="1" x14ac:dyDescent="0.25">
      <c r="D271" s="485" t="str">
        <f>+D258</f>
        <v>Estacionamiento No 181</v>
      </c>
      <c r="E271" s="485"/>
      <c r="F271" s="485"/>
      <c r="G271" s="485"/>
      <c r="H271" s="485"/>
      <c r="I271" s="485"/>
      <c r="J271" s="485"/>
      <c r="K271" s="462">
        <f>+K258</f>
        <v>12</v>
      </c>
      <c r="L271" s="462"/>
      <c r="M271" s="462"/>
      <c r="N271" s="462">
        <f>+N258</f>
        <v>12</v>
      </c>
      <c r="O271" s="462"/>
      <c r="P271" s="462"/>
      <c r="Q271" s="500">
        <v>450</v>
      </c>
      <c r="R271" s="500"/>
      <c r="S271" s="500"/>
      <c r="T271" s="499">
        <f>+K271*Q271</f>
        <v>5400</v>
      </c>
      <c r="U271" s="499"/>
      <c r="V271" s="499"/>
      <c r="W271" s="499"/>
      <c r="X271" s="513">
        <f>+T271*0.15</f>
        <v>810</v>
      </c>
      <c r="Y271" s="513"/>
      <c r="Z271" s="513"/>
      <c r="AA271" s="513"/>
      <c r="AB271" s="462">
        <f>+(T271+X271)</f>
        <v>6210</v>
      </c>
      <c r="AC271" s="462"/>
      <c r="AD271" s="462"/>
      <c r="AE271" s="462"/>
      <c r="AF271" s="462">
        <f>ROUND(AB271,-2)</f>
        <v>6200</v>
      </c>
      <c r="AG271" s="462"/>
      <c r="AH271" s="462"/>
      <c r="AI271" s="462"/>
      <c r="AJ271" s="65"/>
      <c r="AK271" s="65"/>
      <c r="AL271" s="65"/>
      <c r="AM271" s="65"/>
      <c r="AN271" s="65"/>
      <c r="AO271" s="93"/>
      <c r="AQ271" s="298"/>
    </row>
    <row r="272" spans="1:46" ht="15" customHeight="1" x14ac:dyDescent="0.25">
      <c r="D272" s="485" t="str">
        <f>+D259</f>
        <v>Depósito No 06</v>
      </c>
      <c r="E272" s="485"/>
      <c r="F272" s="485"/>
      <c r="G272" s="485"/>
      <c r="H272" s="485"/>
      <c r="I272" s="485"/>
      <c r="J272" s="485"/>
      <c r="K272" s="462">
        <f>+K259</f>
        <v>6.24</v>
      </c>
      <c r="L272" s="462"/>
      <c r="M272" s="462"/>
      <c r="N272" s="462">
        <f>+N259</f>
        <v>6.24</v>
      </c>
      <c r="O272" s="462"/>
      <c r="P272" s="462"/>
      <c r="Q272" s="500">
        <v>450</v>
      </c>
      <c r="R272" s="500"/>
      <c r="S272" s="500"/>
      <c r="T272" s="499">
        <f>+K272*Q272</f>
        <v>2808</v>
      </c>
      <c r="U272" s="499"/>
      <c r="V272" s="499"/>
      <c r="W272" s="499"/>
      <c r="X272" s="513">
        <f>+T272*0.15</f>
        <v>421.2</v>
      </c>
      <c r="Y272" s="513"/>
      <c r="Z272" s="513"/>
      <c r="AA272" s="513"/>
      <c r="AB272" s="462">
        <f>+(T272+X272)</f>
        <v>3229.2</v>
      </c>
      <c r="AC272" s="462"/>
      <c r="AD272" s="462"/>
      <c r="AE272" s="462"/>
      <c r="AF272" s="462">
        <f>ROUND(AB272,-2)</f>
        <v>3200</v>
      </c>
      <c r="AG272" s="462"/>
      <c r="AH272" s="462"/>
      <c r="AI272" s="462"/>
      <c r="AJ272" s="65"/>
      <c r="AK272" s="65"/>
      <c r="AL272" s="65"/>
      <c r="AM272" s="65"/>
      <c r="AN272" s="65"/>
      <c r="AO272" s="93"/>
      <c r="AQ272" s="298"/>
    </row>
    <row r="273" spans="1:51" ht="15" customHeight="1" x14ac:dyDescent="0.25">
      <c r="D273" s="485" t="str">
        <f>+D260</f>
        <v>Estacionamiento No 185</v>
      </c>
      <c r="E273" s="485"/>
      <c r="F273" s="485"/>
      <c r="G273" s="485"/>
      <c r="H273" s="485"/>
      <c r="I273" s="485"/>
      <c r="J273" s="485"/>
      <c r="K273" s="462">
        <f>+K260</f>
        <v>12</v>
      </c>
      <c r="L273" s="462"/>
      <c r="M273" s="462"/>
      <c r="N273" s="462">
        <f>+N260</f>
        <v>12</v>
      </c>
      <c r="O273" s="462"/>
      <c r="P273" s="462"/>
      <c r="Q273" s="500">
        <v>450</v>
      </c>
      <c r="R273" s="500"/>
      <c r="S273" s="500"/>
      <c r="T273" s="499">
        <f>+K273*Q273</f>
        <v>5400</v>
      </c>
      <c r="U273" s="499"/>
      <c r="V273" s="499"/>
      <c r="W273" s="499"/>
      <c r="X273" s="513">
        <f>+T273*0.15</f>
        <v>810</v>
      </c>
      <c r="Y273" s="513"/>
      <c r="Z273" s="513"/>
      <c r="AA273" s="513"/>
      <c r="AB273" s="462">
        <f>+(T273+X273)</f>
        <v>6210</v>
      </c>
      <c r="AC273" s="462"/>
      <c r="AD273" s="462"/>
      <c r="AE273" s="462"/>
      <c r="AF273" s="462">
        <f>ROUND(AB273,-2)</f>
        <v>6200</v>
      </c>
      <c r="AG273" s="462"/>
      <c r="AH273" s="462"/>
      <c r="AI273" s="462"/>
      <c r="AJ273" s="65"/>
      <c r="AK273" s="65"/>
      <c r="AL273" s="65"/>
      <c r="AM273" s="65"/>
      <c r="AN273" s="65"/>
      <c r="AO273" s="93"/>
      <c r="AQ273" s="298"/>
    </row>
    <row r="274" spans="1:51" ht="15" customHeight="1" x14ac:dyDescent="0.25">
      <c r="D274" s="485" t="str">
        <f>+D261</f>
        <v>Depósito No 07</v>
      </c>
      <c r="E274" s="485"/>
      <c r="F274" s="485"/>
      <c r="G274" s="485"/>
      <c r="H274" s="485"/>
      <c r="I274" s="485"/>
      <c r="J274" s="485"/>
      <c r="K274" s="462">
        <f>+K261</f>
        <v>3.21</v>
      </c>
      <c r="L274" s="462"/>
      <c r="M274" s="462"/>
      <c r="N274" s="462">
        <f>+N261</f>
        <v>3.21</v>
      </c>
      <c r="O274" s="462"/>
      <c r="P274" s="462"/>
      <c r="Q274" s="500">
        <v>450</v>
      </c>
      <c r="R274" s="500"/>
      <c r="S274" s="500"/>
      <c r="T274" s="499">
        <f>+K274*Q274</f>
        <v>1444.5</v>
      </c>
      <c r="U274" s="499"/>
      <c r="V274" s="499"/>
      <c r="W274" s="499"/>
      <c r="X274" s="513">
        <f>+T274*0.15</f>
        <v>216.67499999999998</v>
      </c>
      <c r="Y274" s="513"/>
      <c r="Z274" s="513"/>
      <c r="AA274" s="513"/>
      <c r="AB274" s="462">
        <f>+(T274+X274)</f>
        <v>1661.175</v>
      </c>
      <c r="AC274" s="462"/>
      <c r="AD274" s="462"/>
      <c r="AE274" s="462"/>
      <c r="AF274" s="462">
        <f>ROUND(AB274,-2)</f>
        <v>1700</v>
      </c>
      <c r="AG274" s="462"/>
      <c r="AH274" s="462"/>
      <c r="AI274" s="462"/>
      <c r="AJ274" s="65"/>
      <c r="AK274" s="65"/>
      <c r="AL274" s="65"/>
      <c r="AM274" s="65"/>
      <c r="AN274" s="65"/>
      <c r="AO274" s="93"/>
      <c r="AQ274" s="298"/>
    </row>
    <row r="275" spans="1:51" ht="15" hidden="1" customHeight="1" outlineLevel="1" x14ac:dyDescent="0.25">
      <c r="D275" s="262"/>
      <c r="E275" s="263"/>
      <c r="F275" s="263"/>
      <c r="G275" s="263"/>
      <c r="H275" s="263"/>
      <c r="I275" s="263"/>
      <c r="J275" s="264"/>
      <c r="K275" s="312"/>
      <c r="L275" s="313"/>
      <c r="M275" s="314"/>
      <c r="N275" s="312"/>
      <c r="O275" s="313"/>
      <c r="P275" s="314"/>
      <c r="Q275" s="342"/>
      <c r="R275" s="342"/>
      <c r="S275" s="342"/>
      <c r="T275" s="315"/>
      <c r="U275" s="316"/>
      <c r="V275" s="316"/>
      <c r="W275" s="317"/>
      <c r="X275" s="318"/>
      <c r="Y275" s="319"/>
      <c r="Z275" s="319"/>
      <c r="AA275" s="320"/>
      <c r="AB275" s="312"/>
      <c r="AC275" s="313"/>
      <c r="AD275" s="313"/>
      <c r="AE275" s="314"/>
      <c r="AF275" s="312"/>
      <c r="AG275" s="313"/>
      <c r="AH275" s="313"/>
      <c r="AI275" s="314"/>
      <c r="AJ275" s="65"/>
      <c r="AK275" s="65"/>
      <c r="AL275" s="65"/>
      <c r="AM275" s="65"/>
      <c r="AN275" s="65"/>
      <c r="AO275" s="93"/>
      <c r="AQ275" s="298"/>
    </row>
    <row r="276" spans="1:51" ht="15" customHeight="1" collapsed="1" x14ac:dyDescent="0.25">
      <c r="D276" s="522" t="s">
        <v>58</v>
      </c>
      <c r="E276" s="523"/>
      <c r="F276" s="523"/>
      <c r="G276" s="523"/>
      <c r="H276" s="523"/>
      <c r="I276" s="523"/>
      <c r="J276" s="524"/>
      <c r="K276" s="549">
        <f>SUM(K270:M275)</f>
        <v>96.35</v>
      </c>
      <c r="L276" s="550"/>
      <c r="M276" s="601"/>
      <c r="N276" s="549">
        <f>SUM(N270:P275)</f>
        <v>96.35</v>
      </c>
      <c r="O276" s="550"/>
      <c r="P276" s="601"/>
      <c r="Q276" s="612"/>
      <c r="R276" s="612"/>
      <c r="S276" s="612"/>
      <c r="T276" s="585">
        <f>SUM(T270:W275)</f>
        <v>43357.5</v>
      </c>
      <c r="U276" s="586"/>
      <c r="V276" s="586"/>
      <c r="W276" s="587"/>
      <c r="X276" s="585">
        <f>SUM(X270:AA275)</f>
        <v>6503.625</v>
      </c>
      <c r="Y276" s="586"/>
      <c r="Z276" s="586"/>
      <c r="AA276" s="587"/>
      <c r="AB276" s="585">
        <f>SUM(AB270:AE275)</f>
        <v>49861.125</v>
      </c>
      <c r="AC276" s="586"/>
      <c r="AD276" s="586"/>
      <c r="AE276" s="587"/>
      <c r="AF276" s="585">
        <f>SUM(AF270:AI275)</f>
        <v>49900</v>
      </c>
      <c r="AG276" s="586"/>
      <c r="AH276" s="586"/>
      <c r="AI276" s="587"/>
      <c r="AJ276" s="66"/>
      <c r="AK276" s="66"/>
      <c r="AL276" s="66"/>
      <c r="AM276" s="66"/>
      <c r="AN276" s="66"/>
      <c r="AO276" s="65"/>
      <c r="AP276" s="92"/>
      <c r="AQ276" s="298"/>
    </row>
    <row r="277" spans="1:51" ht="15" customHeight="1" x14ac:dyDescent="0.25">
      <c r="K277" s="88"/>
      <c r="L277" s="88"/>
      <c r="M277" s="88"/>
      <c r="N277" s="88"/>
      <c r="O277" s="88"/>
      <c r="P277" s="88"/>
      <c r="Q277" s="88"/>
      <c r="R277" s="89"/>
      <c r="S277" s="89"/>
      <c r="T277" s="89"/>
      <c r="U277" s="91"/>
      <c r="V277" s="91"/>
      <c r="W277" s="91"/>
      <c r="X277" s="91"/>
      <c r="Y277" s="88"/>
      <c r="Z277" s="88"/>
      <c r="AA277" s="88"/>
      <c r="AB277" s="88"/>
      <c r="AC277" s="90"/>
      <c r="AD277" s="90"/>
      <c r="AE277" s="89"/>
      <c r="AF277" s="89"/>
      <c r="AG277" s="89"/>
      <c r="AH277" s="88"/>
      <c r="AI277" s="88"/>
      <c r="AJ277" s="88"/>
      <c r="AK277" s="88"/>
      <c r="AL277" s="88"/>
      <c r="AM277" s="88"/>
      <c r="AO277" s="74"/>
      <c r="AP277" s="66"/>
      <c r="AQ277" s="298"/>
      <c r="AR277" s="66"/>
      <c r="AS277" s="66"/>
      <c r="AT277" s="65"/>
    </row>
    <row r="278" spans="1:51" ht="15" customHeight="1" x14ac:dyDescent="0.25">
      <c r="A278" s="77"/>
      <c r="B278" s="77" t="s">
        <v>75</v>
      </c>
      <c r="D278" s="76" t="s">
        <v>74</v>
      </c>
      <c r="Y278" s="62"/>
      <c r="Z278" s="62"/>
      <c r="AA278" s="62"/>
      <c r="AB278" s="62"/>
      <c r="AC278" s="62"/>
      <c r="AD278" s="62"/>
      <c r="AE278" s="62"/>
      <c r="AQ278" s="298"/>
    </row>
    <row r="279" spans="1:51" ht="6" customHeight="1" x14ac:dyDescent="0.25">
      <c r="N279" s="67"/>
      <c r="S279" s="87"/>
      <c r="Y279" s="62"/>
      <c r="Z279" s="62"/>
      <c r="AA279" s="62"/>
      <c r="AB279" s="62"/>
      <c r="AC279" s="62"/>
      <c r="AD279" s="62"/>
      <c r="AE279" s="62"/>
    </row>
    <row r="280" spans="1:51" s="68" customFormat="1" ht="42" customHeight="1" x14ac:dyDescent="0.25">
      <c r="A280" s="69"/>
      <c r="B280" s="69"/>
      <c r="D280" s="555" t="s">
        <v>61</v>
      </c>
      <c r="E280" s="556"/>
      <c r="F280" s="556"/>
      <c r="G280" s="556"/>
      <c r="H280" s="556"/>
      <c r="I280" s="556"/>
      <c r="J280" s="557"/>
      <c r="K280" s="555" t="str">
        <f>+Q242</f>
        <v>VT
(US$)</v>
      </c>
      <c r="L280" s="556"/>
      <c r="M280" s="556"/>
      <c r="N280" s="557"/>
      <c r="O280" s="555" t="str">
        <f>+AD256</f>
        <v>VE
(US$)</v>
      </c>
      <c r="P280" s="556"/>
      <c r="Q280" s="556"/>
      <c r="R280" s="557"/>
      <c r="S280" s="555" t="s">
        <v>73</v>
      </c>
      <c r="T280" s="556"/>
      <c r="U280" s="556"/>
      <c r="V280" s="557"/>
      <c r="AE280" s="69"/>
      <c r="AF280" s="69"/>
      <c r="AG280" s="69"/>
      <c r="AH280" s="69"/>
      <c r="AI280" s="69"/>
      <c r="AJ280" s="69"/>
      <c r="AK280" s="69"/>
      <c r="AL280" s="69"/>
      <c r="AM280" s="69"/>
      <c r="AN280" s="86"/>
      <c r="AO280" s="86"/>
      <c r="AP280" s="85"/>
      <c r="AQ280" s="293"/>
      <c r="AR280" s="84"/>
      <c r="AS280" s="84"/>
      <c r="AT280" s="84"/>
      <c r="AU280" s="84"/>
      <c r="AV280" s="84"/>
      <c r="AW280" s="84"/>
      <c r="AX280" s="84"/>
    </row>
    <row r="281" spans="1:51" ht="15" customHeight="1" x14ac:dyDescent="0.25">
      <c r="D281" s="485" t="str">
        <f>+D243</f>
        <v>Departamento No 104</v>
      </c>
      <c r="E281" s="485"/>
      <c r="F281" s="485"/>
      <c r="G281" s="485"/>
      <c r="H281" s="485"/>
      <c r="I281" s="485"/>
      <c r="J281" s="485"/>
      <c r="K281" s="478">
        <f>+U243</f>
        <v>3300</v>
      </c>
      <c r="L281" s="479"/>
      <c r="M281" s="479"/>
      <c r="N281" s="480"/>
      <c r="O281" s="478">
        <f>+S281-K281</f>
        <v>72200</v>
      </c>
      <c r="P281" s="479"/>
      <c r="Q281" s="479"/>
      <c r="R281" s="480"/>
      <c r="S281" s="468">
        <v>75500</v>
      </c>
      <c r="T281" s="469"/>
      <c r="U281" s="469"/>
      <c r="V281" s="470"/>
      <c r="W281" s="67"/>
      <c r="Y281" s="65"/>
      <c r="AB281" s="62"/>
      <c r="AC281" s="62"/>
      <c r="AD281" s="62"/>
      <c r="AE281" s="62"/>
      <c r="AF281" s="62"/>
      <c r="AG281" s="62"/>
      <c r="AH281" s="62"/>
      <c r="AI281" s="62"/>
      <c r="AL281" s="80"/>
      <c r="AM281" s="80"/>
      <c r="AN281" s="83"/>
      <c r="AO281" s="83"/>
      <c r="AP281" s="78"/>
      <c r="AQ281" s="291" t="s">
        <v>512</v>
      </c>
      <c r="AR281" s="78"/>
      <c r="AS281" s="78"/>
      <c r="AT281" s="78"/>
      <c r="AU281" s="78"/>
      <c r="AV281" s="78"/>
      <c r="AW281" s="78"/>
      <c r="AX281" s="78"/>
    </row>
    <row r="282" spans="1:51" ht="15" customHeight="1" x14ac:dyDescent="0.25">
      <c r="D282" s="485" t="str">
        <f>+D244</f>
        <v>Estacionamiento No 181</v>
      </c>
      <c r="E282" s="485"/>
      <c r="F282" s="485"/>
      <c r="G282" s="485"/>
      <c r="H282" s="485"/>
      <c r="I282" s="485"/>
      <c r="J282" s="485"/>
      <c r="K282" s="478">
        <f>+U244</f>
        <v>600</v>
      </c>
      <c r="L282" s="479"/>
      <c r="M282" s="479"/>
      <c r="N282" s="480"/>
      <c r="O282" s="478">
        <f>+S282-K282</f>
        <v>8400</v>
      </c>
      <c r="P282" s="479"/>
      <c r="Q282" s="479"/>
      <c r="R282" s="480"/>
      <c r="S282" s="468">
        <v>9000</v>
      </c>
      <c r="T282" s="469"/>
      <c r="U282" s="469"/>
      <c r="V282" s="470"/>
      <c r="W282" s="67"/>
      <c r="Y282" s="65"/>
      <c r="AB282" s="62"/>
      <c r="AC282" s="62"/>
      <c r="AD282" s="62"/>
      <c r="AE282" s="62"/>
      <c r="AF282" s="62"/>
      <c r="AG282" s="62"/>
      <c r="AH282" s="62"/>
      <c r="AI282" s="62"/>
      <c r="AL282" s="80"/>
      <c r="AM282" s="80"/>
      <c r="AN282" s="83"/>
      <c r="AO282" s="83"/>
      <c r="AP282" s="78"/>
      <c r="AQ282" s="291"/>
      <c r="AR282" s="78"/>
      <c r="AS282" s="78"/>
      <c r="AT282" s="78"/>
      <c r="AU282" s="78"/>
      <c r="AV282" s="78"/>
      <c r="AW282" s="78"/>
      <c r="AX282" s="78"/>
    </row>
    <row r="283" spans="1:51" ht="15" customHeight="1" x14ac:dyDescent="0.25">
      <c r="D283" s="485" t="str">
        <f>+D245</f>
        <v>Depósito No 06</v>
      </c>
      <c r="E283" s="485"/>
      <c r="F283" s="485"/>
      <c r="G283" s="485"/>
      <c r="H283" s="485"/>
      <c r="I283" s="485"/>
      <c r="J283" s="485"/>
      <c r="K283" s="478">
        <f>+U245</f>
        <v>300</v>
      </c>
      <c r="L283" s="479"/>
      <c r="M283" s="479"/>
      <c r="N283" s="480"/>
      <c r="O283" s="478">
        <f>+S283-K283</f>
        <v>3700</v>
      </c>
      <c r="P283" s="479"/>
      <c r="Q283" s="479"/>
      <c r="R283" s="480"/>
      <c r="S283" s="468">
        <v>4000</v>
      </c>
      <c r="T283" s="469"/>
      <c r="U283" s="469"/>
      <c r="V283" s="470"/>
      <c r="W283" s="67"/>
      <c r="Y283" s="65"/>
      <c r="AB283" s="62"/>
      <c r="AC283" s="62"/>
      <c r="AD283" s="62"/>
      <c r="AE283" s="62"/>
      <c r="AF283" s="62"/>
      <c r="AG283" s="62"/>
      <c r="AH283" s="62"/>
      <c r="AI283" s="62"/>
      <c r="AL283" s="80"/>
      <c r="AM283" s="80"/>
      <c r="AN283" s="83"/>
      <c r="AO283" s="83"/>
      <c r="AP283" s="78"/>
      <c r="AQ283" s="291"/>
      <c r="AR283" s="78"/>
      <c r="AS283" s="78"/>
      <c r="AT283" s="78"/>
      <c r="AU283" s="78"/>
      <c r="AV283" s="78"/>
      <c r="AW283" s="78"/>
      <c r="AX283" s="78"/>
    </row>
    <row r="284" spans="1:51" ht="15" customHeight="1" x14ac:dyDescent="0.25">
      <c r="D284" s="485" t="str">
        <f>+D246</f>
        <v>Estacionamiento No 185</v>
      </c>
      <c r="E284" s="485"/>
      <c r="F284" s="485"/>
      <c r="G284" s="485"/>
      <c r="H284" s="485"/>
      <c r="I284" s="485"/>
      <c r="J284" s="485"/>
      <c r="K284" s="478">
        <f>+U246</f>
        <v>600</v>
      </c>
      <c r="L284" s="479"/>
      <c r="M284" s="479"/>
      <c r="N284" s="480"/>
      <c r="O284" s="478">
        <f>+S284-K284</f>
        <v>8400</v>
      </c>
      <c r="P284" s="479"/>
      <c r="Q284" s="479"/>
      <c r="R284" s="480"/>
      <c r="S284" s="468">
        <v>9000</v>
      </c>
      <c r="T284" s="469"/>
      <c r="U284" s="469"/>
      <c r="V284" s="470"/>
      <c r="W284" s="67"/>
      <c r="Y284" s="65"/>
      <c r="AB284" s="62"/>
      <c r="AC284" s="62"/>
      <c r="AD284" s="62"/>
      <c r="AE284" s="62"/>
      <c r="AF284" s="62"/>
      <c r="AG284" s="62"/>
      <c r="AH284" s="62"/>
      <c r="AI284" s="62"/>
      <c r="AL284" s="80"/>
      <c r="AM284" s="80"/>
      <c r="AN284" s="83"/>
      <c r="AO284" s="83"/>
      <c r="AP284" s="78"/>
      <c r="AQ284" s="291"/>
      <c r="AR284" s="78"/>
      <c r="AS284" s="78"/>
      <c r="AT284" s="78"/>
      <c r="AU284" s="78"/>
      <c r="AV284" s="78"/>
      <c r="AW284" s="78"/>
      <c r="AX284" s="78"/>
    </row>
    <row r="285" spans="1:51" ht="15" customHeight="1" x14ac:dyDescent="0.25">
      <c r="D285" s="485" t="str">
        <f>+D247</f>
        <v>Depósito No 07</v>
      </c>
      <c r="E285" s="485"/>
      <c r="F285" s="485"/>
      <c r="G285" s="485"/>
      <c r="H285" s="485"/>
      <c r="I285" s="485"/>
      <c r="J285" s="485"/>
      <c r="K285" s="478">
        <f>+U247</f>
        <v>200</v>
      </c>
      <c r="L285" s="479"/>
      <c r="M285" s="479"/>
      <c r="N285" s="480"/>
      <c r="O285" s="478">
        <f>+S285-K285</f>
        <v>3800</v>
      </c>
      <c r="P285" s="479"/>
      <c r="Q285" s="479"/>
      <c r="R285" s="480"/>
      <c r="S285" s="468">
        <v>4000</v>
      </c>
      <c r="T285" s="469"/>
      <c r="U285" s="469"/>
      <c r="V285" s="470"/>
      <c r="W285" s="67"/>
      <c r="Y285" s="65"/>
      <c r="AB285" s="62"/>
      <c r="AC285" s="62"/>
      <c r="AD285" s="62"/>
      <c r="AE285" s="62"/>
      <c r="AF285" s="62"/>
      <c r="AG285" s="62"/>
      <c r="AH285" s="62"/>
      <c r="AI285" s="62"/>
      <c r="AL285" s="80"/>
      <c r="AM285" s="80"/>
      <c r="AN285" s="83"/>
      <c r="AO285" s="83"/>
      <c r="AP285" s="78"/>
      <c r="AQ285" s="291"/>
      <c r="AR285" s="78"/>
      <c r="AS285" s="78"/>
      <c r="AT285" s="78"/>
      <c r="AU285" s="78"/>
      <c r="AV285" s="78"/>
      <c r="AW285" s="78"/>
      <c r="AX285" s="78"/>
    </row>
    <row r="286" spans="1:51" ht="15" hidden="1" customHeight="1" outlineLevel="1" x14ac:dyDescent="0.25">
      <c r="D286" s="262"/>
      <c r="E286" s="263"/>
      <c r="F286" s="263"/>
      <c r="G286" s="263"/>
      <c r="H286" s="263"/>
      <c r="I286" s="263"/>
      <c r="J286" s="264"/>
      <c r="K286" s="309"/>
      <c r="L286" s="310"/>
      <c r="M286" s="310"/>
      <c r="N286" s="311"/>
      <c r="O286" s="309"/>
      <c r="P286" s="310"/>
      <c r="Q286" s="310"/>
      <c r="R286" s="311"/>
      <c r="S286" s="275"/>
      <c r="T286" s="276"/>
      <c r="U286" s="276"/>
      <c r="V286" s="277"/>
      <c r="W286" s="67"/>
      <c r="Y286" s="65"/>
      <c r="AB286" s="62"/>
      <c r="AC286" s="62"/>
      <c r="AD286" s="62"/>
      <c r="AE286" s="62"/>
      <c r="AF286" s="62"/>
      <c r="AG286" s="62"/>
      <c r="AH286" s="62"/>
      <c r="AI286" s="62"/>
      <c r="AL286" s="80"/>
      <c r="AM286" s="80"/>
      <c r="AN286" s="83"/>
      <c r="AO286" s="83"/>
      <c r="AP286" s="78"/>
      <c r="AQ286" s="291"/>
      <c r="AR286" s="78"/>
      <c r="AS286" s="78"/>
      <c r="AT286" s="78"/>
      <c r="AU286" s="78"/>
      <c r="AV286" s="78"/>
      <c r="AW286" s="78"/>
      <c r="AX286" s="78"/>
    </row>
    <row r="287" spans="1:51" ht="15" customHeight="1" collapsed="1" x14ac:dyDescent="0.25">
      <c r="D287" s="595" t="s">
        <v>58</v>
      </c>
      <c r="E287" s="596"/>
      <c r="F287" s="596"/>
      <c r="G287" s="596"/>
      <c r="H287" s="596"/>
      <c r="I287" s="596"/>
      <c r="J287" s="597"/>
      <c r="K287" s="598">
        <f>SUM(K281:N286)</f>
        <v>5000</v>
      </c>
      <c r="L287" s="599"/>
      <c r="M287" s="599"/>
      <c r="N287" s="600"/>
      <c r="O287" s="598">
        <f>SUM(O281:R286)</f>
        <v>96500</v>
      </c>
      <c r="P287" s="599"/>
      <c r="Q287" s="599"/>
      <c r="R287" s="600"/>
      <c r="S287" s="598">
        <f>SUM(S281:V286)</f>
        <v>101500</v>
      </c>
      <c r="T287" s="599"/>
      <c r="U287" s="599"/>
      <c r="V287" s="600"/>
      <c r="W287" s="67"/>
      <c r="Y287" s="65"/>
      <c r="AA287" s="65"/>
      <c r="AB287" s="65"/>
      <c r="AC287" s="65"/>
      <c r="AE287" s="62"/>
      <c r="AF287" s="62"/>
      <c r="AG287" s="62"/>
      <c r="AH287" s="62"/>
      <c r="AI287" s="62"/>
      <c r="AJ287" s="62"/>
      <c r="AK287" s="62"/>
      <c r="AL287" s="83"/>
      <c r="AM287" s="83"/>
      <c r="AN287" s="82"/>
      <c r="AO287" s="82"/>
      <c r="AP287" s="78"/>
      <c r="AR287" s="78"/>
      <c r="AS287" s="78"/>
      <c r="AT287" s="78"/>
      <c r="AU287" s="78"/>
      <c r="AV287" s="78"/>
      <c r="AW287" s="78"/>
      <c r="AX287" s="78"/>
    </row>
    <row r="288" spans="1:51" ht="6" customHeight="1" x14ac:dyDescent="0.25">
      <c r="C288" s="62"/>
      <c r="D288" s="81"/>
      <c r="M288" s="81"/>
      <c r="N288" s="67"/>
      <c r="Q288" s="535"/>
      <c r="R288" s="535"/>
      <c r="S288" s="535"/>
      <c r="T288" s="535"/>
      <c r="Y288" s="62"/>
      <c r="Z288" s="62"/>
      <c r="AA288" s="62"/>
      <c r="AB288" s="62"/>
      <c r="AC288" s="62"/>
      <c r="AD288" s="62"/>
      <c r="AE288" s="62"/>
      <c r="AR288" s="78"/>
      <c r="AS288" s="78"/>
      <c r="AT288" s="78"/>
      <c r="AU288" s="78"/>
      <c r="AV288" s="78"/>
      <c r="AW288" s="78"/>
      <c r="AX288" s="78"/>
      <c r="AY288" s="78"/>
    </row>
    <row r="289" spans="1:51" ht="15" customHeight="1" x14ac:dyDescent="0.25">
      <c r="D289" s="61" t="s">
        <v>57</v>
      </c>
      <c r="F289" s="61" t="str">
        <f>CONCATENATE(NumLetras(S287),"DÓLARES AMERICANOS")</f>
        <v xml:space="preserve"> CIENTO UN MIL QUINIENTOS CON 00/100 DÓLARES AMERICANOS</v>
      </c>
      <c r="AO289" s="80"/>
      <c r="AQ289" s="300"/>
      <c r="AR289" s="78"/>
      <c r="AS289" s="78"/>
      <c r="AT289" s="78"/>
      <c r="AU289" s="78"/>
      <c r="AV289" s="78"/>
      <c r="AW289" s="78"/>
      <c r="AX289" s="78"/>
      <c r="AY289" s="78"/>
    </row>
    <row r="290" spans="1:51" ht="15" customHeight="1" x14ac:dyDescent="0.25">
      <c r="Y290" s="62"/>
      <c r="Z290" s="62"/>
      <c r="AA290" s="62"/>
      <c r="AB290" s="62"/>
      <c r="AC290" s="62"/>
      <c r="AD290" s="62"/>
      <c r="AE290" s="62"/>
      <c r="AO290" s="79"/>
      <c r="AR290" s="78"/>
      <c r="AS290" s="78"/>
      <c r="AT290" s="78"/>
      <c r="AU290" s="78"/>
      <c r="AV290" s="78"/>
      <c r="AW290" s="78"/>
      <c r="AX290" s="78"/>
      <c r="AY290" s="78"/>
    </row>
    <row r="291" spans="1:51" ht="15" customHeight="1" x14ac:dyDescent="0.25">
      <c r="A291" s="77"/>
      <c r="B291" s="77" t="s">
        <v>72</v>
      </c>
      <c r="D291" s="76" t="s">
        <v>71</v>
      </c>
      <c r="N291" s="75"/>
      <c r="Y291" s="62"/>
      <c r="Z291" s="62"/>
      <c r="AA291" s="62"/>
      <c r="AB291" s="62"/>
      <c r="AC291" s="62"/>
      <c r="AD291" s="62"/>
      <c r="AE291" s="62"/>
      <c r="AO291" s="74"/>
    </row>
    <row r="292" spans="1:51" ht="6" customHeight="1" x14ac:dyDescent="0.25">
      <c r="D292" s="62"/>
      <c r="Y292" s="62"/>
      <c r="Z292" s="62"/>
      <c r="AA292" s="62"/>
      <c r="AB292" s="62"/>
      <c r="AC292" s="62"/>
      <c r="AD292" s="62"/>
      <c r="AE292" s="62"/>
      <c r="AQ292" s="301"/>
    </row>
    <row r="293" spans="1:51" ht="15" customHeight="1" x14ac:dyDescent="0.25">
      <c r="D293" s="522" t="s">
        <v>70</v>
      </c>
      <c r="E293" s="523"/>
      <c r="F293" s="523"/>
      <c r="G293" s="523"/>
      <c r="H293" s="523"/>
      <c r="I293" s="523"/>
      <c r="J293" s="523"/>
      <c r="K293" s="523"/>
      <c r="L293" s="523"/>
      <c r="M293" s="523"/>
      <c r="N293" s="523"/>
      <c r="O293" s="523"/>
      <c r="P293" s="523"/>
      <c r="Q293" s="523"/>
      <c r="R293" s="523"/>
      <c r="S293" s="523"/>
      <c r="T293" s="524"/>
      <c r="Z293" s="62"/>
      <c r="AA293" s="62"/>
      <c r="AB293" s="62"/>
      <c r="AQ293" s="302"/>
    </row>
    <row r="294" spans="1:51" ht="15" customHeight="1" x14ac:dyDescent="0.25">
      <c r="D294" s="590" t="s">
        <v>69</v>
      </c>
      <c r="E294" s="591"/>
      <c r="F294" s="591"/>
      <c r="G294" s="591"/>
      <c r="H294" s="591"/>
      <c r="I294" s="591"/>
      <c r="J294" s="591"/>
      <c r="K294" s="591"/>
      <c r="L294" s="591"/>
      <c r="M294" s="591"/>
      <c r="N294" s="591"/>
      <c r="O294" s="592"/>
      <c r="P294" s="593">
        <v>2</v>
      </c>
      <c r="Q294" s="594"/>
      <c r="R294" s="594"/>
      <c r="S294" s="588" t="s">
        <v>64</v>
      </c>
      <c r="T294" s="589"/>
      <c r="Z294" s="62"/>
      <c r="AA294" s="62"/>
      <c r="AB294" s="62"/>
      <c r="AQ294" s="302"/>
    </row>
    <row r="295" spans="1:51" ht="15" customHeight="1" x14ac:dyDescent="0.25">
      <c r="D295" s="590" t="s">
        <v>68</v>
      </c>
      <c r="E295" s="591"/>
      <c r="F295" s="591"/>
      <c r="G295" s="591"/>
      <c r="H295" s="591"/>
      <c r="I295" s="591"/>
      <c r="J295" s="591"/>
      <c r="K295" s="591"/>
      <c r="L295" s="591"/>
      <c r="M295" s="591"/>
      <c r="N295" s="591"/>
      <c r="O295" s="592"/>
      <c r="P295" s="593">
        <v>0.2</v>
      </c>
      <c r="Q295" s="594"/>
      <c r="R295" s="594"/>
      <c r="S295" s="588" t="s">
        <v>64</v>
      </c>
      <c r="T295" s="589"/>
      <c r="Z295" s="62"/>
      <c r="AA295" s="62"/>
      <c r="AB295" s="62"/>
      <c r="AQ295" s="302"/>
    </row>
    <row r="296" spans="1:51" ht="15" customHeight="1" x14ac:dyDescent="0.25">
      <c r="D296" s="590" t="s">
        <v>67</v>
      </c>
      <c r="E296" s="591"/>
      <c r="F296" s="591"/>
      <c r="G296" s="591"/>
      <c r="H296" s="591"/>
      <c r="I296" s="591"/>
      <c r="J296" s="591"/>
      <c r="K296" s="591"/>
      <c r="L296" s="591"/>
      <c r="M296" s="591"/>
      <c r="N296" s="591"/>
      <c r="O296" s="592"/>
      <c r="P296" s="593">
        <v>5</v>
      </c>
      <c r="Q296" s="594"/>
      <c r="R296" s="594"/>
      <c r="S296" s="588" t="s">
        <v>64</v>
      </c>
      <c r="T296" s="589"/>
      <c r="Z296" s="62"/>
      <c r="AA296" s="62"/>
      <c r="AB296" s="62"/>
      <c r="AO296" s="73"/>
      <c r="AQ296" s="303"/>
    </row>
    <row r="297" spans="1:51" ht="15" customHeight="1" x14ac:dyDescent="0.25">
      <c r="D297" s="590" t="s">
        <v>66</v>
      </c>
      <c r="E297" s="591"/>
      <c r="F297" s="591"/>
      <c r="G297" s="591"/>
      <c r="H297" s="591"/>
      <c r="I297" s="591"/>
      <c r="J297" s="591"/>
      <c r="K297" s="591"/>
      <c r="L297" s="591"/>
      <c r="M297" s="591"/>
      <c r="N297" s="591"/>
      <c r="O297" s="592"/>
      <c r="P297" s="593">
        <v>12.8</v>
      </c>
      <c r="Q297" s="594"/>
      <c r="R297" s="594"/>
      <c r="S297" s="588" t="s">
        <v>64</v>
      </c>
      <c r="T297" s="589"/>
      <c r="Z297" s="62"/>
      <c r="AA297" s="62"/>
      <c r="AB297" s="62"/>
      <c r="AO297" s="73"/>
      <c r="AQ297" s="303"/>
    </row>
    <row r="298" spans="1:51" ht="15" customHeight="1" x14ac:dyDescent="0.25">
      <c r="D298" s="522" t="s">
        <v>65</v>
      </c>
      <c r="E298" s="523"/>
      <c r="F298" s="523"/>
      <c r="G298" s="523"/>
      <c r="H298" s="523"/>
      <c r="I298" s="523"/>
      <c r="J298" s="523"/>
      <c r="K298" s="523"/>
      <c r="L298" s="523"/>
      <c r="M298" s="523"/>
      <c r="N298" s="523"/>
      <c r="O298" s="524"/>
      <c r="P298" s="605">
        <f>SUM(P294:R297)</f>
        <v>20</v>
      </c>
      <c r="Q298" s="606"/>
      <c r="R298" s="606"/>
      <c r="S298" s="523" t="s">
        <v>64</v>
      </c>
      <c r="T298" s="524"/>
      <c r="Z298" s="62"/>
      <c r="AA298" s="62"/>
      <c r="AB298" s="62"/>
      <c r="AQ298" s="303"/>
    </row>
    <row r="299" spans="1:51" s="70" customFormat="1" ht="15" customHeight="1" x14ac:dyDescent="0.25">
      <c r="D299" s="607" t="s">
        <v>63</v>
      </c>
      <c r="E299" s="607"/>
      <c r="F299" s="607"/>
      <c r="G299" s="608" t="s">
        <v>62</v>
      </c>
      <c r="H299" s="608"/>
      <c r="I299" s="608"/>
      <c r="J299" s="608"/>
      <c r="K299" s="608"/>
      <c r="L299" s="608"/>
      <c r="M299" s="608"/>
      <c r="N299" s="608"/>
      <c r="O299" s="608"/>
      <c r="P299" s="608"/>
      <c r="Q299" s="608"/>
      <c r="R299" s="608"/>
      <c r="S299" s="608"/>
      <c r="T299" s="608"/>
      <c r="U299" s="608"/>
      <c r="V299" s="608"/>
      <c r="W299" s="608"/>
      <c r="X299" s="608"/>
      <c r="Y299" s="608"/>
      <c r="Z299" s="608"/>
      <c r="AA299" s="608"/>
      <c r="AB299" s="608"/>
      <c r="AC299" s="608"/>
      <c r="AD299" s="608"/>
      <c r="AE299" s="608"/>
      <c r="AF299" s="608"/>
      <c r="AG299" s="608"/>
      <c r="AH299" s="608"/>
      <c r="AI299" s="608"/>
      <c r="AJ299" s="608"/>
      <c r="AK299" s="608"/>
      <c r="AL299" s="72"/>
      <c r="AM299" s="72"/>
      <c r="AO299" s="71"/>
      <c r="AQ299" s="343"/>
    </row>
    <row r="300" spans="1:51" ht="6" customHeight="1" x14ac:dyDescent="0.25"/>
    <row r="301" spans="1:51" s="68" customFormat="1" ht="42" customHeight="1" x14ac:dyDescent="0.25">
      <c r="A301" s="69"/>
      <c r="B301" s="69"/>
      <c r="D301" s="555" t="s">
        <v>61</v>
      </c>
      <c r="E301" s="556"/>
      <c r="F301" s="556"/>
      <c r="G301" s="556"/>
      <c r="H301" s="556"/>
      <c r="I301" s="556"/>
      <c r="J301" s="557"/>
      <c r="K301" s="555" t="str">
        <f>+S280</f>
        <v>VC
(US$)</v>
      </c>
      <c r="L301" s="556"/>
      <c r="M301" s="556"/>
      <c r="N301" s="557"/>
      <c r="O301" s="555" t="s">
        <v>60</v>
      </c>
      <c r="P301" s="556"/>
      <c r="Q301" s="556"/>
      <c r="R301" s="557"/>
      <c r="S301" s="555" t="s">
        <v>59</v>
      </c>
      <c r="T301" s="556"/>
      <c r="U301" s="556"/>
      <c r="V301" s="557"/>
      <c r="AE301" s="69"/>
      <c r="AF301" s="69"/>
      <c r="AG301" s="69"/>
      <c r="AH301" s="69"/>
      <c r="AI301" s="69"/>
      <c r="AJ301" s="69"/>
      <c r="AK301" s="69"/>
      <c r="AL301" s="69"/>
      <c r="AM301" s="69"/>
      <c r="AN301" s="69"/>
      <c r="AQ301" s="343"/>
    </row>
    <row r="302" spans="1:51" ht="15" customHeight="1" x14ac:dyDescent="0.25">
      <c r="D302" s="485" t="str">
        <f>+D281</f>
        <v>Departamento No 104</v>
      </c>
      <c r="E302" s="485"/>
      <c r="F302" s="485"/>
      <c r="G302" s="485"/>
      <c r="H302" s="485"/>
      <c r="I302" s="485"/>
      <c r="J302" s="485"/>
      <c r="K302" s="486">
        <f>+S281</f>
        <v>75500</v>
      </c>
      <c r="L302" s="487"/>
      <c r="M302" s="487"/>
      <c r="N302" s="488"/>
      <c r="O302" s="489">
        <v>0.8</v>
      </c>
      <c r="P302" s="490"/>
      <c r="Q302" s="490"/>
      <c r="R302" s="491"/>
      <c r="S302" s="486">
        <f>ROUND(+K302*O302,-2)</f>
        <v>60400</v>
      </c>
      <c r="T302" s="487"/>
      <c r="U302" s="487"/>
      <c r="V302" s="488"/>
      <c r="W302" s="67"/>
      <c r="Z302" s="65"/>
      <c r="AA302" s="65"/>
      <c r="AB302" s="65"/>
      <c r="AC302" s="65"/>
      <c r="AE302" s="62"/>
      <c r="AF302" s="62"/>
      <c r="AQ302" s="343" t="s">
        <v>513</v>
      </c>
    </row>
    <row r="303" spans="1:51" ht="15" customHeight="1" x14ac:dyDescent="0.25">
      <c r="D303" s="485" t="str">
        <f>+D282</f>
        <v>Estacionamiento No 181</v>
      </c>
      <c r="E303" s="485"/>
      <c r="F303" s="485"/>
      <c r="G303" s="485"/>
      <c r="H303" s="485"/>
      <c r="I303" s="485"/>
      <c r="J303" s="485"/>
      <c r="K303" s="486">
        <f>+S282</f>
        <v>9000</v>
      </c>
      <c r="L303" s="487"/>
      <c r="M303" s="487"/>
      <c r="N303" s="488"/>
      <c r="O303" s="489">
        <v>0.8</v>
      </c>
      <c r="P303" s="490"/>
      <c r="Q303" s="490"/>
      <c r="R303" s="491"/>
      <c r="S303" s="486">
        <f>ROUND(+K303*O303,-2)</f>
        <v>7200</v>
      </c>
      <c r="T303" s="487"/>
      <c r="U303" s="487"/>
      <c r="V303" s="488"/>
      <c r="W303" s="67"/>
      <c r="Z303" s="65"/>
      <c r="AA303" s="65"/>
      <c r="AB303" s="65"/>
      <c r="AC303" s="65"/>
      <c r="AE303" s="62"/>
      <c r="AF303" s="62"/>
    </row>
    <row r="304" spans="1:51" ht="15" customHeight="1" x14ac:dyDescent="0.25">
      <c r="D304" s="485" t="str">
        <f>+D283</f>
        <v>Depósito No 06</v>
      </c>
      <c r="E304" s="485"/>
      <c r="F304" s="485"/>
      <c r="G304" s="485"/>
      <c r="H304" s="485"/>
      <c r="I304" s="485"/>
      <c r="J304" s="485"/>
      <c r="K304" s="486">
        <f>+S283</f>
        <v>4000</v>
      </c>
      <c r="L304" s="487"/>
      <c r="M304" s="487"/>
      <c r="N304" s="488"/>
      <c r="O304" s="489">
        <v>0.8</v>
      </c>
      <c r="P304" s="490"/>
      <c r="Q304" s="490"/>
      <c r="R304" s="491"/>
      <c r="S304" s="486">
        <f>ROUND(+K304*O304,-2)</f>
        <v>3200</v>
      </c>
      <c r="T304" s="487"/>
      <c r="U304" s="487"/>
      <c r="V304" s="488"/>
      <c r="W304" s="67"/>
      <c r="Z304" s="65"/>
      <c r="AA304" s="65"/>
      <c r="AB304" s="65"/>
      <c r="AC304" s="65"/>
      <c r="AE304" s="62"/>
      <c r="AF304" s="62"/>
    </row>
    <row r="305" spans="1:43" ht="15" customHeight="1" x14ac:dyDescent="0.25">
      <c r="D305" s="485" t="str">
        <f>+D284</f>
        <v>Estacionamiento No 185</v>
      </c>
      <c r="E305" s="485"/>
      <c r="F305" s="485"/>
      <c r="G305" s="485"/>
      <c r="H305" s="485"/>
      <c r="I305" s="485"/>
      <c r="J305" s="485"/>
      <c r="K305" s="486">
        <f>+S284</f>
        <v>9000</v>
      </c>
      <c r="L305" s="487"/>
      <c r="M305" s="487"/>
      <c r="N305" s="488"/>
      <c r="O305" s="489">
        <v>0.8</v>
      </c>
      <c r="P305" s="490"/>
      <c r="Q305" s="490"/>
      <c r="R305" s="491"/>
      <c r="S305" s="486">
        <f>ROUND(+K305*O305,-2)</f>
        <v>7200</v>
      </c>
      <c r="T305" s="487"/>
      <c r="U305" s="487"/>
      <c r="V305" s="488"/>
      <c r="W305" s="67"/>
      <c r="Z305" s="65"/>
      <c r="AA305" s="65"/>
      <c r="AB305" s="65"/>
      <c r="AC305" s="65"/>
      <c r="AE305" s="62"/>
      <c r="AF305" s="62"/>
    </row>
    <row r="306" spans="1:43" ht="15" customHeight="1" x14ac:dyDescent="0.25">
      <c r="D306" s="485" t="str">
        <f>+D285</f>
        <v>Depósito No 07</v>
      </c>
      <c r="E306" s="485"/>
      <c r="F306" s="485"/>
      <c r="G306" s="485"/>
      <c r="H306" s="485"/>
      <c r="I306" s="485"/>
      <c r="J306" s="485"/>
      <c r="K306" s="486">
        <f>+S285</f>
        <v>4000</v>
      </c>
      <c r="L306" s="487"/>
      <c r="M306" s="487"/>
      <c r="N306" s="488"/>
      <c r="O306" s="489">
        <v>0.8</v>
      </c>
      <c r="P306" s="490"/>
      <c r="Q306" s="490"/>
      <c r="R306" s="491"/>
      <c r="S306" s="486">
        <f>ROUND(+K306*O306,-2)</f>
        <v>3200</v>
      </c>
      <c r="T306" s="487"/>
      <c r="U306" s="487"/>
      <c r="V306" s="488"/>
      <c r="W306" s="67"/>
      <c r="Z306" s="65"/>
      <c r="AA306" s="65"/>
      <c r="AB306" s="65"/>
      <c r="AC306" s="65"/>
      <c r="AE306" s="62"/>
      <c r="AF306" s="62"/>
    </row>
    <row r="307" spans="1:43" ht="15" hidden="1" customHeight="1" outlineLevel="1" x14ac:dyDescent="0.25">
      <c r="D307" s="262"/>
      <c r="E307" s="263"/>
      <c r="F307" s="263"/>
      <c r="G307" s="263"/>
      <c r="H307" s="263"/>
      <c r="I307" s="263"/>
      <c r="J307" s="264"/>
      <c r="K307" s="306"/>
      <c r="L307" s="307"/>
      <c r="M307" s="307"/>
      <c r="N307" s="308"/>
      <c r="O307" s="269"/>
      <c r="P307" s="270"/>
      <c r="Q307" s="270"/>
      <c r="R307" s="271"/>
      <c r="S307" s="306"/>
      <c r="T307" s="307"/>
      <c r="U307" s="307"/>
      <c r="V307" s="308"/>
      <c r="W307" s="67"/>
      <c r="Z307" s="65"/>
      <c r="AA307" s="65"/>
      <c r="AB307" s="65"/>
      <c r="AC307" s="65"/>
      <c r="AE307" s="62"/>
      <c r="AF307" s="62"/>
    </row>
    <row r="308" spans="1:43" ht="15" customHeight="1" collapsed="1" x14ac:dyDescent="0.25">
      <c r="D308" s="595" t="s">
        <v>58</v>
      </c>
      <c r="E308" s="596"/>
      <c r="F308" s="596"/>
      <c r="G308" s="596"/>
      <c r="H308" s="596"/>
      <c r="I308" s="596"/>
      <c r="J308" s="597"/>
      <c r="K308" s="613">
        <f>SUM(K302:N307)</f>
        <v>101500</v>
      </c>
      <c r="L308" s="614"/>
      <c r="M308" s="614"/>
      <c r="N308" s="615"/>
      <c r="O308" s="616"/>
      <c r="P308" s="617"/>
      <c r="Q308" s="617"/>
      <c r="R308" s="618"/>
      <c r="S308" s="613">
        <f>SUM(S302:V307)</f>
        <v>81200</v>
      </c>
      <c r="T308" s="614"/>
      <c r="U308" s="614"/>
      <c r="V308" s="615"/>
      <c r="W308" s="67"/>
      <c r="Z308" s="66"/>
      <c r="AA308" s="66"/>
      <c r="AB308" s="66"/>
      <c r="AC308" s="65"/>
      <c r="AE308" s="62"/>
      <c r="AF308" s="62"/>
    </row>
    <row r="309" spans="1:43" ht="6" customHeight="1" x14ac:dyDescent="0.25">
      <c r="Q309" s="602"/>
      <c r="R309" s="602"/>
      <c r="S309" s="602"/>
      <c r="T309" s="602"/>
    </row>
    <row r="310" spans="1:43" ht="15" customHeight="1" x14ac:dyDescent="0.25">
      <c r="D310" s="61" t="s">
        <v>57</v>
      </c>
      <c r="F310" s="61" t="str">
        <f>CONCATENATE(NumLetras(S308),"DÓLARES AMERICANOS")</f>
        <v xml:space="preserve"> OCHENTA Y UN MIL DOSCIENTOS CON 00/100 DÓLARES AMERICANOS</v>
      </c>
    </row>
    <row r="312" spans="1:43" ht="15" customHeight="1" x14ac:dyDescent="0.25">
      <c r="D312" s="62" t="s">
        <v>56</v>
      </c>
      <c r="E312" s="62"/>
      <c r="F312" s="62"/>
      <c r="G312" s="62"/>
      <c r="H312" s="62"/>
      <c r="I312" s="62"/>
      <c r="J312" s="62"/>
      <c r="K312" s="62"/>
      <c r="L312" s="603">
        <f>+E57</f>
        <v>3.5</v>
      </c>
      <c r="M312" s="603"/>
      <c r="N312" s="603"/>
      <c r="O312" s="62" t="s">
        <v>55</v>
      </c>
      <c r="AQ312" s="304"/>
    </row>
    <row r="313" spans="1:43" ht="15" customHeight="1" x14ac:dyDescent="0.25">
      <c r="D313" s="62" t="s">
        <v>54</v>
      </c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AM313" s="61" t="s">
        <v>520</v>
      </c>
    </row>
    <row r="314" spans="1:43" ht="15" customHeight="1" x14ac:dyDescent="0.25">
      <c r="AQ314" s="293"/>
    </row>
    <row r="315" spans="1:43" ht="15" customHeight="1" x14ac:dyDescent="0.25">
      <c r="AQ315" s="291"/>
    </row>
    <row r="317" spans="1:43" s="62" customFormat="1" x14ac:dyDescent="0.25">
      <c r="AP317" s="61"/>
      <c r="AQ317" s="343"/>
    </row>
    <row r="318" spans="1:43" s="62" customFormat="1" x14ac:dyDescent="0.25">
      <c r="AQ318" s="343"/>
    </row>
    <row r="319" spans="1:43" s="64" customFormat="1" ht="15" customHeight="1" x14ac:dyDescent="0.25">
      <c r="AQ319" s="343"/>
    </row>
    <row r="320" spans="1:43" ht="15" customHeight="1" x14ac:dyDescent="0.25">
      <c r="A320" s="62"/>
      <c r="B320" s="6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3"/>
      <c r="W320" s="62"/>
      <c r="X320" s="62"/>
      <c r="Y320" s="604">
        <f ca="1">+J73</f>
        <v>44110</v>
      </c>
      <c r="Z320" s="604"/>
      <c r="AA320" s="604"/>
      <c r="AB320" s="604"/>
      <c r="AC320" s="604"/>
      <c r="AD320" s="604"/>
      <c r="AE320" s="604"/>
      <c r="AF320" s="604"/>
      <c r="AG320" s="604"/>
      <c r="AH320" s="604"/>
      <c r="AI320" s="604"/>
      <c r="AJ320" s="604"/>
      <c r="AK320" s="604"/>
    </row>
    <row r="326" spans="43:43" ht="15" customHeight="1" x14ac:dyDescent="0.25">
      <c r="AQ326" s="305"/>
    </row>
    <row r="327" spans="43:43" ht="15" customHeight="1" x14ac:dyDescent="0.25">
      <c r="AQ327" s="291"/>
    </row>
    <row r="328" spans="43:43" ht="15" customHeight="1" x14ac:dyDescent="0.25">
      <c r="AQ328" s="291"/>
    </row>
    <row r="330" spans="43:43" ht="15" customHeight="1" x14ac:dyDescent="0.25">
      <c r="AQ330" s="291"/>
    </row>
  </sheetData>
  <mergeCells count="565">
    <mergeCell ref="L92:AK92"/>
    <mergeCell ref="D146:J146"/>
    <mergeCell ref="L146:AK146"/>
    <mergeCell ref="B43:H43"/>
    <mergeCell ref="I43:K43"/>
    <mergeCell ref="L43:O43"/>
    <mergeCell ref="P43:R43"/>
    <mergeCell ref="S43:U43"/>
    <mergeCell ref="V43:Y43"/>
    <mergeCell ref="Z43:AC43"/>
    <mergeCell ref="AD43:AG43"/>
    <mergeCell ref="AH43:AK43"/>
    <mergeCell ref="D304:J304"/>
    <mergeCell ref="K304:N304"/>
    <mergeCell ref="O304:R304"/>
    <mergeCell ref="S304:V304"/>
    <mergeCell ref="D135:J135"/>
    <mergeCell ref="K135:N135"/>
    <mergeCell ref="P135:S135"/>
    <mergeCell ref="D259:J259"/>
    <mergeCell ref="K259:M259"/>
    <mergeCell ref="N259:P259"/>
    <mergeCell ref="Q259:S259"/>
    <mergeCell ref="T259:W259"/>
    <mergeCell ref="D272:J272"/>
    <mergeCell ref="K272:M272"/>
    <mergeCell ref="N272:P272"/>
    <mergeCell ref="Q272:S272"/>
    <mergeCell ref="T272:W272"/>
    <mergeCell ref="D159:AK159"/>
    <mergeCell ref="E164:J164"/>
    <mergeCell ref="M164:AK164"/>
    <mergeCell ref="V51:Y51"/>
    <mergeCell ref="Z51:AC51"/>
    <mergeCell ref="AD51:AG51"/>
    <mergeCell ref="AH51:AK51"/>
    <mergeCell ref="D158:AK158"/>
    <mergeCell ref="E163:J163"/>
    <mergeCell ref="M163:AK163"/>
    <mergeCell ref="D91:J91"/>
    <mergeCell ref="L91:AK91"/>
    <mergeCell ref="D145:J145"/>
    <mergeCell ref="L145:AK145"/>
    <mergeCell ref="D124:J124"/>
    <mergeCell ref="K124:O124"/>
    <mergeCell ref="P124:S124"/>
    <mergeCell ref="B52:H52"/>
    <mergeCell ref="I52:K52"/>
    <mergeCell ref="L52:O52"/>
    <mergeCell ref="P52:R52"/>
    <mergeCell ref="S52:U52"/>
    <mergeCell ref="V52:Y52"/>
    <mergeCell ref="Z52:AC52"/>
    <mergeCell ref="AD52:AG52"/>
    <mergeCell ref="AH52:AK52"/>
    <mergeCell ref="D92:J92"/>
    <mergeCell ref="B42:H42"/>
    <mergeCell ref="I42:K42"/>
    <mergeCell ref="L42:O42"/>
    <mergeCell ref="P42:R42"/>
    <mergeCell ref="S42:U42"/>
    <mergeCell ref="V42:Y42"/>
    <mergeCell ref="Z42:AC42"/>
    <mergeCell ref="AD42:AG42"/>
    <mergeCell ref="AH42:AK42"/>
    <mergeCell ref="AB258:AC258"/>
    <mergeCell ref="AD258:AG258"/>
    <mergeCell ref="AH258:AK258"/>
    <mergeCell ref="D271:J271"/>
    <mergeCell ref="K271:M271"/>
    <mergeCell ref="N271:P271"/>
    <mergeCell ref="Q271:S271"/>
    <mergeCell ref="T271:W271"/>
    <mergeCell ref="X271:AA271"/>
    <mergeCell ref="AB271:AE271"/>
    <mergeCell ref="AF271:AI271"/>
    <mergeCell ref="X259:AA259"/>
    <mergeCell ref="AB259:AC259"/>
    <mergeCell ref="AD259:AG259"/>
    <mergeCell ref="AH259:AK259"/>
    <mergeCell ref="D303:J303"/>
    <mergeCell ref="K303:N303"/>
    <mergeCell ref="O303:R303"/>
    <mergeCell ref="S303:V303"/>
    <mergeCell ref="D134:J134"/>
    <mergeCell ref="K134:N134"/>
    <mergeCell ref="P134:S134"/>
    <mergeCell ref="D258:J258"/>
    <mergeCell ref="K258:M258"/>
    <mergeCell ref="N258:P258"/>
    <mergeCell ref="Q258:S258"/>
    <mergeCell ref="T258:W258"/>
    <mergeCell ref="D245:J245"/>
    <mergeCell ref="K245:M245"/>
    <mergeCell ref="N245:P245"/>
    <mergeCell ref="Q245:T245"/>
    <mergeCell ref="U245:X245"/>
    <mergeCell ref="D283:J283"/>
    <mergeCell ref="K283:N283"/>
    <mergeCell ref="O283:R283"/>
    <mergeCell ref="S283:V283"/>
    <mergeCell ref="X272:AA272"/>
    <mergeCell ref="D244:J244"/>
    <mergeCell ref="K244:M244"/>
    <mergeCell ref="N244:P244"/>
    <mergeCell ref="Q244:T244"/>
    <mergeCell ref="U244:X244"/>
    <mergeCell ref="D282:J282"/>
    <mergeCell ref="K282:N282"/>
    <mergeCell ref="O282:R282"/>
    <mergeCell ref="S282:V282"/>
    <mergeCell ref="X258:AA258"/>
    <mergeCell ref="D254:T254"/>
    <mergeCell ref="D280:J280"/>
    <mergeCell ref="D281:J281"/>
    <mergeCell ref="Q270:S270"/>
    <mergeCell ref="T270:W270"/>
    <mergeCell ref="K280:N280"/>
    <mergeCell ref="S301:V301"/>
    <mergeCell ref="D302:J302"/>
    <mergeCell ref="K308:N308"/>
    <mergeCell ref="O308:R308"/>
    <mergeCell ref="S308:V308"/>
    <mergeCell ref="D308:J308"/>
    <mergeCell ref="D263:J263"/>
    <mergeCell ref="K263:M263"/>
    <mergeCell ref="N263:P263"/>
    <mergeCell ref="Q263:S263"/>
    <mergeCell ref="T263:W263"/>
    <mergeCell ref="K269:M269"/>
    <mergeCell ref="N269:P269"/>
    <mergeCell ref="D269:J269"/>
    <mergeCell ref="D267:AK267"/>
    <mergeCell ref="Q269:S269"/>
    <mergeCell ref="T269:W269"/>
    <mergeCell ref="AB260:AC260"/>
    <mergeCell ref="S305:V305"/>
    <mergeCell ref="B13:H13"/>
    <mergeCell ref="B12:H12"/>
    <mergeCell ref="E218:AK218"/>
    <mergeCell ref="Q288:T288"/>
    <mergeCell ref="D293:T293"/>
    <mergeCell ref="D294:O294"/>
    <mergeCell ref="P294:R294"/>
    <mergeCell ref="X276:AA276"/>
    <mergeCell ref="AB276:AE276"/>
    <mergeCell ref="AF276:AI276"/>
    <mergeCell ref="K249:M249"/>
    <mergeCell ref="N249:P249"/>
    <mergeCell ref="Q249:T249"/>
    <mergeCell ref="U249:X249"/>
    <mergeCell ref="X263:AA263"/>
    <mergeCell ref="S281:V281"/>
    <mergeCell ref="X270:AA270"/>
    <mergeCell ref="D253:AK253"/>
    <mergeCell ref="Q276:S276"/>
    <mergeCell ref="T276:W276"/>
    <mergeCell ref="D270:J270"/>
    <mergeCell ref="K270:M270"/>
    <mergeCell ref="N270:P270"/>
    <mergeCell ref="D276:J276"/>
    <mergeCell ref="K276:M276"/>
    <mergeCell ref="N276:P276"/>
    <mergeCell ref="Q309:T309"/>
    <mergeCell ref="L312:N312"/>
    <mergeCell ref="Y320:AK320"/>
    <mergeCell ref="S295:T295"/>
    <mergeCell ref="D296:O296"/>
    <mergeCell ref="P296:R296"/>
    <mergeCell ref="S296:T296"/>
    <mergeCell ref="D297:O297"/>
    <mergeCell ref="P297:R297"/>
    <mergeCell ref="S297:T297"/>
    <mergeCell ref="D298:O298"/>
    <mergeCell ref="P298:R298"/>
    <mergeCell ref="S298:T298"/>
    <mergeCell ref="D299:F299"/>
    <mergeCell ref="G299:AK299"/>
    <mergeCell ref="D301:J301"/>
    <mergeCell ref="K301:N301"/>
    <mergeCell ref="O301:R301"/>
    <mergeCell ref="D305:J305"/>
    <mergeCell ref="K305:N305"/>
    <mergeCell ref="O305:R305"/>
    <mergeCell ref="K302:N302"/>
    <mergeCell ref="O302:R302"/>
    <mergeCell ref="S302:V302"/>
    <mergeCell ref="S294:T294"/>
    <mergeCell ref="D295:O295"/>
    <mergeCell ref="P295:R295"/>
    <mergeCell ref="K281:N281"/>
    <mergeCell ref="O280:R280"/>
    <mergeCell ref="S280:V280"/>
    <mergeCell ref="D287:J287"/>
    <mergeCell ref="O281:R281"/>
    <mergeCell ref="K287:N287"/>
    <mergeCell ref="O287:R287"/>
    <mergeCell ref="S287:V287"/>
    <mergeCell ref="AB256:AC256"/>
    <mergeCell ref="AD256:AG256"/>
    <mergeCell ref="AH256:AK256"/>
    <mergeCell ref="D257:J257"/>
    <mergeCell ref="K257:M257"/>
    <mergeCell ref="N257:P257"/>
    <mergeCell ref="Q257:S257"/>
    <mergeCell ref="T257:W257"/>
    <mergeCell ref="X257:AA257"/>
    <mergeCell ref="AB257:AC257"/>
    <mergeCell ref="AD257:AG257"/>
    <mergeCell ref="AH257:AK257"/>
    <mergeCell ref="D256:J256"/>
    <mergeCell ref="K256:M256"/>
    <mergeCell ref="N256:P256"/>
    <mergeCell ref="Q256:S256"/>
    <mergeCell ref="T256:W256"/>
    <mergeCell ref="X256:AA256"/>
    <mergeCell ref="Q234:T234"/>
    <mergeCell ref="U234:X234"/>
    <mergeCell ref="Y234:AB234"/>
    <mergeCell ref="AC234:AF234"/>
    <mergeCell ref="AG234:AK234"/>
    <mergeCell ref="D243:J243"/>
    <mergeCell ref="K243:M243"/>
    <mergeCell ref="N243:P243"/>
    <mergeCell ref="U243:X243"/>
    <mergeCell ref="Q243:T243"/>
    <mergeCell ref="D242:J242"/>
    <mergeCell ref="K242:M242"/>
    <mergeCell ref="N242:P242"/>
    <mergeCell ref="Q242:T242"/>
    <mergeCell ref="U242:X242"/>
    <mergeCell ref="D234:L234"/>
    <mergeCell ref="M234:P234"/>
    <mergeCell ref="P132:T132"/>
    <mergeCell ref="U132:AK132"/>
    <mergeCell ref="K133:N133"/>
    <mergeCell ref="U133:AK139"/>
    <mergeCell ref="P128:S128"/>
    <mergeCell ref="D133:J133"/>
    <mergeCell ref="P133:S133"/>
    <mergeCell ref="D132:J132"/>
    <mergeCell ref="K132:O132"/>
    <mergeCell ref="P139:S139"/>
    <mergeCell ref="K139:N139"/>
    <mergeCell ref="D139:J139"/>
    <mergeCell ref="K128:N128"/>
    <mergeCell ref="L41:O41"/>
    <mergeCell ref="R104:Y104"/>
    <mergeCell ref="R106:Y106"/>
    <mergeCell ref="D110:AK110"/>
    <mergeCell ref="D111:AK111"/>
    <mergeCell ref="D112:AK112"/>
    <mergeCell ref="P119:S119"/>
    <mergeCell ref="D121:J121"/>
    <mergeCell ref="K121:O121"/>
    <mergeCell ref="P121:T121"/>
    <mergeCell ref="U121:AK121"/>
    <mergeCell ref="J59:AK59"/>
    <mergeCell ref="J62:K62"/>
    <mergeCell ref="J73:AK73"/>
    <mergeCell ref="B75:AK75"/>
    <mergeCell ref="B77:AK77"/>
    <mergeCell ref="P89:R89"/>
    <mergeCell ref="D98:AK98"/>
    <mergeCell ref="D102:AK102"/>
    <mergeCell ref="D90:J90"/>
    <mergeCell ref="L90:AK90"/>
    <mergeCell ref="I56:K56"/>
    <mergeCell ref="S56:U56"/>
    <mergeCell ref="P49:R49"/>
    <mergeCell ref="I6:AK6"/>
    <mergeCell ref="I8:AK8"/>
    <mergeCell ref="I7:AK7"/>
    <mergeCell ref="B41:H41"/>
    <mergeCell ref="I10:AK10"/>
    <mergeCell ref="I11:AK11"/>
    <mergeCell ref="I12:AK12"/>
    <mergeCell ref="I13:AK13"/>
    <mergeCell ref="AH56:AK56"/>
    <mergeCell ref="AH49:AK49"/>
    <mergeCell ref="P56:R56"/>
    <mergeCell ref="B49:H49"/>
    <mergeCell ref="AH41:AK41"/>
    <mergeCell ref="B39:AK39"/>
    <mergeCell ref="Z40:AC40"/>
    <mergeCell ref="V40:Y40"/>
    <mergeCell ref="Z41:AC41"/>
    <mergeCell ref="B40:H40"/>
    <mergeCell ref="AD56:AG56"/>
    <mergeCell ref="I40:K40"/>
    <mergeCell ref="V41:Y41"/>
    <mergeCell ref="S41:U41"/>
    <mergeCell ref="L40:O40"/>
    <mergeCell ref="P40:R40"/>
    <mergeCell ref="S40:U40"/>
    <mergeCell ref="I41:K41"/>
    <mergeCell ref="P41:R41"/>
    <mergeCell ref="S49:U49"/>
    <mergeCell ref="L56:O56"/>
    <mergeCell ref="V56:Y56"/>
    <mergeCell ref="AD40:AG40"/>
    <mergeCell ref="B1:AK1"/>
    <mergeCell ref="B4:AK4"/>
    <mergeCell ref="B2:AK2"/>
    <mergeCell ref="AD41:AG41"/>
    <mergeCell ref="AH40:AK40"/>
    <mergeCell ref="I5:AK5"/>
    <mergeCell ref="I9:AK9"/>
    <mergeCell ref="B47:H47"/>
    <mergeCell ref="I47:K47"/>
    <mergeCell ref="L47:O47"/>
    <mergeCell ref="P47:R47"/>
    <mergeCell ref="S47:U47"/>
    <mergeCell ref="V47:Y47"/>
    <mergeCell ref="Z47:AC47"/>
    <mergeCell ref="AD47:AG47"/>
    <mergeCell ref="AH47:AK47"/>
    <mergeCell ref="B56:H56"/>
    <mergeCell ref="P122:S122"/>
    <mergeCell ref="U122:AK128"/>
    <mergeCell ref="D128:J128"/>
    <mergeCell ref="I49:K49"/>
    <mergeCell ref="L49:O49"/>
    <mergeCell ref="B50:H50"/>
    <mergeCell ref="I50:K50"/>
    <mergeCell ref="L50:O50"/>
    <mergeCell ref="P50:R50"/>
    <mergeCell ref="S50:U50"/>
    <mergeCell ref="AD49:AG49"/>
    <mergeCell ref="V50:Y50"/>
    <mergeCell ref="Z50:AC50"/>
    <mergeCell ref="AD50:AG50"/>
    <mergeCell ref="Z49:AC49"/>
    <mergeCell ref="V49:Y49"/>
    <mergeCell ref="D123:J123"/>
    <mergeCell ref="K123:O123"/>
    <mergeCell ref="P123:S123"/>
    <mergeCell ref="B51:H51"/>
    <mergeCell ref="I51:K51"/>
    <mergeCell ref="L51:O51"/>
    <mergeCell ref="P51:R51"/>
    <mergeCell ref="S51:U51"/>
    <mergeCell ref="P190:AK190"/>
    <mergeCell ref="D205:AK205"/>
    <mergeCell ref="D209:AK209"/>
    <mergeCell ref="AG229:AK229"/>
    <mergeCell ref="AH50:AK50"/>
    <mergeCell ref="E214:AK214"/>
    <mergeCell ref="E215:AK215"/>
    <mergeCell ref="E216:AK216"/>
    <mergeCell ref="E217:AK217"/>
    <mergeCell ref="P181:AK181"/>
    <mergeCell ref="P182:AK182"/>
    <mergeCell ref="D144:J144"/>
    <mergeCell ref="L144:AK144"/>
    <mergeCell ref="E57:G57"/>
    <mergeCell ref="L197:N197"/>
    <mergeCell ref="O197:P197"/>
    <mergeCell ref="Q197:AK197"/>
    <mergeCell ref="J58:AK58"/>
    <mergeCell ref="J60:AK60"/>
    <mergeCell ref="Z56:AC56"/>
    <mergeCell ref="P191:AK191"/>
    <mergeCell ref="P189:AK189"/>
    <mergeCell ref="D122:J122"/>
    <mergeCell ref="K122:O122"/>
    <mergeCell ref="B236:AK236"/>
    <mergeCell ref="L237:N237"/>
    <mergeCell ref="D240:AK240"/>
    <mergeCell ref="AG233:AK233"/>
    <mergeCell ref="P183:AK183"/>
    <mergeCell ref="P184:AK184"/>
    <mergeCell ref="P185:AK185"/>
    <mergeCell ref="D196:G196"/>
    <mergeCell ref="H196:K196"/>
    <mergeCell ref="L196:P196"/>
    <mergeCell ref="Q196:AK196"/>
    <mergeCell ref="D197:G197"/>
    <mergeCell ref="D201:AK201"/>
    <mergeCell ref="D224:AK224"/>
    <mergeCell ref="H197:K197"/>
    <mergeCell ref="P188:AK188"/>
    <mergeCell ref="U232:X232"/>
    <mergeCell ref="Y232:AB232"/>
    <mergeCell ref="AC232:AF232"/>
    <mergeCell ref="Q229:T229"/>
    <mergeCell ref="U229:X229"/>
    <mergeCell ref="Y229:AB229"/>
    <mergeCell ref="AC229:AF229"/>
    <mergeCell ref="D223:AK223"/>
    <mergeCell ref="D230:L230"/>
    <mergeCell ref="M230:P230"/>
    <mergeCell ref="Q230:T230"/>
    <mergeCell ref="U230:X230"/>
    <mergeCell ref="AG232:AK232"/>
    <mergeCell ref="D233:L233"/>
    <mergeCell ref="M233:P233"/>
    <mergeCell ref="Y230:AB230"/>
    <mergeCell ref="Q232:T232"/>
    <mergeCell ref="Q233:T233"/>
    <mergeCell ref="U233:X233"/>
    <mergeCell ref="Y233:AB233"/>
    <mergeCell ref="AC233:AF233"/>
    <mergeCell ref="B15:AK38"/>
    <mergeCell ref="AC230:AF230"/>
    <mergeCell ref="P192:AK192"/>
    <mergeCell ref="P187:AK187"/>
    <mergeCell ref="S143:U143"/>
    <mergeCell ref="D152:AK152"/>
    <mergeCell ref="D153:AK153"/>
    <mergeCell ref="D157:AK157"/>
    <mergeCell ref="E162:J162"/>
    <mergeCell ref="M162:AK162"/>
    <mergeCell ref="P172:AK172"/>
    <mergeCell ref="P173:AK173"/>
    <mergeCell ref="P174:AK174"/>
    <mergeCell ref="P175:AK175"/>
    <mergeCell ref="P176:AK176"/>
    <mergeCell ref="P186:AK186"/>
    <mergeCell ref="P177:AK177"/>
    <mergeCell ref="P178:AK178"/>
    <mergeCell ref="P179:AK179"/>
    <mergeCell ref="P180:AK180"/>
    <mergeCell ref="D225:AK225"/>
    <mergeCell ref="D229:L229"/>
    <mergeCell ref="M229:P229"/>
    <mergeCell ref="D125:J125"/>
    <mergeCell ref="D284:J284"/>
    <mergeCell ref="K284:N284"/>
    <mergeCell ref="O284:R284"/>
    <mergeCell ref="S284:V284"/>
    <mergeCell ref="D136:J136"/>
    <mergeCell ref="K136:N136"/>
    <mergeCell ref="P136:S136"/>
    <mergeCell ref="D260:J260"/>
    <mergeCell ref="K260:M260"/>
    <mergeCell ref="N260:P260"/>
    <mergeCell ref="Q260:S260"/>
    <mergeCell ref="T260:W260"/>
    <mergeCell ref="D160:AK160"/>
    <mergeCell ref="E165:J165"/>
    <mergeCell ref="M165:AK165"/>
    <mergeCell ref="X274:AA274"/>
    <mergeCell ref="D222:AK222"/>
    <mergeCell ref="D249:J249"/>
    <mergeCell ref="AG230:AK230"/>
    <mergeCell ref="D231:L231"/>
    <mergeCell ref="M231:P231"/>
    <mergeCell ref="Q231:T231"/>
    <mergeCell ref="U231:X231"/>
    <mergeCell ref="Y231:AB231"/>
    <mergeCell ref="AH260:AK260"/>
    <mergeCell ref="D273:J273"/>
    <mergeCell ref="K273:M273"/>
    <mergeCell ref="N273:P273"/>
    <mergeCell ref="Q273:S273"/>
    <mergeCell ref="T273:W273"/>
    <mergeCell ref="X273:AA273"/>
    <mergeCell ref="AB273:AE273"/>
    <mergeCell ref="AF273:AI273"/>
    <mergeCell ref="X261:AA261"/>
    <mergeCell ref="AB261:AC261"/>
    <mergeCell ref="AD261:AG261"/>
    <mergeCell ref="AH261:AK261"/>
    <mergeCell ref="X260:AA260"/>
    <mergeCell ref="X269:AA269"/>
    <mergeCell ref="AB269:AE269"/>
    <mergeCell ref="AF269:AI269"/>
    <mergeCell ref="AB263:AC263"/>
    <mergeCell ref="AD263:AG263"/>
    <mergeCell ref="AH263:AK263"/>
    <mergeCell ref="AF270:AI270"/>
    <mergeCell ref="AB270:AE270"/>
    <mergeCell ref="AB272:AE272"/>
    <mergeCell ref="AF272:AI272"/>
    <mergeCell ref="B44:H44"/>
    <mergeCell ref="I44:K44"/>
    <mergeCell ref="L44:O44"/>
    <mergeCell ref="P44:R44"/>
    <mergeCell ref="S44:U44"/>
    <mergeCell ref="V44:Y44"/>
    <mergeCell ref="Z44:AC44"/>
    <mergeCell ref="AD44:AG44"/>
    <mergeCell ref="AH44:AK44"/>
    <mergeCell ref="B53:H53"/>
    <mergeCell ref="I53:K53"/>
    <mergeCell ref="L53:O53"/>
    <mergeCell ref="P53:R53"/>
    <mergeCell ref="S53:U53"/>
    <mergeCell ref="V53:Y53"/>
    <mergeCell ref="Z53:AC53"/>
    <mergeCell ref="AD53:AG53"/>
    <mergeCell ref="AH53:AK53"/>
    <mergeCell ref="D93:J93"/>
    <mergeCell ref="L93:AK93"/>
    <mergeCell ref="D147:J147"/>
    <mergeCell ref="L147:AK147"/>
    <mergeCell ref="D126:J126"/>
    <mergeCell ref="K126:O126"/>
    <mergeCell ref="P126:S126"/>
    <mergeCell ref="D247:J247"/>
    <mergeCell ref="K247:M247"/>
    <mergeCell ref="N247:P247"/>
    <mergeCell ref="Q247:T247"/>
    <mergeCell ref="U247:X247"/>
    <mergeCell ref="L94:AK94"/>
    <mergeCell ref="K125:O125"/>
    <mergeCell ref="P125:S125"/>
    <mergeCell ref="D246:J246"/>
    <mergeCell ref="K246:M246"/>
    <mergeCell ref="N246:P246"/>
    <mergeCell ref="Q246:T246"/>
    <mergeCell ref="U246:X246"/>
    <mergeCell ref="AC231:AF231"/>
    <mergeCell ref="AG231:AK231"/>
    <mergeCell ref="D232:L232"/>
    <mergeCell ref="M232:P232"/>
    <mergeCell ref="D285:J285"/>
    <mergeCell ref="K285:N285"/>
    <mergeCell ref="O285:R285"/>
    <mergeCell ref="S285:V285"/>
    <mergeCell ref="D306:J306"/>
    <mergeCell ref="K306:N306"/>
    <mergeCell ref="O306:R306"/>
    <mergeCell ref="S306:V306"/>
    <mergeCell ref="D137:J137"/>
    <mergeCell ref="K137:N137"/>
    <mergeCell ref="P137:S137"/>
    <mergeCell ref="D261:J261"/>
    <mergeCell ref="K261:M261"/>
    <mergeCell ref="N261:P261"/>
    <mergeCell ref="Q261:S261"/>
    <mergeCell ref="T261:W261"/>
    <mergeCell ref="D274:J274"/>
    <mergeCell ref="K274:M274"/>
    <mergeCell ref="N274:P274"/>
    <mergeCell ref="Q274:S274"/>
    <mergeCell ref="T274:W274"/>
    <mergeCell ref="D148:J148"/>
    <mergeCell ref="L148:AK148"/>
    <mergeCell ref="AD260:AG260"/>
    <mergeCell ref="AB274:AE274"/>
    <mergeCell ref="AF274:AI274"/>
    <mergeCell ref="B45:H45"/>
    <mergeCell ref="I45:K45"/>
    <mergeCell ref="L45:O45"/>
    <mergeCell ref="P45:R45"/>
    <mergeCell ref="S45:U45"/>
    <mergeCell ref="V45:Y45"/>
    <mergeCell ref="Z45:AC45"/>
    <mergeCell ref="AD45:AG45"/>
    <mergeCell ref="AH45:AK45"/>
    <mergeCell ref="B54:H54"/>
    <mergeCell ref="I54:K54"/>
    <mergeCell ref="L54:O54"/>
    <mergeCell ref="P54:R54"/>
    <mergeCell ref="S54:U54"/>
    <mergeCell ref="V54:Y54"/>
    <mergeCell ref="Z54:AC54"/>
    <mergeCell ref="AD54:AG54"/>
    <mergeCell ref="AH54:AK54"/>
    <mergeCell ref="D161:AK161"/>
    <mergeCell ref="E166:J166"/>
    <mergeCell ref="M166:AK166"/>
    <mergeCell ref="D94:J94"/>
  </mergeCells>
  <printOptions horizontalCentered="1"/>
  <pageMargins left="0.70866141732283472" right="0.70866141732283472" top="1.3779527559055118" bottom="0.74803149606299213" header="0.31496062992125984" footer="0.31496062992125984"/>
  <pageSetup paperSize="9" scale="63" fitToHeight="5" orientation="portrait" r:id="rId1"/>
  <headerFooter scaleWithDoc="0">
    <oddHeader>&amp;L&amp;G&amp;R&amp;G</oddHeader>
    <oddFooter>&amp;R&amp;"Verdana,Normal"&amp;8&amp;K00-049Página &amp;P de &amp;N</oddFooter>
  </headerFooter>
  <rowBreaks count="4" manualBreakCount="4">
    <brk id="73" max="16383" man="1"/>
    <brk id="153" max="37" man="1"/>
    <brk id="225" max="37" man="1"/>
    <brk id="276" max="37" man="1"/>
  </rowBreaks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6FCC4-7462-401A-962D-CCBC1642CB47}">
  <sheetPr codeName="sh5Fotos">
    <pageSetUpPr fitToPage="1"/>
  </sheetPr>
  <dimension ref="A1:AO71"/>
  <sheetViews>
    <sheetView tabSelected="1" view="pageBreakPreview" topLeftCell="A16" zoomScaleNormal="100" zoomScaleSheetLayoutView="100" workbookViewId="0">
      <selection activeCell="AM313" sqref="AM313"/>
    </sheetView>
  </sheetViews>
  <sheetFormatPr defaultColWidth="4.5703125" defaultRowHeight="15" customHeight="1" x14ac:dyDescent="0.25"/>
  <cols>
    <col min="1" max="1" width="0.85546875" style="162" customWidth="1"/>
    <col min="2" max="37" width="3.5703125" style="162" customWidth="1"/>
    <col min="38" max="38" width="0.85546875" style="162" customWidth="1"/>
    <col min="39" max="16384" width="4.5703125" style="162"/>
  </cols>
  <sheetData>
    <row r="1" spans="1:41" ht="15" customHeight="1" x14ac:dyDescent="0.25">
      <c r="A1" s="163"/>
      <c r="B1" s="619" t="s">
        <v>233</v>
      </c>
      <c r="C1" s="619"/>
      <c r="D1" s="619"/>
      <c r="E1" s="619"/>
      <c r="F1" s="619"/>
      <c r="G1" s="619"/>
      <c r="H1" s="619"/>
      <c r="I1" s="619"/>
      <c r="J1" s="619"/>
      <c r="K1" s="619"/>
      <c r="L1" s="619"/>
      <c r="M1" s="619"/>
      <c r="N1" s="619"/>
      <c r="O1" s="619"/>
      <c r="P1" s="619"/>
      <c r="Q1" s="619"/>
      <c r="R1" s="619"/>
      <c r="S1" s="619"/>
      <c r="T1" s="619"/>
      <c r="U1" s="619"/>
      <c r="V1" s="619"/>
      <c r="W1" s="619"/>
      <c r="X1" s="619"/>
      <c r="Y1" s="619"/>
      <c r="Z1" s="619"/>
      <c r="AA1" s="619"/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163"/>
    </row>
    <row r="2" spans="1:41" ht="15" customHeight="1" x14ac:dyDescent="0.25">
      <c r="A2" s="163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</row>
    <row r="3" spans="1:41" ht="15" customHeight="1" x14ac:dyDescent="0.25">
      <c r="A3" s="163"/>
      <c r="B3" s="163"/>
      <c r="C3" s="602" t="s">
        <v>443</v>
      </c>
      <c r="D3" s="602"/>
      <c r="E3" s="602"/>
      <c r="F3" s="602"/>
      <c r="G3" s="602"/>
      <c r="H3" s="602"/>
      <c r="I3" s="602"/>
      <c r="J3" s="602"/>
      <c r="K3" s="602"/>
      <c r="L3" s="602"/>
      <c r="M3" s="602"/>
      <c r="N3" s="602"/>
      <c r="O3" s="602"/>
      <c r="P3" s="602"/>
      <c r="Q3" s="602"/>
      <c r="R3" s="602"/>
      <c r="S3" s="61"/>
      <c r="T3" s="61"/>
      <c r="U3" s="602" t="s">
        <v>442</v>
      </c>
      <c r="V3" s="602"/>
      <c r="W3" s="602"/>
      <c r="X3" s="602"/>
      <c r="Y3" s="602"/>
      <c r="Z3" s="602"/>
      <c r="AA3" s="602"/>
      <c r="AB3" s="602"/>
      <c r="AC3" s="602"/>
      <c r="AD3" s="602"/>
      <c r="AE3" s="602"/>
      <c r="AF3" s="602"/>
      <c r="AG3" s="602"/>
      <c r="AH3" s="602"/>
      <c r="AI3" s="602"/>
      <c r="AJ3" s="602"/>
      <c r="AK3" s="163"/>
      <c r="AL3" s="163"/>
      <c r="AM3" s="163"/>
    </row>
    <row r="4" spans="1:41" ht="15" customHeight="1" x14ac:dyDescent="0.25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</row>
    <row r="5" spans="1:41" ht="15" customHeight="1" x14ac:dyDescent="0.25">
      <c r="A5" s="163"/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3"/>
      <c r="AE5" s="163"/>
      <c r="AF5" s="163"/>
      <c r="AG5" s="163"/>
      <c r="AH5" s="163"/>
      <c r="AI5" s="163"/>
      <c r="AJ5" s="163"/>
      <c r="AK5" s="163"/>
      <c r="AL5" s="163"/>
      <c r="AM5" s="163"/>
    </row>
    <row r="6" spans="1:41" ht="15" customHeight="1" x14ac:dyDescent="0.25">
      <c r="A6" s="163"/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  <c r="AJ6" s="163"/>
      <c r="AK6" s="163"/>
      <c r="AL6" s="163"/>
      <c r="AM6" s="163"/>
    </row>
    <row r="7" spans="1:41" ht="15" customHeight="1" x14ac:dyDescent="0.25">
      <c r="A7" s="163"/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  <c r="AJ7" s="163"/>
      <c r="AK7" s="163"/>
      <c r="AL7" s="163"/>
      <c r="AM7" s="163"/>
    </row>
    <row r="8" spans="1:41" ht="15" customHeight="1" x14ac:dyDescent="0.25">
      <c r="A8" s="163"/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</row>
    <row r="9" spans="1:41" ht="15" customHeight="1" x14ac:dyDescent="0.25">
      <c r="A9" s="163"/>
      <c r="B9" s="163"/>
      <c r="C9" s="163"/>
      <c r="D9" s="163"/>
      <c r="E9" s="163"/>
      <c r="F9" s="163"/>
      <c r="G9" s="163"/>
      <c r="H9" s="163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</row>
    <row r="10" spans="1:41" ht="15" customHeight="1" x14ac:dyDescent="0.25">
      <c r="A10" s="163"/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</row>
    <row r="11" spans="1:41" ht="15" customHeight="1" x14ac:dyDescent="0.25">
      <c r="A11" s="163"/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</row>
    <row r="12" spans="1:41" ht="15" customHeight="1" x14ac:dyDescent="0.25">
      <c r="A12" s="163"/>
      <c r="B12" s="163"/>
      <c r="C12" s="163"/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  <c r="AJ12" s="163"/>
      <c r="AK12" s="163"/>
      <c r="AL12" s="163"/>
      <c r="AM12" s="163"/>
    </row>
    <row r="13" spans="1:41" ht="15" customHeight="1" x14ac:dyDescent="0.25">
      <c r="A13" s="163"/>
      <c r="B13" s="163"/>
      <c r="C13" s="163"/>
      <c r="D13" s="163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</row>
    <row r="14" spans="1:41" ht="15" customHeight="1" x14ac:dyDescent="0.25">
      <c r="A14" s="163"/>
      <c r="B14" s="163"/>
      <c r="C14" s="163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3"/>
      <c r="AE14" s="163"/>
      <c r="AF14" s="163"/>
      <c r="AG14" s="163"/>
      <c r="AH14" s="163"/>
      <c r="AI14" s="163"/>
      <c r="AJ14" s="163"/>
      <c r="AK14" s="163"/>
      <c r="AL14" s="163"/>
      <c r="AM14" s="163"/>
    </row>
    <row r="15" spans="1:41" ht="15" customHeight="1" x14ac:dyDescent="0.25">
      <c r="A15" s="163"/>
      <c r="B15" s="163"/>
      <c r="C15" s="163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163"/>
      <c r="AM15" s="163"/>
      <c r="AO15" s="351"/>
    </row>
    <row r="16" spans="1:41" ht="15" customHeight="1" x14ac:dyDescent="0.25">
      <c r="A16" s="163"/>
      <c r="B16" s="163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3"/>
      <c r="AE16" s="163"/>
      <c r="AF16" s="163"/>
      <c r="AG16" s="163"/>
      <c r="AH16" s="163"/>
      <c r="AI16" s="163"/>
      <c r="AJ16" s="163"/>
      <c r="AK16" s="163"/>
      <c r="AL16" s="163"/>
      <c r="AM16" s="163"/>
    </row>
    <row r="17" spans="1:39" ht="15" customHeight="1" x14ac:dyDescent="0.25">
      <c r="A17" s="163"/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</row>
    <row r="18" spans="1:39" ht="15" customHeight="1" x14ac:dyDescent="0.25">
      <c r="A18" s="163"/>
      <c r="B18" s="163"/>
      <c r="C18" s="163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  <c r="AD18" s="163"/>
      <c r="AE18" s="163"/>
      <c r="AF18" s="163"/>
      <c r="AG18" s="163"/>
      <c r="AH18" s="163"/>
      <c r="AI18" s="163"/>
      <c r="AJ18" s="163"/>
      <c r="AK18" s="163"/>
      <c r="AL18" s="163"/>
      <c r="AM18" s="163"/>
    </row>
    <row r="19" spans="1:39" ht="15" customHeight="1" x14ac:dyDescent="0.25">
      <c r="A19" s="163"/>
      <c r="B19" s="163"/>
      <c r="C19" s="163"/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3"/>
      <c r="AE19" s="163"/>
      <c r="AF19" s="163"/>
      <c r="AG19" s="163"/>
      <c r="AH19" s="163"/>
      <c r="AI19" s="163"/>
      <c r="AJ19" s="163"/>
      <c r="AK19" s="163"/>
      <c r="AL19" s="163"/>
    </row>
    <row r="20" spans="1:39" ht="15" customHeight="1" x14ac:dyDescent="0.25">
      <c r="A20" s="163"/>
      <c r="B20" s="61"/>
      <c r="C20" s="602" t="s">
        <v>441</v>
      </c>
      <c r="D20" s="602"/>
      <c r="E20" s="602"/>
      <c r="F20" s="602"/>
      <c r="G20" s="602"/>
      <c r="H20" s="602"/>
      <c r="I20" s="602"/>
      <c r="J20" s="602"/>
      <c r="K20" s="602"/>
      <c r="L20" s="602"/>
      <c r="M20" s="602"/>
      <c r="N20" s="602"/>
      <c r="O20" s="602"/>
      <c r="P20" s="602"/>
      <c r="Q20" s="602"/>
      <c r="R20" s="602"/>
      <c r="S20" s="61"/>
      <c r="T20" s="61"/>
      <c r="U20" s="602" t="s">
        <v>440</v>
      </c>
      <c r="V20" s="602"/>
      <c r="W20" s="602"/>
      <c r="X20" s="602"/>
      <c r="Y20" s="602"/>
      <c r="Z20" s="602"/>
      <c r="AA20" s="602"/>
      <c r="AB20" s="602"/>
      <c r="AC20" s="602"/>
      <c r="AD20" s="602"/>
      <c r="AE20" s="602"/>
      <c r="AF20" s="602"/>
      <c r="AG20" s="602"/>
      <c r="AH20" s="602"/>
      <c r="AI20" s="602"/>
      <c r="AJ20" s="602"/>
      <c r="AK20" s="163"/>
      <c r="AL20" s="163"/>
    </row>
    <row r="21" spans="1:39" ht="15" customHeight="1" x14ac:dyDescent="0.25">
      <c r="A21" s="163"/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  <c r="AI21" s="163"/>
      <c r="AJ21" s="163"/>
      <c r="AK21" s="163"/>
      <c r="AL21" s="163"/>
    </row>
    <row r="22" spans="1:39" ht="15" customHeight="1" x14ac:dyDescent="0.25">
      <c r="A22" s="163"/>
      <c r="B22" s="163"/>
      <c r="C22" s="163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</row>
    <row r="23" spans="1:39" ht="15" customHeight="1" x14ac:dyDescent="0.25">
      <c r="A23" s="163"/>
      <c r="B23" s="163"/>
      <c r="C23" s="163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3"/>
      <c r="AE23" s="163"/>
      <c r="AF23" s="163"/>
      <c r="AG23" s="163"/>
      <c r="AH23" s="163"/>
      <c r="AI23" s="163"/>
      <c r="AJ23" s="163"/>
      <c r="AK23" s="163"/>
      <c r="AL23" s="163"/>
    </row>
    <row r="24" spans="1:39" ht="15" customHeight="1" x14ac:dyDescent="0.25">
      <c r="A24" s="163"/>
      <c r="B24" s="163"/>
      <c r="C24" s="163"/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3"/>
      <c r="AE24" s="163"/>
      <c r="AF24" s="163"/>
      <c r="AG24" s="163"/>
      <c r="AH24" s="163"/>
      <c r="AI24" s="163"/>
      <c r="AJ24" s="163"/>
      <c r="AK24" s="163"/>
      <c r="AL24" s="163"/>
    </row>
    <row r="25" spans="1:39" ht="15" customHeight="1" x14ac:dyDescent="0.25">
      <c r="A25" s="163"/>
      <c r="B25" s="163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163"/>
      <c r="AG25" s="163"/>
      <c r="AH25" s="163"/>
      <c r="AI25" s="163"/>
      <c r="AJ25" s="163"/>
      <c r="AK25" s="163"/>
      <c r="AL25" s="163"/>
    </row>
    <row r="26" spans="1:39" ht="15" customHeight="1" x14ac:dyDescent="0.25">
      <c r="A26" s="163"/>
      <c r="B26" s="163"/>
      <c r="C26" s="163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  <c r="AC26" s="163"/>
      <c r="AD26" s="163"/>
      <c r="AE26" s="163"/>
      <c r="AF26" s="163"/>
      <c r="AG26" s="163"/>
      <c r="AH26" s="163"/>
      <c r="AI26" s="163"/>
      <c r="AJ26" s="163"/>
      <c r="AK26" s="163"/>
      <c r="AL26" s="163"/>
    </row>
    <row r="27" spans="1:39" ht="15" customHeight="1" x14ac:dyDescent="0.25">
      <c r="A27" s="163"/>
      <c r="B27" s="163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</row>
    <row r="28" spans="1:39" ht="15" customHeight="1" x14ac:dyDescent="0.25">
      <c r="A28" s="163"/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3"/>
    </row>
    <row r="29" spans="1:39" ht="15" customHeight="1" x14ac:dyDescent="0.25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3"/>
      <c r="AE29" s="163"/>
      <c r="AF29" s="163"/>
      <c r="AG29" s="163"/>
      <c r="AH29" s="163"/>
      <c r="AI29" s="163"/>
      <c r="AJ29" s="163"/>
      <c r="AK29" s="163"/>
      <c r="AL29" s="163"/>
    </row>
    <row r="30" spans="1:39" ht="15" customHeight="1" x14ac:dyDescent="0.25">
      <c r="A30" s="163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163"/>
    </row>
    <row r="31" spans="1:39" ht="15" customHeight="1" x14ac:dyDescent="0.25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3"/>
    </row>
    <row r="32" spans="1:39" ht="15" customHeight="1" x14ac:dyDescent="0.25">
      <c r="A32" s="163"/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</row>
    <row r="33" spans="1:38" ht="15" customHeight="1" x14ac:dyDescent="0.25">
      <c r="A33" s="163"/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</row>
    <row r="34" spans="1:38" ht="15" customHeight="1" x14ac:dyDescent="0.25">
      <c r="A34" s="163"/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163"/>
    </row>
    <row r="35" spans="1:38" ht="15" customHeight="1" x14ac:dyDescent="0.25">
      <c r="A35" s="163"/>
      <c r="B35" s="163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3"/>
    </row>
    <row r="36" spans="1:38" ht="15" customHeight="1" x14ac:dyDescent="0.25">
      <c r="A36" s="163"/>
      <c r="B36" s="61"/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  <c r="O36" s="130"/>
      <c r="P36" s="130"/>
      <c r="Q36" s="130"/>
      <c r="R36" s="130"/>
      <c r="S36" s="61"/>
      <c r="T36" s="61"/>
      <c r="U36" s="130"/>
      <c r="V36" s="130"/>
      <c r="W36" s="130"/>
      <c r="X36" s="130"/>
      <c r="Y36" s="130"/>
      <c r="Z36" s="130"/>
      <c r="AA36" s="130"/>
      <c r="AB36" s="130"/>
      <c r="AC36" s="130"/>
      <c r="AD36" s="130"/>
      <c r="AE36" s="130"/>
      <c r="AF36" s="130"/>
      <c r="AG36" s="130"/>
      <c r="AH36" s="130"/>
      <c r="AI36" s="130"/>
      <c r="AJ36" s="130"/>
      <c r="AK36" s="163"/>
      <c r="AL36" s="163"/>
    </row>
    <row r="37" spans="1:38" ht="15" customHeight="1" x14ac:dyDescent="0.25">
      <c r="A37" s="163"/>
      <c r="B37" s="61"/>
      <c r="C37" s="602" t="s">
        <v>439</v>
      </c>
      <c r="D37" s="602"/>
      <c r="E37" s="602"/>
      <c r="F37" s="602"/>
      <c r="G37" s="602"/>
      <c r="H37" s="602"/>
      <c r="I37" s="602"/>
      <c r="J37" s="602"/>
      <c r="K37" s="602"/>
      <c r="L37" s="602"/>
      <c r="M37" s="602"/>
      <c r="N37" s="602"/>
      <c r="O37" s="602"/>
      <c r="P37" s="602"/>
      <c r="Q37" s="602"/>
      <c r="R37" s="602"/>
      <c r="S37" s="61"/>
      <c r="T37" s="61"/>
      <c r="U37" s="602" t="s">
        <v>438</v>
      </c>
      <c r="V37" s="602"/>
      <c r="W37" s="602"/>
      <c r="X37" s="602"/>
      <c r="Y37" s="602"/>
      <c r="Z37" s="602"/>
      <c r="AA37" s="602"/>
      <c r="AB37" s="602"/>
      <c r="AC37" s="602"/>
      <c r="AD37" s="602"/>
      <c r="AE37" s="602"/>
      <c r="AF37" s="602"/>
      <c r="AG37" s="602"/>
      <c r="AH37" s="602"/>
      <c r="AI37" s="602"/>
      <c r="AJ37" s="602"/>
      <c r="AK37" s="163"/>
      <c r="AL37" s="163"/>
    </row>
    <row r="38" spans="1:38" ht="15" customHeight="1" x14ac:dyDescent="0.25">
      <c r="A38" s="163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163"/>
      <c r="AL38" s="163"/>
    </row>
    <row r="39" spans="1:38" ht="15" customHeight="1" x14ac:dyDescent="0.25">
      <c r="A39" s="163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163"/>
      <c r="AL39" s="163"/>
    </row>
    <row r="40" spans="1:38" ht="15" customHeight="1" x14ac:dyDescent="0.25">
      <c r="A40" s="163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163"/>
      <c r="AL40" s="163"/>
    </row>
    <row r="41" spans="1:38" ht="15" customHeight="1" x14ac:dyDescent="0.25">
      <c r="A41" s="163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163"/>
      <c r="AL41" s="163"/>
    </row>
    <row r="42" spans="1:38" ht="15" customHeight="1" x14ac:dyDescent="0.25">
      <c r="A42" s="163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163"/>
      <c r="AL42" s="163"/>
    </row>
    <row r="43" spans="1:38" ht="15" customHeight="1" x14ac:dyDescent="0.25">
      <c r="A43" s="163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163"/>
      <c r="AL43" s="163"/>
    </row>
    <row r="44" spans="1:38" ht="15" customHeight="1" x14ac:dyDescent="0.25">
      <c r="A44" s="163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163"/>
      <c r="AL44" s="163"/>
    </row>
    <row r="45" spans="1:38" ht="15" customHeight="1" x14ac:dyDescent="0.25">
      <c r="A45" s="163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163"/>
      <c r="AL45" s="163"/>
    </row>
    <row r="46" spans="1:38" ht="15" customHeight="1" x14ac:dyDescent="0.25">
      <c r="A46" s="163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163"/>
      <c r="AL46" s="163"/>
    </row>
    <row r="47" spans="1:38" ht="15" customHeight="1" x14ac:dyDescent="0.25">
      <c r="A47" s="163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163"/>
      <c r="AL47" s="163"/>
    </row>
    <row r="48" spans="1:38" ht="15" customHeight="1" x14ac:dyDescent="0.25">
      <c r="A48" s="163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163"/>
      <c r="AL48" s="163"/>
    </row>
    <row r="49" spans="1:38" ht="15" customHeight="1" x14ac:dyDescent="0.25">
      <c r="A49" s="163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163"/>
      <c r="AL49" s="163"/>
    </row>
    <row r="50" spans="1:38" ht="15" customHeight="1" x14ac:dyDescent="0.25">
      <c r="A50" s="163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163"/>
      <c r="AL50" s="163"/>
    </row>
    <row r="51" spans="1:38" ht="15" customHeight="1" x14ac:dyDescent="0.25">
      <c r="A51" s="163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163"/>
      <c r="AL51" s="163"/>
    </row>
    <row r="52" spans="1:38" ht="15" customHeight="1" x14ac:dyDescent="0.25">
      <c r="A52" s="163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163"/>
      <c r="AL52" s="163"/>
    </row>
    <row r="53" spans="1:38" ht="15" customHeight="1" x14ac:dyDescent="0.25">
      <c r="A53" s="163"/>
      <c r="B53" s="163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</row>
    <row r="54" spans="1:38" ht="15" customHeight="1" x14ac:dyDescent="0.25">
      <c r="A54" s="163"/>
      <c r="B54" s="61"/>
      <c r="C54" s="602" t="s">
        <v>437</v>
      </c>
      <c r="D54" s="602"/>
      <c r="E54" s="602"/>
      <c r="F54" s="602"/>
      <c r="G54" s="602"/>
      <c r="H54" s="602"/>
      <c r="I54" s="602"/>
      <c r="J54" s="602"/>
      <c r="K54" s="602"/>
      <c r="L54" s="602"/>
      <c r="M54" s="602"/>
      <c r="N54" s="602"/>
      <c r="O54" s="602"/>
      <c r="P54" s="602"/>
      <c r="Q54" s="602"/>
      <c r="R54" s="602"/>
      <c r="S54" s="61"/>
      <c r="T54" s="61"/>
      <c r="U54" s="602" t="s">
        <v>436</v>
      </c>
      <c r="V54" s="602"/>
      <c r="W54" s="602"/>
      <c r="X54" s="602"/>
      <c r="Y54" s="602"/>
      <c r="Z54" s="602"/>
      <c r="AA54" s="602"/>
      <c r="AB54" s="602"/>
      <c r="AC54" s="602"/>
      <c r="AD54" s="602"/>
      <c r="AE54" s="602"/>
      <c r="AF54" s="602"/>
      <c r="AG54" s="602"/>
      <c r="AH54" s="602"/>
      <c r="AI54" s="602"/>
      <c r="AJ54" s="602"/>
      <c r="AK54" s="163"/>
      <c r="AL54" s="163"/>
    </row>
    <row r="55" spans="1:38" ht="15" customHeight="1" x14ac:dyDescent="0.25">
      <c r="A55" s="163"/>
      <c r="B55" s="163"/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3"/>
      <c r="AE55" s="163"/>
      <c r="AF55" s="163"/>
      <c r="AG55" s="163"/>
      <c r="AH55" s="163"/>
      <c r="AI55" s="163"/>
      <c r="AJ55" s="163"/>
      <c r="AK55" s="163"/>
      <c r="AL55" s="163"/>
    </row>
    <row r="56" spans="1:38" ht="15" customHeight="1" x14ac:dyDescent="0.25">
      <c r="A56" s="163"/>
      <c r="B56" s="163"/>
      <c r="C56" s="163"/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3"/>
      <c r="AE56" s="163"/>
      <c r="AF56" s="163"/>
      <c r="AG56" s="163"/>
      <c r="AH56" s="163"/>
      <c r="AI56" s="163"/>
      <c r="AJ56" s="163"/>
      <c r="AK56" s="163"/>
      <c r="AL56" s="163"/>
    </row>
    <row r="57" spans="1:38" ht="15" customHeight="1" x14ac:dyDescent="0.25">
      <c r="A57" s="163"/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63"/>
      <c r="AJ57" s="163"/>
      <c r="AK57" s="163"/>
      <c r="AL57" s="163"/>
    </row>
    <row r="58" spans="1:38" ht="15" customHeight="1" x14ac:dyDescent="0.25">
      <c r="A58" s="163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</row>
    <row r="59" spans="1:38" ht="15" customHeight="1" x14ac:dyDescent="0.25">
      <c r="A59" s="163"/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</row>
    <row r="60" spans="1:38" ht="15" customHeight="1" x14ac:dyDescent="0.25">
      <c r="A60" s="163"/>
      <c r="B60" s="163"/>
      <c r="C60" s="163"/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</row>
    <row r="61" spans="1:38" ht="15" customHeight="1" x14ac:dyDescent="0.25">
      <c r="A61" s="163"/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</row>
    <row r="62" spans="1:38" ht="15" customHeight="1" x14ac:dyDescent="0.25">
      <c r="A62" s="163"/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</row>
    <row r="63" spans="1:38" ht="15" customHeight="1" x14ac:dyDescent="0.25">
      <c r="A63" s="163"/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</row>
    <row r="64" spans="1:38" ht="15" customHeight="1" x14ac:dyDescent="0.25">
      <c r="A64" s="163"/>
      <c r="B64" s="163"/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</row>
    <row r="65" spans="1:38" ht="15" customHeight="1" x14ac:dyDescent="0.25">
      <c r="A65" s="163"/>
      <c r="B65" s="163"/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</row>
    <row r="66" spans="1:38" ht="15" customHeight="1" x14ac:dyDescent="0.25">
      <c r="A66" s="163"/>
      <c r="B66" s="163"/>
      <c r="C66" s="163"/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</row>
    <row r="67" spans="1:38" ht="15" customHeight="1" x14ac:dyDescent="0.25">
      <c r="A67" s="163"/>
      <c r="B67" s="163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</row>
    <row r="68" spans="1:38" ht="15" customHeight="1" x14ac:dyDescent="0.25">
      <c r="A68" s="163"/>
      <c r="B68" s="163"/>
      <c r="C68" s="163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</row>
    <row r="69" spans="1:38" ht="15" customHeight="1" x14ac:dyDescent="0.25">
      <c r="A69" s="163"/>
      <c r="B69" s="163"/>
      <c r="C69" s="163"/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</row>
    <row r="70" spans="1:38" ht="15" customHeight="1" x14ac:dyDescent="0.25">
      <c r="A70" s="163"/>
      <c r="B70" s="61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61"/>
      <c r="T70" s="61"/>
      <c r="U70" s="130"/>
      <c r="V70" s="130"/>
      <c r="W70" s="130"/>
      <c r="X70" s="130"/>
      <c r="Y70" s="130"/>
      <c r="Z70" s="130"/>
      <c r="AA70" s="130"/>
      <c r="AB70" s="130"/>
      <c r="AC70" s="130"/>
      <c r="AD70" s="130"/>
      <c r="AE70" s="130"/>
      <c r="AF70" s="130"/>
      <c r="AG70" s="130"/>
      <c r="AH70" s="130"/>
      <c r="AI70" s="130"/>
      <c r="AJ70" s="130"/>
      <c r="AK70" s="163"/>
      <c r="AL70" s="163"/>
    </row>
    <row r="71" spans="1:38" ht="15" customHeight="1" x14ac:dyDescent="0.25">
      <c r="A71" s="163"/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</row>
  </sheetData>
  <mergeCells count="9">
    <mergeCell ref="C54:R54"/>
    <mergeCell ref="U54:AJ54"/>
    <mergeCell ref="B1:AK1"/>
    <mergeCell ref="C3:R3"/>
    <mergeCell ref="U3:AJ3"/>
    <mergeCell ref="C20:R20"/>
    <mergeCell ref="U20:AJ20"/>
    <mergeCell ref="C37:R37"/>
    <mergeCell ref="U37:AJ37"/>
  </mergeCells>
  <printOptions horizontalCentered="1"/>
  <pageMargins left="0.59055118110236227" right="0.59055118110236227" top="1.3779527559055118" bottom="0.78740157480314965" header="0.31496062992125984" footer="0.31496062992125984"/>
  <pageSetup paperSize="9" scale="67" orientation="portrait" horizontalDpi="300" verticalDpi="300" r:id="rId1"/>
  <headerFooter scaleWithDoc="0">
    <oddHeader>&amp;L&amp;G&amp;R&amp;G</oddHeader>
    <oddFooter>&amp;R&amp;"Verdana,Normal"&amp;8&amp;K00-049Página &amp;P de 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098" r:id="rId5" name="cb1Fotos">
          <controlPr defaultSize="0" autoLine="0" r:id="rId6">
            <anchor moveWithCells="1">
              <from>
                <xdr:col>38</xdr:col>
                <xdr:colOff>266700</xdr:colOff>
                <xdr:row>1</xdr:row>
                <xdr:rowOff>0</xdr:rowOff>
              </from>
              <to>
                <xdr:col>39</xdr:col>
                <xdr:colOff>180975</xdr:colOff>
                <xdr:row>1</xdr:row>
                <xdr:rowOff>57150</xdr:rowOff>
              </to>
            </anchor>
          </controlPr>
        </control>
      </mc:Choice>
      <mc:Fallback>
        <control shapeId="4098" r:id="rId5" name="cb1Foto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86831-F468-4875-A52B-D0E47905645F}">
  <sheetPr codeName="sh6C4">
    <pageSetUpPr fitToPage="1"/>
  </sheetPr>
  <dimension ref="A1:AF89"/>
  <sheetViews>
    <sheetView showGridLines="0" view="pageBreakPreview" zoomScaleNormal="100" zoomScaleSheetLayoutView="100" zoomScalePageLayoutView="55" workbookViewId="0">
      <selection activeCell="AA84" sqref="AA84"/>
    </sheetView>
  </sheetViews>
  <sheetFormatPr defaultColWidth="11.42578125" defaultRowHeight="15" x14ac:dyDescent="0.25"/>
  <cols>
    <col min="1" max="1" width="0.85546875" style="164" customWidth="1"/>
    <col min="2" max="2" width="3.42578125" style="164" customWidth="1"/>
    <col min="3" max="3" width="5.7109375" style="164" customWidth="1"/>
    <col min="4" max="4" width="8.7109375" style="164" customWidth="1"/>
    <col min="5" max="6" width="5.5703125" style="164" customWidth="1"/>
    <col min="7" max="7" width="4.42578125" style="164" customWidth="1"/>
    <col min="8" max="8" width="11.5703125" style="164" customWidth="1"/>
    <col min="9" max="9" width="4.28515625" style="164" customWidth="1"/>
    <col min="10" max="10" width="4.7109375" style="164" customWidth="1"/>
    <col min="11" max="11" width="4.5703125" style="164" customWidth="1"/>
    <col min="12" max="12" width="4" style="164" customWidth="1"/>
    <col min="13" max="13" width="6.5703125" style="164" customWidth="1"/>
    <col min="14" max="14" width="4.7109375" style="164" customWidth="1"/>
    <col min="15" max="15" width="8.85546875" style="164" customWidth="1"/>
    <col min="16" max="16" width="4.7109375" style="164" customWidth="1"/>
    <col min="17" max="17" width="4.5703125" style="164" customWidth="1"/>
    <col min="18" max="18" width="1.28515625" style="164" customWidth="1"/>
    <col min="19" max="20" width="4.5703125" style="164" customWidth="1"/>
    <col min="21" max="21" width="3.85546875" style="164" customWidth="1"/>
    <col min="22" max="22" width="8.7109375" style="164" customWidth="1"/>
    <col min="23" max="23" width="4.5703125" style="164" customWidth="1"/>
    <col min="24" max="24" width="8.7109375" style="164" customWidth="1"/>
    <col min="25" max="25" width="4.5703125" style="164" customWidth="1"/>
    <col min="26" max="26" width="0.85546875" style="164" customWidth="1"/>
    <col min="27" max="16384" width="11.42578125" style="164"/>
  </cols>
  <sheetData>
    <row r="1" spans="1:32" ht="12.95" customHeight="1" thickBot="1" x14ac:dyDescent="0.3">
      <c r="A1" s="165"/>
      <c r="B1" s="165"/>
      <c r="C1" s="165"/>
      <c r="D1" s="165"/>
      <c r="E1" s="677" t="s">
        <v>363</v>
      </c>
      <c r="F1" s="678"/>
      <c r="G1" s="678"/>
      <c r="H1" s="678"/>
      <c r="I1" s="678"/>
      <c r="J1" s="678"/>
      <c r="K1" s="678"/>
      <c r="L1" s="678"/>
      <c r="M1" s="678"/>
      <c r="N1" s="678"/>
      <c r="O1" s="678"/>
      <c r="P1" s="678"/>
      <c r="Q1" s="678"/>
      <c r="R1" s="678"/>
      <c r="S1" s="678"/>
      <c r="T1" s="678"/>
      <c r="U1" s="678"/>
      <c r="V1" s="678"/>
      <c r="W1" s="679"/>
      <c r="X1" s="165"/>
      <c r="Y1" s="165"/>
    </row>
    <row r="2" spans="1:32" ht="8.1" customHeight="1" x14ac:dyDescent="0.25">
      <c r="A2" s="165"/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</row>
    <row r="3" spans="1:32" ht="12.95" customHeight="1" x14ac:dyDescent="0.25">
      <c r="A3" s="165"/>
      <c r="B3" s="165" t="s">
        <v>362</v>
      </c>
      <c r="C3" s="165"/>
      <c r="D3" s="165"/>
      <c r="E3" s="165"/>
      <c r="F3" s="680">
        <f ca="1">DAY(Informe!$J$73)</f>
        <v>6</v>
      </c>
      <c r="G3" s="680"/>
      <c r="H3" s="176" t="s">
        <v>361</v>
      </c>
      <c r="I3" s="681" t="str">
        <f ca="1">+TEXT(Informe!$J$73,"MMMM")</f>
        <v>octubre</v>
      </c>
      <c r="J3" s="681"/>
      <c r="K3" s="681"/>
      <c r="L3" s="681"/>
      <c r="M3" s="681"/>
      <c r="N3" s="165" t="s">
        <v>361</v>
      </c>
      <c r="O3" s="682">
        <f ca="1">YEAR(Informe!$J$73)</f>
        <v>2020</v>
      </c>
      <c r="P3" s="682"/>
      <c r="Q3" s="165"/>
      <c r="R3" s="165"/>
      <c r="S3" s="165"/>
      <c r="T3" s="165"/>
      <c r="U3" s="165"/>
      <c r="V3" s="165"/>
      <c r="W3" s="165"/>
      <c r="X3" s="165"/>
      <c r="Y3" s="165"/>
    </row>
    <row r="4" spans="1:32" ht="8.1" customHeight="1" x14ac:dyDescent="0.25">
      <c r="A4" s="165"/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</row>
    <row r="5" spans="1:32" ht="12.95" customHeight="1" x14ac:dyDescent="0.25">
      <c r="A5" s="165"/>
      <c r="B5" s="165" t="s">
        <v>360</v>
      </c>
      <c r="C5" s="165"/>
      <c r="D5" s="165"/>
      <c r="E5" s="165"/>
      <c r="F5" s="671" t="s">
        <v>227</v>
      </c>
      <c r="G5" s="672"/>
      <c r="H5" s="672"/>
      <c r="I5" s="672"/>
      <c r="J5" s="672"/>
      <c r="K5" s="672"/>
      <c r="L5" s="672"/>
      <c r="M5" s="673"/>
      <c r="N5" s="165"/>
      <c r="O5" s="683" t="s">
        <v>188</v>
      </c>
      <c r="P5" s="683"/>
      <c r="Q5" s="671" t="str">
        <f>+Informe!I8</f>
        <v>BESCO S.A.C.</v>
      </c>
      <c r="R5" s="672"/>
      <c r="S5" s="672"/>
      <c r="T5" s="672"/>
      <c r="U5" s="672"/>
      <c r="V5" s="672"/>
      <c r="W5" s="672"/>
      <c r="X5" s="672"/>
      <c r="Y5" s="673"/>
    </row>
    <row r="6" spans="1:32" ht="5.25" customHeight="1" x14ac:dyDescent="0.25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</row>
    <row r="7" spans="1:32" s="169" customFormat="1" ht="15" customHeight="1" x14ac:dyDescent="0.25">
      <c r="A7" s="171"/>
      <c r="B7" s="168" t="s">
        <v>359</v>
      </c>
      <c r="C7" s="171"/>
      <c r="D7" s="171"/>
      <c r="E7" s="171"/>
      <c r="F7" s="684" t="str">
        <f>+Informe!I7</f>
        <v>Propietario</v>
      </c>
      <c r="G7" s="685"/>
      <c r="H7" s="685"/>
      <c r="I7" s="685"/>
      <c r="J7" s="685"/>
      <c r="K7" s="685"/>
      <c r="L7" s="685"/>
      <c r="M7" s="685"/>
      <c r="N7" s="685"/>
      <c r="O7" s="686"/>
      <c r="P7" s="168" t="s">
        <v>358</v>
      </c>
      <c r="Q7" s="171"/>
      <c r="R7" s="171"/>
      <c r="S7" s="171"/>
      <c r="T7" s="687" t="str">
        <f>+Informe!$AN$7</f>
        <v>625616</v>
      </c>
      <c r="U7" s="688"/>
      <c r="V7" s="688"/>
      <c r="W7" s="688"/>
      <c r="X7" s="688"/>
      <c r="Y7" s="689"/>
    </row>
    <row r="8" spans="1:32" ht="5.25" customHeight="1" x14ac:dyDescent="0.25">
      <c r="A8" s="165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</row>
    <row r="9" spans="1:32" ht="12.95" customHeight="1" x14ac:dyDescent="0.25">
      <c r="A9" s="165"/>
      <c r="B9" s="165" t="s">
        <v>357</v>
      </c>
      <c r="C9" s="165"/>
      <c r="D9" s="165"/>
      <c r="E9" s="165"/>
      <c r="F9" s="671" t="s">
        <v>16</v>
      </c>
      <c r="G9" s="672"/>
      <c r="H9" s="672"/>
      <c r="I9" s="672"/>
      <c r="J9" s="672"/>
      <c r="K9" s="672"/>
      <c r="L9" s="672"/>
      <c r="M9" s="672"/>
      <c r="N9" s="672"/>
      <c r="O9" s="673"/>
      <c r="P9" s="165" t="s">
        <v>356</v>
      </c>
      <c r="Q9" s="165"/>
      <c r="R9" s="165"/>
      <c r="S9" s="165"/>
      <c r="T9" s="671" t="s">
        <v>355</v>
      </c>
      <c r="U9" s="672"/>
      <c r="V9" s="672"/>
      <c r="W9" s="672"/>
      <c r="X9" s="672"/>
      <c r="Y9" s="673"/>
    </row>
    <row r="10" spans="1:32" ht="5.25" customHeight="1" x14ac:dyDescent="0.25">
      <c r="A10" s="165"/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</row>
    <row r="11" spans="1:32" s="366" customFormat="1" ht="12.95" customHeight="1" x14ac:dyDescent="0.25">
      <c r="A11" s="365"/>
      <c r="B11" s="365" t="s">
        <v>354</v>
      </c>
      <c r="C11" s="365"/>
      <c r="D11" s="365"/>
      <c r="E11" s="365"/>
      <c r="F11" s="365"/>
      <c r="G11" s="365"/>
      <c r="H11" s="365"/>
      <c r="I11" s="365"/>
      <c r="J11" s="365"/>
      <c r="K11" s="365"/>
      <c r="L11" s="365"/>
      <c r="M11" s="365"/>
      <c r="N11" s="365"/>
      <c r="O11" s="660" t="s">
        <v>353</v>
      </c>
      <c r="P11" s="674"/>
      <c r="Q11" s="674"/>
      <c r="R11" s="674"/>
      <c r="S11" s="674"/>
      <c r="T11" s="674"/>
      <c r="U11" s="674"/>
      <c r="V11" s="674"/>
      <c r="W11" s="674"/>
      <c r="X11" s="674"/>
      <c r="Y11" s="661"/>
      <c r="AB11" s="372">
        <v>0</v>
      </c>
      <c r="AC11" s="372">
        <v>1</v>
      </c>
      <c r="AD11" s="372">
        <v>0</v>
      </c>
      <c r="AE11" s="372">
        <v>0</v>
      </c>
      <c r="AF11" s="372">
        <v>0</v>
      </c>
    </row>
    <row r="12" spans="1:32" s="366" customFormat="1" ht="8.1" customHeight="1" x14ac:dyDescent="0.25">
      <c r="A12" s="365"/>
      <c r="B12" s="365"/>
      <c r="C12" s="365"/>
      <c r="D12" s="365"/>
      <c r="E12" s="365"/>
      <c r="F12" s="365"/>
      <c r="G12" s="365"/>
      <c r="H12" s="365"/>
      <c r="I12" s="365"/>
      <c r="J12" s="365"/>
      <c r="K12" s="365"/>
      <c r="L12" s="365"/>
      <c r="M12" s="365"/>
      <c r="N12" s="365"/>
      <c r="O12" s="365"/>
      <c r="P12" s="365"/>
      <c r="Q12" s="365"/>
      <c r="R12" s="365"/>
      <c r="S12" s="365"/>
      <c r="T12" s="365"/>
      <c r="U12" s="365"/>
      <c r="V12" s="365"/>
      <c r="W12" s="365"/>
      <c r="X12" s="365"/>
      <c r="Y12" s="365"/>
    </row>
    <row r="13" spans="1:32" s="366" customFormat="1" ht="12.75" customHeight="1" x14ac:dyDescent="0.25">
      <c r="A13" s="365"/>
      <c r="B13" s="653" t="s">
        <v>352</v>
      </c>
      <c r="C13" s="653"/>
      <c r="D13" s="653"/>
      <c r="E13" s="659" t="s">
        <v>351</v>
      </c>
      <c r="F13" s="659"/>
      <c r="G13" s="659"/>
      <c r="H13" s="365"/>
      <c r="I13" s="653" t="s">
        <v>350</v>
      </c>
      <c r="J13" s="653"/>
      <c r="K13" s="653"/>
      <c r="L13" s="675" t="str">
        <f>+MID(Informe!$B$41,FIND("No",Informe!$B$41)+3,3)</f>
        <v>104</v>
      </c>
      <c r="M13" s="675"/>
      <c r="N13" s="365"/>
      <c r="O13" s="365" t="s">
        <v>349</v>
      </c>
      <c r="P13" s="676" t="s">
        <v>348</v>
      </c>
      <c r="Q13" s="659"/>
      <c r="R13" s="659"/>
      <c r="S13" s="659"/>
      <c r="T13" s="659"/>
      <c r="U13" s="659"/>
      <c r="V13" s="659"/>
      <c r="W13" s="659"/>
      <c r="X13" s="659"/>
      <c r="Y13" s="659"/>
      <c r="AB13" s="372"/>
    </row>
    <row r="14" spans="1:32" s="366" customFormat="1" ht="5.25" customHeight="1" x14ac:dyDescent="0.25">
      <c r="A14" s="365"/>
      <c r="B14" s="365"/>
      <c r="C14" s="365"/>
      <c r="D14" s="365"/>
      <c r="E14" s="365"/>
      <c r="F14" s="365"/>
      <c r="G14" s="365"/>
      <c r="H14" s="365"/>
      <c r="I14" s="365"/>
      <c r="J14" s="365"/>
      <c r="K14" s="365"/>
      <c r="L14" s="365"/>
      <c r="M14" s="365"/>
      <c r="N14" s="365"/>
      <c r="O14" s="365"/>
      <c r="P14" s="365"/>
      <c r="Q14" s="365"/>
      <c r="R14" s="365"/>
      <c r="S14" s="365"/>
      <c r="T14" s="365"/>
      <c r="U14" s="365"/>
      <c r="V14" s="365"/>
      <c r="W14" s="365"/>
      <c r="X14" s="365"/>
      <c r="Y14" s="365"/>
    </row>
    <row r="15" spans="1:32" s="366" customFormat="1" ht="12.95" customHeight="1" x14ac:dyDescent="0.25">
      <c r="A15" s="365"/>
      <c r="B15" s="365" t="s">
        <v>30</v>
      </c>
      <c r="C15" s="365"/>
      <c r="D15" s="365"/>
      <c r="E15" s="660" t="s">
        <v>346</v>
      </c>
      <c r="F15" s="674"/>
      <c r="G15" s="674"/>
      <c r="H15" s="661"/>
      <c r="I15" s="365"/>
      <c r="J15" s="365" t="s">
        <v>347</v>
      </c>
      <c r="K15" s="365"/>
      <c r="L15" s="660" t="s">
        <v>346</v>
      </c>
      <c r="M15" s="674"/>
      <c r="N15" s="674"/>
      <c r="O15" s="661"/>
      <c r="P15" s="365"/>
      <c r="Q15" s="365"/>
      <c r="R15" s="365"/>
      <c r="S15" s="365" t="s">
        <v>345</v>
      </c>
      <c r="T15" s="365"/>
      <c r="U15" s="365"/>
      <c r="V15" s="660" t="s">
        <v>344</v>
      </c>
      <c r="W15" s="674"/>
      <c r="X15" s="661"/>
      <c r="Y15" s="365"/>
    </row>
    <row r="16" spans="1:32" s="366" customFormat="1" ht="5.25" customHeight="1" x14ac:dyDescent="0.25">
      <c r="A16" s="365"/>
      <c r="B16" s="365"/>
      <c r="C16" s="365"/>
      <c r="D16" s="365"/>
      <c r="E16" s="365"/>
      <c r="F16" s="365"/>
      <c r="G16" s="365"/>
      <c r="H16" s="365"/>
      <c r="I16" s="365"/>
      <c r="J16" s="365"/>
      <c r="K16" s="365"/>
      <c r="L16" s="365"/>
      <c r="M16" s="365"/>
      <c r="N16" s="365"/>
      <c r="O16" s="365"/>
      <c r="P16" s="365"/>
      <c r="Q16" s="365"/>
      <c r="R16" s="365"/>
      <c r="S16" s="365"/>
      <c r="T16" s="365"/>
      <c r="U16" s="365"/>
      <c r="V16" s="365"/>
      <c r="W16" s="365"/>
      <c r="X16" s="365"/>
      <c r="Y16" s="365"/>
    </row>
    <row r="17" spans="1:27" s="366" customFormat="1" x14ac:dyDescent="0.25">
      <c r="A17" s="365"/>
      <c r="B17" s="365" t="s">
        <v>343</v>
      </c>
      <c r="C17" s="365"/>
      <c r="D17" s="365"/>
      <c r="E17" s="654" t="s">
        <v>342</v>
      </c>
      <c r="F17" s="656"/>
      <c r="G17" s="655"/>
      <c r="H17" s="373" t="s">
        <v>254</v>
      </c>
      <c r="I17" s="663" t="s">
        <v>341</v>
      </c>
      <c r="J17" s="664"/>
      <c r="K17" s="665"/>
      <c r="L17" s="373"/>
      <c r="M17" s="663" t="s">
        <v>340</v>
      </c>
      <c r="N17" s="664"/>
      <c r="O17" s="665"/>
      <c r="P17" s="373" t="s">
        <v>254</v>
      </c>
      <c r="Q17" s="663" t="s">
        <v>339</v>
      </c>
      <c r="R17" s="664"/>
      <c r="S17" s="664"/>
      <c r="T17" s="665"/>
      <c r="U17" s="373"/>
      <c r="V17" s="663" t="s">
        <v>338</v>
      </c>
      <c r="W17" s="664"/>
      <c r="X17" s="665"/>
      <c r="Y17" s="373"/>
    </row>
    <row r="18" spans="1:27" s="366" customFormat="1" ht="12" customHeight="1" x14ac:dyDescent="0.25">
      <c r="A18" s="365"/>
      <c r="B18" s="365"/>
      <c r="C18" s="365"/>
      <c r="D18" s="365"/>
      <c r="E18" s="365"/>
      <c r="F18" s="374" t="s">
        <v>337</v>
      </c>
      <c r="G18" s="365"/>
      <c r="H18" s="365"/>
      <c r="I18" s="365"/>
      <c r="J18" s="365"/>
      <c r="K18" s="365"/>
      <c r="L18" s="365"/>
      <c r="M18" s="365"/>
      <c r="N18" s="365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</row>
    <row r="19" spans="1:27" s="366" customFormat="1" x14ac:dyDescent="0.25">
      <c r="A19" s="365"/>
      <c r="B19" s="365"/>
      <c r="C19" s="365"/>
      <c r="D19" s="365"/>
      <c r="E19" s="666" t="s">
        <v>336</v>
      </c>
      <c r="F19" s="667"/>
      <c r="G19" s="668"/>
      <c r="H19" s="373"/>
      <c r="I19" s="654" t="s">
        <v>335</v>
      </c>
      <c r="J19" s="655"/>
      <c r="K19" s="375" t="s">
        <v>334</v>
      </c>
      <c r="L19" s="373"/>
      <c r="M19" s="653" t="s">
        <v>333</v>
      </c>
      <c r="N19" s="653"/>
      <c r="O19" s="373"/>
      <c r="P19" s="376" t="s">
        <v>332</v>
      </c>
      <c r="Q19" s="645"/>
      <c r="R19" s="645"/>
      <c r="S19" s="654" t="s">
        <v>331</v>
      </c>
      <c r="T19" s="655"/>
      <c r="U19" s="373"/>
      <c r="V19" s="375" t="s">
        <v>330</v>
      </c>
      <c r="W19" s="373"/>
      <c r="X19" s="669"/>
      <c r="Y19" s="670"/>
    </row>
    <row r="20" spans="1:27" ht="12" customHeight="1" thickBot="1" x14ac:dyDescent="0.3">
      <c r="A20" s="165"/>
      <c r="B20" s="165"/>
      <c r="C20" s="165"/>
      <c r="D20" s="175" t="s">
        <v>329</v>
      </c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</row>
    <row r="21" spans="1:27" ht="15.75" thickBot="1" x14ac:dyDescent="0.3">
      <c r="A21" s="165"/>
      <c r="B21" s="636" t="s">
        <v>328</v>
      </c>
      <c r="C21" s="637"/>
      <c r="D21" s="637"/>
      <c r="E21" s="637"/>
      <c r="F21" s="637"/>
      <c r="G21" s="637"/>
      <c r="H21" s="637"/>
      <c r="I21" s="637"/>
      <c r="J21" s="637"/>
      <c r="K21" s="637"/>
      <c r="L21" s="637"/>
      <c r="M21" s="637"/>
      <c r="N21" s="637"/>
      <c r="O21" s="637"/>
      <c r="P21" s="637"/>
      <c r="Q21" s="637"/>
      <c r="R21" s="637"/>
      <c r="S21" s="637"/>
      <c r="T21" s="637"/>
      <c r="U21" s="637"/>
      <c r="V21" s="637"/>
      <c r="W21" s="637"/>
      <c r="X21" s="637"/>
      <c r="Y21" s="638"/>
    </row>
    <row r="22" spans="1:27" ht="5.25" customHeight="1" x14ac:dyDescent="0.25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</row>
    <row r="23" spans="1:27" s="366" customFormat="1" x14ac:dyDescent="0.25">
      <c r="A23" s="365"/>
      <c r="B23" s="377" t="s">
        <v>327</v>
      </c>
      <c r="C23" s="377"/>
      <c r="D23" s="365"/>
      <c r="E23" s="365"/>
      <c r="F23" s="365"/>
      <c r="G23" s="365"/>
      <c r="H23" s="365"/>
      <c r="I23" s="365"/>
      <c r="J23" s="365"/>
      <c r="K23" s="365"/>
      <c r="L23" s="365"/>
      <c r="M23" s="365"/>
      <c r="N23" s="365"/>
      <c r="O23" s="365"/>
      <c r="P23" s="365" t="s">
        <v>326</v>
      </c>
      <c r="Q23" s="365"/>
      <c r="R23" s="365"/>
      <c r="S23" s="365"/>
      <c r="T23" s="365"/>
      <c r="U23" s="365"/>
      <c r="V23" s="365"/>
      <c r="W23" s="365"/>
      <c r="X23" s="378" t="str">
        <f>+MID(Informe!$D$157,FIND("º",Informe!$D$157)-1,1)</f>
        <v>1</v>
      </c>
      <c r="Y23" s="365"/>
    </row>
    <row r="24" spans="1:27" s="366" customFormat="1" ht="3.75" customHeight="1" x14ac:dyDescent="0.3">
      <c r="A24" s="365"/>
      <c r="B24" s="365"/>
      <c r="C24" s="365"/>
      <c r="D24" s="379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65"/>
      <c r="Y24" s="365"/>
    </row>
    <row r="25" spans="1:27" s="366" customFormat="1" ht="15.75" x14ac:dyDescent="0.3">
      <c r="A25" s="365"/>
      <c r="B25" s="377" t="s">
        <v>325</v>
      </c>
      <c r="C25" s="377"/>
      <c r="D25" s="379"/>
      <c r="E25" s="365"/>
      <c r="F25" s="365"/>
      <c r="G25" s="365"/>
      <c r="H25" s="365" t="s">
        <v>171</v>
      </c>
      <c r="I25" s="365"/>
      <c r="J25" s="365"/>
      <c r="K25" s="657">
        <f>+Informe!$P$119</f>
        <v>55906.879999999997</v>
      </c>
      <c r="L25" s="658"/>
      <c r="M25" s="365"/>
      <c r="N25" s="365"/>
      <c r="O25" s="365"/>
      <c r="P25" s="365"/>
      <c r="Q25" s="365" t="s">
        <v>166</v>
      </c>
      <c r="R25" s="365"/>
      <c r="S25" s="365"/>
      <c r="T25" s="365"/>
      <c r="U25" s="365"/>
      <c r="V25" s="365"/>
      <c r="W25" s="365"/>
      <c r="X25" s="380">
        <f>+Informe!$P$41</f>
        <v>62.9</v>
      </c>
      <c r="Y25" s="365"/>
    </row>
    <row r="26" spans="1:27" s="366" customFormat="1" ht="3.75" customHeight="1" x14ac:dyDescent="0.3">
      <c r="A26" s="365"/>
      <c r="B26" s="365"/>
      <c r="C26" s="365"/>
      <c r="D26" s="379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65"/>
      <c r="Y26" s="365"/>
    </row>
    <row r="27" spans="1:27" s="366" customFormat="1" ht="15.75" x14ac:dyDescent="0.3">
      <c r="A27" s="365"/>
      <c r="B27" s="381" t="s">
        <v>324</v>
      </c>
      <c r="C27" s="382"/>
      <c r="D27" s="383"/>
      <c r="E27" s="382"/>
      <c r="F27" s="382"/>
      <c r="G27" s="382"/>
      <c r="H27" s="382"/>
      <c r="I27" s="382"/>
      <c r="J27" s="382"/>
      <c r="K27" s="382"/>
      <c r="L27" s="384"/>
      <c r="M27" s="365"/>
      <c r="N27" s="365"/>
      <c r="O27" s="365"/>
      <c r="P27" s="365"/>
      <c r="Q27" s="365" t="s">
        <v>323</v>
      </c>
      <c r="R27" s="365"/>
      <c r="S27" s="365"/>
      <c r="T27" s="365"/>
      <c r="U27" s="365"/>
      <c r="V27" s="365"/>
      <c r="W27" s="365"/>
      <c r="X27" s="378">
        <f ca="1">2019-Informe!$J$62</f>
        <v>-1</v>
      </c>
      <c r="Y27" s="385" t="s">
        <v>322</v>
      </c>
    </row>
    <row r="28" spans="1:27" s="366" customFormat="1" ht="3" customHeight="1" x14ac:dyDescent="0.25">
      <c r="A28" s="365"/>
      <c r="B28" s="365"/>
      <c r="C28" s="365"/>
      <c r="D28" s="365"/>
      <c r="E28" s="365"/>
      <c r="F28" s="365"/>
      <c r="G28" s="365"/>
      <c r="H28" s="365"/>
      <c r="I28" s="365"/>
      <c r="J28" s="365"/>
      <c r="K28" s="365"/>
      <c r="L28" s="365"/>
      <c r="M28" s="365"/>
      <c r="N28" s="365"/>
      <c r="O28" s="365"/>
      <c r="P28" s="365"/>
      <c r="Q28" s="365"/>
      <c r="R28" s="365"/>
      <c r="S28" s="365"/>
      <c r="T28" s="365"/>
      <c r="U28" s="365"/>
      <c r="V28" s="365"/>
      <c r="W28" s="365"/>
      <c r="X28" s="365"/>
      <c r="Y28" s="365"/>
    </row>
    <row r="29" spans="1:27" s="366" customFormat="1" ht="12.75" customHeight="1" x14ac:dyDescent="0.25">
      <c r="A29" s="365"/>
      <c r="B29" s="365" t="s">
        <v>321</v>
      </c>
      <c r="C29" s="365"/>
      <c r="D29" s="365"/>
      <c r="E29" s="365"/>
      <c r="F29" s="365"/>
      <c r="G29" s="365"/>
      <c r="H29" s="365" t="s">
        <v>320</v>
      </c>
      <c r="I29" s="365"/>
      <c r="J29" s="365"/>
      <c r="K29" s="659">
        <v>2</v>
      </c>
      <c r="L29" s="659"/>
      <c r="M29" s="365"/>
      <c r="N29" s="365"/>
      <c r="O29" s="365" t="s">
        <v>319</v>
      </c>
      <c r="P29" s="365"/>
      <c r="Q29" s="365"/>
      <c r="R29" s="365"/>
      <c r="S29" s="660">
        <v>0</v>
      </c>
      <c r="T29" s="661"/>
      <c r="U29" s="365"/>
      <c r="V29" s="386"/>
      <c r="W29" s="365"/>
      <c r="X29" s="365"/>
      <c r="Y29" s="365"/>
    </row>
    <row r="30" spans="1:27" s="366" customFormat="1" ht="12.75" customHeight="1" x14ac:dyDescent="0.25">
      <c r="A30" s="365"/>
      <c r="B30" s="365" t="s">
        <v>318</v>
      </c>
      <c r="C30" s="365"/>
      <c r="D30" s="365"/>
      <c r="E30" s="365"/>
      <c r="F30" s="365"/>
      <c r="G30" s="365"/>
      <c r="H30" s="365" t="s">
        <v>317</v>
      </c>
      <c r="I30" s="365"/>
      <c r="J30" s="365"/>
      <c r="K30" s="365"/>
      <c r="L30" s="365"/>
      <c r="M30" s="365"/>
      <c r="N30" s="365"/>
      <c r="O30" s="365" t="s">
        <v>316</v>
      </c>
      <c r="P30" s="365"/>
      <c r="Q30" s="365"/>
      <c r="R30" s="365"/>
      <c r="S30" s="365"/>
      <c r="T30" s="365"/>
      <c r="U30" s="365"/>
      <c r="V30" s="365"/>
      <c r="W30" s="365"/>
      <c r="X30" s="365"/>
      <c r="Y30" s="365"/>
    </row>
    <row r="31" spans="1:27" s="366" customFormat="1" ht="12.75" customHeight="1" x14ac:dyDescent="0.25">
      <c r="A31" s="365"/>
      <c r="B31" s="365" t="s">
        <v>315</v>
      </c>
      <c r="C31" s="365"/>
      <c r="D31" s="365"/>
      <c r="E31" s="660">
        <v>2</v>
      </c>
      <c r="F31" s="661"/>
      <c r="G31" s="365"/>
      <c r="H31" s="365" t="s">
        <v>314</v>
      </c>
      <c r="I31" s="365"/>
      <c r="J31" s="365"/>
      <c r="K31" s="365"/>
      <c r="L31" s="365"/>
      <c r="M31" s="365"/>
      <c r="N31" s="365"/>
      <c r="O31" s="365" t="s">
        <v>313</v>
      </c>
      <c r="P31" s="365"/>
      <c r="Q31" s="365"/>
      <c r="R31" s="365"/>
      <c r="S31" s="365"/>
      <c r="T31" s="365"/>
      <c r="U31" s="365"/>
      <c r="W31" s="365"/>
      <c r="X31" s="365"/>
      <c r="Y31" s="365"/>
      <c r="AA31" s="365"/>
    </row>
    <row r="32" spans="1:27" s="366" customFormat="1" ht="12.75" customHeight="1" x14ac:dyDescent="0.25">
      <c r="A32" s="365"/>
      <c r="B32" s="365" t="s">
        <v>312</v>
      </c>
      <c r="C32" s="365"/>
      <c r="D32" s="365"/>
      <c r="E32" s="365"/>
      <c r="F32" s="365"/>
      <c r="G32" s="365"/>
      <c r="H32" s="365" t="s">
        <v>311</v>
      </c>
      <c r="I32" s="365"/>
      <c r="J32" s="365"/>
      <c r="K32" s="365"/>
      <c r="L32" s="365"/>
      <c r="M32" s="365"/>
      <c r="N32" s="365"/>
      <c r="O32" s="365" t="s">
        <v>310</v>
      </c>
      <c r="P32" s="365"/>
      <c r="Q32" s="365"/>
      <c r="R32" s="365"/>
      <c r="S32" s="365"/>
      <c r="T32" s="365"/>
      <c r="U32" s="365"/>
      <c r="V32" s="365"/>
      <c r="W32" s="365"/>
      <c r="X32" s="365"/>
      <c r="Y32" s="365"/>
    </row>
    <row r="33" spans="1:25" s="366" customFormat="1" ht="12.75" customHeight="1" x14ac:dyDescent="0.25">
      <c r="A33" s="365"/>
      <c r="B33" s="365"/>
      <c r="C33" s="365"/>
      <c r="D33" s="365"/>
      <c r="E33" s="365"/>
      <c r="F33" s="365"/>
      <c r="G33" s="365"/>
      <c r="H33" s="662" t="s">
        <v>309</v>
      </c>
      <c r="I33" s="662"/>
      <c r="J33" s="365"/>
      <c r="K33" s="365"/>
      <c r="L33" s="365"/>
      <c r="M33" s="365"/>
      <c r="N33" s="365"/>
      <c r="O33" s="365" t="s">
        <v>308</v>
      </c>
      <c r="P33" s="365"/>
      <c r="Q33" s="365"/>
      <c r="R33" s="365"/>
      <c r="S33" s="365"/>
      <c r="T33" s="365"/>
      <c r="U33" s="365"/>
      <c r="V33" s="365"/>
      <c r="W33" s="365"/>
      <c r="X33" s="365"/>
      <c r="Y33" s="365"/>
    </row>
    <row r="34" spans="1:25" s="366" customFormat="1" ht="12.75" customHeight="1" x14ac:dyDescent="0.25">
      <c r="A34" s="365"/>
      <c r="B34" s="365"/>
      <c r="C34" s="365"/>
      <c r="D34" s="365"/>
      <c r="E34" s="365"/>
      <c r="F34" s="365"/>
      <c r="G34" s="365"/>
      <c r="H34" s="662"/>
      <c r="I34" s="662"/>
      <c r="J34" s="365"/>
      <c r="K34" s="365"/>
      <c r="L34" s="365"/>
      <c r="M34" s="365"/>
      <c r="N34" s="365"/>
      <c r="O34" s="365" t="s">
        <v>307</v>
      </c>
      <c r="P34" s="365"/>
      <c r="Q34" s="365"/>
      <c r="R34" s="365"/>
      <c r="S34" s="365"/>
      <c r="T34" s="365"/>
      <c r="U34" s="365"/>
      <c r="V34" s="365"/>
      <c r="W34" s="365"/>
      <c r="X34" s="365"/>
      <c r="Y34" s="365"/>
    </row>
    <row r="35" spans="1:25" s="366" customFormat="1" ht="12.75" customHeight="1" x14ac:dyDescent="0.25">
      <c r="A35" s="365"/>
      <c r="B35" s="365"/>
      <c r="C35" s="365"/>
      <c r="D35" s="365"/>
      <c r="E35" s="365"/>
      <c r="F35" s="365"/>
      <c r="G35" s="365"/>
      <c r="H35" s="365"/>
      <c r="I35" s="365"/>
      <c r="J35" s="365"/>
      <c r="K35" s="365"/>
      <c r="L35" s="365"/>
      <c r="M35" s="365"/>
      <c r="N35" s="365"/>
      <c r="O35" s="365" t="s">
        <v>306</v>
      </c>
      <c r="P35" s="365"/>
      <c r="Q35" s="365"/>
      <c r="R35" s="365"/>
      <c r="S35" s="365"/>
      <c r="T35" s="365"/>
      <c r="U35" s="365"/>
      <c r="V35" s="365"/>
      <c r="W35" s="365"/>
      <c r="X35" s="365"/>
      <c r="Y35" s="365"/>
    </row>
    <row r="36" spans="1:25" ht="3.75" customHeight="1" thickBot="1" x14ac:dyDescent="0.3">
      <c r="A36" s="165"/>
      <c r="B36" s="165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</row>
    <row r="37" spans="1:25" ht="15.75" thickBot="1" x14ac:dyDescent="0.3">
      <c r="A37" s="165"/>
      <c r="B37" s="636" t="s">
        <v>305</v>
      </c>
      <c r="C37" s="637"/>
      <c r="D37" s="637"/>
      <c r="E37" s="637"/>
      <c r="F37" s="637"/>
      <c r="G37" s="637"/>
      <c r="H37" s="637"/>
      <c r="I37" s="637"/>
      <c r="J37" s="637"/>
      <c r="K37" s="637"/>
      <c r="L37" s="637"/>
      <c r="M37" s="637"/>
      <c r="N37" s="637"/>
      <c r="O37" s="637"/>
      <c r="P37" s="637"/>
      <c r="Q37" s="637"/>
      <c r="R37" s="637"/>
      <c r="S37" s="637"/>
      <c r="T37" s="637"/>
      <c r="U37" s="637"/>
      <c r="V37" s="637"/>
      <c r="W37" s="637"/>
      <c r="X37" s="637"/>
      <c r="Y37" s="638"/>
    </row>
    <row r="38" spans="1:25" ht="4.5" customHeight="1" x14ac:dyDescent="0.25">
      <c r="A38" s="165"/>
      <c r="B38" s="165"/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</row>
    <row r="39" spans="1:25" s="366" customFormat="1" ht="14.1" customHeight="1" x14ac:dyDescent="0.25">
      <c r="A39" s="365"/>
      <c r="B39" s="387" t="s">
        <v>304</v>
      </c>
      <c r="C39" s="388"/>
      <c r="D39" s="389"/>
      <c r="E39" s="389"/>
      <c r="F39" s="389"/>
      <c r="G39" s="387" t="s">
        <v>303</v>
      </c>
      <c r="H39" s="388"/>
      <c r="I39" s="389"/>
      <c r="J39" s="390"/>
      <c r="K39" s="387" t="s">
        <v>302</v>
      </c>
      <c r="L39" s="389"/>
      <c r="M39" s="389"/>
      <c r="N39" s="390"/>
      <c r="O39" s="387" t="s">
        <v>301</v>
      </c>
      <c r="P39" s="390"/>
      <c r="Q39" s="387" t="s">
        <v>300</v>
      </c>
      <c r="R39" s="389"/>
      <c r="S39" s="389"/>
      <c r="T39" s="389"/>
      <c r="U39" s="389"/>
      <c r="V39" s="389"/>
      <c r="W39" s="389"/>
      <c r="X39" s="389"/>
      <c r="Y39" s="390"/>
    </row>
    <row r="40" spans="1:25" s="366" customFormat="1" ht="12" customHeight="1" x14ac:dyDescent="0.25">
      <c r="A40" s="365"/>
      <c r="B40" s="391" t="s">
        <v>299</v>
      </c>
      <c r="C40" s="365"/>
      <c r="D40" s="365"/>
      <c r="E40" s="373" t="s">
        <v>254</v>
      </c>
      <c r="F40" s="365"/>
      <c r="G40" s="391" t="s">
        <v>298</v>
      </c>
      <c r="H40" s="365"/>
      <c r="I40" s="365"/>
      <c r="J40" s="373" t="s">
        <v>254</v>
      </c>
      <c r="K40" s="391" t="s">
        <v>298</v>
      </c>
      <c r="L40" s="365"/>
      <c r="M40" s="365"/>
      <c r="N40" s="373" t="s">
        <v>254</v>
      </c>
      <c r="O40" s="391" t="s">
        <v>297</v>
      </c>
      <c r="P40" s="373" t="s">
        <v>254</v>
      </c>
      <c r="Q40" s="391" t="s">
        <v>203</v>
      </c>
      <c r="R40" s="365"/>
      <c r="S40" s="365"/>
      <c r="T40" s="373"/>
      <c r="U40" s="365"/>
      <c r="V40" s="365"/>
      <c r="W40" s="365" t="s">
        <v>296</v>
      </c>
      <c r="X40" s="365"/>
      <c r="Y40" s="392"/>
    </row>
    <row r="41" spans="1:25" s="366" customFormat="1" ht="12" customHeight="1" x14ac:dyDescent="0.25">
      <c r="A41" s="365"/>
      <c r="B41" s="391" t="s">
        <v>295</v>
      </c>
      <c r="C41" s="365"/>
      <c r="D41" s="365"/>
      <c r="E41" s="373"/>
      <c r="F41" s="365"/>
      <c r="G41" s="391" t="s">
        <v>294</v>
      </c>
      <c r="H41" s="365"/>
      <c r="I41" s="365"/>
      <c r="J41" s="373"/>
      <c r="K41" s="391" t="s">
        <v>294</v>
      </c>
      <c r="L41" s="365"/>
      <c r="M41" s="365"/>
      <c r="N41" s="373"/>
      <c r="O41" s="391" t="s">
        <v>293</v>
      </c>
      <c r="P41" s="373"/>
      <c r="Q41" s="391" t="s">
        <v>292</v>
      </c>
      <c r="R41" s="365"/>
      <c r="S41" s="365"/>
      <c r="T41" s="373" t="s">
        <v>254</v>
      </c>
      <c r="U41" s="365"/>
      <c r="V41" s="365" t="s">
        <v>291</v>
      </c>
      <c r="W41" s="373"/>
      <c r="X41" s="365" t="s">
        <v>203</v>
      </c>
      <c r="Y41" s="373" t="s">
        <v>254</v>
      </c>
    </row>
    <row r="42" spans="1:25" s="366" customFormat="1" ht="12" customHeight="1" x14ac:dyDescent="0.25">
      <c r="A42" s="365"/>
      <c r="B42" s="393" t="s">
        <v>290</v>
      </c>
      <c r="C42" s="394"/>
      <c r="D42" s="394"/>
      <c r="E42" s="373" t="s">
        <v>254</v>
      </c>
      <c r="F42" s="394"/>
      <c r="G42" s="393" t="s">
        <v>289</v>
      </c>
      <c r="H42" s="394"/>
      <c r="I42" s="394"/>
      <c r="J42" s="373"/>
      <c r="K42" s="393" t="s">
        <v>289</v>
      </c>
      <c r="L42" s="394"/>
      <c r="M42" s="394"/>
      <c r="N42" s="373"/>
      <c r="O42" s="393"/>
      <c r="P42" s="395"/>
      <c r="Q42" s="393"/>
      <c r="R42" s="394"/>
      <c r="S42" s="394"/>
      <c r="T42" s="394"/>
      <c r="U42" s="394"/>
      <c r="V42" s="394" t="s">
        <v>288</v>
      </c>
      <c r="W42" s="373"/>
      <c r="X42" s="394" t="s">
        <v>287</v>
      </c>
      <c r="Y42" s="373"/>
    </row>
    <row r="43" spans="1:25" s="366" customFormat="1" x14ac:dyDescent="0.25">
      <c r="A43" s="365"/>
      <c r="B43" s="365" t="s">
        <v>286</v>
      </c>
      <c r="C43" s="365"/>
      <c r="D43" s="365"/>
      <c r="E43" s="365"/>
      <c r="F43" s="365"/>
      <c r="G43" s="365"/>
      <c r="H43" s="365"/>
      <c r="I43" s="365"/>
      <c r="J43" s="365"/>
      <c r="K43" s="365"/>
      <c r="L43" s="365"/>
      <c r="M43" s="365"/>
      <c r="N43" s="365"/>
      <c r="O43" s="365"/>
      <c r="P43" s="365"/>
      <c r="Q43" s="365"/>
      <c r="R43" s="365"/>
      <c r="S43" s="365"/>
      <c r="T43" s="365"/>
      <c r="U43" s="365"/>
      <c r="V43" s="365"/>
      <c r="W43" s="365"/>
      <c r="X43" s="365"/>
      <c r="Y43" s="365"/>
    </row>
    <row r="44" spans="1:25" s="366" customFormat="1" ht="14.1" customHeight="1" x14ac:dyDescent="0.3">
      <c r="A44" s="365"/>
      <c r="B44" s="647" t="s">
        <v>285</v>
      </c>
      <c r="C44" s="648"/>
      <c r="D44" s="396" t="s">
        <v>284</v>
      </c>
      <c r="E44" s="382" t="s">
        <v>283</v>
      </c>
      <c r="F44" s="382"/>
      <c r="G44" s="384"/>
      <c r="H44" s="373"/>
      <c r="I44" s="381" t="s">
        <v>282</v>
      </c>
      <c r="J44" s="382"/>
      <c r="K44" s="651"/>
      <c r="L44" s="652"/>
      <c r="M44" s="382" t="s">
        <v>281</v>
      </c>
      <c r="N44" s="382"/>
      <c r="O44" s="382"/>
      <c r="P44" s="373"/>
      <c r="Q44" s="365"/>
      <c r="R44" s="634" t="s">
        <v>280</v>
      </c>
      <c r="S44" s="634"/>
      <c r="T44" s="634"/>
      <c r="U44" s="634"/>
      <c r="V44" s="378" t="s">
        <v>279</v>
      </c>
      <c r="W44" s="373"/>
      <c r="X44" s="378" t="s">
        <v>278</v>
      </c>
      <c r="Y44" s="373" t="s">
        <v>254</v>
      </c>
    </row>
    <row r="45" spans="1:25" s="366" customFormat="1" ht="14.1" customHeight="1" x14ac:dyDescent="0.3">
      <c r="A45" s="365"/>
      <c r="B45" s="649"/>
      <c r="C45" s="650"/>
      <c r="D45" s="396" t="s">
        <v>277</v>
      </c>
      <c r="E45" s="382" t="s">
        <v>276</v>
      </c>
      <c r="F45" s="382"/>
      <c r="G45" s="384"/>
      <c r="H45" s="397"/>
      <c r="I45" s="393" t="s">
        <v>275</v>
      </c>
      <c r="J45" s="394"/>
      <c r="K45" s="651"/>
      <c r="L45" s="652"/>
      <c r="M45" s="394" t="s">
        <v>274</v>
      </c>
      <c r="N45" s="394"/>
      <c r="O45" s="394" t="s">
        <v>273</v>
      </c>
      <c r="P45" s="373" t="s">
        <v>254</v>
      </c>
      <c r="Q45" s="365"/>
      <c r="R45" s="634"/>
      <c r="S45" s="634"/>
      <c r="T45" s="634"/>
      <c r="U45" s="634"/>
      <c r="V45" s="378" t="s">
        <v>272</v>
      </c>
      <c r="W45" s="397"/>
      <c r="X45" s="378" t="s">
        <v>271</v>
      </c>
      <c r="Y45" s="397"/>
    </row>
    <row r="46" spans="1:25" s="366" customFormat="1" ht="8.1" customHeight="1" x14ac:dyDescent="0.25">
      <c r="A46" s="365"/>
      <c r="B46" s="365"/>
      <c r="C46" s="365"/>
      <c r="D46" s="365"/>
      <c r="E46" s="365"/>
      <c r="F46" s="365"/>
      <c r="G46" s="365"/>
      <c r="H46" s="365"/>
      <c r="I46" s="365"/>
      <c r="J46" s="365"/>
      <c r="K46" s="365"/>
      <c r="L46" s="365"/>
      <c r="M46" s="365"/>
      <c r="N46" s="365"/>
      <c r="O46" s="365"/>
      <c r="P46" s="365"/>
      <c r="Q46" s="365"/>
      <c r="R46" s="365"/>
      <c r="S46" s="365"/>
      <c r="T46" s="365"/>
      <c r="U46" s="365"/>
      <c r="V46" s="365"/>
      <c r="W46" s="365"/>
      <c r="X46" s="365"/>
      <c r="Y46" s="365"/>
    </row>
    <row r="47" spans="1:25" s="366" customFormat="1" ht="12" customHeight="1" x14ac:dyDescent="0.25">
      <c r="A47" s="365"/>
      <c r="B47" s="398" t="s">
        <v>270</v>
      </c>
      <c r="C47" s="389"/>
      <c r="D47" s="389"/>
      <c r="E47" s="389"/>
      <c r="F47" s="389"/>
      <c r="G47" s="389"/>
      <c r="H47" s="389"/>
      <c r="I47" s="389"/>
      <c r="J47" s="389"/>
      <c r="K47" s="389"/>
      <c r="L47" s="389"/>
      <c r="M47" s="389"/>
      <c r="N47" s="389"/>
      <c r="O47" s="389"/>
      <c r="P47" s="390"/>
      <c r="Q47" s="365"/>
      <c r="R47" s="398" t="s">
        <v>269</v>
      </c>
      <c r="S47" s="389"/>
      <c r="T47" s="389"/>
      <c r="U47" s="389"/>
      <c r="V47" s="389"/>
      <c r="W47" s="389"/>
      <c r="X47" s="389"/>
      <c r="Y47" s="390"/>
    </row>
    <row r="48" spans="1:25" s="366" customFormat="1" ht="12" customHeight="1" x14ac:dyDescent="0.25">
      <c r="A48" s="365"/>
      <c r="B48" s="393" t="s">
        <v>268</v>
      </c>
      <c r="C48" s="394"/>
      <c r="D48" s="394"/>
      <c r="E48" s="373" t="s">
        <v>254</v>
      </c>
      <c r="F48" s="394"/>
      <c r="G48" s="394"/>
      <c r="H48" s="394" t="s">
        <v>267</v>
      </c>
      <c r="I48" s="394"/>
      <c r="J48" s="373"/>
      <c r="K48" s="394"/>
      <c r="L48" s="394"/>
      <c r="M48" s="394"/>
      <c r="N48" s="394"/>
      <c r="O48" s="394"/>
      <c r="P48" s="395"/>
      <c r="Q48" s="365"/>
      <c r="R48" s="393"/>
      <c r="S48" s="394"/>
      <c r="T48" s="394"/>
      <c r="U48" s="394"/>
      <c r="V48" s="394" t="s">
        <v>266</v>
      </c>
      <c r="W48" s="373" t="s">
        <v>254</v>
      </c>
      <c r="X48" s="394" t="s">
        <v>265</v>
      </c>
      <c r="Y48" s="373"/>
    </row>
    <row r="49" spans="1:25" s="366" customFormat="1" ht="5.25" customHeight="1" x14ac:dyDescent="0.25">
      <c r="A49" s="365"/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M49" s="365"/>
      <c r="N49" s="365"/>
      <c r="O49" s="365"/>
      <c r="P49" s="365"/>
      <c r="Q49" s="365"/>
      <c r="R49" s="365"/>
      <c r="S49" s="365"/>
      <c r="T49" s="365"/>
      <c r="U49" s="365"/>
      <c r="V49" s="365"/>
      <c r="W49" s="365"/>
      <c r="X49" s="365"/>
      <c r="Y49" s="365"/>
    </row>
    <row r="50" spans="1:25" s="366" customFormat="1" ht="12.75" customHeight="1" x14ac:dyDescent="0.25">
      <c r="A50" s="365"/>
      <c r="B50" s="398" t="s">
        <v>264</v>
      </c>
      <c r="C50" s="389"/>
      <c r="D50" s="389"/>
      <c r="E50" s="389"/>
      <c r="F50" s="389"/>
      <c r="G50" s="389"/>
      <c r="H50" s="389"/>
      <c r="I50" s="389"/>
      <c r="J50" s="389"/>
      <c r="K50" s="389"/>
      <c r="L50" s="389"/>
      <c r="M50" s="389"/>
      <c r="N50" s="389"/>
      <c r="O50" s="389"/>
      <c r="P50" s="389"/>
      <c r="Q50" s="389"/>
      <c r="R50" s="389"/>
      <c r="S50" s="389"/>
      <c r="T50" s="389"/>
      <c r="U50" s="389"/>
      <c r="V50" s="389"/>
      <c r="W50" s="389"/>
      <c r="X50" s="389"/>
      <c r="Y50" s="390"/>
    </row>
    <row r="51" spans="1:25" s="366" customFormat="1" x14ac:dyDescent="0.25">
      <c r="A51" s="365"/>
      <c r="B51" s="391"/>
      <c r="C51" s="640" t="s">
        <v>263</v>
      </c>
      <c r="D51" s="641"/>
      <c r="E51" s="653" t="s">
        <v>262</v>
      </c>
      <c r="F51" s="653"/>
      <c r="G51" s="653"/>
      <c r="H51" s="375" t="s">
        <v>251</v>
      </c>
      <c r="I51" s="653" t="s">
        <v>261</v>
      </c>
      <c r="J51" s="653"/>
      <c r="K51" s="653"/>
      <c r="L51" s="653" t="s">
        <v>260</v>
      </c>
      <c r="M51" s="653"/>
      <c r="N51" s="653"/>
      <c r="O51" s="654" t="s">
        <v>259</v>
      </c>
      <c r="P51" s="655"/>
      <c r="Q51" s="654" t="s">
        <v>258</v>
      </c>
      <c r="R51" s="656"/>
      <c r="S51" s="656"/>
      <c r="T51" s="655"/>
      <c r="U51" s="654" t="s">
        <v>257</v>
      </c>
      <c r="V51" s="655"/>
      <c r="W51" s="365"/>
      <c r="X51" s="365"/>
      <c r="Y51" s="392"/>
    </row>
    <row r="52" spans="1:25" s="366" customFormat="1" ht="12.95" customHeight="1" x14ac:dyDescent="0.25">
      <c r="A52" s="365"/>
      <c r="B52" s="391"/>
      <c r="C52" s="640" t="s">
        <v>256</v>
      </c>
      <c r="D52" s="641"/>
      <c r="E52" s="642"/>
      <c r="F52" s="643"/>
      <c r="G52" s="644"/>
      <c r="H52" s="375"/>
      <c r="I52" s="645"/>
      <c r="J52" s="645"/>
      <c r="K52" s="645"/>
      <c r="L52" s="645"/>
      <c r="M52" s="645"/>
      <c r="N52" s="645"/>
      <c r="O52" s="642"/>
      <c r="P52" s="644"/>
      <c r="Q52" s="642"/>
      <c r="R52" s="643"/>
      <c r="S52" s="643"/>
      <c r="T52" s="644"/>
      <c r="U52" s="642" t="s">
        <v>254</v>
      </c>
      <c r="V52" s="644"/>
      <c r="W52" s="365" t="s">
        <v>253</v>
      </c>
      <c r="X52" s="365"/>
      <c r="Y52" s="392"/>
    </row>
    <row r="53" spans="1:25" s="366" customFormat="1" ht="12.95" customHeight="1" x14ac:dyDescent="0.25">
      <c r="A53" s="365"/>
      <c r="B53" s="391"/>
      <c r="C53" s="640" t="s">
        <v>137</v>
      </c>
      <c r="D53" s="641"/>
      <c r="E53" s="642"/>
      <c r="F53" s="643"/>
      <c r="G53" s="644"/>
      <c r="H53" s="375"/>
      <c r="I53" s="645"/>
      <c r="J53" s="645"/>
      <c r="K53" s="645"/>
      <c r="L53" s="645"/>
      <c r="M53" s="645"/>
      <c r="N53" s="645"/>
      <c r="O53" s="642"/>
      <c r="P53" s="644"/>
      <c r="Q53" s="642" t="s">
        <v>254</v>
      </c>
      <c r="R53" s="643"/>
      <c r="S53" s="643"/>
      <c r="T53" s="644"/>
      <c r="U53" s="642"/>
      <c r="V53" s="644"/>
      <c r="W53" s="365"/>
      <c r="X53" s="365"/>
      <c r="Y53" s="392"/>
    </row>
    <row r="54" spans="1:25" s="366" customFormat="1" ht="12.95" customHeight="1" x14ac:dyDescent="0.25">
      <c r="A54" s="365"/>
      <c r="B54" s="391"/>
      <c r="C54" s="640" t="s">
        <v>255</v>
      </c>
      <c r="D54" s="641"/>
      <c r="E54" s="642"/>
      <c r="F54" s="643"/>
      <c r="G54" s="644"/>
      <c r="H54" s="375"/>
      <c r="I54" s="645"/>
      <c r="J54" s="645"/>
      <c r="K54" s="645"/>
      <c r="L54" s="645"/>
      <c r="M54" s="645"/>
      <c r="N54" s="645"/>
      <c r="O54" s="642"/>
      <c r="P54" s="644"/>
      <c r="Q54" s="642"/>
      <c r="R54" s="643"/>
      <c r="S54" s="643"/>
      <c r="T54" s="644"/>
      <c r="U54" s="642" t="s">
        <v>254</v>
      </c>
      <c r="V54" s="644"/>
      <c r="W54" s="365" t="s">
        <v>253</v>
      </c>
      <c r="X54" s="365"/>
      <c r="Y54" s="392"/>
    </row>
    <row r="55" spans="1:25" ht="4.5" customHeight="1" x14ac:dyDescent="0.25">
      <c r="A55" s="165"/>
      <c r="B55" s="174"/>
      <c r="C55" s="167"/>
      <c r="D55" s="167"/>
      <c r="E55" s="167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7"/>
      <c r="Y55" s="173"/>
    </row>
    <row r="56" spans="1:25" ht="5.25" customHeight="1" thickBot="1" x14ac:dyDescent="0.3">
      <c r="A56" s="165"/>
      <c r="B56" s="165"/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</row>
    <row r="57" spans="1:25" ht="15.75" thickBot="1" x14ac:dyDescent="0.3">
      <c r="A57" s="165"/>
      <c r="B57" s="636" t="s">
        <v>252</v>
      </c>
      <c r="C57" s="637"/>
      <c r="D57" s="637"/>
      <c r="E57" s="637"/>
      <c r="F57" s="637"/>
      <c r="G57" s="637"/>
      <c r="H57" s="637"/>
      <c r="I57" s="637"/>
      <c r="J57" s="637"/>
      <c r="K57" s="637"/>
      <c r="L57" s="637"/>
      <c r="M57" s="637"/>
      <c r="N57" s="637"/>
      <c r="O57" s="637"/>
      <c r="P57" s="637"/>
      <c r="Q57" s="637"/>
      <c r="R57" s="637"/>
      <c r="S57" s="637"/>
      <c r="T57" s="637"/>
      <c r="U57" s="637"/>
      <c r="V57" s="637"/>
      <c r="W57" s="637"/>
      <c r="X57" s="637"/>
      <c r="Y57" s="638"/>
    </row>
    <row r="58" spans="1:25" ht="3.75" customHeight="1" x14ac:dyDescent="0.25">
      <c r="A58" s="165"/>
      <c r="B58" s="165"/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</row>
    <row r="59" spans="1:25" ht="12.95" customHeight="1" x14ac:dyDescent="0.25">
      <c r="A59" s="165"/>
      <c r="B59" s="172" t="s">
        <v>251</v>
      </c>
      <c r="C59" s="646" t="s">
        <v>177</v>
      </c>
      <c r="D59" s="646"/>
      <c r="E59" s="646"/>
      <c r="F59" s="646"/>
      <c r="G59" s="646"/>
      <c r="H59" s="646"/>
      <c r="I59" s="646"/>
      <c r="J59" s="646"/>
      <c r="K59" s="646"/>
      <c r="L59" s="646" t="s">
        <v>250</v>
      </c>
      <c r="M59" s="646"/>
      <c r="N59" s="646"/>
      <c r="O59" s="646" t="s">
        <v>249</v>
      </c>
      <c r="P59" s="646"/>
      <c r="Q59" s="646"/>
      <c r="R59" s="646" t="s">
        <v>248</v>
      </c>
      <c r="S59" s="646"/>
      <c r="T59" s="646"/>
      <c r="U59" s="646"/>
      <c r="V59" s="646" t="s">
        <v>247</v>
      </c>
      <c r="W59" s="646"/>
      <c r="X59" s="646"/>
      <c r="Y59" s="646"/>
    </row>
    <row r="60" spans="1:25" s="169" customFormat="1" ht="39" customHeight="1" x14ac:dyDescent="0.25">
      <c r="A60" s="171"/>
      <c r="B60" s="170">
        <v>1</v>
      </c>
      <c r="C60" s="634" t="str">
        <f>+Informe!D230</f>
        <v>Oferta de departamento en Av. Principal 727, Residencial Doña Eva, 5to piso. 2 dormitorios 1 baño. A estrenar.</v>
      </c>
      <c r="D60" s="634"/>
      <c r="E60" s="634"/>
      <c r="F60" s="634"/>
      <c r="G60" s="634"/>
      <c r="H60" s="634"/>
      <c r="I60" s="634"/>
      <c r="J60" s="634"/>
      <c r="K60" s="634"/>
      <c r="L60" s="635"/>
      <c r="M60" s="634"/>
      <c r="N60" s="634"/>
      <c r="O60" s="635">
        <f>+Informe!M230</f>
        <v>80</v>
      </c>
      <c r="P60" s="634"/>
      <c r="Q60" s="634"/>
      <c r="R60" s="635">
        <f>+Informe!U230</f>
        <v>150000</v>
      </c>
      <c r="S60" s="634"/>
      <c r="T60" s="634"/>
      <c r="U60" s="634"/>
      <c r="V60" s="639" t="str">
        <f>+Informe!AG230</f>
        <v>William Hilario
 941309666</v>
      </c>
      <c r="W60" s="639"/>
      <c r="X60" s="639"/>
      <c r="Y60" s="639"/>
    </row>
    <row r="61" spans="1:25" s="169" customFormat="1" ht="38.25" customHeight="1" x14ac:dyDescent="0.25">
      <c r="A61" s="171"/>
      <c r="B61" s="170">
        <v>2</v>
      </c>
      <c r="C61" s="634" t="str">
        <f>+Informe!D231</f>
        <v>Oferta de departamento en Calle Alfa Centauro 178, Residencial Florencia, 1er piso. 3 dormitorios 3 baños. A estrenar.</v>
      </c>
      <c r="D61" s="634"/>
      <c r="E61" s="634"/>
      <c r="F61" s="634"/>
      <c r="G61" s="634"/>
      <c r="H61" s="634"/>
      <c r="I61" s="634"/>
      <c r="J61" s="634"/>
      <c r="K61" s="634"/>
      <c r="L61" s="635"/>
      <c r="M61" s="634"/>
      <c r="N61" s="634"/>
      <c r="O61" s="635">
        <f>+Informe!M231</f>
        <v>95</v>
      </c>
      <c r="P61" s="634"/>
      <c r="Q61" s="634"/>
      <c r="R61" s="635">
        <f>+Informe!U231</f>
        <v>171517</v>
      </c>
      <c r="S61" s="634"/>
      <c r="T61" s="634"/>
      <c r="U61" s="634"/>
      <c r="V61" s="639" t="str">
        <f>+Informe!AG231</f>
        <v>Michael Salas
 255-6262
 996512278</v>
      </c>
      <c r="W61" s="639"/>
      <c r="X61" s="639"/>
      <c r="Y61" s="639"/>
    </row>
    <row r="62" spans="1:25" s="169" customFormat="1" ht="39" customHeight="1" x14ac:dyDescent="0.25">
      <c r="A62" s="171"/>
      <c r="B62" s="170">
        <v>3</v>
      </c>
      <c r="C62" s="634" t="str">
        <f>+Informe!D232</f>
        <v>Oferta de departamento en Calle Manuel Bonilla. 2 dormitorios 1 baño. A estrenar.</v>
      </c>
      <c r="D62" s="634"/>
      <c r="E62" s="634"/>
      <c r="F62" s="634"/>
      <c r="G62" s="634"/>
      <c r="H62" s="634"/>
      <c r="I62" s="634"/>
      <c r="J62" s="634"/>
      <c r="K62" s="634"/>
      <c r="L62" s="635"/>
      <c r="M62" s="634"/>
      <c r="N62" s="634"/>
      <c r="O62" s="635">
        <f>+Informe!M232</f>
        <v>52</v>
      </c>
      <c r="P62" s="634"/>
      <c r="Q62" s="634"/>
      <c r="R62" s="635">
        <f>+Informe!U232</f>
        <v>95000</v>
      </c>
      <c r="S62" s="634"/>
      <c r="T62" s="634"/>
      <c r="U62" s="634"/>
      <c r="V62" s="639" t="str">
        <f>+Informe!AG232</f>
        <v>ELIAS SOTO
 997427590
 945016917</v>
      </c>
      <c r="W62" s="639"/>
      <c r="X62" s="639"/>
      <c r="Y62" s="639"/>
    </row>
    <row r="63" spans="1:25" ht="8.1" customHeight="1" thickBot="1" x14ac:dyDescent="0.3">
      <c r="A63" s="165"/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</row>
    <row r="64" spans="1:25" ht="15.75" thickBot="1" x14ac:dyDescent="0.3">
      <c r="A64" s="165"/>
      <c r="B64" s="636" t="s">
        <v>246</v>
      </c>
      <c r="C64" s="637"/>
      <c r="D64" s="637"/>
      <c r="E64" s="637"/>
      <c r="F64" s="637"/>
      <c r="G64" s="637"/>
      <c r="H64" s="637"/>
      <c r="I64" s="637"/>
      <c r="J64" s="637"/>
      <c r="K64" s="637"/>
      <c r="L64" s="637"/>
      <c r="M64" s="637"/>
      <c r="N64" s="637"/>
      <c r="O64" s="637"/>
      <c r="P64" s="637"/>
      <c r="Q64" s="637"/>
      <c r="R64" s="637"/>
      <c r="S64" s="637"/>
      <c r="T64" s="637"/>
      <c r="U64" s="637"/>
      <c r="V64" s="637"/>
      <c r="W64" s="637"/>
      <c r="X64" s="637"/>
      <c r="Y64" s="638"/>
    </row>
    <row r="65" spans="1:25" ht="5.25" customHeight="1" x14ac:dyDescent="0.25">
      <c r="A65" s="165"/>
      <c r="B65" s="165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</row>
    <row r="66" spans="1:25" x14ac:dyDescent="0.25">
      <c r="A66" s="165"/>
      <c r="B66" s="165" t="s">
        <v>245</v>
      </c>
      <c r="C66" s="165"/>
      <c r="D66" s="165"/>
      <c r="E66" s="165"/>
      <c r="F66" s="165"/>
      <c r="G66" s="165"/>
      <c r="H66" s="165"/>
      <c r="I66" s="165"/>
      <c r="J66" s="622">
        <f>+Informe!$L$56-SUMIFS(Informe!$L$50:$L$55,Informe!$AM$50:$AM$55,1)</f>
        <v>6000</v>
      </c>
      <c r="K66" s="622"/>
      <c r="L66" s="622"/>
      <c r="M66" s="622"/>
      <c r="N66" s="622"/>
      <c r="O66" s="622"/>
      <c r="P66" s="622"/>
      <c r="Q66" s="165"/>
      <c r="R66" s="165"/>
      <c r="S66" s="623"/>
      <c r="T66" s="623"/>
      <c r="U66" s="623"/>
      <c r="V66" s="623"/>
      <c r="W66" s="623"/>
      <c r="X66" s="623"/>
      <c r="Y66" s="623"/>
    </row>
    <row r="67" spans="1:25" ht="8.1" customHeight="1" x14ac:dyDescent="0.25">
      <c r="A67" s="165"/>
      <c r="B67" s="165"/>
      <c r="C67" s="165"/>
      <c r="D67" s="165"/>
      <c r="E67" s="165"/>
      <c r="F67" s="165"/>
      <c r="G67" s="165"/>
      <c r="H67" s="165"/>
      <c r="I67" s="165"/>
      <c r="J67" s="365"/>
      <c r="K67" s="365"/>
      <c r="L67" s="365"/>
      <c r="M67" s="365"/>
      <c r="N67" s="365"/>
      <c r="O67" s="365"/>
      <c r="P67" s="365"/>
      <c r="Q67" s="165"/>
      <c r="R67" s="165"/>
      <c r="S67" s="623"/>
      <c r="T67" s="623"/>
      <c r="U67" s="623"/>
      <c r="V67" s="623"/>
      <c r="W67" s="623"/>
      <c r="X67" s="623"/>
      <c r="Y67" s="623"/>
    </row>
    <row r="68" spans="1:25" x14ac:dyDescent="0.25">
      <c r="A68" s="165"/>
      <c r="B68" s="165" t="s">
        <v>244</v>
      </c>
      <c r="C68" s="165"/>
      <c r="D68" s="165"/>
      <c r="E68" s="165"/>
      <c r="F68" s="165"/>
      <c r="G68" s="165"/>
      <c r="H68" s="165"/>
      <c r="I68" s="165"/>
      <c r="J68" s="622">
        <f>+J72-J66-J70</f>
        <v>137900</v>
      </c>
      <c r="K68" s="622"/>
      <c r="L68" s="622"/>
      <c r="M68" s="622"/>
      <c r="N68" s="622"/>
      <c r="O68" s="622"/>
      <c r="P68" s="622"/>
      <c r="Q68" s="165"/>
      <c r="R68" s="165"/>
      <c r="S68" s="623"/>
      <c r="T68" s="623"/>
      <c r="U68" s="623"/>
      <c r="V68" s="623"/>
      <c r="W68" s="623"/>
      <c r="X68" s="623"/>
      <c r="Y68" s="623"/>
    </row>
    <row r="69" spans="1:25" ht="8.1" customHeight="1" x14ac:dyDescent="0.25">
      <c r="A69" s="165"/>
      <c r="B69" s="165"/>
      <c r="C69" s="165"/>
      <c r="D69" s="165"/>
      <c r="E69" s="165"/>
      <c r="F69" s="165"/>
      <c r="G69" s="165"/>
      <c r="H69" s="165"/>
      <c r="I69" s="165"/>
      <c r="J69" s="365"/>
      <c r="K69" s="365"/>
      <c r="L69" s="365"/>
      <c r="M69" s="365"/>
      <c r="N69" s="365"/>
      <c r="O69" s="365"/>
      <c r="P69" s="365"/>
      <c r="Q69" s="165"/>
      <c r="R69" s="165"/>
      <c r="S69" s="623"/>
      <c r="T69" s="623"/>
      <c r="U69" s="623"/>
      <c r="V69" s="623"/>
      <c r="W69" s="623"/>
      <c r="X69" s="623"/>
      <c r="Y69" s="623"/>
    </row>
    <row r="70" spans="1:25" x14ac:dyDescent="0.25">
      <c r="A70" s="165"/>
      <c r="B70" s="165" t="s">
        <v>243</v>
      </c>
      <c r="C70" s="165"/>
      <c r="D70" s="165"/>
      <c r="E70" s="165"/>
      <c r="F70" s="165"/>
      <c r="G70" s="165"/>
      <c r="H70" s="165"/>
      <c r="I70" s="165"/>
      <c r="J70" s="622">
        <f>+SUMIFS(Informe!$AH$50:$AH$55,Informe!$AM$50:$AM$55,1)</f>
        <v>211400</v>
      </c>
      <c r="K70" s="622"/>
      <c r="L70" s="622"/>
      <c r="M70" s="622"/>
      <c r="N70" s="622"/>
      <c r="O70" s="622"/>
      <c r="P70" s="622"/>
      <c r="Q70" s="165"/>
      <c r="R70" s="165"/>
      <c r="S70" s="623"/>
      <c r="T70" s="623"/>
      <c r="U70" s="623"/>
      <c r="V70" s="623"/>
      <c r="W70" s="623"/>
      <c r="X70" s="623"/>
      <c r="Y70" s="623"/>
    </row>
    <row r="71" spans="1:25" ht="8.1" customHeight="1" x14ac:dyDescent="0.25">
      <c r="A71" s="165"/>
      <c r="B71" s="165"/>
      <c r="C71" s="165"/>
      <c r="D71" s="165"/>
      <c r="E71" s="165"/>
      <c r="F71" s="165"/>
      <c r="G71" s="165"/>
      <c r="H71" s="165"/>
      <c r="I71" s="165"/>
      <c r="J71" s="365"/>
      <c r="K71" s="365"/>
      <c r="L71" s="365"/>
      <c r="M71" s="365"/>
      <c r="N71" s="365"/>
      <c r="O71" s="365"/>
      <c r="P71" s="365"/>
      <c r="Q71" s="165"/>
      <c r="R71" s="165"/>
      <c r="S71" s="623"/>
      <c r="T71" s="623"/>
      <c r="U71" s="623"/>
      <c r="V71" s="623"/>
      <c r="W71" s="623"/>
      <c r="X71" s="623"/>
      <c r="Y71" s="623"/>
    </row>
    <row r="72" spans="1:25" x14ac:dyDescent="0.25">
      <c r="A72" s="165"/>
      <c r="B72" s="165" t="s">
        <v>242</v>
      </c>
      <c r="C72" s="165"/>
      <c r="D72" s="165"/>
      <c r="E72" s="165"/>
      <c r="F72" s="165"/>
      <c r="G72" s="165"/>
      <c r="H72" s="165"/>
      <c r="I72" s="165"/>
      <c r="J72" s="622">
        <f>+Informe!AD56</f>
        <v>355300</v>
      </c>
      <c r="K72" s="622"/>
      <c r="L72" s="622"/>
      <c r="M72" s="622"/>
      <c r="N72" s="622"/>
      <c r="O72" s="622"/>
      <c r="P72" s="622"/>
      <c r="Q72" s="165"/>
      <c r="R72" s="165"/>
      <c r="S72" s="623"/>
      <c r="T72" s="623"/>
      <c r="U72" s="623"/>
      <c r="V72" s="623"/>
      <c r="W72" s="623"/>
      <c r="X72" s="623"/>
      <c r="Y72" s="623"/>
    </row>
    <row r="73" spans="1:25" ht="8.1" customHeight="1" x14ac:dyDescent="0.25">
      <c r="A73" s="165"/>
      <c r="B73" s="165"/>
      <c r="C73" s="165"/>
      <c r="D73" s="165"/>
      <c r="E73" s="165"/>
      <c r="F73" s="165"/>
      <c r="G73" s="165"/>
      <c r="H73" s="165"/>
      <c r="I73" s="165"/>
      <c r="J73" s="365"/>
      <c r="K73" s="365"/>
      <c r="L73" s="365"/>
      <c r="M73" s="365"/>
      <c r="N73" s="365"/>
      <c r="O73" s="365"/>
      <c r="P73" s="365"/>
      <c r="Q73" s="165"/>
      <c r="R73" s="165"/>
      <c r="S73" s="623"/>
      <c r="T73" s="623"/>
      <c r="U73" s="623"/>
      <c r="V73" s="623"/>
      <c r="W73" s="623"/>
      <c r="X73" s="623"/>
      <c r="Y73" s="623"/>
    </row>
    <row r="74" spans="1:25" x14ac:dyDescent="0.25">
      <c r="A74" s="165"/>
      <c r="B74" s="165" t="s">
        <v>241</v>
      </c>
      <c r="C74" s="165"/>
      <c r="D74" s="165"/>
      <c r="E74" s="165"/>
      <c r="F74" s="165"/>
      <c r="G74" s="165"/>
      <c r="H74" s="165"/>
      <c r="I74" s="165"/>
      <c r="J74" s="622">
        <f>+Informe!AH56</f>
        <v>284200</v>
      </c>
      <c r="K74" s="622"/>
      <c r="L74" s="622"/>
      <c r="M74" s="622"/>
      <c r="N74" s="622"/>
      <c r="O74" s="622"/>
      <c r="P74" s="622"/>
      <c r="Q74" s="165"/>
      <c r="R74" s="165"/>
      <c r="S74" s="623"/>
      <c r="T74" s="623"/>
      <c r="U74" s="623"/>
      <c r="V74" s="623"/>
      <c r="W74" s="623"/>
      <c r="X74" s="623"/>
      <c r="Y74" s="623"/>
    </row>
    <row r="75" spans="1:25" ht="8.1" customHeight="1" thickBot="1" x14ac:dyDescent="0.3">
      <c r="A75" s="165"/>
      <c r="B75" s="165"/>
      <c r="C75" s="165"/>
      <c r="D75" s="165"/>
      <c r="E75" s="165"/>
      <c r="F75" s="165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</row>
    <row r="76" spans="1:25" ht="15.75" thickBot="1" x14ac:dyDescent="0.3">
      <c r="A76" s="165"/>
      <c r="B76" s="636" t="s">
        <v>240</v>
      </c>
      <c r="C76" s="637"/>
      <c r="D76" s="637"/>
      <c r="E76" s="637"/>
      <c r="F76" s="637"/>
      <c r="G76" s="637"/>
      <c r="H76" s="637"/>
      <c r="I76" s="637"/>
      <c r="J76" s="637"/>
      <c r="K76" s="637"/>
      <c r="L76" s="637"/>
      <c r="M76" s="637"/>
      <c r="N76" s="637"/>
      <c r="O76" s="637"/>
      <c r="P76" s="637"/>
      <c r="Q76" s="637"/>
      <c r="R76" s="637"/>
      <c r="S76" s="637"/>
      <c r="T76" s="637"/>
      <c r="U76" s="637"/>
      <c r="V76" s="637"/>
      <c r="W76" s="637"/>
      <c r="X76" s="637"/>
      <c r="Y76" s="638"/>
    </row>
    <row r="77" spans="1:25" ht="4.5" customHeight="1" thickBot="1" x14ac:dyDescent="0.3">
      <c r="A77" s="165"/>
      <c r="B77" s="165"/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</row>
    <row r="78" spans="1:25" ht="26.25" customHeight="1" x14ac:dyDescent="0.25">
      <c r="A78" s="165"/>
      <c r="B78" s="624" t="str">
        <f>+Informe!D152</f>
        <v>Sobre el terreno matriz se proyecta la construcción del edificio multifamiliar denominado "Rua", formado por doce pisos, azotea y tres sótanos para un total de 42 departamentos, 33 estacionamientos y 13 depósitos.</v>
      </c>
      <c r="C78" s="625"/>
      <c r="D78" s="625"/>
      <c r="E78" s="625"/>
      <c r="F78" s="625"/>
      <c r="G78" s="625"/>
      <c r="H78" s="625"/>
      <c r="I78" s="625"/>
      <c r="J78" s="625"/>
      <c r="K78" s="625"/>
      <c r="L78" s="625"/>
      <c r="M78" s="625"/>
      <c r="N78" s="625"/>
      <c r="O78" s="625"/>
      <c r="P78" s="625"/>
      <c r="Q78" s="625"/>
      <c r="R78" s="625"/>
      <c r="S78" s="625"/>
      <c r="T78" s="625"/>
      <c r="U78" s="625"/>
      <c r="V78" s="625"/>
      <c r="W78" s="625"/>
      <c r="X78" s="625"/>
      <c r="Y78" s="626"/>
    </row>
    <row r="79" spans="1:25" s="366" customFormat="1" ht="27.75" customHeight="1" x14ac:dyDescent="0.25">
      <c r="A79" s="365"/>
      <c r="B79" s="627" t="str">
        <f>+Informe!J58</f>
        <v>El presente informe se ha realizado con base en la información del proyecto proporcionada por el cliente. Se recomienda actualizar los valores cuando se efectúe la independización de las unidades inmobiliarias.</v>
      </c>
      <c r="C79" s="628"/>
      <c r="D79" s="628"/>
      <c r="E79" s="628"/>
      <c r="F79" s="628"/>
      <c r="G79" s="628"/>
      <c r="H79" s="628"/>
      <c r="I79" s="628"/>
      <c r="J79" s="628"/>
      <c r="K79" s="628"/>
      <c r="L79" s="628"/>
      <c r="M79" s="628"/>
      <c r="N79" s="628"/>
      <c r="O79" s="628"/>
      <c r="P79" s="628"/>
      <c r="Q79" s="628"/>
      <c r="R79" s="628"/>
      <c r="S79" s="628"/>
      <c r="T79" s="628"/>
      <c r="U79" s="628"/>
      <c r="V79" s="628"/>
      <c r="W79" s="628"/>
      <c r="X79" s="628"/>
      <c r="Y79" s="629"/>
    </row>
    <row r="80" spans="1:25" s="366" customFormat="1" ht="40.5" customHeight="1" x14ac:dyDescent="0.25">
      <c r="A80" s="365"/>
      <c r="B80" s="627" t="str">
        <f>+Informe!J59</f>
        <v>El inmueble matriz tiene una servidumbre de paso trasladada del antecedente, que le permite un camino de control y vigilancia sobre una extensión superficial de 547.00 m2 (asiento D00009), y una correlación de servidumbre como predio sirviente a favor de Luz del Sur (asiento D00007). El inmueble matriz presenta una hipoteca a favor del Banco Internacional del Perú - Interbank hasta por US$ 248,424,744.00, de fecha 02/06/2014 (asiento D00006).</v>
      </c>
      <c r="C80" s="630"/>
      <c r="D80" s="630"/>
      <c r="E80" s="630"/>
      <c r="F80" s="630"/>
      <c r="G80" s="630"/>
      <c r="H80" s="630"/>
      <c r="I80" s="630"/>
      <c r="J80" s="630"/>
      <c r="K80" s="630"/>
      <c r="L80" s="630"/>
      <c r="M80" s="630"/>
      <c r="N80" s="630"/>
      <c r="O80" s="630"/>
      <c r="P80" s="630"/>
      <c r="Q80" s="630"/>
      <c r="R80" s="630"/>
      <c r="S80" s="630"/>
      <c r="T80" s="630"/>
      <c r="U80" s="630"/>
      <c r="V80" s="630"/>
      <c r="W80" s="630"/>
      <c r="X80" s="630"/>
      <c r="Y80" s="629"/>
    </row>
    <row r="81" spans="1:27" s="366" customFormat="1" ht="15.75" thickBot="1" x14ac:dyDescent="0.3">
      <c r="A81" s="365"/>
      <c r="B81" s="631" t="str">
        <f>+Informe!J60</f>
        <v>Por indicación del solicitante, se considera como importe asegurable al valor comercial.</v>
      </c>
      <c r="C81" s="632"/>
      <c r="D81" s="632"/>
      <c r="E81" s="632"/>
      <c r="F81" s="632"/>
      <c r="G81" s="632"/>
      <c r="H81" s="632"/>
      <c r="I81" s="632"/>
      <c r="J81" s="632"/>
      <c r="K81" s="632"/>
      <c r="L81" s="632"/>
      <c r="M81" s="632"/>
      <c r="N81" s="632"/>
      <c r="O81" s="632"/>
      <c r="P81" s="632"/>
      <c r="Q81" s="632"/>
      <c r="R81" s="632"/>
      <c r="S81" s="632"/>
      <c r="T81" s="632"/>
      <c r="U81" s="632"/>
      <c r="V81" s="632"/>
      <c r="W81" s="632"/>
      <c r="X81" s="632"/>
      <c r="Y81" s="633"/>
    </row>
    <row r="82" spans="1:27" ht="3.75" customHeight="1" x14ac:dyDescent="0.25">
      <c r="A82" s="165"/>
      <c r="B82" s="165"/>
      <c r="C82" s="165"/>
      <c r="D82" s="165"/>
      <c r="E82" s="165"/>
      <c r="F82" s="165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</row>
    <row r="83" spans="1:27" ht="12.75" customHeight="1" x14ac:dyDescent="0.25">
      <c r="A83" s="165"/>
      <c r="B83" s="165"/>
      <c r="C83" s="165"/>
      <c r="D83" s="165"/>
      <c r="E83" s="165"/>
      <c r="F83" s="165"/>
      <c r="G83" s="165"/>
      <c r="H83" s="165"/>
      <c r="I83" s="165"/>
      <c r="J83" s="165"/>
      <c r="K83" s="165"/>
      <c r="L83" s="165"/>
      <c r="M83" s="165"/>
      <c r="N83" s="165"/>
      <c r="O83" s="165"/>
      <c r="P83" s="168" t="s">
        <v>239</v>
      </c>
      <c r="Q83" s="165"/>
      <c r="R83" s="165"/>
      <c r="T83" s="165"/>
      <c r="U83" s="165"/>
      <c r="V83" s="165"/>
      <c r="W83" s="165"/>
      <c r="X83" s="165"/>
      <c r="Y83" s="165"/>
    </row>
    <row r="84" spans="1:27" ht="11.25" customHeight="1" x14ac:dyDescent="0.25">
      <c r="A84" s="165"/>
      <c r="B84" s="620" t="s">
        <v>238</v>
      </c>
      <c r="C84" s="620"/>
      <c r="D84" s="620"/>
      <c r="E84" s="620"/>
      <c r="F84" s="620"/>
      <c r="G84" s="620"/>
      <c r="H84" s="620"/>
      <c r="I84" s="620"/>
      <c r="J84" s="620"/>
      <c r="K84" s="620"/>
      <c r="L84" s="620"/>
      <c r="M84" s="620"/>
      <c r="N84" s="620"/>
      <c r="O84" s="620"/>
      <c r="P84" s="165"/>
      <c r="Q84" s="165"/>
      <c r="R84" s="165"/>
      <c r="T84" s="165"/>
      <c r="U84" s="165"/>
      <c r="V84" s="165"/>
      <c r="W84" s="165"/>
      <c r="X84" s="165"/>
      <c r="Y84" s="165"/>
      <c r="AA84" s="368" t="s">
        <v>519</v>
      </c>
    </row>
    <row r="85" spans="1:27" ht="12" customHeight="1" x14ac:dyDescent="0.25">
      <c r="A85" s="165"/>
      <c r="B85" s="620"/>
      <c r="C85" s="620"/>
      <c r="D85" s="620"/>
      <c r="E85" s="620"/>
      <c r="F85" s="620"/>
      <c r="G85" s="620"/>
      <c r="H85" s="620"/>
      <c r="I85" s="620"/>
      <c r="J85" s="620"/>
      <c r="K85" s="620"/>
      <c r="L85" s="620"/>
      <c r="M85" s="620"/>
      <c r="N85" s="620"/>
      <c r="O85" s="620"/>
      <c r="P85" s="167"/>
      <c r="Q85" s="167"/>
      <c r="R85" s="167"/>
      <c r="S85" s="167"/>
      <c r="T85" s="167"/>
      <c r="U85" s="165"/>
      <c r="V85" s="165"/>
      <c r="W85" s="165"/>
      <c r="X85" s="165"/>
      <c r="Y85" s="165"/>
    </row>
    <row r="86" spans="1:27" ht="12.75" customHeight="1" x14ac:dyDescent="0.25">
      <c r="A86" s="165"/>
      <c r="B86" s="620"/>
      <c r="C86" s="620"/>
      <c r="D86" s="620"/>
      <c r="E86" s="620"/>
      <c r="F86" s="620"/>
      <c r="G86" s="620"/>
      <c r="H86" s="620"/>
      <c r="I86" s="620"/>
      <c r="J86" s="620"/>
      <c r="K86" s="620"/>
      <c r="L86" s="620"/>
      <c r="M86" s="620"/>
      <c r="N86" s="620"/>
      <c r="O86" s="620"/>
      <c r="P86" s="166" t="s">
        <v>237</v>
      </c>
      <c r="Q86" s="165"/>
      <c r="R86" s="165"/>
      <c r="T86" s="365" t="s">
        <v>532</v>
      </c>
      <c r="V86" s="165"/>
      <c r="W86" s="165"/>
      <c r="X86" s="165"/>
      <c r="Y86" s="165"/>
    </row>
    <row r="87" spans="1:27" ht="12" customHeight="1" x14ac:dyDescent="0.25">
      <c r="A87" s="165"/>
      <c r="B87" s="620" t="s">
        <v>236</v>
      </c>
      <c r="C87" s="620"/>
      <c r="D87" s="620"/>
      <c r="E87" s="620"/>
      <c r="F87" s="620"/>
      <c r="G87" s="620"/>
      <c r="H87" s="620"/>
      <c r="I87" s="620"/>
      <c r="J87" s="620"/>
      <c r="K87" s="620"/>
      <c r="L87" s="620"/>
      <c r="M87" s="620"/>
      <c r="N87" s="620"/>
      <c r="O87" s="620"/>
      <c r="P87" s="165" t="s">
        <v>235</v>
      </c>
      <c r="Q87" s="165"/>
      <c r="R87" s="165"/>
      <c r="U87" s="165"/>
      <c r="V87" s="165"/>
      <c r="W87" s="165"/>
      <c r="X87" s="165"/>
      <c r="Y87" s="165"/>
    </row>
    <row r="88" spans="1:27" ht="12" customHeight="1" x14ac:dyDescent="0.25">
      <c r="A88" s="165"/>
      <c r="B88" s="620"/>
      <c r="C88" s="620"/>
      <c r="D88" s="620"/>
      <c r="E88" s="620"/>
      <c r="F88" s="620"/>
      <c r="G88" s="620"/>
      <c r="H88" s="620"/>
      <c r="I88" s="620"/>
      <c r="J88" s="620"/>
      <c r="K88" s="620"/>
      <c r="L88" s="620"/>
      <c r="M88" s="620"/>
      <c r="N88" s="620"/>
      <c r="O88" s="620"/>
      <c r="P88" s="165" t="s">
        <v>234</v>
      </c>
      <c r="Q88" s="621">
        <v>79287</v>
      </c>
      <c r="R88" s="621"/>
      <c r="S88" s="621"/>
      <c r="T88" s="165"/>
      <c r="U88" s="165"/>
      <c r="V88" s="165"/>
      <c r="W88" s="165"/>
      <c r="X88" s="165"/>
      <c r="Y88" s="165"/>
    </row>
    <row r="89" spans="1:27" ht="12" customHeight="1" x14ac:dyDescent="0.25"/>
  </sheetData>
  <mergeCells count="106">
    <mergeCell ref="E1:W1"/>
    <mergeCell ref="F3:G3"/>
    <mergeCell ref="I3:M3"/>
    <mergeCell ref="O3:P3"/>
    <mergeCell ref="F5:M5"/>
    <mergeCell ref="O5:P5"/>
    <mergeCell ref="Q5:Y5"/>
    <mergeCell ref="F7:O7"/>
    <mergeCell ref="T7:Y7"/>
    <mergeCell ref="F9:O9"/>
    <mergeCell ref="T9:Y9"/>
    <mergeCell ref="O11:Y11"/>
    <mergeCell ref="B13:D13"/>
    <mergeCell ref="E13:G13"/>
    <mergeCell ref="I13:K13"/>
    <mergeCell ref="L13:M13"/>
    <mergeCell ref="P13:Y13"/>
    <mergeCell ref="E15:H15"/>
    <mergeCell ref="L15:O15"/>
    <mergeCell ref="V15:X15"/>
    <mergeCell ref="U51:V51"/>
    <mergeCell ref="B21:Y21"/>
    <mergeCell ref="K25:L25"/>
    <mergeCell ref="K29:L29"/>
    <mergeCell ref="S29:T29"/>
    <mergeCell ref="E31:F31"/>
    <mergeCell ref="H33:I34"/>
    <mergeCell ref="E17:G17"/>
    <mergeCell ref="I17:K17"/>
    <mergeCell ref="M17:O17"/>
    <mergeCell ref="Q17:T17"/>
    <mergeCell ref="V17:X17"/>
    <mergeCell ref="E19:G19"/>
    <mergeCell ref="I19:J19"/>
    <mergeCell ref="M19:N19"/>
    <mergeCell ref="Q19:R19"/>
    <mergeCell ref="S19:T19"/>
    <mergeCell ref="X19:Y19"/>
    <mergeCell ref="B57:Y57"/>
    <mergeCell ref="C59:K59"/>
    <mergeCell ref="L59:N59"/>
    <mergeCell ref="O59:Q59"/>
    <mergeCell ref="R59:U59"/>
    <mergeCell ref="V59:Y59"/>
    <mergeCell ref="B37:Y37"/>
    <mergeCell ref="B44:C45"/>
    <mergeCell ref="K44:L44"/>
    <mergeCell ref="R44:U45"/>
    <mergeCell ref="K45:L45"/>
    <mergeCell ref="C51:D51"/>
    <mergeCell ref="E51:G51"/>
    <mergeCell ref="I51:K51"/>
    <mergeCell ref="L51:N51"/>
    <mergeCell ref="C52:D52"/>
    <mergeCell ref="E52:G52"/>
    <mergeCell ref="I52:K52"/>
    <mergeCell ref="L52:N52"/>
    <mergeCell ref="O52:P52"/>
    <mergeCell ref="Q52:T52"/>
    <mergeCell ref="U52:V52"/>
    <mergeCell ref="O51:P51"/>
    <mergeCell ref="Q51:T51"/>
    <mergeCell ref="C54:D54"/>
    <mergeCell ref="E54:G54"/>
    <mergeCell ref="I54:K54"/>
    <mergeCell ref="L54:N54"/>
    <mergeCell ref="O54:P54"/>
    <mergeCell ref="Q54:T54"/>
    <mergeCell ref="U54:V54"/>
    <mergeCell ref="C53:D53"/>
    <mergeCell ref="E53:G53"/>
    <mergeCell ref="I53:K53"/>
    <mergeCell ref="U53:V53"/>
    <mergeCell ref="L53:N53"/>
    <mergeCell ref="O53:P53"/>
    <mergeCell ref="Q53:T53"/>
    <mergeCell ref="C62:K62"/>
    <mergeCell ref="L62:N62"/>
    <mergeCell ref="O62:Q62"/>
    <mergeCell ref="B76:Y76"/>
    <mergeCell ref="R62:U62"/>
    <mergeCell ref="V62:Y62"/>
    <mergeCell ref="B64:Y64"/>
    <mergeCell ref="C60:K60"/>
    <mergeCell ref="L60:N60"/>
    <mergeCell ref="O60:Q60"/>
    <mergeCell ref="R60:U60"/>
    <mergeCell ref="V60:Y60"/>
    <mergeCell ref="C61:K61"/>
    <mergeCell ref="L61:N61"/>
    <mergeCell ref="O61:Q61"/>
    <mergeCell ref="R61:U61"/>
    <mergeCell ref="V61:Y61"/>
    <mergeCell ref="B84:O86"/>
    <mergeCell ref="B87:O88"/>
    <mergeCell ref="Q88:S88"/>
    <mergeCell ref="J66:P66"/>
    <mergeCell ref="S66:Y74"/>
    <mergeCell ref="J68:P68"/>
    <mergeCell ref="J70:P70"/>
    <mergeCell ref="J72:P72"/>
    <mergeCell ref="J74:P74"/>
    <mergeCell ref="B78:Y78"/>
    <mergeCell ref="B79:Y79"/>
    <mergeCell ref="B80:Y80"/>
    <mergeCell ref="B81:Y81"/>
  </mergeCells>
  <printOptions horizontalCentered="1"/>
  <pageMargins left="0.59055118110236227" right="0.59055118110236227" top="1.1811023622047245" bottom="0.78740157480314965" header="0.31496062992125984" footer="0.31496062992125984"/>
  <pageSetup scale="59" orientation="portrait" horizontalDpi="300" verticalDpi="300" r:id="rId1"/>
  <headerFooter scaleWithDoc="0">
    <oddHeader>&amp;L&amp;G&amp;R&amp;G</oddHeader>
  </headerFooter>
  <colBreaks count="1" manualBreakCount="1">
    <brk id="26" max="90" man="1"/>
  </colBreaks>
  <drawing r:id="rId2"/>
  <legacyDrawing r:id="rId3"/>
  <legacyDrawingHF r:id="rId4"/>
  <controls>
    <mc:AlternateContent xmlns:mc="http://schemas.openxmlformats.org/markup-compatibility/2006">
      <mc:Choice Requires="x14">
        <control shapeId="5159" r:id="rId5" name="cb2Continuar">
          <controlPr defaultSize="0" autoLine="0" r:id="rId6">
            <anchor moveWithCells="1">
              <from>
                <xdr:col>26</xdr:col>
                <xdr:colOff>238125</xdr:colOff>
                <xdr:row>0</xdr:row>
                <xdr:rowOff>114300</xdr:rowOff>
              </from>
              <to>
                <xdr:col>26</xdr:col>
                <xdr:colOff>485775</xdr:colOff>
                <xdr:row>1</xdr:row>
                <xdr:rowOff>19050</xdr:rowOff>
              </to>
            </anchor>
          </controlPr>
        </control>
      </mc:Choice>
      <mc:Fallback>
        <control shapeId="5159" r:id="rId5" name="cb2Continuar"/>
      </mc:Fallback>
    </mc:AlternateContent>
    <mc:AlternateContent xmlns:mc="http://schemas.openxmlformats.org/markup-compatibility/2006">
      <mc:Choice Requires="x14">
        <control shapeId="5122" r:id="rId7" name="Check Box 2">
          <controlPr defaultSize="0" autoFill="0" autoLine="0" autoPict="0">
            <anchor moveWithCells="1">
              <from>
                <xdr:col>3</xdr:col>
                <xdr:colOff>542925</xdr:colOff>
                <xdr:row>28</xdr:row>
                <xdr:rowOff>9525</xdr:rowOff>
              </from>
              <to>
                <xdr:col>5</xdr:col>
                <xdr:colOff>0</xdr:colOff>
                <xdr:row>29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8" name="Check Box 3">
          <controlPr defaultSize="0" autoFill="0" autoLine="0" autoPict="0">
            <anchor moveWithCells="1">
              <from>
                <xdr:col>4</xdr:col>
                <xdr:colOff>266700</xdr:colOff>
                <xdr:row>28</xdr:row>
                <xdr:rowOff>9525</xdr:rowOff>
              </from>
              <to>
                <xdr:col>5</xdr:col>
                <xdr:colOff>314325</xdr:colOff>
                <xdr:row>29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9" name="Check Box 4">
          <controlPr defaultSize="0" autoFill="0" autoLine="0" autoPict="0">
            <anchor moveWithCells="1">
              <from>
                <xdr:col>3</xdr:col>
                <xdr:colOff>542925</xdr:colOff>
                <xdr:row>28</xdr:row>
                <xdr:rowOff>180975</xdr:rowOff>
              </from>
              <to>
                <xdr:col>5</xdr:col>
                <xdr:colOff>0</xdr:colOff>
                <xdr:row>30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0" name="Check Box 5">
          <controlPr defaultSize="0" autoFill="0" autoLine="0" autoPict="0">
            <anchor moveWithCells="1">
              <from>
                <xdr:col>3</xdr:col>
                <xdr:colOff>542925</xdr:colOff>
                <xdr:row>31</xdr:row>
                <xdr:rowOff>9525</xdr:rowOff>
              </from>
              <to>
                <xdr:col>5</xdr:col>
                <xdr:colOff>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1" name="Check Box 6">
          <controlPr defaultSize="0" autoFill="0" autoLine="0" autoPict="0">
            <anchor moveWithCells="1">
              <from>
                <xdr:col>9</xdr:col>
                <xdr:colOff>276225</xdr:colOff>
                <xdr:row>32</xdr:row>
                <xdr:rowOff>9525</xdr:rowOff>
              </from>
              <to>
                <xdr:col>11</xdr:col>
                <xdr:colOff>66675</xdr:colOff>
                <xdr:row>33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2" name="Check Box 7">
          <controlPr defaultSize="0" autoFill="0" autoLine="0" autoPict="0">
            <anchor moveWithCells="1">
              <from>
                <xdr:col>9</xdr:col>
                <xdr:colOff>276225</xdr:colOff>
                <xdr:row>29</xdr:row>
                <xdr:rowOff>0</xdr:rowOff>
              </from>
              <to>
                <xdr:col>11</xdr:col>
                <xdr:colOff>66675</xdr:colOff>
                <xdr:row>30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3" name="Check Box 8">
          <controlPr defaultSize="0" autoFill="0" autoLine="0" autoPict="0">
            <anchor moveWithCells="1">
              <from>
                <xdr:col>9</xdr:col>
                <xdr:colOff>276225</xdr:colOff>
                <xdr:row>30</xdr:row>
                <xdr:rowOff>9525</xdr:rowOff>
              </from>
              <to>
                <xdr:col>11</xdr:col>
                <xdr:colOff>66675</xdr:colOff>
                <xdr:row>31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4" name="Check Box 9">
          <controlPr defaultSize="0" autoFill="0" autoLine="0" autoPict="0">
            <anchor moveWithCells="1">
              <from>
                <xdr:col>9</xdr:col>
                <xdr:colOff>276225</xdr:colOff>
                <xdr:row>31</xdr:row>
                <xdr:rowOff>0</xdr:rowOff>
              </from>
              <to>
                <xdr:col>11</xdr:col>
                <xdr:colOff>66675</xdr:colOff>
                <xdr:row>32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5" name="Check Box 10">
          <controlPr defaultSize="0" autoFill="0" autoLine="0" autoPict="0">
            <anchor moveWithCells="1">
              <from>
                <xdr:col>17</xdr:col>
                <xdr:colOff>47625</xdr:colOff>
                <xdr:row>29</xdr:row>
                <xdr:rowOff>9525</xdr:rowOff>
              </from>
              <to>
                <xdr:col>19</xdr:col>
                <xdr:colOff>66675</xdr:colOff>
                <xdr:row>30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6" name="Check Box 11">
          <controlPr defaultSize="0" autoFill="0" autoLine="0" autoPict="0">
            <anchor moveWithCells="1">
              <from>
                <xdr:col>4</xdr:col>
                <xdr:colOff>266700</xdr:colOff>
                <xdr:row>31</xdr:row>
                <xdr:rowOff>9525</xdr:rowOff>
              </from>
              <to>
                <xdr:col>5</xdr:col>
                <xdr:colOff>304800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7" name="Check Box 12">
          <controlPr defaultSize="0" autoFill="0" autoLine="0" autoPict="0">
            <anchor moveWithCells="1">
              <from>
                <xdr:col>4</xdr:col>
                <xdr:colOff>266700</xdr:colOff>
                <xdr:row>28</xdr:row>
                <xdr:rowOff>180975</xdr:rowOff>
              </from>
              <to>
                <xdr:col>5</xdr:col>
                <xdr:colOff>304800</xdr:colOff>
                <xdr:row>30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18" name="Check Box 13">
          <controlPr defaultSize="0" autoFill="0" autoLine="0" autoPict="0">
            <anchor moveWithCells="1">
              <from>
                <xdr:col>18</xdr:col>
                <xdr:colOff>257175</xdr:colOff>
                <xdr:row>29</xdr:row>
                <xdr:rowOff>9525</xdr:rowOff>
              </from>
              <to>
                <xdr:col>20</xdr:col>
                <xdr:colOff>57150</xdr:colOff>
                <xdr:row>30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19" name="Check Box 14">
          <controlPr defaultSize="0" autoFill="0" autoLine="0" autoPict="0">
            <anchor moveWithCells="1">
              <from>
                <xdr:col>18</xdr:col>
                <xdr:colOff>257175</xdr:colOff>
                <xdr:row>30</xdr:row>
                <xdr:rowOff>9525</xdr:rowOff>
              </from>
              <to>
                <xdr:col>20</xdr:col>
                <xdr:colOff>57150</xdr:colOff>
                <xdr:row>31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20" name="Check Box 15">
          <controlPr defaultSize="0" autoFill="0" autoLine="0" autoPict="0">
            <anchor moveWithCells="1">
              <from>
                <xdr:col>10</xdr:col>
                <xdr:colOff>257175</xdr:colOff>
                <xdr:row>29</xdr:row>
                <xdr:rowOff>9525</xdr:rowOff>
              </from>
              <to>
                <xdr:col>12</xdr:col>
                <xdr:colOff>95250</xdr:colOff>
                <xdr:row>30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6" r:id="rId21" name="Check Box 16">
          <controlPr defaultSize="0" autoFill="0" autoLine="0" autoPict="0">
            <anchor moveWithCells="1">
              <from>
                <xdr:col>10</xdr:col>
                <xdr:colOff>257175</xdr:colOff>
                <xdr:row>30</xdr:row>
                <xdr:rowOff>9525</xdr:rowOff>
              </from>
              <to>
                <xdr:col>12</xdr:col>
                <xdr:colOff>95250</xdr:colOff>
                <xdr:row>31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7" r:id="rId22" name="Check Box 17">
          <controlPr defaultSize="0" autoFill="0" autoLine="0" autoPict="0">
            <anchor moveWithCells="1">
              <from>
                <xdr:col>10</xdr:col>
                <xdr:colOff>257175</xdr:colOff>
                <xdr:row>31</xdr:row>
                <xdr:rowOff>9525</xdr:rowOff>
              </from>
              <to>
                <xdr:col>12</xdr:col>
                <xdr:colOff>95250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8" r:id="rId23" name="Check Box 18">
          <controlPr defaultSize="0" autoFill="0" autoLine="0" autoPict="0">
            <anchor moveWithCells="1">
              <from>
                <xdr:col>10</xdr:col>
                <xdr:colOff>257175</xdr:colOff>
                <xdr:row>32</xdr:row>
                <xdr:rowOff>9525</xdr:rowOff>
              </from>
              <to>
                <xdr:col>12</xdr:col>
                <xdr:colOff>95250</xdr:colOff>
                <xdr:row>33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9" r:id="rId24" name="Check Box 19">
          <controlPr defaultSize="0" autoFill="0" autoLine="0" autoPict="0">
            <anchor moveWithCells="1">
              <from>
                <xdr:col>17</xdr:col>
                <xdr:colOff>47625</xdr:colOff>
                <xdr:row>30</xdr:row>
                <xdr:rowOff>9525</xdr:rowOff>
              </from>
              <to>
                <xdr:col>19</xdr:col>
                <xdr:colOff>66675</xdr:colOff>
                <xdr:row>31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0" r:id="rId25" name="Check Box 20">
          <controlPr defaultSize="0" autoFill="0" autoLine="0" autoPict="0">
            <anchor moveWithCells="1">
              <from>
                <xdr:col>17</xdr:col>
                <xdr:colOff>47625</xdr:colOff>
                <xdr:row>31</xdr:row>
                <xdr:rowOff>9525</xdr:rowOff>
              </from>
              <to>
                <xdr:col>19</xdr:col>
                <xdr:colOff>66675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1" r:id="rId26" name="Check Box 21">
          <controlPr defaultSize="0" autoFill="0" autoLine="0" autoPict="0">
            <anchor moveWithCells="1">
              <from>
                <xdr:col>17</xdr:col>
                <xdr:colOff>47625</xdr:colOff>
                <xdr:row>32</xdr:row>
                <xdr:rowOff>9525</xdr:rowOff>
              </from>
              <to>
                <xdr:col>19</xdr:col>
                <xdr:colOff>66675</xdr:colOff>
                <xdr:row>33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2" r:id="rId27" name="Check Box 22">
          <controlPr defaultSize="0" autoFill="0" autoLine="0" autoPict="0">
            <anchor moveWithCells="1">
              <from>
                <xdr:col>17</xdr:col>
                <xdr:colOff>47625</xdr:colOff>
                <xdr:row>33</xdr:row>
                <xdr:rowOff>9525</xdr:rowOff>
              </from>
              <to>
                <xdr:col>19</xdr:col>
                <xdr:colOff>66675</xdr:colOff>
                <xdr:row>34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3" r:id="rId28" name="Check Box 23">
          <controlPr defaultSize="0" autoFill="0" autoLine="0" autoPict="0">
            <anchor moveWithCells="1">
              <from>
                <xdr:col>18</xdr:col>
                <xdr:colOff>257175</xdr:colOff>
                <xdr:row>31</xdr:row>
                <xdr:rowOff>9525</xdr:rowOff>
              </from>
              <to>
                <xdr:col>20</xdr:col>
                <xdr:colOff>57150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4" r:id="rId29" name="Check Box 24">
          <controlPr defaultSize="0" autoFill="0" autoLine="0" autoPict="0">
            <anchor moveWithCells="1">
              <from>
                <xdr:col>18</xdr:col>
                <xdr:colOff>257175</xdr:colOff>
                <xdr:row>32</xdr:row>
                <xdr:rowOff>9525</xdr:rowOff>
              </from>
              <to>
                <xdr:col>20</xdr:col>
                <xdr:colOff>57150</xdr:colOff>
                <xdr:row>33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5" r:id="rId30" name="Check Box 25">
          <controlPr defaultSize="0" autoFill="0" autoLine="0" autoPict="0">
            <anchor moveWithCells="1">
              <from>
                <xdr:col>18</xdr:col>
                <xdr:colOff>257175</xdr:colOff>
                <xdr:row>33</xdr:row>
                <xdr:rowOff>9525</xdr:rowOff>
              </from>
              <to>
                <xdr:col>20</xdr:col>
                <xdr:colOff>57150</xdr:colOff>
                <xdr:row>34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6" r:id="rId31" name="Check Box 26">
          <controlPr defaultSize="0" autoFill="0" autoLine="0" autoPict="0">
            <anchor moveWithCells="1">
              <from>
                <xdr:col>17</xdr:col>
                <xdr:colOff>47625</xdr:colOff>
                <xdr:row>34</xdr:row>
                <xdr:rowOff>9525</xdr:rowOff>
              </from>
              <to>
                <xdr:col>19</xdr:col>
                <xdr:colOff>66675</xdr:colOff>
                <xdr:row>35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7" r:id="rId32" name="Check Box 27">
          <controlPr defaultSize="0" autoFill="0" autoLine="0" autoPict="0">
            <anchor moveWithCells="1">
              <from>
                <xdr:col>18</xdr:col>
                <xdr:colOff>257175</xdr:colOff>
                <xdr:row>34</xdr:row>
                <xdr:rowOff>9525</xdr:rowOff>
              </from>
              <to>
                <xdr:col>20</xdr:col>
                <xdr:colOff>57150</xdr:colOff>
                <xdr:row>35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8" r:id="rId33" name="Option Button 28">
          <controlPr defaultSize="0" autoFill="0" autoLine="0" autoPict="0">
            <anchor moveWithCells="1">
              <from>
                <xdr:col>7</xdr:col>
                <xdr:colOff>133350</xdr:colOff>
                <xdr:row>26</xdr:row>
                <xdr:rowOff>19050</xdr:rowOff>
              </from>
              <to>
                <xdr:col>7</xdr:col>
                <xdr:colOff>609600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9" r:id="rId34" name="Option Button 29">
          <controlPr defaultSize="0" autoFill="0" autoLine="0" autoPict="0">
            <anchor moveWithCells="1">
              <from>
                <xdr:col>8</xdr:col>
                <xdr:colOff>57150</xdr:colOff>
                <xdr:row>26</xdr:row>
                <xdr:rowOff>28575</xdr:rowOff>
              </from>
              <to>
                <xdr:col>10</xdr:col>
                <xdr:colOff>38100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0" r:id="rId35" name="Option Button 30">
          <controlPr defaultSize="0" autoFill="0" autoLine="0" autoPict="0">
            <anchor moveWithCells="1">
              <from>
                <xdr:col>10</xdr:col>
                <xdr:colOff>66675</xdr:colOff>
                <xdr:row>26</xdr:row>
                <xdr:rowOff>28575</xdr:rowOff>
              </from>
              <to>
                <xdr:col>11</xdr:col>
                <xdr:colOff>190500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1" r:id="rId36" name="Check Box 31">
          <controlPr defaultSize="0" autoFill="0" autoLine="0" autoPict="0">
            <anchor moveWithCells="1">
              <from>
                <xdr:col>6</xdr:col>
                <xdr:colOff>47625</xdr:colOff>
                <xdr:row>21</xdr:row>
                <xdr:rowOff>190500</xdr:rowOff>
              </from>
              <to>
                <xdr:col>7</xdr:col>
                <xdr:colOff>228600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2" r:id="rId37" name="Check Box 32">
          <controlPr defaultSize="0" autoFill="0" autoLine="0" autoPict="0">
            <anchor moveWithCells="1">
              <from>
                <xdr:col>9</xdr:col>
                <xdr:colOff>123825</xdr:colOff>
                <xdr:row>21</xdr:row>
                <xdr:rowOff>180975</xdr:rowOff>
              </from>
              <to>
                <xdr:col>12</xdr:col>
                <xdr:colOff>219075</xdr:colOff>
                <xdr:row>23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3" r:id="rId38" name="Check Box 33">
          <controlPr defaultSize="0" autoFill="0" autoLine="0" autoPict="0">
            <anchor moveWithCells="1">
              <from>
                <xdr:col>5</xdr:col>
                <xdr:colOff>57150</xdr:colOff>
                <xdr:row>9</xdr:row>
                <xdr:rowOff>57150</xdr:rowOff>
              </from>
              <to>
                <xdr:col>6</xdr:col>
                <xdr:colOff>142875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4" r:id="rId39" name="Check Box 34">
          <controlPr defaultSize="0" autoFill="0" autoLine="0" autoPict="0">
            <anchor moveWithCells="1">
              <from>
                <xdr:col>7</xdr:col>
                <xdr:colOff>66675</xdr:colOff>
                <xdr:row>9</xdr:row>
                <xdr:rowOff>57150</xdr:rowOff>
              </from>
              <to>
                <xdr:col>7</xdr:col>
                <xdr:colOff>438150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5" r:id="rId40" name="Check Box 35">
          <controlPr defaultSize="0" autoFill="0" autoLine="0" autoPict="0">
            <anchor moveWithCells="1">
              <from>
                <xdr:col>7</xdr:col>
                <xdr:colOff>457200</xdr:colOff>
                <xdr:row>9</xdr:row>
                <xdr:rowOff>66675</xdr:rowOff>
              </from>
              <to>
                <xdr:col>8</xdr:col>
                <xdr:colOff>28575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6" r:id="rId41" name="Check Box 36">
          <controlPr defaultSize="0" autoFill="0" autoLine="0" autoPict="0">
            <anchor moveWithCells="1">
              <from>
                <xdr:col>8</xdr:col>
                <xdr:colOff>142875</xdr:colOff>
                <xdr:row>9</xdr:row>
                <xdr:rowOff>66675</xdr:rowOff>
              </from>
              <to>
                <xdr:col>10</xdr:col>
                <xdr:colOff>38100</xdr:colOff>
                <xdr:row>10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7" r:id="rId42" name="Check Box 37">
          <controlPr defaultSize="0" autoFill="0" autoLine="0" autoPict="0">
            <anchor moveWithCells="1">
              <from>
                <xdr:col>10</xdr:col>
                <xdr:colOff>28575</xdr:colOff>
                <xdr:row>9</xdr:row>
                <xdr:rowOff>66675</xdr:rowOff>
              </from>
              <to>
                <xdr:col>11</xdr:col>
                <xdr:colOff>228600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8" r:id="rId43" name="Option Button 38">
          <controlPr defaultSize="0" autoFill="0" autoLine="0" autoPict="0">
            <anchor moveWithCells="1">
              <from>
                <xdr:col>71</xdr:col>
                <xdr:colOff>66675</xdr:colOff>
                <xdr:row>23</xdr:row>
                <xdr:rowOff>28575</xdr:rowOff>
              </from>
              <to>
                <xdr:col>71</xdr:col>
                <xdr:colOff>495300</xdr:colOff>
                <xdr:row>24</xdr:row>
                <xdr:rowOff>114300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"/>
  <dimension ref="B2:K29"/>
  <sheetViews>
    <sheetView showGridLines="0" workbookViewId="0">
      <selection activeCell="C27" sqref="C27"/>
    </sheetView>
  </sheetViews>
  <sheetFormatPr defaultColWidth="10.7109375" defaultRowHeight="15" x14ac:dyDescent="0.25"/>
  <cols>
    <col min="2" max="2" width="53.5703125" bestFit="1" customWidth="1"/>
    <col min="3" max="3" width="8.85546875" bestFit="1" customWidth="1"/>
    <col min="4" max="4" width="8.85546875" customWidth="1"/>
    <col min="5" max="5" width="8" bestFit="1" customWidth="1"/>
    <col min="6" max="6" width="8.85546875" bestFit="1" customWidth="1"/>
    <col min="7" max="7" width="9.85546875" bestFit="1" customWidth="1"/>
    <col min="8" max="8" width="10.7109375" bestFit="1" customWidth="1"/>
    <col min="9" max="9" width="11.85546875" bestFit="1" customWidth="1"/>
    <col min="10" max="10" width="12.5703125" bestFit="1" customWidth="1"/>
    <col min="11" max="11" width="104.85546875" bestFit="1" customWidth="1"/>
  </cols>
  <sheetData>
    <row r="2" spans="2:11" s="41" customFormat="1" ht="15" customHeight="1" x14ac:dyDescent="0.25">
      <c r="B2" s="690" t="s">
        <v>447</v>
      </c>
      <c r="C2" s="691"/>
      <c r="D2" s="54"/>
      <c r="E2"/>
      <c r="F2"/>
      <c r="G2"/>
      <c r="H2" s="285" t="s">
        <v>20</v>
      </c>
      <c r="I2" s="249" t="s">
        <v>469</v>
      </c>
      <c r="J2"/>
      <c r="K2"/>
    </row>
    <row r="3" spans="2:11" s="41" customFormat="1" ht="15" customHeight="1" x14ac:dyDescent="0.25">
      <c r="B3" s="239" t="s">
        <v>420</v>
      </c>
      <c r="C3" s="287" t="s">
        <v>478</v>
      </c>
      <c r="D3" s="54"/>
      <c r="E3"/>
      <c r="F3" t="s">
        <v>469</v>
      </c>
      <c r="G3"/>
      <c r="H3" s="247" t="s">
        <v>485</v>
      </c>
      <c r="I3" s="247"/>
      <c r="J3" s="247"/>
      <c r="K3" s="247"/>
    </row>
    <row r="4" spans="2:11" s="41" customFormat="1" ht="15" customHeight="1" x14ac:dyDescent="0.2">
      <c r="B4" s="239" t="s">
        <v>227</v>
      </c>
      <c r="C4" s="287" t="s">
        <v>479</v>
      </c>
      <c r="D4" s="54"/>
      <c r="E4" s="358" t="s">
        <v>19</v>
      </c>
      <c r="F4" s="286">
        <v>700</v>
      </c>
      <c r="H4" s="287" t="s">
        <v>44</v>
      </c>
      <c r="I4" s="288">
        <v>1250</v>
      </c>
      <c r="J4" s="288" t="s">
        <v>470</v>
      </c>
      <c r="K4" s="288" t="s">
        <v>152</v>
      </c>
    </row>
    <row r="5" spans="2:11" s="41" customFormat="1" ht="15" customHeight="1" x14ac:dyDescent="0.2">
      <c r="B5" s="239" t="s">
        <v>483</v>
      </c>
      <c r="C5" s="287" t="s">
        <v>484</v>
      </c>
      <c r="D5" s="54"/>
      <c r="E5" s="358" t="s">
        <v>471</v>
      </c>
      <c r="F5" s="285">
        <v>450</v>
      </c>
      <c r="G5" s="285"/>
      <c r="H5" s="287" t="s">
        <v>45</v>
      </c>
      <c r="I5" s="288">
        <v>1200</v>
      </c>
      <c r="J5" s="288" t="s">
        <v>472</v>
      </c>
      <c r="K5" s="288" t="s">
        <v>152</v>
      </c>
    </row>
    <row r="6" spans="2:11" s="41" customFormat="1" ht="15" customHeight="1" x14ac:dyDescent="0.2">
      <c r="E6" s="285"/>
      <c r="F6" s="285"/>
      <c r="G6" s="285"/>
      <c r="H6" s="287" t="s">
        <v>46</v>
      </c>
      <c r="I6" s="288">
        <v>1150</v>
      </c>
      <c r="J6" s="288" t="s">
        <v>473</v>
      </c>
      <c r="K6" s="288" t="s">
        <v>152</v>
      </c>
    </row>
    <row r="7" spans="2:11" s="41" customFormat="1" ht="15" customHeight="1" x14ac:dyDescent="0.2">
      <c r="E7" s="147" t="s">
        <v>221</v>
      </c>
      <c r="F7" s="224">
        <v>13</v>
      </c>
      <c r="G7" s="285"/>
      <c r="H7" s="287" t="s">
        <v>47</v>
      </c>
      <c r="I7" s="288">
        <v>1100</v>
      </c>
      <c r="J7" s="288" t="s">
        <v>470</v>
      </c>
      <c r="K7" s="288" t="s">
        <v>152</v>
      </c>
    </row>
    <row r="8" spans="2:11" s="41" customFormat="1" ht="15" customHeight="1" x14ac:dyDescent="0.25">
      <c r="B8" s="247" t="s">
        <v>480</v>
      </c>
      <c r="E8" s="289"/>
      <c r="F8" s="289"/>
      <c r="G8" s="285"/>
      <c r="H8" s="287" t="s">
        <v>48</v>
      </c>
      <c r="I8" s="288">
        <v>1050</v>
      </c>
      <c r="J8" s="288" t="s">
        <v>470</v>
      </c>
      <c r="K8" s="288" t="s">
        <v>152</v>
      </c>
    </row>
    <row r="9" spans="2:11" s="41" customFormat="1" ht="15" customHeight="1" x14ac:dyDescent="0.2">
      <c r="B9" s="239" t="s">
        <v>544</v>
      </c>
      <c r="C9" s="41" t="s">
        <v>489</v>
      </c>
      <c r="E9" s="289"/>
      <c r="F9" s="289"/>
      <c r="G9" s="285"/>
      <c r="H9" s="287" t="s">
        <v>49</v>
      </c>
      <c r="I9" s="288">
        <v>1000</v>
      </c>
      <c r="J9" s="288" t="s">
        <v>470</v>
      </c>
      <c r="K9" s="288" t="s">
        <v>152</v>
      </c>
    </row>
    <row r="10" spans="2:11" s="41" customFormat="1" ht="15" customHeight="1" x14ac:dyDescent="0.2">
      <c r="E10" s="289"/>
      <c r="F10" s="289"/>
      <c r="G10" s="285"/>
      <c r="H10" s="287" t="s">
        <v>50</v>
      </c>
      <c r="I10" s="288">
        <v>950</v>
      </c>
      <c r="J10" s="288" t="s">
        <v>470</v>
      </c>
      <c r="K10" s="288" t="s">
        <v>152</v>
      </c>
    </row>
    <row r="11" spans="2:11" s="41" customFormat="1" ht="15" customHeight="1" x14ac:dyDescent="0.2">
      <c r="B11" s="242" t="s">
        <v>31</v>
      </c>
      <c r="E11" s="289"/>
      <c r="F11" s="289"/>
      <c r="G11" s="285"/>
      <c r="H11" s="287" t="s">
        <v>51</v>
      </c>
      <c r="I11" s="288">
        <v>900</v>
      </c>
      <c r="J11" s="288" t="s">
        <v>470</v>
      </c>
      <c r="K11" s="288" t="s">
        <v>152</v>
      </c>
    </row>
    <row r="12" spans="2:11" s="41" customFormat="1" ht="15" customHeight="1" x14ac:dyDescent="0.2">
      <c r="B12" s="287" t="s">
        <v>33</v>
      </c>
      <c r="E12" s="289"/>
      <c r="F12" s="289"/>
      <c r="G12" s="285"/>
      <c r="H12" s="287" t="s">
        <v>52</v>
      </c>
      <c r="I12" s="288">
        <v>850</v>
      </c>
      <c r="J12" s="288" t="s">
        <v>470</v>
      </c>
      <c r="K12" s="288" t="s">
        <v>152</v>
      </c>
    </row>
    <row r="13" spans="2:11" s="41" customFormat="1" ht="15" customHeight="1" x14ac:dyDescent="0.2">
      <c r="B13" s="287" t="s">
        <v>448</v>
      </c>
      <c r="E13" s="289"/>
      <c r="F13" s="289"/>
      <c r="G13" s="285"/>
      <c r="H13" s="287" t="s">
        <v>43</v>
      </c>
      <c r="I13" s="288">
        <v>10000</v>
      </c>
      <c r="J13" s="288" t="s">
        <v>474</v>
      </c>
      <c r="K13" s="288" t="s">
        <v>39</v>
      </c>
    </row>
    <row r="14" spans="2:11" s="41" customFormat="1" ht="15" customHeight="1" x14ac:dyDescent="0.2">
      <c r="E14" s="289"/>
      <c r="F14" s="289"/>
      <c r="G14" s="285"/>
      <c r="H14" s="287" t="s">
        <v>40</v>
      </c>
      <c r="I14" s="288">
        <v>9500</v>
      </c>
      <c r="J14" s="288" t="s">
        <v>474</v>
      </c>
      <c r="K14" s="288" t="s">
        <v>39</v>
      </c>
    </row>
    <row r="15" spans="2:11" x14ac:dyDescent="0.25">
      <c r="B15" s="242" t="s">
        <v>521</v>
      </c>
      <c r="E15" s="289"/>
      <c r="F15" s="289"/>
      <c r="G15" s="285"/>
      <c r="H15" s="287" t="s">
        <v>41</v>
      </c>
      <c r="I15" s="288">
        <v>9000</v>
      </c>
      <c r="J15" s="288" t="s">
        <v>474</v>
      </c>
      <c r="K15" s="288" t="s">
        <v>39</v>
      </c>
    </row>
    <row r="16" spans="2:11" x14ac:dyDescent="0.25">
      <c r="B16" s="287" t="s">
        <v>30</v>
      </c>
      <c r="E16" s="289"/>
      <c r="F16" s="289"/>
      <c r="G16" s="285"/>
      <c r="H16" s="287" t="s">
        <v>42</v>
      </c>
      <c r="I16" s="288">
        <v>8000</v>
      </c>
      <c r="J16" s="288" t="s">
        <v>475</v>
      </c>
      <c r="K16" s="288" t="s">
        <v>39</v>
      </c>
    </row>
    <row r="17" spans="2:11" x14ac:dyDescent="0.25">
      <c r="B17" s="287" t="s">
        <v>39</v>
      </c>
      <c r="H17" s="287" t="s">
        <v>422</v>
      </c>
      <c r="I17" s="288">
        <v>4000</v>
      </c>
      <c r="J17" s="288" t="s">
        <v>197</v>
      </c>
      <c r="K17" s="288" t="s">
        <v>424</v>
      </c>
    </row>
    <row r="18" spans="2:11" x14ac:dyDescent="0.25">
      <c r="B18" s="287" t="s">
        <v>424</v>
      </c>
      <c r="J18" s="178"/>
    </row>
    <row r="19" spans="2:11" x14ac:dyDescent="0.25">
      <c r="B19" s="285"/>
      <c r="J19" s="178"/>
    </row>
    <row r="20" spans="2:11" x14ac:dyDescent="0.25">
      <c r="B20" s="247" t="s">
        <v>488</v>
      </c>
      <c r="J20" s="178"/>
    </row>
    <row r="21" spans="2:11" x14ac:dyDescent="0.25">
      <c r="B21" s="239" t="s">
        <v>522</v>
      </c>
      <c r="J21" s="178"/>
    </row>
    <row r="22" spans="2:11" x14ac:dyDescent="0.25">
      <c r="B22" s="285"/>
      <c r="J22" s="178"/>
    </row>
    <row r="23" spans="2:11" x14ac:dyDescent="0.25">
      <c r="B23" s="247" t="s">
        <v>514</v>
      </c>
      <c r="J23" s="178"/>
    </row>
    <row r="24" spans="2:11" x14ac:dyDescent="0.25">
      <c r="B24" s="239" t="s">
        <v>533</v>
      </c>
      <c r="J24" s="178"/>
    </row>
    <row r="25" spans="2:11" x14ac:dyDescent="0.25">
      <c r="B25" s="285"/>
      <c r="J25" s="178"/>
    </row>
    <row r="26" spans="2:11" x14ac:dyDescent="0.25">
      <c r="B26" s="692" t="s">
        <v>515</v>
      </c>
      <c r="C26" s="692"/>
      <c r="J26" s="178"/>
    </row>
    <row r="27" spans="2:11" x14ac:dyDescent="0.25">
      <c r="B27" s="287" t="s">
        <v>516</v>
      </c>
      <c r="C27" s="367">
        <v>79287</v>
      </c>
    </row>
    <row r="28" spans="2:11" x14ac:dyDescent="0.25">
      <c r="B28" s="287" t="s">
        <v>517</v>
      </c>
      <c r="C28" s="367">
        <v>91760</v>
      </c>
    </row>
    <row r="29" spans="2:11" x14ac:dyDescent="0.25">
      <c r="B29" s="287" t="s">
        <v>518</v>
      </c>
      <c r="C29" s="367">
        <v>117153</v>
      </c>
    </row>
  </sheetData>
  <sheetProtection selectLockedCells="1" selectUnlockedCells="1"/>
  <mergeCells count="2">
    <mergeCell ref="B2:C2"/>
    <mergeCell ref="B26:C26"/>
  </mergeCells>
  <phoneticPr fontId="3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E8B3-3D3C-40AE-AFA8-C593030FC740}">
  <sheetPr codeName="Hoja1">
    <pageSetUpPr fitToPage="1"/>
  </sheetPr>
  <dimension ref="A1"/>
  <sheetViews>
    <sheetView showGridLines="0" showRowColHeaders="0" topLeftCell="A96" zoomScaleNormal="100" workbookViewId="0">
      <selection activeCell="R12" sqref="R12"/>
    </sheetView>
  </sheetViews>
  <sheetFormatPr defaultColWidth="10.7109375" defaultRowHeight="15" x14ac:dyDescent="0.25"/>
  <sheetData/>
  <sheetProtection algorithmName="SHA-512" hashValue="UD/cmmbEnp1D2pYzCpg3NDN5GmvAvRueDyWqRynJKhj7jmi5RggCvCzAG8EkOQFV9CFC8HJMR69BkFW48BUGew==" saltValue="oyAmf6CbHkbbrjYK/6tJ6w==" spinCount="100000" sheet="1" objects="1" scenarios="1" selectLockedCells="1" selectUnlockedCells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Portada</vt:lpstr>
      <vt:lpstr>Memoria</vt:lpstr>
      <vt:lpstr>MATRIZ</vt:lpstr>
      <vt:lpstr>Tasaciones</vt:lpstr>
      <vt:lpstr>Informe</vt:lpstr>
      <vt:lpstr>Fotos</vt:lpstr>
      <vt:lpstr>Anexo C.04</vt:lpstr>
      <vt:lpstr>DATA</vt:lpstr>
      <vt:lpstr>Hoja1</vt:lpstr>
      <vt:lpstr>Moneda</vt:lpstr>
      <vt:lpstr>'Anexo C.04'!Print_Area</vt:lpstr>
      <vt:lpstr>Fotos!Print_Area</vt:lpstr>
      <vt:lpstr>Informe!Print_Area</vt:lpstr>
      <vt:lpstr>MATRIZ!Print_Area</vt:lpstr>
      <vt:lpstr>Memoria!Print_Area</vt:lpstr>
      <vt:lpstr>Solicitante</vt:lpstr>
      <vt:lpstr>Tipo</vt:lpstr>
      <vt:lpstr>Vista</vt:lpstr>
    </vt:vector>
  </TitlesOfParts>
  <Company>Interbank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IMAX</dc:creator>
  <cp:lastModifiedBy>Andrés Ernesto Gómez Garcés</cp:lastModifiedBy>
  <cp:lastPrinted>2020-10-06T14:25:18Z</cp:lastPrinted>
  <dcterms:created xsi:type="dcterms:W3CDTF">2017-06-06T21:18:08Z</dcterms:created>
  <dcterms:modified xsi:type="dcterms:W3CDTF">2020-10-06T14:26:05Z</dcterms:modified>
</cp:coreProperties>
</file>