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ml.chartshapes+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drawings/drawing7.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ml.chartshapes+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servercloudp-my.sharepoint.com/personal/mario_granada_perezycardona_com_co/Documents/Documentos/Indicadores Q1 2026/Galagro Antioquia/"/>
    </mc:Choice>
  </mc:AlternateContent>
  <xr:revisionPtr revIDLastSave="657" documentId="8_{960FE695-AF63-40F4-9EA3-50ABC266E663}" xr6:coauthVersionLast="47" xr6:coauthVersionMax="47" xr10:uidLastSave="{4E698DF1-FA22-40EC-B870-84709E77DEF5}"/>
  <bookViews>
    <workbookView xWindow="90" yWindow="0" windowWidth="19200" windowHeight="10230" activeTab="2" xr2:uid="{8CB96C25-A9AE-48CD-9AFA-979EB32D5F5A}"/>
  </bookViews>
  <sheets>
    <sheet name="Tabla dinam gestion comercial" sheetId="5" r:id="rId1"/>
    <sheet name="X territorio" sheetId="22" r:id="rId2"/>
    <sheet name="mensual" sheetId="18" r:id="rId3"/>
    <sheet name="Trimestre" sheetId="1" r:id="rId4"/>
    <sheet name="Fincas" sheetId="10" r:id="rId5"/>
    <sheet name="Act Campo" sheetId="14" r:id="rId6"/>
    <sheet name="Leads" sheetId="9" r:id="rId7"/>
    <sheet name="Director" sheetId="23" r:id="rId8"/>
    <sheet name="Tecnico" sheetId="8" r:id="rId9"/>
    <sheet name="Territorios" sheetId="17" r:id="rId10"/>
    <sheet name="base director" sheetId="20" r:id="rId11"/>
    <sheet name="Resumen ejecutivo" sheetId="13" r:id="rId12"/>
  </sheets>
  <definedNames>
    <definedName name="_xlnm._FilterDatabase" localSheetId="5" hidden="1">'Act Campo'!$A$1:$AE$1</definedName>
    <definedName name="_xlnm._FilterDatabase" localSheetId="10" hidden="1">'base director'!$A$1:$K$161</definedName>
    <definedName name="_xlnm._FilterDatabase" localSheetId="6" hidden="1">Leads!$K$1:$P$20</definedName>
    <definedName name="_xlnm._FilterDatabase" localSheetId="0" hidden="1">'Tabla dinam gestion comercial'!$M$1:$U$22</definedName>
    <definedName name="_xlnm._FilterDatabase" localSheetId="9" hidden="1">Territorios!$A$1:$F$179</definedName>
    <definedName name="_xlnm.Print_Area" localSheetId="7">Director!$A$1:$K$30</definedName>
    <definedName name="_xlnm.Print_Area" localSheetId="2">mensual!$A$1:$K$32</definedName>
    <definedName name="_xlnm.Print_Area" localSheetId="3">Trimestre!$A$2:$I$33</definedName>
    <definedName name="_xlnm.Print_Area" localSheetId="1">'X territorio'!$A$1:$I$42</definedName>
    <definedName name="_xlnm.Print_Titles" localSheetId="7">Director!$1:$5</definedName>
    <definedName name="_xlnm.Print_Titles" localSheetId="2">mensual!$1:$5</definedName>
    <definedName name="_xlnm.Print_Titles" localSheetId="1">'X territorio'!$1:$5</definedName>
  </definedNames>
  <calcPr calcId="191029" refMode="R1C1"/>
  <pivotCaches>
    <pivotCache cacheId="2" r:id="rId13"/>
    <pivotCache cacheId="3"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31" i="22" l="1"/>
  <c r="I31" i="22"/>
  <c r="S17" i="5"/>
  <c r="I29" i="1"/>
  <c r="G29" i="1"/>
  <c r="D29" i="1"/>
  <c r="G31" i="22"/>
  <c r="A31" i="22"/>
  <c r="AF63" i="14" l="1"/>
  <c r="AF64" i="14"/>
  <c r="AF65" i="14"/>
  <c r="AF66" i="14"/>
  <c r="AF67" i="14"/>
  <c r="AF68" i="14"/>
  <c r="AF69" i="14"/>
  <c r="AF70" i="14"/>
  <c r="AF71" i="14"/>
  <c r="AF72" i="14"/>
  <c r="AF73" i="14"/>
  <c r="AF74" i="14"/>
  <c r="AF75" i="14"/>
  <c r="AF76" i="14"/>
  <c r="AF77" i="14"/>
  <c r="AF78" i="14"/>
  <c r="AF79" i="14"/>
  <c r="AF80" i="14"/>
  <c r="AF81" i="14"/>
  <c r="AF82" i="14"/>
  <c r="AF83" i="14"/>
  <c r="AF84" i="14"/>
  <c r="AF85" i="14"/>
  <c r="AF86" i="14"/>
  <c r="AF2" i="14"/>
  <c r="AF3" i="14"/>
  <c r="AF4" i="14"/>
  <c r="AF5" i="14"/>
  <c r="AF6" i="14"/>
  <c r="AF7" i="14"/>
  <c r="AF8" i="14"/>
  <c r="AF9" i="14"/>
  <c r="AF10" i="14"/>
  <c r="AF11" i="14"/>
  <c r="AF12" i="14"/>
  <c r="AF13" i="14"/>
  <c r="AF14" i="14"/>
  <c r="AF15" i="14"/>
  <c r="AF16" i="14"/>
  <c r="AF17" i="14"/>
  <c r="AF18" i="14"/>
  <c r="AF19" i="14"/>
  <c r="AF20" i="14"/>
  <c r="AF21" i="14"/>
  <c r="AF22" i="14"/>
  <c r="AF23" i="14"/>
  <c r="AF24" i="14"/>
  <c r="AF25" i="14"/>
  <c r="AF26" i="14"/>
  <c r="AF27" i="14"/>
  <c r="AF28" i="14"/>
  <c r="AF29" i="14"/>
  <c r="AF30" i="14"/>
  <c r="AF31" i="14"/>
  <c r="AF32" i="14"/>
  <c r="AF33" i="14"/>
  <c r="AF34" i="14"/>
  <c r="AF35" i="14"/>
  <c r="AF36" i="14"/>
  <c r="AF37" i="14"/>
  <c r="AF38" i="14"/>
  <c r="AF39" i="14"/>
  <c r="AF40" i="14"/>
  <c r="AF41" i="14"/>
  <c r="AF42" i="14"/>
  <c r="AF43" i="14"/>
  <c r="AF44" i="14"/>
  <c r="AF45" i="14"/>
  <c r="AF46" i="14"/>
  <c r="AF47" i="14"/>
  <c r="AF48" i="14"/>
  <c r="AF49" i="14"/>
  <c r="AF50" i="14"/>
  <c r="AF51" i="14"/>
  <c r="AF52" i="14"/>
  <c r="AF53" i="14"/>
  <c r="AF54" i="14"/>
  <c r="AF55" i="14"/>
  <c r="AF56" i="14"/>
  <c r="AF57" i="14"/>
  <c r="AF58" i="14"/>
  <c r="AF59" i="14"/>
  <c r="AF60" i="14"/>
  <c r="AF61" i="14"/>
  <c r="AF62" i="14"/>
  <c r="AF87" i="14"/>
  <c r="AF88" i="14"/>
  <c r="AF89" i="14"/>
  <c r="AF90" i="14"/>
  <c r="AF91" i="14"/>
  <c r="AF92" i="14"/>
  <c r="AF93" i="14"/>
  <c r="AF94" i="14"/>
  <c r="AF95" i="14"/>
  <c r="AF96" i="14"/>
  <c r="AF97" i="14"/>
  <c r="AF98" i="14"/>
  <c r="AF99" i="14"/>
  <c r="AF100" i="14"/>
  <c r="AF101" i="14"/>
  <c r="AF102" i="14"/>
  <c r="AF103" i="14"/>
  <c r="AF104" i="14"/>
  <c r="AF105" i="14"/>
  <c r="AF106" i="14"/>
  <c r="AF107" i="14"/>
  <c r="AF108" i="14"/>
  <c r="AF109" i="14"/>
  <c r="AF110" i="14"/>
  <c r="AF111" i="14"/>
  <c r="AF112" i="14"/>
  <c r="AF113" i="14"/>
  <c r="AF114" i="14"/>
  <c r="AF115" i="14"/>
  <c r="AF116" i="14"/>
  <c r="AF117" i="14"/>
  <c r="AF118" i="14"/>
  <c r="AF119" i="14"/>
  <c r="AF120" i="14"/>
  <c r="AF121" i="14"/>
  <c r="AF122" i="14"/>
  <c r="AF123" i="14"/>
  <c r="AF124" i="14"/>
  <c r="AF125" i="14"/>
  <c r="AF126" i="14"/>
  <c r="AF127" i="14"/>
  <c r="AF128" i="14"/>
  <c r="AF129" i="14"/>
  <c r="AF130" i="14"/>
  <c r="AF131" i="14"/>
  <c r="AF132" i="14"/>
  <c r="AF133" i="14"/>
  <c r="AF134" i="14"/>
  <c r="AF135" i="14"/>
  <c r="AF136" i="14"/>
  <c r="AF137" i="14"/>
  <c r="AF138" i="14"/>
  <c r="AF139" i="14"/>
  <c r="AF140" i="14"/>
  <c r="AF141" i="14"/>
  <c r="AF142" i="14"/>
  <c r="AF143" i="14"/>
  <c r="AF144" i="14"/>
  <c r="AF145" i="14"/>
  <c r="AF146" i="14"/>
  <c r="AF147" i="14"/>
  <c r="I23" i="18"/>
  <c r="H23" i="18"/>
  <c r="G23" i="18"/>
  <c r="I22" i="18"/>
  <c r="H22" i="18"/>
  <c r="G22" i="18"/>
  <c r="I17" i="18"/>
  <c r="H17" i="18"/>
  <c r="G17" i="18"/>
  <c r="I16" i="18"/>
  <c r="H16" i="18"/>
  <c r="G16" i="18"/>
  <c r="I15" i="18"/>
  <c r="H15" i="18"/>
  <c r="G15" i="18"/>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2" i="8"/>
  <c r="L3" i="5" l="1"/>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G15" i="1" l="1"/>
  <c r="H15" i="1"/>
  <c r="H24" i="1"/>
  <c r="H23" i="1"/>
  <c r="G14" i="1"/>
  <c r="U2" i="5"/>
  <c r="T2" i="5"/>
  <c r="R2" i="5"/>
  <c r="Q2" i="5"/>
  <c r="S15" i="5"/>
  <c r="I24" i="23"/>
  <c r="H24" i="23"/>
  <c r="G24" i="23"/>
  <c r="I23" i="23"/>
  <c r="H23" i="23"/>
  <c r="G23" i="23"/>
  <c r="I18" i="23"/>
  <c r="H18" i="23"/>
  <c r="G18" i="23"/>
  <c r="J18" i="23"/>
  <c r="J15" i="23"/>
  <c r="J21" i="23"/>
  <c r="I21" i="23"/>
  <c r="H21" i="23"/>
  <c r="G21" i="23"/>
  <c r="J20" i="23"/>
  <c r="I20" i="23"/>
  <c r="H20" i="23"/>
  <c r="G20" i="23"/>
  <c r="J16" i="23"/>
  <c r="I16" i="23"/>
  <c r="H16" i="23"/>
  <c r="G16" i="23"/>
  <c r="I15" i="23"/>
  <c r="H15" i="23"/>
  <c r="G15" i="23"/>
  <c r="I14" i="23"/>
  <c r="H14" i="23"/>
  <c r="G14" i="23"/>
  <c r="J4" i="23"/>
  <c r="J3" i="23"/>
  <c r="J2" i="23"/>
  <c r="J19" i="23" l="1"/>
  <c r="D16" i="23"/>
  <c r="C16" i="23" s="1"/>
  <c r="D15" i="23"/>
  <c r="C15" i="23" s="1"/>
  <c r="D21" i="23"/>
  <c r="C21" i="23" s="1"/>
  <c r="D20" i="23"/>
  <c r="C20" i="23" s="1"/>
  <c r="D18" i="23" l="1"/>
  <c r="C18" i="23" s="1"/>
  <c r="J16" i="18" l="1"/>
  <c r="J26" i="18"/>
  <c r="J25" i="18"/>
  <c r="J24" i="23"/>
  <c r="D24" i="23" s="1"/>
  <c r="C24" i="23" s="1"/>
  <c r="J23" i="23"/>
  <c r="D23" i="23" s="1"/>
  <c r="C23" i="23" l="1"/>
  <c r="D25" i="23"/>
  <c r="C25" i="23" s="1"/>
  <c r="H21" i="1"/>
  <c r="H20" i="1"/>
  <c r="H16" i="1"/>
  <c r="J23" i="18"/>
  <c r="J22" i="18"/>
  <c r="A2" i="9"/>
  <c r="D23" i="18" l="1"/>
  <c r="D22" i="18"/>
  <c r="F26" i="22"/>
  <c r="H3" i="22"/>
  <c r="H5" i="22"/>
  <c r="H4" i="22"/>
  <c r="J17" i="18"/>
  <c r="J3" i="18"/>
  <c r="J4" i="18"/>
  <c r="G24" i="18" s="1" a="1"/>
  <c r="G24" i="18" s="1"/>
  <c r="J5" i="18"/>
  <c r="S3" i="5"/>
  <c r="S5" i="5"/>
  <c r="S16" i="5"/>
  <c r="S6" i="5"/>
  <c r="S8" i="5"/>
  <c r="S12" i="5"/>
  <c r="S18" i="5"/>
  <c r="S10" i="5"/>
  <c r="S14" i="5"/>
  <c r="S2" i="5"/>
  <c r="S4" i="5"/>
  <c r="S7" i="5"/>
  <c r="S9" i="5"/>
  <c r="S11" i="5"/>
  <c r="S13" i="5"/>
  <c r="G16" i="1"/>
  <c r="J2" i="9"/>
  <c r="G19" i="23"/>
  <c r="H19" i="23"/>
  <c r="I19" i="23"/>
  <c r="J14" i="23" a="1"/>
  <c r="J14" i="23" s="1"/>
  <c r="D14" i="23" s="1"/>
  <c r="L2" i="5"/>
  <c r="J15" i="18" s="1"/>
  <c r="G20" i="1"/>
  <c r="H5" i="1"/>
  <c r="H3" i="1"/>
  <c r="H4" i="1"/>
  <c r="G22" i="1" s="1"/>
  <c r="H25" i="22" l="1"/>
  <c r="G23" i="22"/>
  <c r="G15" i="22"/>
  <c r="G16" i="22"/>
  <c r="H16" i="22"/>
  <c r="H15" i="22"/>
  <c r="H14" i="22"/>
  <c r="G20" i="18"/>
  <c r="I19" i="18"/>
  <c r="I25" i="18"/>
  <c r="I26" i="18"/>
  <c r="H26" i="18"/>
  <c r="G19" i="18"/>
  <c r="G26" i="18"/>
  <c r="G25" i="18"/>
  <c r="H20" i="18"/>
  <c r="H19" i="18"/>
  <c r="H25" i="18"/>
  <c r="I20" i="18"/>
  <c r="I24" i="18"/>
  <c r="H24" i="18"/>
  <c r="D15" i="1"/>
  <c r="D15" i="18"/>
  <c r="H14" i="1"/>
  <c r="D14" i="1" s="1"/>
  <c r="H22" i="23"/>
  <c r="I22" i="23"/>
  <c r="G22" i="23"/>
  <c r="D19" i="23"/>
  <c r="C19" i="23" s="1"/>
  <c r="J22" i="23"/>
  <c r="C14" i="23"/>
  <c r="D16" i="18"/>
  <c r="J24" i="18"/>
  <c r="H24" i="22"/>
  <c r="H22" i="22" a="1"/>
  <c r="H22" i="22" s="1"/>
  <c r="H21" i="22" a="1"/>
  <c r="H21" i="22" s="1"/>
  <c r="H18" i="22"/>
  <c r="H23" i="22"/>
  <c r="G25" i="22"/>
  <c r="G18" i="1"/>
  <c r="P7" i="9"/>
  <c r="P15" i="9"/>
  <c r="O4" i="9"/>
  <c r="O12" i="9"/>
  <c r="N9" i="9"/>
  <c r="N17" i="9"/>
  <c r="P8" i="9"/>
  <c r="P16" i="9"/>
  <c r="O5" i="9"/>
  <c r="O13" i="9"/>
  <c r="O2" i="9"/>
  <c r="N10" i="9"/>
  <c r="N18" i="9"/>
  <c r="O10" i="9"/>
  <c r="N15" i="9"/>
  <c r="O3" i="9"/>
  <c r="P9" i="9"/>
  <c r="P17" i="9"/>
  <c r="O6" i="9"/>
  <c r="O14" i="9"/>
  <c r="N3" i="9"/>
  <c r="N11" i="9"/>
  <c r="N19" i="9"/>
  <c r="N12" i="9"/>
  <c r="P13" i="9"/>
  <c r="N7" i="9"/>
  <c r="P14" i="9"/>
  <c r="N16" i="9"/>
  <c r="P10" i="9"/>
  <c r="P18" i="9"/>
  <c r="O7" i="9"/>
  <c r="O15" i="9"/>
  <c r="N4" i="9"/>
  <c r="O11" i="9"/>
  <c r="P3" i="9"/>
  <c r="P11" i="9"/>
  <c r="P19" i="9"/>
  <c r="O8" i="9"/>
  <c r="O16" i="9"/>
  <c r="N5" i="9"/>
  <c r="N13" i="9"/>
  <c r="N2" i="9"/>
  <c r="P5" i="9"/>
  <c r="O18" i="9"/>
  <c r="P6" i="9"/>
  <c r="N8" i="9"/>
  <c r="P4" i="9"/>
  <c r="P12" i="9"/>
  <c r="O9" i="9"/>
  <c r="O17" i="9"/>
  <c r="N6" i="9"/>
  <c r="N14" i="9"/>
  <c r="P2" i="9"/>
  <c r="O19" i="9"/>
  <c r="G18" i="22"/>
  <c r="G19" i="22"/>
  <c r="G24" i="22"/>
  <c r="H19" i="22"/>
  <c r="G14" i="22"/>
  <c r="D17" i="18"/>
  <c r="C17" i="18" s="1"/>
  <c r="D20" i="1"/>
  <c r="C20" i="1" s="1"/>
  <c r="C22" i="18"/>
  <c r="C23" i="18"/>
  <c r="J20" i="18"/>
  <c r="J19" i="18"/>
  <c r="H19" i="1"/>
  <c r="D16" i="1"/>
  <c r="H22" i="1"/>
  <c r="G24" i="1"/>
  <c r="G23" i="1"/>
  <c r="H18" i="1"/>
  <c r="G19" i="1"/>
  <c r="D14" i="22" l="1"/>
  <c r="D16" i="22"/>
  <c r="C16" i="22" s="1"/>
  <c r="G21" i="1"/>
  <c r="D21" i="1" s="1"/>
  <c r="C21" i="1" s="1"/>
  <c r="D24" i="22"/>
  <c r="C24" i="22" s="1"/>
  <c r="C15" i="1"/>
  <c r="D22" i="23"/>
  <c r="C22" i="23" s="1"/>
  <c r="D15" i="22"/>
  <c r="C15" i="22" s="1"/>
  <c r="D19" i="18"/>
  <c r="C19" i="18" s="1"/>
  <c r="G21" i="22"/>
  <c r="D21" i="22" s="1"/>
  <c r="C21" i="22" s="1"/>
  <c r="D25" i="22"/>
  <c r="C25" i="22" s="1"/>
  <c r="G22" i="22"/>
  <c r="D23" i="22"/>
  <c r="C23" i="22" s="1"/>
  <c r="D19" i="22"/>
  <c r="C19" i="22" s="1"/>
  <c r="D18" i="22"/>
  <c r="C18" i="22" s="1"/>
  <c r="D20" i="18"/>
  <c r="C20" i="18" s="1"/>
  <c r="D24" i="1"/>
  <c r="C24" i="1" s="1"/>
  <c r="D24" i="18"/>
  <c r="C24" i="18" s="1"/>
  <c r="D25" i="18"/>
  <c r="C25" i="18" s="1"/>
  <c r="D26" i="18"/>
  <c r="C26" i="18" s="1"/>
  <c r="D23" i="1"/>
  <c r="D22" i="1"/>
  <c r="C22" i="1" s="1"/>
  <c r="D18" i="1"/>
  <c r="D19" i="1"/>
  <c r="C16" i="1"/>
  <c r="A7" i="23" l="1"/>
  <c r="A11" i="23" s="1"/>
  <c r="C14" i="22"/>
  <c r="A7" i="1"/>
  <c r="K8" i="1" s="1"/>
  <c r="C14" i="1"/>
  <c r="D26" i="22"/>
  <c r="C26" i="22" s="1"/>
  <c r="A8" i="18"/>
  <c r="D27" i="18"/>
  <c r="C27" i="18" s="1"/>
  <c r="C23" i="1"/>
  <c r="C18" i="1"/>
  <c r="C19" i="1"/>
  <c r="N8" i="23" l="1"/>
  <c r="K30" i="23" s="1"/>
  <c r="K9" i="1"/>
  <c r="A11" i="1"/>
  <c r="L8" i="1"/>
  <c r="A29" i="1" s="1"/>
  <c r="H30" i="23" l="1"/>
  <c r="D30" i="23"/>
  <c r="O8" i="23"/>
  <c r="N9" i="23"/>
  <c r="A30" i="23"/>
  <c r="C15" i="18"/>
  <c r="N9" i="18"/>
  <c r="C16" i="18"/>
  <c r="K32" i="18" l="1"/>
  <c r="D32" i="18"/>
  <c r="A32" i="18"/>
  <c r="H32" i="18"/>
  <c r="N10" i="18"/>
  <c r="O9" i="18"/>
  <c r="A12" i="18"/>
  <c r="D22" i="22"/>
  <c r="C22" i="22" l="1"/>
  <c r="A7" i="22"/>
  <c r="L8" i="22" s="1"/>
  <c r="A11" i="22" l="1"/>
  <c r="M8" i="22"/>
  <c r="L9"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tc={8DCA311A-07F6-4D32-8BD5-41C1EDC6E31E}</author>
    <author>tc={4D3C5501-A3FA-4851-B68E-E3A2E826359D}</author>
    <author>tc={2A22092C-AA8C-435C-8123-FE68C7619A6D}</author>
    <author>tc={B48FDD09-0934-40D1-BEA8-D005A4C12E1B}</author>
    <author>tc={54BE2095-FD94-43DB-8155-6FD88DDACE12}</author>
    <author>tc={7D7D6652-D16B-4E32-B857-4EC0491571A7}</author>
    <author>tc={60F96C19-CC06-4EEE-9E84-2250E62ADDC2}</author>
    <author>tc={E4478C96-C7BF-4027-8984-23DAD104B24B}</author>
    <author>tc={18B680A7-1C19-430E-8722-1FC2841A7D1B}</author>
    <author>tc={02A3033F-677F-4750-BE41-C13C9B529AB0}</author>
    <author>tc={19E9C216-97D9-4591-AD19-798E0F441F7D}</author>
    <author>tc={48DF3080-049F-4302-A209-A38ABFD433FF}</author>
    <author>tc={D57E5246-3728-428E-939A-43FCA0AB79C5}</author>
    <author>tc={5C1717D7-A202-4BD1-B424-2E53CBFA1E09}</author>
  </authors>
  <commentList>
    <comment ref="H14" authorId="0" shapeId="0" xr:uid="{8DCA311A-07F6-4D32-8BD5-41C1EDC6E31E}">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cantidad total de clientes en el territorio para los comerciales, deben dar la vuelta a todos los clientes en el mes</t>
      </text>
    </comment>
    <comment ref="I14" authorId="1" shapeId="0" xr:uid="{4D3C5501-A3FA-4851-B68E-E3A2E826359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compara cada mes contra la meta del territorio.
Si el asesor visita menos clientes que la meta, no cumple ese mes.
Si visita la meta o más, ese mes cuenta como 100%.
El resultado final es el promedio de los meses evaluados. </t>
      </text>
    </comment>
    <comment ref="D15" authorId="2" shapeId="0" xr:uid="{2A22092C-AA8C-435C-8123-FE68C7619A6D}">
      <text>
        <t>[Comentario encadenado]
Su versión de Excel le permite leer este comentario encadenado; sin embargo, las ediciones que se apliquen se quitarán si el archivo se abre en una versión más reciente de Excel. Más información: https://go.microsoft.com/fwlink/?linkid=870924
Comentario:
    Los clientes que recuperen los comerciales es el resultado de la gestion
Respuesta:
    La meta esperada no es acumulable es dividido 3</t>
      </text>
    </comment>
    <comment ref="H15" authorId="3" shapeId="0" xr:uid="{B48FDD09-0934-40D1-BEA8-D005A4C12E1B}">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cobertura se esta dividiendo X 3</t>
      </text>
    </comment>
    <comment ref="H16" authorId="4" shapeId="0" xr:uid="{54BE2095-FD94-43DB-8155-6FD88DDACE12}">
      <text>
        <t>[Comentario encadenado]
Su versión de Excel le permite leer este comentario encadenado; sin embargo, las ediciones que se apliquen se quitarán si el archivo se abre en una versión más reciente de Excel. Más información: https://go.microsoft.com/fwlink/?linkid=870924
Comentario:
    Divide los clientes totales a recuperar por 12 meses</t>
      </text>
    </comment>
    <comment ref="B18" authorId="5" shapeId="0" xr:uid="{7D7D6652-D16B-4E32-B857-4EC0491571A7}">
      <text>
        <t>[Comentario encadenado]
Su versión de Excel le permite leer este comentario encadenado; sin embargo, las ediciones que se apliquen se quitarán si el archivo se abre en una versión más reciente de Excel. Más información: https://go.microsoft.com/fwlink/?linkid=870924
Comentario:
    Gestión de todo el equipo</t>
      </text>
    </comment>
    <comment ref="H19" authorId="6" shapeId="0" xr:uid="{60F96C19-CC06-4EEE-9E84-2250E62ADDC2}">
      <text>
        <t>[Comentario encadenado]
Su versión de Excel le permite leer este comentario encadenado; sin embargo, las ediciones que se apliquen se quitarán si el archivo se abre en una versión más reciente de Excel. Más información: https://go.microsoft.com/fwlink/?linkid=870924
Comentario:
    Recomendaciones, par amedir el indicador si dejamos todo el portafolio o ponemos una meta fija mientras suben los numeros</t>
      </text>
    </comment>
    <comment ref="D21" authorId="7" shapeId="0" xr:uid="{E4478C96-C7BF-4027-8984-23DAD104B24B}">
      <text>
        <t>[Comentario encadenado]
Su versión de Excel le permite leer este comentario encadenado; sin embargo, las ediciones que se apliquen se quitarán si el archivo se abre en una versión más reciente de Excel. Más información: https://go.microsoft.com/fwlink/?linkid=870924
Comentario:
    Si no tiene leads, es 0, y la meta total del indicador es sobre 80
Respuesta:
    Validamos nuevamente y si no tiene leads este item del indicador le queda en cero y suma al total</t>
      </text>
    </comment>
    <comment ref="D22" authorId="8" shapeId="0" xr:uid="{18B680A7-1C19-430E-8722-1FC2841A7D1B}">
      <text>
        <t>[Comentario encadenado]
Su versión de Excel le permite leer este comentario encadenado; sin embargo, las ediciones que se apliquen se quitarán si el archivo se abre en una versión más reciente de Excel. Más información: https://go.microsoft.com/fwlink/?linkid=870924
Comentario:
    No aplica si no tiene leads
Respuesta:
    En una nueva validación acordamos que si suma al indicador aunque no tenga leads</t>
      </text>
    </comment>
    <comment ref="D23" authorId="9" shapeId="0" xr:uid="{02A3033F-677F-4750-BE41-C13C9B529AB0}">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la meta según los promotores</t>
      </text>
    </comment>
    <comment ref="D24" authorId="10" shapeId="0" xr:uid="{19E9C216-97D9-4591-AD19-798E0F441F7D}">
      <text>
        <t>[Comentario encadenado]
Su versión de Excel le permite leer este comentario encadenado; sin embargo, las ediciones que se apliquen se quitarán si el archivo se abre en una versión más reciente de Excel. Más información: https://go.microsoft.com/fwlink/?linkid=870924
Comentario:
    30 por promotor</t>
      </text>
    </comment>
    <comment ref="H24" authorId="11" shapeId="0" xr:uid="{48DF3080-049F-4302-A209-A38ABFD433FF}">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indicador 30 hectáreas por promotor</t>
      </text>
    </comment>
    <comment ref="D25" authorId="12" shapeId="0" xr:uid="{D57E5246-3728-428E-939A-43FCA0AB79C5}">
      <text>
        <t>[Comentario encadenado]
Su versión de Excel le permite leer este comentario encadenado; sin embargo, las ediciones que se apliquen se quitarán si el archivo se abre en una versión más reciente de Excel. Más información: https://go.microsoft.com/fwlink/?linkid=870924
Comentario:
    Son 428 clientes y se divide entre 12 y cada mes se acumula el 8,33%</t>
      </text>
    </comment>
    <comment ref="H25" authorId="13" shapeId="0" xr:uid="{5C1717D7-A202-4BD1-B424-2E53CBFA1E09}">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territorio 3 cultivos por cada promotor, es un indicador grupal.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tc={26CBE949-0F5A-4D94-BDE1-ABD6B13953B7}</author>
    <author>tc={27280B6D-E8C3-4DA1-AB89-D43BE0975EFF}</author>
    <author>tc={BE2F6E56-50F0-449B-9743-D87D93781B92}</author>
    <author>tc={A601AC13-2891-4974-89E2-B60AC523F43A}</author>
    <author>tc={4FA4758A-AAE1-4FBC-8218-ACE36D2EC0C9}</author>
    <author>tc={ADA2B3A1-0A9F-421C-9804-4B01075B9E69}</author>
    <author>tc={A5903D35-9F89-4AD3-8AA8-17631372513B}</author>
    <author>tc={C6739D95-5610-4660-99BA-C0A8EC44E387}</author>
    <author>tc={7936BA74-4A07-4C7B-8080-151E601AA695}</author>
    <author>tc={996AA890-04C2-44E7-B0F1-BBB1FD08CB49}</author>
    <author>tc={26BCC79E-D307-432C-BDDF-003A1421DC13}</author>
    <author>tc={18DA04DB-8FCA-4F82-80A5-D61309F29F0E}</author>
    <author>tc={A1473161-0F63-485F-9D0B-C9AFC4DD4F8C}</author>
    <author>tc={53C8E696-C718-4D11-9C77-21AEB641BD20}</author>
    <author>tc={F75351B9-EDFE-41A4-B942-B80BB4E13D06}</author>
  </authors>
  <commentList>
    <comment ref="J15" authorId="0" shapeId="0" xr:uid="{26CBE949-0F5A-4D94-BDE1-ABD6B13953B7}">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cantidad total de clientes en el territorio para los comerciales, deben dar la vuelta a todos los clientes en el mes</t>
      </text>
    </comment>
    <comment ref="K15" authorId="1" shapeId="0" xr:uid="{27280B6D-E8C3-4DA1-AB89-D43BE0975EF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compara cada mes contra la meta del territorio.
Si el asesor visita menos clientes que la meta, no cumple ese mes.
Si visita la meta o más, ese mes cuenta como 100%.
El resultado final es el promedio de los meses evaluados. </t>
      </text>
    </comment>
    <comment ref="D16" authorId="2" shapeId="0" xr:uid="{BE2F6E56-50F0-449B-9743-D87D93781B92}">
      <text>
        <t>[Comentario encadenado]
Su versión de Excel le permite leer este comentario encadenado; sin embargo, las ediciones que se apliquen se quitarán si el archivo se abre en una versión más reciente de Excel. Más información: https://go.microsoft.com/fwlink/?linkid=870924
Comentario:
    Los clientes que recuperen los comerciales es el resultado de la gestion
Respuesta:
    La meta esperada no es acumulable es dividido 3</t>
      </text>
    </comment>
    <comment ref="J16" authorId="3" shapeId="0" xr:uid="{A601AC13-2891-4974-89E2-B60AC523F43A}">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cobertura se esta dividiendo X 3</t>
      </text>
    </comment>
    <comment ref="J17" authorId="4" shapeId="0" xr:uid="{4FA4758A-AAE1-4FBC-8218-ACE36D2EC0C9}">
      <text>
        <t>[Comentario encadenado]
Su versión de Excel le permite leer este comentario encadenado; sin embargo, las ediciones que se apliquen se quitarán si el archivo se abre en una versión más reciente de Excel. Más información: https://go.microsoft.com/fwlink/?linkid=870924
Comentario:
    Divide los clientes totales a recuperar por 12 meses</t>
      </text>
    </comment>
    <comment ref="B19" authorId="5" shapeId="0" xr:uid="{ADA2B3A1-0A9F-421C-9804-4B01075B9E69}">
      <text>
        <t>[Comentario encadenado]
Su versión de Excel le permite leer este comentario encadenado; sin embargo, las ediciones que se apliquen se quitarán si el archivo se abre en una versión más reciente de Excel. Más información: https://go.microsoft.com/fwlink/?linkid=870924
Comentario:
    Gestión de todo el equipo</t>
      </text>
    </comment>
    <comment ref="J20" authorId="6" shapeId="0" xr:uid="{A5903D35-9F89-4AD3-8AA8-17631372513B}">
      <text>
        <t>[Comentario encadenado]
Su versión de Excel le permite leer este comentario encadenado; sin embargo, las ediciones que se apliquen se quitarán si el archivo se abre en una versión más reciente de Excel. Más información: https://go.microsoft.com/fwlink/?linkid=870924
Comentario:
    Recomendaciones, par amedir el indicador si dejamos todo el portafolio o ponemos una meta fija mientras suben los numeros</t>
      </text>
    </comment>
    <comment ref="D22" authorId="7" shapeId="0" xr:uid="{C6739D95-5610-4660-99BA-C0A8EC44E387}">
      <text>
        <t>[Comentario encadenado]
Su versión de Excel le permite leer este comentario encadenado; sin embargo, las ediciones que se apliquen se quitarán si el archivo se abre en una versión más reciente de Excel. Más información: https://go.microsoft.com/fwlink/?linkid=870924
Comentario:
    Si no tiene leads, es 0, y la meta total del indicador es sobre 80
Respuesta:
    Validamos nuevamente y si no tiene leads este item del indicador le queda en cero y suma al total</t>
      </text>
    </comment>
    <comment ref="J22" authorId="8" shapeId="0" xr:uid="{7936BA74-4A07-4C7B-8080-151E601AA69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Poner N/A Si es cero
incluir una columna con definiciones
</t>
      </text>
    </comment>
    <comment ref="D23" authorId="9" shapeId="0" xr:uid="{996AA890-04C2-44E7-B0F1-BBB1FD08CB49}">
      <text>
        <t>[Comentario encadenado]
Su versión de Excel le permite leer este comentario encadenado; sin embargo, las ediciones que se apliquen se quitarán si el archivo se abre en una versión más reciente de Excel. Más información: https://go.microsoft.com/fwlink/?linkid=870924
Comentario:
    No aplica si no tiene leads
Respuesta:
    En una nueva validación acordamos que si suma al indicador aunque no tenga leads</t>
      </text>
    </comment>
    <comment ref="D24" authorId="10" shapeId="0" xr:uid="{26BCC79E-D307-432C-BDDF-003A1421DC13}">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la meta según los promotores</t>
      </text>
    </comment>
    <comment ref="D25" authorId="11" shapeId="0" xr:uid="{18DA04DB-8FCA-4F82-80A5-D61309F29F0E}">
      <text>
        <t>[Comentario encadenado]
Su versión de Excel le permite leer este comentario encadenado; sin embargo, las ediciones que se apliquen se quitarán si el archivo se abre en una versión más reciente de Excel. Más información: https://go.microsoft.com/fwlink/?linkid=870924
Comentario:
    30 por promotor</t>
      </text>
    </comment>
    <comment ref="J25" authorId="12" shapeId="0" xr:uid="{A1473161-0F63-485F-9D0B-C9AFC4DD4F8C}">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indicador 30 hectáreas por promotor</t>
      </text>
    </comment>
    <comment ref="D26" authorId="13" shapeId="0" xr:uid="{53C8E696-C718-4D11-9C77-21AEB641BD20}">
      <text>
        <t>[Comentario encadenado]
Su versión de Excel le permite leer este comentario encadenado; sin embargo, las ediciones que se apliquen se quitarán si el archivo se abre en una versión más reciente de Excel. Más información: https://go.microsoft.com/fwlink/?linkid=870924
Comentario:
    Son 428 clientes y se divide entre 12 y cada mes se acumula el 8,33%</t>
      </text>
    </comment>
    <comment ref="J26" authorId="14" shapeId="0" xr:uid="{F75351B9-EDFE-41A4-B942-B80BB4E13D06}">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territorio 3 cultivos por cada promotor, es un indicador grupal.</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tc={8906F621-EFC6-4381-809E-51FE3DAF3952}</author>
    <author>tc={0CBB6957-284B-40A8-965D-6EBDA2785ED8}</author>
    <author>tc={2F804AC1-75F1-4475-B29C-DABE3FA7E2B3}</author>
    <author>tc={007273DF-34F4-4C5D-ABDF-A3CA3FB7B9FE}</author>
    <author>tc={7554890C-090C-4C75-85B9-6613F411B0D3}</author>
    <author>tc={1AABDD65-6F9F-4D93-8375-D5ED74309AA9}</author>
    <author>tc={902DBEA7-4564-41B1-9BD4-88A4CC56DC32}</author>
    <author>tc={D99CFC61-CF0D-48CD-8E4B-F4E6A00EEA2B}</author>
    <author>tc={5534DAE0-B6A4-4FB5-9509-D659F3B51F00}</author>
    <author>tc={C8AC47AA-D925-4620-86CA-9D14C5883D8F}</author>
    <author>tc={5DFD9778-0E85-4CEE-ADFB-033B0DEC9A1D}</author>
    <author>tc={91980F10-4314-4291-A0E2-0C7C3FF6514E}</author>
    <author>tc={D9FF764E-308B-4E04-A4FA-6642DF9A6753}</author>
    <author>tc={637C784D-C9F3-4B29-BAEB-C893497026B3}</author>
  </authors>
  <commentList>
    <comment ref="H14" authorId="0" shapeId="0" xr:uid="{8906F621-EFC6-4381-809E-51FE3DAF3952}">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cantidad total de clientes en el territorio para los comerciales, deben dar la vuelta a todos los clientes en el mes</t>
      </text>
    </comment>
    <comment ref="I14" authorId="1" shapeId="0" xr:uid="{0CBB6957-284B-40A8-965D-6EBDA2785ED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compara cada mes contra la meta del territorio.
Si el asesor visita menos clientes que la meta, no cumple ese mes.
Si visita la meta o más, ese mes cuenta como 100%.
El resultado final es el promedio de los meses evaluados. </t>
      </text>
    </comment>
    <comment ref="D15" authorId="2" shapeId="0" xr:uid="{2F804AC1-75F1-4475-B29C-DABE3FA7E2B3}">
      <text>
        <t>[Comentario encadenado]
Su versión de Excel le permite leer este comentario encadenado; sin embargo, las ediciones que se apliquen se quitarán si el archivo se abre en una versión más reciente de Excel. Más información: https://go.microsoft.com/fwlink/?linkid=870924
Comentario:
    Los clientes que recuperen los comerciales es el resultado de la gestion
Respuesta:
    La meta esperada no es acumulable es dividido 3</t>
      </text>
    </comment>
    <comment ref="H15" authorId="3" shapeId="0" xr:uid="{007273DF-34F4-4C5D-ABDF-A3CA3FB7B9FE}">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cobertura se esta dividiendo X 3</t>
      </text>
    </comment>
    <comment ref="H16" authorId="4" shapeId="0" xr:uid="{7554890C-090C-4C75-85B9-6613F411B0D3}">
      <text>
        <t>[Comentario encadenado]
Su versión de Excel le permite leer este comentario encadenado; sin embargo, las ediciones que se apliquen se quitarán si el archivo se abre en una versión más reciente de Excel. Más información: https://go.microsoft.com/fwlink/?linkid=870924
Comentario:
    Divide los clientes totales a recuperar por 12 meses</t>
      </text>
    </comment>
    <comment ref="B18" authorId="5" shapeId="0" xr:uid="{1AABDD65-6F9F-4D93-8375-D5ED74309AA9}">
      <text>
        <t>[Comentario encadenado]
Su versión de Excel le permite leer este comentario encadenado; sin embargo, las ediciones que se apliquen se quitarán si el archivo se abre en una versión más reciente de Excel. Más información: https://go.microsoft.com/fwlink/?linkid=870924
Comentario:
    Gestión de todo el equipo</t>
      </text>
    </comment>
    <comment ref="H19" authorId="6" shapeId="0" xr:uid="{902DBEA7-4564-41B1-9BD4-88A4CC56DC32}">
      <text>
        <t>[Comentario encadenado]
Su versión de Excel le permite leer este comentario encadenado; sin embargo, las ediciones que se apliquen se quitarán si el archivo se abre en una versión más reciente de Excel. Más información: https://go.microsoft.com/fwlink/?linkid=870924
Comentario:
    Recomendaciones, par amedir el indicador si dejamos todo el portafolio o ponemos una meta fija mientras suben los numeros</t>
      </text>
    </comment>
    <comment ref="D20" authorId="7" shapeId="0" xr:uid="{D99CFC61-CF0D-48CD-8E4B-F4E6A00EEA2B}">
      <text>
        <t>[Comentario encadenado]
Su versión de Excel le permite leer este comentario encadenado; sin embargo, las ediciones que se apliquen se quitarán si el archivo se abre en una versión más reciente de Excel. Más información: https://go.microsoft.com/fwlink/?linkid=870924
Comentario:
    Si no tiene leads, es 0, y la meta total del indicador es sobre 80
Respuesta:
    Validamos nuevamente y si no tiene leads este item del indicador le queda en cero y suma al total</t>
      </text>
    </comment>
    <comment ref="D21" authorId="8" shapeId="0" xr:uid="{5534DAE0-B6A4-4FB5-9509-D659F3B51F00}">
      <text>
        <t>[Comentario encadenado]
Su versión de Excel le permite leer este comentario encadenado; sin embargo, las ediciones que se apliquen se quitarán si el archivo se abre en una versión más reciente de Excel. Más información: https://go.microsoft.com/fwlink/?linkid=870924
Comentario:
    No aplica si no tiene leads
Respuesta:
    En una nueva validación acordamos que si suma al indicador aunque no tenga leads</t>
      </text>
    </comment>
    <comment ref="D22" authorId="9" shapeId="0" xr:uid="{C8AC47AA-D925-4620-86CA-9D14C5883D8F}">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la meta según los promotores</t>
      </text>
    </comment>
    <comment ref="D23" authorId="10" shapeId="0" xr:uid="{5DFD9778-0E85-4CEE-ADFB-033B0DEC9A1D}">
      <text>
        <t>[Comentario encadenado]
Su versión de Excel le permite leer este comentario encadenado; sin embargo, las ediciones que se apliquen se quitarán si el archivo se abre en una versión más reciente de Excel. Más información: https://go.microsoft.com/fwlink/?linkid=870924
Comentario:
    30 por promotor</t>
      </text>
    </comment>
    <comment ref="H23" authorId="11" shapeId="0" xr:uid="{91980F10-4314-4291-A0E2-0C7C3FF6514E}">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indicador 30 hectáreas por promotor</t>
      </text>
    </comment>
    <comment ref="D24" authorId="12" shapeId="0" xr:uid="{D9FF764E-308B-4E04-A4FA-6642DF9A6753}">
      <text>
        <t>[Comentario encadenado]
Su versión de Excel le permite leer este comentario encadenado; sin embargo, las ediciones que se apliquen se quitarán si el archivo se abre en una versión más reciente de Excel. Más información: https://go.microsoft.com/fwlink/?linkid=870924
Comentario:
    Son 428 clientes y se divide entre 12 y cada mes se acumula el 8,33%</t>
      </text>
    </comment>
    <comment ref="H24" authorId="13" shapeId="0" xr:uid="{637C784D-C9F3-4B29-BAEB-C893497026B3}">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territorio 3 cultivos por cada promotor, es un indicador grupal.</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tc={09ACDD42-A332-4A61-8BBB-27CA2CD454C2}</author>
    <author>tc={03B24AD0-0F02-47A7-A3C0-E5D261B78502}</author>
    <author>tc={DF51593D-1287-4119-AF92-6F131C1816BA}</author>
    <author>tc={58E88921-D69D-47EA-BE9F-B7AB3501C659}</author>
    <author>tc={8F6253D1-7C69-44F9-9444-282FBC3D30BA}</author>
    <author>tc={BF4FDA07-150A-4F67-A2E2-90CEA0FA6301}</author>
    <author>tc={0B171AED-2484-4652-839B-FCF3899CFED5}</author>
    <author>tc={8167F8A7-72FD-4D0D-BCF4-F75877E9F226}</author>
    <author>tc={8B8DD5C1-BF92-45D5-95D7-22D0392DCE66}</author>
    <author>tc={5798F832-FF5A-4E7D-ABCF-AEAAD90D202A}</author>
    <author>tc={B582D5B8-12E2-4F39-8BB4-ECAD3E3259EA}</author>
    <author>tc={C9D0A3F7-266B-4097-B953-666461C167FB}</author>
    <author>tc={C510D69A-6BAA-480D-8915-130B4F336787}</author>
    <author>tc={6E70A8AF-1C17-45E8-8F60-E94B0D74B69E}</author>
    <author>tc={0FC7712D-A180-48EE-AFE6-32E848EEF298}</author>
  </authors>
  <commentList>
    <comment ref="J14" authorId="0" shapeId="0" xr:uid="{09ACDD42-A332-4A61-8BBB-27CA2CD454C2}">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cantidad total de clientes en el territorio para los comerciales, deben dar la vuelta a todos los clientes en el mes</t>
      </text>
    </comment>
    <comment ref="K14" authorId="1" shapeId="0" xr:uid="{03B24AD0-0F02-47A7-A3C0-E5D261B7850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compara cada mes contra la meta del territorio.
Si el asesor visita menos clientes que la meta, no cumple ese mes.
Si visita la meta o más, ese mes cuenta como 100%.
El resultado final es el promedio de los meses evaluados. </t>
      </text>
    </comment>
    <comment ref="D15" authorId="2" shapeId="0" xr:uid="{DF51593D-1287-4119-AF92-6F131C1816BA}">
      <text>
        <t>[Comentario encadenado]
Su versión de Excel le permite leer este comentario encadenado; sin embargo, las ediciones que se apliquen se quitarán si el archivo se abre en una versión más reciente de Excel. Más información: https://go.microsoft.com/fwlink/?linkid=870924
Comentario:
    Los clientes que recuperen los comerciales es el resultado de la gestion
Respuesta:
    La meta esperada no es acumulable es dividido 3</t>
      </text>
    </comment>
    <comment ref="J15" authorId="3" shapeId="0" xr:uid="{58E88921-D69D-47EA-BE9F-B7AB3501C659}">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cobertura se esta dividiendo X 3</t>
      </text>
    </comment>
    <comment ref="J16" authorId="4" shapeId="0" xr:uid="{8F6253D1-7C69-44F9-9444-282FBC3D30BA}">
      <text>
        <t>[Comentario encadenado]
Su versión de Excel le permite leer este comentario encadenado; sin embargo, las ediciones que se apliquen se quitarán si el archivo se abre en una versión más reciente de Excel. Más información: https://go.microsoft.com/fwlink/?linkid=870924
Comentario:
    Divide los clientes totales a recuperar por 12 meses</t>
      </text>
    </comment>
    <comment ref="B18" authorId="5" shapeId="0" xr:uid="{BF4FDA07-150A-4F67-A2E2-90CEA0FA6301}">
      <text>
        <t>[Comentario encadenado]
Su versión de Excel le permite leer este comentario encadenado; sin embargo, las ediciones que se apliquen se quitarán si el archivo se abre en una versión más reciente de Excel. Más información: https://go.microsoft.com/fwlink/?linkid=870924
Comentario:
    Gestión de todo el equipo</t>
      </text>
    </comment>
    <comment ref="J19" authorId="6" shapeId="0" xr:uid="{0B171AED-2484-4652-839B-FCF3899CFED5}">
      <text>
        <t>[Comentario encadenado]
Su versión de Excel le permite leer este comentario encadenado; sin embargo, las ediciones que se apliquen se quitarán si el archivo se abre en una versión más reciente de Excel. Más información: https://go.microsoft.com/fwlink/?linkid=870924
Comentario:
    Recomendaciones, par amedir el indicador si dejamos todo el portafolio o ponemos una meta fija mientras suben los numeros</t>
      </text>
    </comment>
    <comment ref="D20" authorId="7" shapeId="0" xr:uid="{8167F8A7-72FD-4D0D-BCF4-F75877E9F226}">
      <text>
        <t>[Comentario encadenado]
Su versión de Excel le permite leer este comentario encadenado; sin embargo, las ediciones que se apliquen se quitarán si el archivo se abre en una versión más reciente de Excel. Más información: https://go.microsoft.com/fwlink/?linkid=870924
Comentario:
    Si no tiene leads, es 0, y la meta total del indicador es sobre 80
Respuesta:
    Validamos nuevamente y si no tiene leads este item del indicador le queda en cero y suma al total</t>
      </text>
    </comment>
    <comment ref="J20" authorId="8" shapeId="0" xr:uid="{8B8DD5C1-BF92-45D5-95D7-22D0392DCE6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Poner N/A Si es cero
incluir una columna con definiciones
</t>
      </text>
    </comment>
    <comment ref="D21" authorId="9" shapeId="0" xr:uid="{5798F832-FF5A-4E7D-ABCF-AEAAD90D202A}">
      <text>
        <t>[Comentario encadenado]
Su versión de Excel le permite leer este comentario encadenado; sin embargo, las ediciones que se apliquen se quitarán si el archivo se abre en una versión más reciente de Excel. Más información: https://go.microsoft.com/fwlink/?linkid=870924
Comentario:
    No aplica si no tiene leads
Respuesta:
    En una nueva validación acordamos que si suma al indicador aunque no tenga leads</t>
      </text>
    </comment>
    <comment ref="D22" authorId="10" shapeId="0" xr:uid="{B582D5B8-12E2-4F39-8BB4-ECAD3E3259EA}">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la meta según los promotores</t>
      </text>
    </comment>
    <comment ref="D23" authorId="11" shapeId="0" xr:uid="{C9D0A3F7-266B-4097-B953-666461C167FB}">
      <text>
        <t>[Comentario encadenado]
Su versión de Excel le permite leer este comentario encadenado; sin embargo, las ediciones que se apliquen se quitarán si el archivo se abre en una versión más reciente de Excel. Más información: https://go.microsoft.com/fwlink/?linkid=870924
Comentario:
    30 por promotor</t>
      </text>
    </comment>
    <comment ref="J23" authorId="12" shapeId="0" xr:uid="{C510D69A-6BAA-480D-8915-130B4F336787}">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indicador 30 hectáreas por promotor</t>
      </text>
    </comment>
    <comment ref="D24" authorId="13" shapeId="0" xr:uid="{6E70A8AF-1C17-45E8-8F60-E94B0D74B69E}">
      <text>
        <t>[Comentario encadenado]
Su versión de Excel le permite leer este comentario encadenado; sin embargo, las ediciones que se apliquen se quitarán si el archivo se abre en una versión más reciente de Excel. Más información: https://go.microsoft.com/fwlink/?linkid=870924
Comentario:
    Son 428 clientes y se divide entre 12 y cada mes se acumula el 8,33%</t>
      </text>
    </comment>
    <comment ref="J24" authorId="14" shapeId="0" xr:uid="{0FC7712D-A180-48EE-AFE6-32E848EEF298}">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territorio 3 cultivos por cada promotor, es un indicador grupal.</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futureMetadata>
  <futureMetadata name="XLDAPR" count="1">
    <bk>
      <extLst>
        <ext uri="{bdbb8cdc-fa1e-496e-a857-3c3f30c029c3}">
          <xda:dynamicArrayProperties fDynamic="1" fCollapsed="0"/>
        </ext>
      </extLst>
    </bk>
  </futureMetadata>
  <cellMetadata count="1">
    <bk>
      <rc t="2" v="0"/>
    </bk>
  </cellMetadata>
  <valueMetadata count="18">
    <bk>
      <rc t="1" v="0"/>
    </bk>
    <bk>
      <rc t="1" v="1"/>
    </bk>
    <bk>
      <rc t="1" v="2"/>
    </bk>
    <bk>
      <rc t="1" v="3"/>
    </bk>
    <bk>
      <rc t="1" v="4"/>
    </bk>
    <bk>
      <rc t="1" v="5"/>
    </bk>
    <bk>
      <rc t="1" v="6"/>
    </bk>
    <bk>
      <rc t="1" v="7"/>
    </bk>
    <bk>
      <rc t="1" v="8"/>
    </bk>
    <bk>
      <rc t="1" v="9"/>
    </bk>
    <bk>
      <rc t="1" v="10"/>
    </bk>
    <bk>
      <rc t="1" v="11"/>
    </bk>
    <bk>
      <rc t="1" v="12"/>
    </bk>
    <bk>
      <rc t="1" v="13"/>
    </bk>
    <bk>
      <rc t="1" v="14"/>
    </bk>
    <bk>
      <rc t="1" v="15"/>
    </bk>
    <bk>
      <rc t="1" v="16"/>
    </bk>
    <bk>
      <rc t="1" v="17"/>
    </bk>
  </valueMetadata>
</metadata>
</file>

<file path=xl/sharedStrings.xml><?xml version="1.0" encoding="utf-8"?>
<sst xmlns="http://schemas.openxmlformats.org/spreadsheetml/2006/main" count="4024" uniqueCount="918">
  <si>
    <t xml:space="preserve">Reporte De Desempeño Comercial </t>
  </si>
  <si>
    <t>Resumen Trimestral</t>
  </si>
  <si>
    <t>Trimestre 1</t>
  </si>
  <si>
    <t>Territorio</t>
  </si>
  <si>
    <t>Cargo:</t>
  </si>
  <si>
    <t>Nombre</t>
  </si>
  <si>
    <t>Resumen Ejecutivo</t>
  </si>
  <si>
    <t>Fortalezas</t>
  </si>
  <si>
    <t>Oportunidades</t>
  </si>
  <si>
    <t>Indicador</t>
  </si>
  <si>
    <t>Nuevos Clientes</t>
  </si>
  <si>
    <t>Recomendados</t>
  </si>
  <si>
    <t>Referencias</t>
  </si>
  <si>
    <t>Meta</t>
  </si>
  <si>
    <t>Cumplimiento</t>
  </si>
  <si>
    <t>INDICADORES CLAVE</t>
  </si>
  <si>
    <t>En desarrollo</t>
  </si>
  <si>
    <t>Resultado Global</t>
  </si>
  <si>
    <t>Excelente
(&gt;=90%)</t>
  </si>
  <si>
    <t>Bueno
(&gt;=75% - 89%)</t>
  </si>
  <si>
    <t>En Desarrollo 
(60% - 74 %)</t>
  </si>
  <si>
    <t>Requiere mejora (&lt;60%)</t>
  </si>
  <si>
    <t>Recomendaciones</t>
  </si>
  <si>
    <t>A tiempo</t>
  </si>
  <si>
    <t>Cultivos impactados</t>
  </si>
  <si>
    <t>Empleado</t>
  </si>
  <si>
    <t>Cliente</t>
  </si>
  <si>
    <t>Meta Cobertura y Visitas</t>
  </si>
  <si>
    <t>Clientes Visitados</t>
  </si>
  <si>
    <t>Cobertura Clientes</t>
  </si>
  <si>
    <t>Cant. Visitas</t>
  </si>
  <si>
    <t>Ejec. Visitas</t>
  </si>
  <si>
    <t>Meta Clientes Recuperar</t>
  </si>
  <si>
    <t>Cant. Clientes Nuevos</t>
  </si>
  <si>
    <t>Ejec. Clientes Nuevos</t>
  </si>
  <si>
    <t>PYC AGRÍCOLA ANT BAJO CAUCA</t>
  </si>
  <si>
    <t>Carolina María Escobar Londoño</t>
  </si>
  <si>
    <t>PYC AGRÍCOLA ANT CÓRDOBA</t>
  </si>
  <si>
    <t>Jairo Jesús Morales Doria</t>
  </si>
  <si>
    <t>PYC AGRÍCOLA ANT NORTE</t>
  </si>
  <si>
    <t>PYC AGRÍCOLA ANT ORIENTE A</t>
  </si>
  <si>
    <t>Heidy Catalina Hernandez Restrepo</t>
  </si>
  <si>
    <t>PYC AGRÍCOLA ANT ORIENTE B</t>
  </si>
  <si>
    <t>Alejandro Suárez García</t>
  </si>
  <si>
    <t>PYC AGRÍCOLA ANT SUROESTE</t>
  </si>
  <si>
    <t>Sara Ruíz Restrepo</t>
  </si>
  <si>
    <t>PYC AGRÍCOLA ANT VALLE ABURRÁ</t>
  </si>
  <si>
    <t>Daniel Alberto Moreno Rojas</t>
  </si>
  <si>
    <t>Total general</t>
  </si>
  <si>
    <t>Comercial</t>
  </si>
  <si>
    <t>Cargo</t>
  </si>
  <si>
    <t>Empresa</t>
  </si>
  <si>
    <t>Empresa:</t>
  </si>
  <si>
    <t>Carolina María Escobar Londoño (BC)</t>
  </si>
  <si>
    <t>Ejecución Visitas</t>
  </si>
  <si>
    <t>Excelente</t>
  </si>
  <si>
    <t>Destacado</t>
  </si>
  <si>
    <t>Crítico</t>
  </si>
  <si>
    <t>&gt;=90%</t>
  </si>
  <si>
    <t>75%&lt;&gt;90%</t>
  </si>
  <si>
    <t>&lt;74%</t>
  </si>
  <si>
    <t>&lt;60%</t>
  </si>
  <si>
    <t>"Enfocate en las oportunidades de mejora y mantén el ritmo en tus fortalezas."
¡Tu puedes alcanzar tus objetivos!</t>
  </si>
  <si>
    <t>Valor</t>
  </si>
  <si>
    <t>Restante</t>
  </si>
  <si>
    <t>Oculto</t>
  </si>
  <si>
    <t>Marcela Ramirez Ramirez</t>
  </si>
  <si>
    <t>Juan Felipe Botero Gómez</t>
  </si>
  <si>
    <t>Santiago Idarraga Hurtado</t>
  </si>
  <si>
    <t>Juan Esteban Montoya Serna</t>
  </si>
  <si>
    <t>Edison Ferney Rivera Muñoz</t>
  </si>
  <si>
    <t>(vacante) Alex García Moncada</t>
  </si>
  <si>
    <t>Fabian Rueda Rueda</t>
  </si>
  <si>
    <t>Marcela Ramirez Ramirez (BC)</t>
  </si>
  <si>
    <t>Grupo Artículos</t>
  </si>
  <si>
    <t>Valor Recomendaciones</t>
  </si>
  <si>
    <t>Recomendaciones vs Ppto</t>
  </si>
  <si>
    <t>Valor Ventas</t>
  </si>
  <si>
    <t>% Paticipación Recomendación</t>
  </si>
  <si>
    <t>Meta Referencias</t>
  </si>
  <si>
    <t>Referencias Recomendadas</t>
  </si>
  <si>
    <t>SUMITOMO CHEMICAL</t>
  </si>
  <si>
    <t>Unidad de Negocio</t>
  </si>
  <si>
    <t>Meta Leads</t>
  </si>
  <si>
    <t>Calificados Oportunos</t>
  </si>
  <si>
    <t>Fuera de Tiempo</t>
  </si>
  <si>
    <t>Leads calificados</t>
  </si>
  <si>
    <t>Pendientes</t>
  </si>
  <si>
    <t>leads Calificados</t>
  </si>
  <si>
    <t>leads Calificados A Tiempo</t>
  </si>
  <si>
    <t xml:space="preserve">Gestión Real </t>
  </si>
  <si>
    <t>Meta Esperada</t>
  </si>
  <si>
    <t>Peso</t>
  </si>
  <si>
    <t>Hectareas Cultivos impactados</t>
  </si>
  <si>
    <t>des_territorio</t>
  </si>
  <si>
    <t># Fincas</t>
  </si>
  <si>
    <t>Héctareas</t>
  </si>
  <si>
    <t>Impacto en clientes (Actividades de Campo)</t>
  </si>
  <si>
    <t>ID</t>
  </si>
  <si>
    <t>Estado</t>
  </si>
  <si>
    <t>Asunto</t>
  </si>
  <si>
    <t>ID de cliente</t>
  </si>
  <si>
    <t>Tipo de visita</t>
  </si>
  <si>
    <t>Propietario</t>
  </si>
  <si>
    <t>LinkUbicacion</t>
  </si>
  <si>
    <t>Dirección</t>
  </si>
  <si>
    <t>Estado1</t>
  </si>
  <si>
    <t>Creado el</t>
  </si>
  <si>
    <t>Fecha/Hora de inicio</t>
  </si>
  <si>
    <t>Fecha/Hora de fin</t>
  </si>
  <si>
    <t>Fecha/Hora Inic.visita</t>
  </si>
  <si>
    <t>Fecha/Hora Fin visita</t>
  </si>
  <si>
    <t>Notas</t>
  </si>
  <si>
    <t>Territorio de ventas</t>
  </si>
  <si>
    <t>Organización de ventas</t>
  </si>
  <si>
    <t>Creados por</t>
  </si>
  <si>
    <t>Ubicación</t>
  </si>
  <si>
    <t>Observaciones Visita</t>
  </si>
  <si>
    <t>Cultivo</t>
  </si>
  <si>
    <t>Estado cultivo</t>
  </si>
  <si>
    <t>Hectáreas</t>
  </si>
  <si>
    <t>Oportunidades comerciales</t>
  </si>
  <si>
    <t>Estado2</t>
  </si>
  <si>
    <t>zaUbicacion</t>
  </si>
  <si>
    <t>Est.Fed./Prov.</t>
  </si>
  <si>
    <t>Ciudad</t>
  </si>
  <si>
    <t>Link Ubicacion</t>
  </si>
  <si>
    <t>Completado</t>
  </si>
  <si>
    <t>CO</t>
  </si>
  <si>
    <t>PEREZ Y CARDONA</t>
  </si>
  <si>
    <t>GALAGRO ANTIOQUIA GENERICO</t>
  </si>
  <si>
    <t>Día de campo</t>
  </si>
  <si>
    <t>ANTIOQUIA</t>
  </si>
  <si>
    <t>GALAGRO SUROESTE ANT.</t>
  </si>
  <si>
    <t>CLAUDIA SARMIENTO LA ESQUINA DEL CAMPO SOCORRO</t>
  </si>
  <si>
    <t>GALAGRO SANTANDER NAL.</t>
  </si>
  <si>
    <t>PLAGUEX SAS PLAGUEX DISTRIBUIDORA</t>
  </si>
  <si>
    <t>GALAGRO EJE CAFETERO Y VALLE NORTE NAL.</t>
  </si>
  <si>
    <t>LA UNION</t>
  </si>
  <si>
    <t>URRAO</t>
  </si>
  <si>
    <t>1401434</t>
  </si>
  <si>
    <t>AGRICOLA ANTIOQUIA GENERICO</t>
  </si>
  <si>
    <t>VRD LAS LAJAS / 05615 RIONEGRO / CO</t>
  </si>
  <si>
    <t>AGRICOLA ANTIOQUIA GENERICO / VRD LAS LAJAS / 05615 RIONEGRO / CO</t>
  </si>
  <si>
    <t>VRD LAS LAJAS / 05615 RIONEGRO</t>
  </si>
  <si>
    <t>RIONEGRO</t>
  </si>
  <si>
    <t>JARDIN</t>
  </si>
  <si>
    <t>GALAGRO CAUCA NAL.</t>
  </si>
  <si>
    <t>GALAGRO NORTE ANT.</t>
  </si>
  <si>
    <t>SAN ROQUE</t>
  </si>
  <si>
    <t>GALAGRO ORIENTE B ANT.</t>
  </si>
  <si>
    <t>CORDOBA</t>
  </si>
  <si>
    <t>MONTERIA</t>
  </si>
  <si>
    <t>1581734</t>
  </si>
  <si>
    <t>Juan Camilo Garcia Anaya La Gloria</t>
  </si>
  <si>
    <t>Juan Camilo Garcia Anaya La Gloria / CO</t>
  </si>
  <si>
    <t>1577450</t>
  </si>
  <si>
    <t>Claudia Anaya Providencia</t>
  </si>
  <si>
    <t>Claudia Anaya Providencia / CO</t>
  </si>
  <si>
    <t>1583091</t>
  </si>
  <si>
    <t>Multiservicios del campo JE SAS Finca Janne</t>
  </si>
  <si>
    <t>Multiservicios del campo JE SAS Finca Janne / CO</t>
  </si>
  <si>
    <t>DISTRIBUCIONES ARAMA LTDA</t>
  </si>
  <si>
    <t>GALAGRO HUILA NAL.</t>
  </si>
  <si>
    <t>ANDES</t>
  </si>
  <si>
    <t>GALAGRO NACIONAL GENERICO</t>
  </si>
  <si>
    <t>Total</t>
  </si>
  <si>
    <t>"¡Extraordinario desempeño! Este periodo refleja tu alto compromiso, disciplina y maestría en el territorio. Has alcanzado un nivel de excelencia que inspira al equipo. Mantén este ritmo ganador y sigue liderando con el ejemplo."</t>
  </si>
  <si>
    <t>"¡Gran trabajo en este periodo! Tu consistencia y esfuerzo te posicionan en un nivel destacado. Estás a muy pocos pasos de la excelencia total. El camino está trazado; con un pequeño empuje en los indicadores clave, el próximo trimestre pintarás el tablero completamente de verde."</t>
  </si>
  <si>
    <t>"Cerramos un trimestre de mucho aprendizaje y esfuerzo. Estás en pleno proceso de consolidación de tus objetivos. El potencial para crecer está ahí; este resultado es el punto de partida perfecto para enfocar la energía en las actividades que moverán la aguja hacia el siguiente nivel."</t>
  </si>
  <si>
    <t>"Este trimestre nos plantea un reto importante, pero también una gran oportunidad de reinvención. Cada desafío superado nos hace más fuertes. Es momento de revisar la estrategia, apoyarte en tus fortalezas y accionar un plan de mejora enfocado. ¡Tienes la capacidad para revertir este indicador y alcanzar tus metas!"</t>
  </si>
  <si>
    <t>"Tus pilares de éxito están firmes. Destacas por una ejecución impecable en campo, un dominio absoluto de tus indicadores de mayor peso y una consistencia comercial admirable. Tu capacidad para superar las metas demuestra que tu estrategia en el territorio es sumamente efectiva."</t>
  </si>
  <si>
    <t>"Cuentas con bases operativas y comerciales muy sólidas. Has demostrado un rendimiento sobresaliente en tus indicadores clave de gestión, logrando superar las metas esperadas en frentes cruciales. Esta efectividad es tu trampolín hacia el éxito absoluto."</t>
  </si>
  <si>
    <t>"Aun en periodos retadores, tu esfuerzo ha dado frutos valiosos. Tienes indicadores específicos donde demuestras un gran compromiso y efectividad. Esas actividades en las que hoy brillas son el motor que debes usar para impulsar el resto de tu gestión."</t>
  </si>
  <si>
    <t>"Incluso en la dificultad, hay terreno ganado. Tu dedicación se hace visible en tus mejores indicadores del periodo. Esos pequeños o grandes logros demuestran que posees las habilidades necesarias; el objetivo ahora es replicar ese mismo esfuerzo en las demás áreas."</t>
  </si>
  <si>
    <t>"Para los perfeccionistas, siempre hay espacio de mejora. El siguiente reto es la sostenibilidad: analiza esos mínimos detalles o indicadores que rozaron la meta para blindar tu territorio contra cualquier imprevisto futuro. ¡La excelencia no se detiene!"</t>
  </si>
  <si>
    <t>"El camino a la cima está en los detalles. Para saltar al rango excelente, el foco debe estar en acelerar aquellos indicadores que se quedaron en amarillo o naranja. Ajustar la estrategia en estos puntos específicos liberará todo tu potencial comercial."</t>
  </si>
  <si>
    <t>"Aquí está tu mayor oportunidad de crecimiento. Al concentrar tus esfuerzos en levantar los indicadores que quedaron por debajo de la meta, verás un impacto inmediato en tu resultado global. Prioriza tus batallas, ajusta la planificación semanal y ve por esos puntos."</t>
  </si>
  <si>
    <t>"La meta está más cerca de lo que parece si nos enfocamos. El plan de acción inmediato exige concentrar la energía en revertir los indicadores críticos que están frenando tu avance. Define prioridades claras, solicita el apoyo necesario y da el primer paso. ¡Cada mejora cuenta!"</t>
  </si>
  <si>
    <t>Mensaje</t>
  </si>
  <si>
    <t>valor</t>
  </si>
  <si>
    <t>nombre</t>
  </si>
  <si>
    <t>&gt;90%</t>
  </si>
  <si>
    <t>&gt;75%</t>
  </si>
  <si>
    <t>&gt;60%</t>
  </si>
  <si>
    <t>&gt;0%</t>
  </si>
  <si>
    <t>Mes</t>
  </si>
  <si>
    <t>César Augusto Montoya Sierra</t>
  </si>
  <si>
    <t>(Vacante) Jonathan De Jesús Salcedo Arango</t>
  </si>
  <si>
    <t>METAVISITAS</t>
  </si>
  <si>
    <t>Ppto</t>
  </si>
  <si>
    <t>REF CANTIDAD</t>
  </si>
  <si>
    <t>Evento Especial</t>
  </si>
  <si>
    <t>Charla veredal</t>
  </si>
  <si>
    <t>SAN VICENTE</t>
  </si>
  <si>
    <t>SONSON</t>
  </si>
  <si>
    <t>1333192</t>
  </si>
  <si>
    <t>PEREZ Y CARDONA S.A.S. TIERRAGRO MEDELLIN</t>
  </si>
  <si>
    <t>CL 32 48 45 / 05001 MEDELLIN / CO</t>
  </si>
  <si>
    <t>PEREZ Y CARDONA S.A.S. TIERRAGRO MEDELLIN / CL 32 48 45 / 05001 MEDELLIN / CO</t>
  </si>
  <si>
    <t>CL 32 48 45 / 05001 MEDELLIN</t>
  </si>
  <si>
    <t>MEDELLIN</t>
  </si>
  <si>
    <t>Traslado de mercancia</t>
  </si>
  <si>
    <t>1149361</t>
  </si>
  <si>
    <t>REGIONAGRO SAS REGIONAGRO SAS</t>
  </si>
  <si>
    <t>CL 49 48 A 18 / 05318 GUARNE / CO</t>
  </si>
  <si>
    <t>REGIONAGRO SAS REGIONAGRO SAS / CL 49 48 A 18 / 05318 GUARNE / CO</t>
  </si>
  <si>
    <t>CL 49 48 A 18 / 05318 GUARNE</t>
  </si>
  <si>
    <t>GUARNE</t>
  </si>
  <si>
    <t>CAUCASIA</t>
  </si>
  <si>
    <t>SABANETA</t>
  </si>
  <si>
    <t>SALGAR</t>
  </si>
  <si>
    <t>ENTRERRIOS</t>
  </si>
  <si>
    <t>atr_desc_empleado</t>
  </si>
  <si>
    <t>Meta Parcelas</t>
  </si>
  <si>
    <t>Cuenta de ID de cliente</t>
  </si>
  <si>
    <t>Meta Actividades</t>
  </si>
  <si>
    <t>Aguacate Hass</t>
  </si>
  <si>
    <t>Fresa</t>
  </si>
  <si>
    <t>Hortensia</t>
  </si>
  <si>
    <t>Pasto Clima Frío</t>
  </si>
  <si>
    <t>Tomate Invernadero</t>
  </si>
  <si>
    <t>atr_cultivo_texto</t>
  </si>
  <si>
    <t>Papa Capira</t>
  </si>
  <si>
    <t>GALAGRO BOYACA NAL.</t>
  </si>
  <si>
    <t>META</t>
  </si>
  <si>
    <t>Meta hectareas</t>
  </si>
  <si>
    <t>cultivos</t>
  </si>
  <si>
    <t>(en blanco)</t>
  </si>
  <si>
    <t>Suma de Meta hectareas</t>
  </si>
  <si>
    <t>Valores</t>
  </si>
  <si>
    <t>Suma de cultivos</t>
  </si>
  <si>
    <t>Gestión de Cultivos Impactados</t>
  </si>
  <si>
    <t>Elizabeth Sanmartin Vasquez</t>
  </si>
  <si>
    <t>PYC NORTE 2 PECUARIA</t>
  </si>
  <si>
    <t>BELLO</t>
  </si>
  <si>
    <t>1400707</t>
  </si>
  <si>
    <t>John Álvaro Correa Castaño</t>
  </si>
  <si>
    <t>05541 PEÑOL / CO</t>
  </si>
  <si>
    <t>GALAGRO</t>
  </si>
  <si>
    <t>PEÑOL</t>
  </si>
  <si>
    <t>1400070</t>
  </si>
  <si>
    <t>Juan David Rojas Rivera</t>
  </si>
  <si>
    <t>41551 PITALITO / CO</t>
  </si>
  <si>
    <t>HUILA</t>
  </si>
  <si>
    <t>GALAGRO NACIONAL COORDINACIÓN</t>
  </si>
  <si>
    <t>PITALITO</t>
  </si>
  <si>
    <t>Aplicación con dron</t>
  </si>
  <si>
    <t>1400056</t>
  </si>
  <si>
    <t>Annuar Andrey Hoyos Muñoz</t>
  </si>
  <si>
    <t>68755 SOCORRO / CO</t>
  </si>
  <si>
    <t>SANTANDER</t>
  </si>
  <si>
    <t>SOCORRO</t>
  </si>
  <si>
    <t>Juan Pablo Valencia Carvajal </t>
  </si>
  <si>
    <t>Miguel Andrés León Díaz</t>
  </si>
  <si>
    <t>SANTA ROSA DE OSOS</t>
  </si>
  <si>
    <t>1407703</t>
  </si>
  <si>
    <t>Juana Andrea Moncaleano Sandoval</t>
  </si>
  <si>
    <t>CL 2E 2E 54 SC CHARCO / 52356 IPIALES / CO</t>
  </si>
  <si>
    <t>NARIÑO</t>
  </si>
  <si>
    <t>PLAGUEX SAS PLAGUEX DISTRIBUIDORA / CL 2E 2E 54 SC CHARCO / 52356 IPIALES / CO</t>
  </si>
  <si>
    <t>CL 2E 2E 54 SC CHARCO / 52356 IPIALES</t>
  </si>
  <si>
    <t>IPIALES</t>
  </si>
  <si>
    <t>Katherine Bedoya Rodas</t>
  </si>
  <si>
    <t>GALAGRO OFICINA ANT.</t>
  </si>
  <si>
    <t>GALAGRO ANTIOQUIA COORDINACIÓN</t>
  </si>
  <si>
    <t>Tatiana Marcela Velasco Vasquez</t>
  </si>
  <si>
    <t>Luisa Fernanda Quiceno Restrepo</t>
  </si>
  <si>
    <t>Silvana Astrid Molina Pérez</t>
  </si>
  <si>
    <t>PYC PECUARIA COORDINACIÓN</t>
  </si>
  <si>
    <t>CAUCA</t>
  </si>
  <si>
    <t>1339400</t>
  </si>
  <si>
    <t>Andrea Sileny Pardo Pillimue</t>
  </si>
  <si>
    <t>PARQUE INDUSTRIAL PALEMO BG D16 KM / 41001 NEIVA / CO</t>
  </si>
  <si>
    <t>DISTRIBUCIONES ARAMA LTDA / PARQUE INDUSTRIAL PALEMO BG D16 KM / 41001 NEIVA / CO</t>
  </si>
  <si>
    <t>PARQUE INDUSTRIAL PALEMO BG D16 KM / 41001 NEIVA</t>
  </si>
  <si>
    <t>NEIVA</t>
  </si>
  <si>
    <t>Brarlyn Steven Garcia Castro</t>
  </si>
  <si>
    <t>MARINILLA</t>
  </si>
  <si>
    <t>Yeison Antonio Arenilla Diaz</t>
  </si>
  <si>
    <t>GALAGRO BAJO CAUCA ANT.</t>
  </si>
  <si>
    <t>VALDIVIA</t>
  </si>
  <si>
    <t>1400278</t>
  </si>
  <si>
    <t>PYC PECUARIA GENERICO</t>
  </si>
  <si>
    <t>Camila Rojas García</t>
  </si>
  <si>
    <t>05001 MEDELLÍN / CO</t>
  </si>
  <si>
    <t>COLOMBIA - PYC</t>
  </si>
  <si>
    <t>PYC PECUARIA GENERICO / 05001 MEDELLÍN / CO</t>
  </si>
  <si>
    <t>05001 MEDELLÍN</t>
  </si>
  <si>
    <t>MEDELLÍN</t>
  </si>
  <si>
    <t>Leidy Astrid Restrepo Acevedo</t>
  </si>
  <si>
    <t>PYC GUILLÉN ANTIOQUIA</t>
  </si>
  <si>
    <t>Manuela Valencia Patiño</t>
  </si>
  <si>
    <t>ENVIGADO</t>
  </si>
  <si>
    <t>1340587</t>
  </si>
  <si>
    <t>CR 8 20 148 BG 10 / 68001 BUCARAMANGA / CO</t>
  </si>
  <si>
    <t>DISTRIBUCIONES ARAMA LTDA / CR 8 20 148 BG 10 / 68001 BUCARAMANGA / CO</t>
  </si>
  <si>
    <t>CR 8 20 148 BG 10 / 68001 BUCARAMANGA</t>
  </si>
  <si>
    <t>BUCARAMANGA</t>
  </si>
  <si>
    <t>Paola Andrea Jaramillo García</t>
  </si>
  <si>
    <t>PYC COMUNA 5 Y 11 PECUARIA</t>
  </si>
  <si>
    <t>Fredy Alberto Guzmán Daza</t>
  </si>
  <si>
    <t>BOYACA</t>
  </si>
  <si>
    <t>GALAGRO NACIONAL GENERICO / 41551 PITALITO / CO</t>
  </si>
  <si>
    <t>41551 PITALITO</t>
  </si>
  <si>
    <t>GALAGRO META NAL.</t>
  </si>
  <si>
    <t>Julio Andrés Cuspoca Martínez</t>
  </si>
  <si>
    <t>César Augusto Escarria Reyes</t>
  </si>
  <si>
    <t>Sebastián Zapata Gutiérrez</t>
  </si>
  <si>
    <t>GALAGRO ANTIOQUIA GENERICO / 05541 PEÑOL / CO</t>
  </si>
  <si>
    <t>05541 PEÑOL</t>
  </si>
  <si>
    <t>ABEJORRAL</t>
  </si>
  <si>
    <t>LA CEJA</t>
  </si>
  <si>
    <t>CARMEN DE VIBORAL</t>
  </si>
  <si>
    <t>EL SANTUARIO</t>
  </si>
  <si>
    <t>GRANADA</t>
  </si>
  <si>
    <t>ITAGUI</t>
  </si>
  <si>
    <t>SANTA ROSA</t>
  </si>
  <si>
    <t>YARUMAL</t>
  </si>
  <si>
    <t>SAN PEDRO</t>
  </si>
  <si>
    <t>DON MATIAS</t>
  </si>
  <si>
    <t>CALDAS</t>
  </si>
  <si>
    <t>LA DORADA</t>
  </si>
  <si>
    <t>ILES</t>
  </si>
  <si>
    <t>BOGOTA</t>
  </si>
  <si>
    <t>LA UNIÓN</t>
  </si>
  <si>
    <t>SAN VICENTE FERRER</t>
  </si>
  <si>
    <t>BETANIA</t>
  </si>
  <si>
    <t>PEREIRA</t>
  </si>
  <si>
    <t>PUERTO BERRIO</t>
  </si>
  <si>
    <t>PUERTO BOYACA</t>
  </si>
  <si>
    <t>MONTELIBANO</t>
  </si>
  <si>
    <t>VEGACHI</t>
  </si>
  <si>
    <t>CISNEROS</t>
  </si>
  <si>
    <t>YOLOMBO</t>
  </si>
  <si>
    <t>REMEDIOS</t>
  </si>
  <si>
    <t>SEGOVIA</t>
  </si>
  <si>
    <t>BARBOSA</t>
  </si>
  <si>
    <t>GIRARDOTA</t>
  </si>
  <si>
    <t>JERICO</t>
  </si>
  <si>
    <t>BETULIA</t>
  </si>
  <si>
    <t>FREDONIA</t>
  </si>
  <si>
    <t>CONCORDIA</t>
  </si>
  <si>
    <t>SANTAFE DE ANTIOQUIA</t>
  </si>
  <si>
    <t>PUEBLORRICO</t>
  </si>
  <si>
    <t>BOLIVAR</t>
  </si>
  <si>
    <t>COPACABANA</t>
  </si>
  <si>
    <t>ANGOSTURA</t>
  </si>
  <si>
    <t>TIERRALTA</t>
  </si>
  <si>
    <t>SAN PEDRO DE LOS MILAGROS</t>
  </si>
  <si>
    <t>CLAUDIA SARMIENTO LA ESQUINA DEL CAMPO SOCORRO / 68755 SOCORRO / CO</t>
  </si>
  <si>
    <t>68755 SOCORRO</t>
  </si>
  <si>
    <t>CONCEPCION</t>
  </si>
  <si>
    <t>VALLEDUPAR</t>
  </si>
  <si>
    <t>LORICA</t>
  </si>
  <si>
    <t>COTORRA</t>
  </si>
  <si>
    <t>CERETE</t>
  </si>
  <si>
    <t>SAN CARLOS</t>
  </si>
  <si>
    <t>BELMIRA</t>
  </si>
  <si>
    <t>SAN MARCOS</t>
  </si>
  <si>
    <t>FRONTINO</t>
  </si>
  <si>
    <t>PEQUE</t>
  </si>
  <si>
    <t>URAMITA</t>
  </si>
  <si>
    <t>ANORI</t>
  </si>
  <si>
    <t>GIRALDO</t>
  </si>
  <si>
    <t>MAJAGUAL</t>
  </si>
  <si>
    <t>SAN JOSE</t>
  </si>
  <si>
    <t>DABEIBA</t>
  </si>
  <si>
    <t>BRICEÑO</t>
  </si>
  <si>
    <t>ACHI</t>
  </si>
  <si>
    <t>PLANETA RICA</t>
  </si>
  <si>
    <t>HISPANIA</t>
  </si>
  <si>
    <t>SAN JOSE DE LA MONTAÑA</t>
  </si>
  <si>
    <t>ITUANGO</t>
  </si>
  <si>
    <t>Mario Andrés Granada Guisao</t>
  </si>
  <si>
    <t>TARAZA</t>
  </si>
  <si>
    <t>PIEDECUESTA</t>
  </si>
  <si>
    <t>RIOSUCIO</t>
  </si>
  <si>
    <t>Maria Alejandra Diaz Aguirre</t>
  </si>
  <si>
    <t>Meta clientes</t>
  </si>
  <si>
    <t>Encargado</t>
  </si>
  <si>
    <t>Gestión Real Enero</t>
  </si>
  <si>
    <t>Gestión Real Febrero</t>
  </si>
  <si>
    <t>Gestión Real Marzo</t>
  </si>
  <si>
    <t>mes</t>
  </si>
  <si>
    <t>enero</t>
  </si>
  <si>
    <t>febrero</t>
  </si>
  <si>
    <t>marzo</t>
  </si>
  <si>
    <t>Nombre:</t>
  </si>
  <si>
    <t>⬤</t>
  </si>
  <si>
    <t>0</t>
  </si>
  <si>
    <t>Peso Ajustado</t>
  </si>
  <si>
    <t>Gestión Enero</t>
  </si>
  <si>
    <t>Gestión Febrero</t>
  </si>
  <si>
    <t>Gestión Marzo</t>
  </si>
  <si>
    <t>Meta acum. período</t>
  </si>
  <si>
    <t>Impacto en clientes 
(Actividades de campo)</t>
  </si>
  <si>
    <t>Criterios de medición</t>
  </si>
  <si>
    <t>Compara las visitas realizadas con la meta mensual. Cumplir o superar la meta equivale a 100%. El resultado es el promedio de los meses evaluados.</t>
  </si>
  <si>
    <t>Mide cuántos clientes del territorio fueron visitados frente a la meta mensual asignada. Se calcula con el promedio de clientes visitados durante los meses evaluados y se compara contra la meta de cobertura. La meta no se acumula entre meses.</t>
  </si>
  <si>
    <t>Cuenta los clientes recuperados y los clientes nuevos que registran una gestión o una venta. La meta mensual corresponde a la meta anual dividida entre 12 meses.</t>
  </si>
  <si>
    <t>Suma las recomendaciones generadas en enero, febrero y marzo, y compara ese total contra la meta acumulada del período. El resultado muestra qué porcentaje de la meta trimestral se alcanzó.</t>
  </si>
  <si>
    <t>Mide cuántas referencias se gestionaron frente a la meta esperada. Se suman las referencias de enero, febrero y marzo, y se comparan contra la meta promedio del trimestre.</t>
  </si>
  <si>
    <t>Mide cuántos de los leads creados en el período fueron gestionados. El resultado corresponde al porcentaje de atención sobre el total de leads generados.</t>
  </si>
  <si>
    <t>Mide el porcentaje de leads que fueron calificados dentro del tiempo establecido. Se compara la cantidad de leads calificados oportunamente frente al total de leads que debían ser gestionados en el período.</t>
  </si>
  <si>
    <t>META LEADS</t>
  </si>
  <si>
    <t>Mide las hectáreas gestionadas en el período frente a la meta del territorio. Cada promotor debe gestionar 30 hectáreas mensuales, equivalentes a 90 por trimestre, con reconocimiento de cumplimiento máximo hasta el 150%.</t>
  </si>
  <si>
    <t>Mide los cultivos gestionados en el período frente a la meta del territorio. Cada promotor debe gestionar mínimo 1 cultivo mensual, equivalente a 3 por trimestre, con reconocimiento de cumplimiento máximo hasta el 150%.</t>
  </si>
  <si>
    <t>Plan de acción sugerido</t>
  </si>
  <si>
    <t>Mide el cumplimiento de actividades y parcelas frente a la meta del territorio. Por cada promotor se esperan 3 actividades trimestrales y 0,5 parcelas, con reconocimiento máximo hasta el 150%</t>
  </si>
  <si>
    <t>Meta Esperada prom mes</t>
  </si>
  <si>
    <t>Abril</t>
  </si>
  <si>
    <t>Calificados</t>
  </si>
  <si>
    <t>Gloria Marcela Ramirez Ramirez</t>
  </si>
  <si>
    <t>Cancelado</t>
  </si>
  <si>
    <t>Compara el total de visitas realizadas por los integrantes del territorio frente a la meta acumulada esperada. Cumplir o superar la meta equivale al 100%, y el resultado refleja el cumplimiento global del territorio en los meses evaluados.</t>
  </si>
  <si>
    <t>Mide la cobertura promedio mensual de clientes visitados por el territorio frente a la meta asignada. Se suman los clientes visitados por los integrantes del equipo en cada mes y luego se calcula el promedio del período evaluado. La meta de cobertura es mensual y no se acumula entre meses.</t>
  </si>
  <si>
    <t>Mide los clientes nuevos y recuperados del territorio que registran gestión o venta. La meta se calcula de forma proporcional al período evaluado, tomando la meta anual dividida entre 12 meses.</t>
  </si>
  <si>
    <t>Suma las recomendaciones generadas en el trimestre, y compara ese total contra la meta acumulada del período. El resultado muestra qué porcentaje de la meta trimestral se alcanzó.</t>
  </si>
  <si>
    <t>Mide cuántas referencias se gestionaron frente a la meta esperada. Se suman las referencias del trimestre, y se comparan contra la meta promedio.</t>
  </si>
  <si>
    <t>Mide los leads calificados del territorio durante el período evaluado frente a la meta esperada. La meta se calcula según la cantidad de comerciales del territorio y los meses evaluados, permitiendo reflejar tanto la generación como la gestión efectiva de los leads.</t>
  </si>
  <si>
    <t>Mide los leads calificados a tiempo frente a la meta esperada del período. La meta se calcula según la cantidad de comerciales del territorio y los meses evaluados, permitiendo reflejar tanto la generación esperada como la oportunidad en la gestión.</t>
  </si>
  <si>
    <t>Mide el cumplimiento de actividades y parcelas realizadas por los promotores del territorio frente a la meta esperada. Por cada promotor se esperan 3 actividades trimestrales y 0,5 parcelas, con reconocimiento máximo hasta el 150%.</t>
  </si>
  <si>
    <t>Resultado</t>
  </si>
  <si>
    <t>Resultado trimestre</t>
  </si>
  <si>
    <t>Enero-marzo de 2026</t>
  </si>
  <si>
    <t>Meta esperada prom. Mes</t>
  </si>
  <si>
    <t>leads calificados a tiempo</t>
  </si>
  <si>
    <t>Leads calificados a tiempo</t>
  </si>
  <si>
    <t>Hectáreas de cultivos impactados</t>
  </si>
  <si>
    <t>"Enfócate en las oportunidades de mejora y mantén el ritmo en tus fortalezas."
¡Tú puedes alcanzar tus objetivos!</t>
  </si>
  <si>
    <t>En desarrollo
(60% - 74%)</t>
  </si>
  <si>
    <t>Mide el cumplimiento de actividades y parcelas frente a la meta del territorio. Por cada promotor se esperan 3 actividades trimestrales y 0,5 parcelas, con reconocimiento máximo hasta el 150%.</t>
  </si>
  <si>
    <t>Mide el porcentaje de leads que fueron calificados dentro del tiempo establecido (48 horas despues de generado). Se compara la cantidad de leads calificados oportunamente frente al total de leads que debían ser gestionados en el período.</t>
  </si>
  <si>
    <t>Reporte de desempeño comercial</t>
  </si>
  <si>
    <t>Resumen trimestral</t>
  </si>
  <si>
    <t>Primer trimestre</t>
  </si>
  <si>
    <t>Resultado global</t>
  </si>
  <si>
    <t xml:space="preserve">Reporte de desempeño comercial </t>
  </si>
  <si>
    <t>Indicadores clave</t>
  </si>
  <si>
    <t>Gestión real x 3 meses</t>
  </si>
  <si>
    <t>Meta esperada x 3 meses</t>
  </si>
  <si>
    <t>Cobertura clientes</t>
  </si>
  <si>
    <t>Nuevos clientes</t>
  </si>
  <si>
    <t xml:space="preserve">Gestión real </t>
  </si>
  <si>
    <t>leads calificados</t>
  </si>
  <si>
    <t>Impacto en clientes (actividades de campo)</t>
  </si>
  <si>
    <t>En desarrollo 
(60% -74 %)</t>
  </si>
  <si>
    <t>Mide el cumplimiento acumulado. Se suman las visitas realizadas en los tres meses y se comparan contra la meta esperada para el trimestre. Si el resultado supera la meta, el cumplimiento máximo reconocido es del 100%.</t>
  </si>
  <si>
    <t>Suma las recomendaciones generadas durante el período evaluado y compara ese total contra la meta acumulada. El resultado muestra el porcentaje de cumplimiento alcanzado frente a la meta del trimestre.</t>
  </si>
  <si>
    <t>Mide la generación de leads frente a la meta esperada. La meta considera mínimo 1 lead por mes evaluado y aumenta según los leads generados, con el fin de incentivar la creación constante de oportunidades comerciales. Si no se generan leads, el cumplimiento es 0%.</t>
  </si>
  <si>
    <t>Mide el cumplimiento acumulado de visitas del período. Se suman las visitas realizadas en los tres meses y se comparan contra la meta mensual multiplicada por el número de meses evaluados.</t>
  </si>
  <si>
    <t>Cuenta clientes nuevos y recuperados que registran una gestión o una venta durante el período. El resultado toma el total acumulado alcanzado y lo compara contra la meta esperada.</t>
  </si>
  <si>
    <t>Mide el cumplimiento de referencias gestionadas frente a la meta esperada del período. Se suman las referencias generadas en los meses evaluados y se comparan contra la meta (SKU activas). El resultado muestra el porcentaje de cumplimiento alcanzado.</t>
  </si>
  <si>
    <t>Todos los clientes del territorio, dividido 12 para darle la vuelta en el año</t>
  </si>
  <si>
    <t>Karen Paola Hernández Pacheco</t>
  </si>
  <si>
    <t>Stefanía Builes Rodríguez</t>
  </si>
  <si>
    <t>(vacante) Maria Alejandra Duque Laverde</t>
  </si>
  <si>
    <t>Norbey Fernando Montoya Grajales</t>
  </si>
  <si>
    <t>Geovanny Andres Monsalve Garcia</t>
  </si>
  <si>
    <t>Mónica Lucero Valencia Montoya</t>
  </si>
  <si>
    <t>Yuri Andrea Garro Sánchez</t>
  </si>
  <si>
    <t>GALAGRO CORDOBA ANT.</t>
  </si>
  <si>
    <t>GALAGRO NORDESTE Y MAG. MEDIO ANT.</t>
  </si>
  <si>
    <t>GALAGRO ORIENTE A ANT.</t>
  </si>
  <si>
    <t>GALAGRO URABA ANT.</t>
  </si>
  <si>
    <t>GALAGRO VALLE DE ABURRA ANT.</t>
  </si>
  <si>
    <t>GALAGRO ANTIOQUIA DIRECCIÓN</t>
  </si>
  <si>
    <t>(Vacante) Karen Paola Hernandez Pacheco</t>
  </si>
  <si>
    <t>Estefania Osorio Usuga</t>
  </si>
  <si>
    <t>Alexander Marulanda Vera</t>
  </si>
  <si>
    <t>(Vacante) José Eliécer Borja David</t>
  </si>
  <si>
    <t>ADAMA</t>
  </si>
  <si>
    <t>CAMPORIGEN</t>
  </si>
  <si>
    <t>UVIO</t>
  </si>
  <si>
    <t>GALAGRO ANTIOQUIA</t>
  </si>
  <si>
    <t>Arveja</t>
  </si>
  <si>
    <t>Crisantemo</t>
  </si>
  <si>
    <t>Flores y Follajes</t>
  </si>
  <si>
    <t>Frutales Varios</t>
  </si>
  <si>
    <t>Papa Criolla</t>
  </si>
  <si>
    <t>Tomate chonto</t>
  </si>
  <si>
    <t>RC GALAGRO BAJO CAUCA</t>
  </si>
  <si>
    <t>RTC GALAGRO CORDOBA</t>
  </si>
  <si>
    <t>RTC GALAGRO URABA</t>
  </si>
  <si>
    <t>PROMOTOR GALAGRO NORDESTE ANT</t>
  </si>
  <si>
    <t>RC GALAGRO NORTE ANT</t>
  </si>
  <si>
    <t>RC GALAGRO ORIENTE B ANT</t>
  </si>
  <si>
    <t>RC GALAGRO VALLE DE ABURRA</t>
  </si>
  <si>
    <t>RC GALAGRO ORIENTE A ANT</t>
  </si>
  <si>
    <t>RC GALAGRO SUROESTE ANT</t>
  </si>
  <si>
    <t>DIR GALAGRO ANTIOQUIA</t>
  </si>
  <si>
    <t>PROMOTOR GALAGRO CORDOBA</t>
  </si>
  <si>
    <t>PROMOTOR GALAGRO NORTE ANT</t>
  </si>
  <si>
    <t>PROMOTOR GALAGRO VALLE DE ABURRA</t>
  </si>
  <si>
    <t>PROMOTOR GALAGRO ORIENTE A ANT</t>
  </si>
  <si>
    <t>PROMOTOR GALAGRO ORIENTE B ANT</t>
  </si>
  <si>
    <t>PROMOTOR GALAGRO SUROESTE ANT</t>
  </si>
  <si>
    <t>PROMOTOR GALAGRO URABA</t>
  </si>
  <si>
    <t>Gestión real Prom X 3 meses</t>
  </si>
  <si>
    <t>Reporte de desempeño comercial - Individual</t>
  </si>
  <si>
    <t>Reporte de desempeño comercial - Territorio</t>
  </si>
  <si>
    <t>Abril - junio de 2026</t>
  </si>
  <si>
    <t>Trimestre 2</t>
  </si>
  <si>
    <t>Mayo</t>
  </si>
  <si>
    <t>Junio</t>
  </si>
  <si>
    <t>Frijol</t>
  </si>
  <si>
    <t>Tomate</t>
  </si>
  <si>
    <t>Habichuela</t>
  </si>
  <si>
    <t>Lechuga</t>
  </si>
  <si>
    <t>Pimentón</t>
  </si>
  <si>
    <t>Tomate de mesa (aliño)</t>
  </si>
  <si>
    <t>194527</t>
  </si>
  <si>
    <t>Promoción portafolio</t>
  </si>
  <si>
    <t>1466019</t>
  </si>
  <si>
    <t>CEBALLOS ORTIZ JORGE LEONARDO</t>
  </si>
  <si>
    <t>Angie Cristina Rodríguez Muñoz</t>
  </si>
  <si>
    <t>CR 4 B CS 3 URB IMPERIO REAL / 5483 NARIÑO / CO</t>
  </si>
  <si>
    <t>GALAGRO NARIÑO NAL.</t>
  </si>
  <si>
    <t>CEBALLOS ORTIZ JORGE LEONARDO / CR 4 B CS 3 URB IMPERIO REAL / 5483 NARIÑO / CO</t>
  </si>
  <si>
    <t>CR 4 B CS 3 URB IMPERIO REAL / 5483 NARIÑO</t>
  </si>
  <si>
    <t>194663</t>
  </si>
  <si>
    <t>Charla tecnica</t>
  </si>
  <si>
    <t>1590115</t>
  </si>
  <si>
    <t>JACINTO ROJAS ASOPRODUJEN</t>
  </si>
  <si>
    <t>VEREDA PAECES BAJO / CO</t>
  </si>
  <si>
    <t>JACINTO ROJAS ASOPRODUJEN / VEREDA PAECES BAJO / CO</t>
  </si>
  <si>
    <t>VEREDA PAECES BAJO</t>
  </si>
  <si>
    <t>194813</t>
  </si>
  <si>
    <t>Apoyo a charla técnica en ASOPRODUJEN con promotor zona centro</t>
  </si>
  <si>
    <t>Charla técnica con 40 productores de papa de las zonas de Siachique y Toca, convocadas por la ADR,  ala asociación ASOPRODUJEN , de Jenesano. Promoción a portafolio y programación para papa. Productos Fertiespecial, Aminopoder, Optimar entre otros.</t>
  </si>
  <si>
    <t>FERTIESPECIAL  BTO X 46KG#Aplicación en mezcla con NPK, 1 x 4 bultos de 18-18-18 y 10-20-30</t>
  </si>
  <si>
    <t>194412</t>
  </si>
  <si>
    <t>Toma de almacen</t>
  </si>
  <si>
    <t>1404582</t>
  </si>
  <si>
    <t>COAGROHUILA LA PLATA</t>
  </si>
  <si>
    <t>COAGROHUILA LA PLATA / CO</t>
  </si>
  <si>
    <t>194411</t>
  </si>
  <si>
    <t>194590</t>
  </si>
  <si>
    <t>Visita de campo con mercadeo</t>
  </si>
  <si>
    <t>1467502</t>
  </si>
  <si>
    <t>SALAZAR LUIS SALAZAR LUIS</t>
  </si>
  <si>
    <t>VRD GUAPANTE / 05318 GUARNE / CO</t>
  </si>
  <si>
    <t>SALAZAR LUIS SALAZAR LUIS / VRD GUAPANTE / 05318 GUARNE / CO</t>
  </si>
  <si>
    <t>VRD GUAPANTE / 05318 GUARNE</t>
  </si>
  <si>
    <t>194816</t>
  </si>
  <si>
    <t>Participación en Charla técnica para productores de frutas municipio de Buenavista</t>
  </si>
  <si>
    <t>1594782</t>
  </si>
  <si>
    <t>CRISTIAN VALENZUELA SIN NOMBRE</t>
  </si>
  <si>
    <t>Centro / 15109 BUENAVISTA / CO</t>
  </si>
  <si>
    <t>Charla técnica con grupo de productores de Gulupa convocados por asesor técnico de empresa frutas comerciales que trabaja en esta zona. Presentacion de productos para fertilizacion edáfica Fertiespecial y para aplicaciones en drench Humicampo, Calciorigen, Hidroinicio y Cabomagk.</t>
  </si>
  <si>
    <t>CRISTIAN VALENZUELA SIN NOMBRE / Centro / 15109 BUENAVISTA / CO</t>
  </si>
  <si>
    <t>Centro / 15109 BUENAVISTA</t>
  </si>
  <si>
    <t>BUENAVISTA</t>
  </si>
  <si>
    <t>195115</t>
  </si>
  <si>
    <t>En proceso</t>
  </si>
  <si>
    <t>1404208</t>
  </si>
  <si>
    <t>SERVIAGRO LA PLATA SERVIAGRO LA PLATA</t>
  </si>
  <si>
    <t>41396 LA PLATA / CO</t>
  </si>
  <si>
    <t>SERVIAGRO LA PLATA SERVIAGRO LA PLATA / 41396 LA PLATA / CO</t>
  </si>
  <si>
    <t>41396 LA PLATA</t>
  </si>
  <si>
    <t>LA PLATA</t>
  </si>
  <si>
    <t>195116</t>
  </si>
  <si>
    <t>195713</t>
  </si>
  <si>
    <t>Visita clientes dealer</t>
  </si>
  <si>
    <t>1591222</t>
  </si>
  <si>
    <t>COMERCIALIZADORA BASTIMENTOS S.A.S BASTIMENTOS</t>
  </si>
  <si>
    <t>Yeferson Esmit Ramírez Ruíz</t>
  </si>
  <si>
    <t>MANZANA 4 CARRERA 3 / 50150 CASTILLA LA NUEVA / CO</t>
  </si>
  <si>
    <t>Visita clientes</t>
  </si>
  <si>
    <t>COMERCIALIZADORA BASTIMENTOS S.A.S BASTIMENTOS / MANZANA 4 CARRERA 3 / 50150 CASTILLA LA NUEVA / CO</t>
  </si>
  <si>
    <t>MANZANA 4 CARRERA 3 / 50150 CASTILLA LA NUEVA</t>
  </si>
  <si>
    <t>CASTILLA LA NUEVA</t>
  </si>
  <si>
    <t>196003</t>
  </si>
  <si>
    <t>Charla ganadera</t>
  </si>
  <si>
    <t>1332890</t>
  </si>
  <si>
    <t>ZULUAGA VELASQUEZ LUIS EDUARDO AGROPECUARIA LUIS ZULUAGA</t>
  </si>
  <si>
    <t>CL 20 20 40 / 05658 SAN JOSE DE LA MONTAÑA / CO</t>
  </si>
  <si>
    <t>ZULUAGA VELASQUEZ LUIS EDUARDO AGROPECUARIA LUIS ZULUAGA / CL 20 20 40 / 05658 SAN JOSE DE LA MONTAÑ</t>
  </si>
  <si>
    <t>CL 20 20 40 / 05658 SAN JOSE DE LA MONTAÑ</t>
  </si>
  <si>
    <t>195908</t>
  </si>
  <si>
    <t>Charla veredal san jose de la M</t>
  </si>
  <si>
    <t>196009</t>
  </si>
  <si>
    <t>Aplicacion dantotsu y agarroot</t>
  </si>
  <si>
    <t>1589765</t>
  </si>
  <si>
    <t>ANGEL ZAPATA VASQUEZ FINCA HORIZONTE</t>
  </si>
  <si>
    <t>FINCA HORIZONTE / 05658 SAN JOSE DE LA MONTAÑA / CO</t>
  </si>
  <si>
    <t>ANGEL ZAPATA VASQUEZ FINCA HORIZONTE / FINCA HORIZONTE / 05658 SAN JOSE DE LA MONTAÑA / CO</t>
  </si>
  <si>
    <t>FINCA HORIZONTE / 05658 SAN JOSE DE LA MONTAÑA</t>
  </si>
  <si>
    <t>195826</t>
  </si>
  <si>
    <t>1488171</t>
  </si>
  <si>
    <t>ANDRADE JIMMY COOPERATIVA DE OCCIDENTE TUQUERRES</t>
  </si>
  <si>
    <t>Juan José Lagos Regalado</t>
  </si>
  <si>
    <t>ANDRADE JIMMY COOPERATIVA DE OCCIDENTE TUQUERRES / CO</t>
  </si>
  <si>
    <t>196130</t>
  </si>
  <si>
    <t>Reunión expositores</t>
  </si>
  <si>
    <t>1597015</t>
  </si>
  <si>
    <t>COOPERATIVA SUPRESENCIA COOPERATIVA SUPRESENCIA</t>
  </si>
  <si>
    <t>Maria Del Pilar Hernandez</t>
  </si>
  <si>
    <t>Excelente capacitación en ventas por el coach internacional Jorge Rojas✔️
Grandes expectativas para la feria Impulsa con GUILLÉN ✔️</t>
  </si>
  <si>
    <t>PYC GUILLÉN NACIONAL</t>
  </si>
  <si>
    <t>COOPERATIVA SUPRESENCIA COOPERATIVA SUPRESENCIA / CO</t>
  </si>
  <si>
    <t>196038</t>
  </si>
  <si>
    <t>1440829</t>
  </si>
  <si>
    <t>COAGROHUILA GUADALUPE</t>
  </si>
  <si>
    <t>GUADALUPE / CO</t>
  </si>
  <si>
    <t>COAGROHUILA GUADALUPE / GUADALUPE / CO</t>
  </si>
  <si>
    <t>GUADALUPE</t>
  </si>
  <si>
    <t>195612</t>
  </si>
  <si>
    <t>1430394</t>
  </si>
  <si>
    <t>ROJAS DAZA JACINTO ASOPRODUJEN</t>
  </si>
  <si>
    <t>Km 4 VIA TIERRA NEGRA A JENESANO / 15367 JENESANO / CO</t>
  </si>
  <si>
    <t>ROJAS DAZA JACINTO ASOPRODUJEN / Km 4 VIA TIERRA NEGRA A JENESANO / 15367 JENESANO / CO</t>
  </si>
  <si>
    <t>Km 4 VIA TIERRA NEGRA A JENESANO / 15367 JENESANO</t>
  </si>
  <si>
    <t>JENESANO</t>
  </si>
  <si>
    <t>196189</t>
  </si>
  <si>
    <t>Toma de almacen garzon</t>
  </si>
  <si>
    <t>197436</t>
  </si>
  <si>
    <t>CHARLA PRODUCTORES ROSAS - ICA</t>
  </si>
  <si>
    <t>1397584</t>
  </si>
  <si>
    <t>WILLIAM  ROMERO ALDER FLOWERS S.A.S</t>
  </si>
  <si>
    <t>Rafael Ricardo Peña Sánchez</t>
  </si>
  <si>
    <t>15516 PAIPA / CO</t>
  </si>
  <si>
    <t>WILLIAM  ROMERO ALDER FLOWERS S.A.S / 15516 PAIPA / CO</t>
  </si>
  <si>
    <t>HIDROFOLLAJE 30-10-10 X 25 KG#Recomendación para cultivo de rosas |HIDROKOSECHA 10-5-40 X 25 KG#Recomendación para cultivo de rosas|AMINOPODER X 5 LT#Recomendación para cultivo de rosas.|HIDROBALANCE GEL X 5 LT#Recomendación para cultivo de rosas.|OPTIMAR ALGAS MARINAS X 5 LT#Recomendación para cultivo de rosas.</t>
  </si>
  <si>
    <t>15516 PAIPA</t>
  </si>
  <si>
    <t>PAIPA</t>
  </si>
  <si>
    <t>197646</t>
  </si>
  <si>
    <t>Día de campo productores de café y plátano municipio de simacota</t>
  </si>
  <si>
    <t>197923</t>
  </si>
  <si>
    <t>CHARLA CAPACITACIÓN TECNOLOGIA CAMPORIGEN</t>
  </si>
  <si>
    <t>1495045</t>
  </si>
  <si>
    <t>OCTAVIO BARON TRES ESQUINAS</t>
  </si>
  <si>
    <t>15740 SIACHOQUE / CO</t>
  </si>
  <si>
    <t>OCTAVIO BARON TRES ESQUINAS / 15740 SIACHOQUE / CO</t>
  </si>
  <si>
    <t>HIDROKOSECHA 10-5-40 X 25 KG#Recomendación para cultivo de papa.|CABOMAG-K X 4 LT#Recomendación para cultivo de papa.|HUMICAMPO 26 X 5 LT#Recomendación para cultivo de papa.</t>
  </si>
  <si>
    <t>15740 SIACHOQUE</t>
  </si>
  <si>
    <t>SIACHOQUE</t>
  </si>
  <si>
    <t>197969</t>
  </si>
  <si>
    <t>1190661</t>
  </si>
  <si>
    <t>RAMIREZ GOMEZ LUZ DARY</t>
  </si>
  <si>
    <t>CL 50 48 65 / 05318 GUARNE / CO</t>
  </si>
  <si>
    <t>RAMIREZ GOMEZ LUZ DARY / CL 50 48 65 / 05318 GUARNE / CO</t>
  </si>
  <si>
    <t>CL 50 48 65 / 05318 GUARNE</t>
  </si>
  <si>
    <t>197890</t>
  </si>
  <si>
    <t>1142787</t>
  </si>
  <si>
    <t>LA CASA DEL AGRO MCU SAS</t>
  </si>
  <si>
    <t>CL 27 28 29 B G 110 CC LOS SAUCES / 05440 MARINILLA / CO</t>
  </si>
  <si>
    <t>LA CASA DEL AGRO MCU SAS / CL 27 28 29 B G 110 CC LOS SAUCES / 05440 MARINILLA / CO</t>
  </si>
  <si>
    <t>CL 27 28 29 B G 110 CC LOS SAUCES / 05440 MARINILLA</t>
  </si>
  <si>
    <t>196488</t>
  </si>
  <si>
    <t>197156</t>
  </si>
  <si>
    <t>198326</t>
  </si>
  <si>
    <t>Dia de campo con agafert</t>
  </si>
  <si>
    <t>1008307</t>
  </si>
  <si>
    <t>OSORIO RUIZ CESAR HUMBERTO DERIVADOS LACTEOS LA FRESCURA</t>
  </si>
  <si>
    <t>CL 27 CR 16 188 / 05887 YARUMAL / CO</t>
  </si>
  <si>
    <t>OSORIO RUIZ CESAR HUMBERTO DERIVADOS LACTEOS LA FRESCURA / CL 27 CR 16 188 / 05887 YARUMAL / CO</t>
  </si>
  <si>
    <t>CL 27 CR 16 188 / 05887 YARUMAL</t>
  </si>
  <si>
    <t>196743</t>
  </si>
  <si>
    <t>Capacitacion mostradores en el municipio de concordia</t>
  </si>
  <si>
    <t>1344567</t>
  </si>
  <si>
    <t>COOPERATIVA DE CAFICULTORES DE SALGAR CONCORDIA</t>
  </si>
  <si>
    <t>Juan José Montoya Estrada</t>
  </si>
  <si>
    <t>CL 20A 20 19 / 05209 CONCORDIA / CO</t>
  </si>
  <si>
    <t>COOPERATIVA DE CAFICULTORES DE SALGAR CONCORDIA / CL 20A 20 19 / 05209 CONCORDIA / CO</t>
  </si>
  <si>
    <t>CL 20A 20 19 / 05209 CONCORDIA</t>
  </si>
  <si>
    <t>198667</t>
  </si>
  <si>
    <t>VEPA 2026</t>
  </si>
  <si>
    <t>198269</t>
  </si>
  <si>
    <t>PARTICIPACIÓN EN EVENTO ORGANIZADO POR TECNICO DE CACAO MUNICIPIO DE BORBUR pendiente de confirmar</t>
  </si>
  <si>
    <t>198765</t>
  </si>
  <si>
    <t>participación en reunió de productores de caña municipio de San Pablo de Borbur</t>
  </si>
  <si>
    <t>1598138</t>
  </si>
  <si>
    <t>ASOCABOR PEÑA DE BORUBAS</t>
  </si>
  <si>
    <t>VEREDA LA MESA / 15681 SAN PABLO DE BORBUR / CO</t>
  </si>
  <si>
    <t>Participación en charla técnica a productores asociativos en caña panelera de la zona de Ana Pablo de Borbur. Asistencia de 23 productores.</t>
  </si>
  <si>
    <t>ASOCABOR PEÑA DE BORUBAS / VEREDA LA MESA / 15681 SAN PABLO DE BORBUR / CO</t>
  </si>
  <si>
    <t>VEREDA LA MESA / 15681 SAN PABLO DE BORBUR</t>
  </si>
  <si>
    <t>SAN PABLO DE BORBUR</t>
  </si>
  <si>
    <t>198975</t>
  </si>
  <si>
    <t>Abierto</t>
  </si>
  <si>
    <t>Lanzamiento producto basf</t>
  </si>
  <si>
    <t>1445390</t>
  </si>
  <si>
    <t>PLAGUEX SAS</t>
  </si>
  <si>
    <t>AUT CALI YUMBO BG 6 BL 2B KM 4 ZN IND ARROYOHONDO / 76892 YUMBO / CO</t>
  </si>
  <si>
    <t>VALLE</t>
  </si>
  <si>
    <t>PLAGUEX SAS / AUT CALI YUMBO BG 6 BL 2B KM 4 ZN IND ARROYOHONDO / 76892 YUMBO / CO</t>
  </si>
  <si>
    <t>AUT CALI YUMBO BG 6 BL 2B KM 4 ZN IND ARROYOHONDO / 76892 YUMBO</t>
  </si>
  <si>
    <t>YUMBO</t>
  </si>
  <si>
    <t>198796</t>
  </si>
  <si>
    <t>CAPACITACIÓN Y GIRA TECNICA CULTIVADORES DE PAPA TUTA</t>
  </si>
  <si>
    <t>1429750</t>
  </si>
  <si>
    <t>D AGROS S.A.S.</t>
  </si>
  <si>
    <t>D AGROS S.A.S. / CO</t>
  </si>
  <si>
    <t>OPTIMAR ALGAS MARINAS X 5 LT#Recomendación para cultivo de papa.|HUMICAMPO 26 X 5 LT#Recomendación para cultivo de papa</t>
  </si>
  <si>
    <t>198977</t>
  </si>
  <si>
    <t>Feria Alimentec</t>
  </si>
  <si>
    <t>1527288</t>
  </si>
  <si>
    <t>CORFERIAS CORFERIAS</t>
  </si>
  <si>
    <t>CORFERIAS CORFERIAS / CO</t>
  </si>
  <si>
    <t>197187</t>
  </si>
  <si>
    <t>Charla en el tambo</t>
  </si>
  <si>
    <t>198915</t>
  </si>
  <si>
    <t>Dia de campo Asociacion moreros Huila</t>
  </si>
  <si>
    <t>199134</t>
  </si>
  <si>
    <t>Charla sumitomo y agafert</t>
  </si>
  <si>
    <t>199098</t>
  </si>
  <si>
    <t>Charla Sumitomo y Agafert</t>
  </si>
  <si>
    <t>PYC AGRÍCOLA ANTIOQUIA DIRECCIÓN</t>
  </si>
  <si>
    <t>198916</t>
  </si>
  <si>
    <t>Dia de campo Cacaoteros del Huila</t>
  </si>
  <si>
    <t>198919</t>
  </si>
  <si>
    <t>Feria ganadera iquira Huila</t>
  </si>
  <si>
    <t>198899</t>
  </si>
  <si>
    <t>Evento comercial yaramal</t>
  </si>
  <si>
    <t>Evento comercial con distribuidor Plaguex en almacén Vivamos el Agro en Yaramal</t>
  </si>
  <si>
    <t>197495</t>
  </si>
  <si>
    <t>Capacitación sumitomo y agafert con productores</t>
  </si>
  <si>
    <t>1189271</t>
  </si>
  <si>
    <t>AGROTIENDA TONE SAS AGROTIENDA TONE SAS</t>
  </si>
  <si>
    <t>CR 31 30 42 / 05847 URRAO / CO</t>
  </si>
  <si>
    <t>Asistencia de 20 personas y se realizaron ventas</t>
  </si>
  <si>
    <t>AGROTIENDA TONE SAS AGROTIENDA TONE SAS / CR 31 30 42 / 05847 URRAO / CO</t>
  </si>
  <si>
    <t>CR 31 30 42 / 05847 URRAO</t>
  </si>
  <si>
    <t>199410</t>
  </si>
  <si>
    <t>Celebrscion mes del campesino</t>
  </si>
  <si>
    <t>1501051</t>
  </si>
  <si>
    <t>AGRO SURTICAMPO DONMATIAS SAS</t>
  </si>
  <si>
    <t>CL 28 22 260 / 05237 DON MATIAS / CO</t>
  </si>
  <si>
    <t>AGRO SURTICAMPO DONMATIAS SAS / CL 28 22 260 / 05237 DON MATIAS / CO</t>
  </si>
  <si>
    <t>CL 28 22 260 / 05237 DON MATIAS</t>
  </si>
  <si>
    <t>199461</t>
  </si>
  <si>
    <t>199483</t>
  </si>
  <si>
    <t>Capacitación drones</t>
  </si>
  <si>
    <t>199340</t>
  </si>
  <si>
    <t>Capacitación con drones</t>
  </si>
  <si>
    <t>1337058</t>
  </si>
  <si>
    <t>AGROPECUARIA DE PAPA SAS</t>
  </si>
  <si>
    <t>KM 2 FCA L RAMONA IZQ PEAJ LL CUIVA / 05686 SANTA ROSA DE OSOS / CO</t>
  </si>
  <si>
    <t>AGROPECUARIA DE PAPA SAS / KM 2 FCA L RAMONA IZQ PEAJ LL CUIVA / 05686 SANTA ROSA DE OSOS / CO</t>
  </si>
  <si>
    <t>KM 2 FCA L RAMONA IZQ PEAJ LL CUIVA / 05686 SANTA ROSA DE OSOS</t>
  </si>
  <si>
    <t>199562</t>
  </si>
  <si>
    <t>Evento especial</t>
  </si>
  <si>
    <t>Edilberto Duque Maya</t>
  </si>
  <si>
    <t>Se realiza el evento con el impulso de Agripac
Y wellness 
El día de hoy se regala muestras y se habla con los clientes que lleguen al negocio</t>
  </si>
  <si>
    <t>PYC COMUNA 14 PECUARIA</t>
  </si>
  <si>
    <t>199608</t>
  </si>
  <si>
    <t>1344473</t>
  </si>
  <si>
    <t>COOPERATIVA DE CAFICULTORES DE SALGAR TRILLADORA</t>
  </si>
  <si>
    <t>CR 15 30 31 / 05642 SALGAR / CO</t>
  </si>
  <si>
    <t>Evento especial con mostradores, capacitación de portafolio</t>
  </si>
  <si>
    <t>COOPERATIVA DE CAFICULTORES DE SALGAR TRILLADORA / CR 15 30 31 / 05642 SALGAR / CO</t>
  </si>
  <si>
    <t>CR 15 30 31 / 05642 SALGAR</t>
  </si>
  <si>
    <t>199968</t>
  </si>
  <si>
    <t>Visita de quimin cales</t>
  </si>
  <si>
    <t>1590933</t>
  </si>
  <si>
    <t>IGNACIO RESTREPO FINCA LA PERLA</t>
  </si>
  <si>
    <t>Vereda el topacio / 05686 SANTA ROSA DE OSOS / CO</t>
  </si>
  <si>
    <t>IGNACIO RESTREPO FINCA LA PERLA / Vereda el topacio / 05686 SANTA ROSA DE OSOS / CO</t>
  </si>
  <si>
    <t>Vereda el topacio / 05686 SANTA ROSA DE OSOS</t>
  </si>
  <si>
    <t>200167</t>
  </si>
  <si>
    <t>Reunión FERIA IMPULSA</t>
  </si>
  <si>
    <t>200356</t>
  </si>
  <si>
    <t>Asitencia</t>
  </si>
  <si>
    <t>1282070</t>
  </si>
  <si>
    <t>RODRIGUEZ MORENO MARCO EMILIO IMPULSAGRO</t>
  </si>
  <si>
    <t>CL 3 4 81 / 15476 MOTAVITA / CO</t>
  </si>
  <si>
    <t>Se realizo presentacion de portafolio a agricultores de vereda puente piedra y acompañamiento en aplicacion demostrativa con Dron</t>
  </si>
  <si>
    <t>RODRIGUEZ MORENO MARCO EMILIO IMPULSAGRO / CL 3 4 81 / 15476 MOTAVITA / CO</t>
  </si>
  <si>
    <t>CL 3 4 81 / 15476 MOTAVITA</t>
  </si>
  <si>
    <t>MOTAVITA</t>
  </si>
  <si>
    <t>200672</t>
  </si>
  <si>
    <t>Capacitación con cannae 
Diego</t>
  </si>
  <si>
    <t>196187</t>
  </si>
  <si>
    <t>VISITA AGAFER</t>
  </si>
  <si>
    <t>200976</t>
  </si>
  <si>
    <t>Charla tecnica ganadera</t>
  </si>
  <si>
    <t>1131277</t>
  </si>
  <si>
    <t>MAS CAMPO ZH SAS</t>
  </si>
  <si>
    <t>AV 38 31 154 SEC LA VARIANTE / 05686 SANTA ROSA DE OSOS / CO</t>
  </si>
  <si>
    <t>MAS CAMPO ZH SAS / AV 38 31 154 SEC LA VARIANTE / 05686 SANTA ROSA DE OSOS / CO</t>
  </si>
  <si>
    <t>AV 38 31 154 SEC LA VARIANTE / 05686 SANTA ROSA DE OSOS</t>
  </si>
  <si>
    <t>200996</t>
  </si>
  <si>
    <t>Evento, charla</t>
  </si>
  <si>
    <t>Evento especial, charla técnica</t>
  </si>
  <si>
    <t>200974</t>
  </si>
  <si>
    <t>Charla tecnica ganadera sta rosa de osos</t>
  </si>
  <si>
    <t>200386</t>
  </si>
  <si>
    <t>Evento Barbosa</t>
  </si>
  <si>
    <t>201197</t>
  </si>
  <si>
    <t>Expozuarez Barbosa Santander</t>
  </si>
  <si>
    <t>201119</t>
  </si>
  <si>
    <t>Feria expozuarez Barbosa Santander</t>
  </si>
  <si>
    <t>200771</t>
  </si>
  <si>
    <t>Día del campesino</t>
  </si>
  <si>
    <t>1146614</t>
  </si>
  <si>
    <t>QUITIAQUEZ FUELPAZ JUAN ARMANDO ALMACEN AGROPECUARIO LA FINCA CARLOSAMA</t>
  </si>
  <si>
    <t>CR 4 6 55 BRR SANTANDER / 52224 CUASPUD / CO</t>
  </si>
  <si>
    <t>QUITIAQUEZ FUELPAZ JUAN ARMANDO ALMACEN AGROPECUARIO LA FINCA CARLOSAMA / CR 4 6 55 BRR SANTANDER /</t>
  </si>
  <si>
    <t>CR 4 6 55 BRR SANTANDER /</t>
  </si>
  <si>
    <t>CUASPUD</t>
  </si>
  <si>
    <t>201259</t>
  </si>
  <si>
    <t>Acompañamiento a productores de Gulupa en charla técnica de la ADR</t>
  </si>
  <si>
    <t>asistencia de 10 productores de Gulupa . presentan portafolio Charla de Nutrición.</t>
  </si>
  <si>
    <t>201226</t>
  </si>
  <si>
    <t>Recorrido agafer</t>
  </si>
  <si>
    <t>191077</t>
  </si>
  <si>
    <t>Preparacion del producto y aplicacion</t>
  </si>
  <si>
    <t>Se hizo un recorrido en una parte de la finca que van hacer las próximas en ser fumigadas, se identificaron ciertas malezas que son más duras de controlar, se le va hacer un plan de aplicación para fichas malezas</t>
  </si>
  <si>
    <t>191862</t>
  </si>
  <si>
    <t>Toma feria ganadera de santa rosa con sumitomo</t>
  </si>
  <si>
    <t>191820</t>
  </si>
  <si>
    <t>INVITACIÓN AGRONOMOS TIERRAGRO</t>
  </si>
  <si>
    <t>1344771</t>
  </si>
  <si>
    <t>PEREZ Y CARDONA S.A.S. TIERRAGRO ITAGUI</t>
  </si>
  <si>
    <t>CR 42 84 05 / 05360 ITAGUI / CO</t>
  </si>
  <si>
    <t>PEREZ Y CARDONA S.A.S. TIERRAGRO ITAGUI / CR 42 84 05 / 05360 ITAGUI / CO</t>
  </si>
  <si>
    <t>CR 42 84 05 / 05360 ITAGUI</t>
  </si>
  <si>
    <t>188898</t>
  </si>
  <si>
    <t>Subasta especial sumitomo</t>
  </si>
  <si>
    <t>191350</t>
  </si>
  <si>
    <t>Revisión plan España y actividad con Tierragro</t>
  </si>
  <si>
    <t>192244</t>
  </si>
  <si>
    <t>Reunión</t>
  </si>
  <si>
    <t>192468</t>
  </si>
  <si>
    <t>PERMISO REUNIÓN COLEGIO</t>
  </si>
  <si>
    <t>PERMISO DE PARTE DE MI JEFE INMEDIATA PARA ASISTER CON URGENCIA A ESTE LLAMADO DEPARTE DEL COLEGIO DE MI HIJA</t>
  </si>
  <si>
    <t>192853</t>
  </si>
  <si>
    <t>Vista finca</t>
  </si>
  <si>
    <t>192907</t>
  </si>
  <si>
    <t>Revision de lotes fumigados</t>
  </si>
  <si>
    <t>192998</t>
  </si>
  <si>
    <t>Dia de campo con hortalizas y cafe</t>
  </si>
  <si>
    <t>193376</t>
  </si>
  <si>
    <t>Ensayo de torch milti mas nufuron</t>
  </si>
  <si>
    <t>193549</t>
  </si>
  <si>
    <t>1384679</t>
  </si>
  <si>
    <t>JOSE LUIS PEREZ SHANGAI</t>
  </si>
  <si>
    <t>VRD SANTA BARBARA / 05686 SANTA ROSA DE OSOS / CO</t>
  </si>
  <si>
    <t>JOSE LUIS PEREZ SHANGAI / VRD SANTA BARBARA / 05686 SANTA ROSA DE OSOS / CO</t>
  </si>
  <si>
    <t>VRD SANTA BARBARA / 05686 SANTA ROSA DE OSOS</t>
  </si>
  <si>
    <t>192148</t>
  </si>
  <si>
    <t>PARTICIPACIÓN EN CHARLA TECNICA CON PRODUCTORES PAPA R12 INDUSTRIAL GRUPO DE PROYECTO CON LA ADR</t>
  </si>
  <si>
    <t>Capacitación a 70,agricultores de diferentes zonas de departamentos para conocer planta clasificadora de papa de esta asociación de productores de Semillas.</t>
  </si>
  <si>
    <t>193590</t>
  </si>
  <si>
    <t>Georreferenciacion</t>
  </si>
  <si>
    <t>191891</t>
  </si>
  <si>
    <t>193683</t>
  </si>
  <si>
    <t>Capacitación</t>
  </si>
  <si>
    <t>1332956</t>
  </si>
  <si>
    <t>RODRIGUEZ GONZALEZ LUIS ALBERTO ALMACEN AGROPECUARIO LOS MEJORES PR</t>
  </si>
  <si>
    <t>CL 52 A 50 39 / 05697 EL SANTUARIO / CO</t>
  </si>
  <si>
    <t>RODRIGUEZ GONZALEZ LUIS ALBERTO ALMACEN AGROPECUARIO LOS MEJORES PR / CL 52 A 50 39 / 05697 EL SANTU</t>
  </si>
  <si>
    <t>CL 52 A 50 39 / 05697 EL SANTU</t>
  </si>
  <si>
    <t>193925</t>
  </si>
  <si>
    <t>Promocion de productos</t>
  </si>
  <si>
    <t>1242989</t>
  </si>
  <si>
    <t>OCHOA JARAMILLO ANDRES FELIPE</t>
  </si>
  <si>
    <t>KM 5 VIA CIENAGA DE ORO / 23162 CERETE / CO</t>
  </si>
  <si>
    <t>Visitamos ma finca para ver si ya estaban empezando a sembrar, pero aun no empiezan, están en arreglo y calibración de maquinaria</t>
  </si>
  <si>
    <t>OCHOA JARAMILLO ANDRES FELIPE / KM 5 VIA CIENAGA DE ORO / 23162 CERETE / CO</t>
  </si>
  <si>
    <t>KM 5 VIA CIENAGA DE ORO / 23162 CERETE</t>
  </si>
  <si>
    <t>193856</t>
  </si>
  <si>
    <t>Una noche con agrocaminos restaurante espezia</t>
  </si>
  <si>
    <t>1344583</t>
  </si>
  <si>
    <t>PEREZ Y CARDONA S.A.S. AGROCAMINO LA UNION</t>
  </si>
  <si>
    <t>CR 9 12 06 / 05400 LA UNION / CO</t>
  </si>
  <si>
    <t>PEREZ Y CARDONA S.A.S. AGROCAMINO LA UNION / CR 9 12 06 / 05400 LA UNION / CO</t>
  </si>
  <si>
    <t>CR 9 12 06 / 05400 LA UNION</t>
  </si>
  <si>
    <t>193957</t>
  </si>
  <si>
    <t>Día de campo federación</t>
  </si>
  <si>
    <t>1406317</t>
  </si>
  <si>
    <t>AGROCAFICAUCA DE INZA AGROCAFICAUCA DE INZA</t>
  </si>
  <si>
    <t>CRA 5 # 5A - 13 BARRIO CENTRO/INZA / 19355 Inza / CO</t>
  </si>
  <si>
    <t>AGROCAFICAUCA DE INZA AGROCAFICAUCA DE INZA / CRA 5 # 5A - 13 BARRIO CENTRO/INZA / 19355 Inza / CO</t>
  </si>
  <si>
    <t>CRA 5 # 5A - 13 BARRIO CENTRO/INZA / 19355 Inza</t>
  </si>
  <si>
    <t>Inza</t>
  </si>
  <si>
    <t>194009</t>
  </si>
  <si>
    <t>Visita finca para armar plan de control de malezas</t>
  </si>
  <si>
    <t>1582808</t>
  </si>
  <si>
    <t>Ortogan Pedro Jaller</t>
  </si>
  <si>
    <t>Calle 61 N 8-66 / 23001 MONTERIA / CO</t>
  </si>
  <si>
    <t>Se observo ciertas malezas duras xe controlar, pero se le recomendó torch más nufuron,</t>
  </si>
  <si>
    <t>Ortogan Pedro Jaller / Calle 61 N 8-66 / 23001 MONTERIA / CO</t>
  </si>
  <si>
    <t>Calle 61 N 8-66 / 23001 MONTERIA</t>
  </si>
  <si>
    <t>193050</t>
  </si>
  <si>
    <t>Empezamos actividad a las 9 am, capacitando a 72 agricultores</t>
  </si>
  <si>
    <t>194048</t>
  </si>
  <si>
    <t>Revisión de fumigacion con torch y mirar estado de las malezas</t>
  </si>
  <si>
    <t>194402</t>
  </si>
  <si>
    <t>Seguimiento a ensayo</t>
  </si>
  <si>
    <t>Se está intentando trabajar el producto en toda la finca</t>
  </si>
  <si>
    <t>193032</t>
  </si>
  <si>
    <t>PARTICIPACIÓN EN CHARLA TÉCNICA CON PRODUCTORES DE GULUPA DE LA ZONA DE SUTAMARCHAN</t>
  </si>
  <si>
    <t>1480742</t>
  </si>
  <si>
    <t>AVILA SANCHEZ NESTOR ROLANDO ROLAGRO SUTA CENTRO</t>
  </si>
  <si>
    <t>CALLE 5 # 4-22 / 15776 SUTAMARCHAN / CO</t>
  </si>
  <si>
    <t>AVILA SANCHEZ NESTOR ROLANDO ROLAGRO SUTA CENTRO / CALLE 5 # 4-22 / 15776 SUTAMARCHAN / CO</t>
  </si>
  <si>
    <t>CALLE 5 # 4-22 / 15776 SUTAMARCHAN</t>
  </si>
  <si>
    <t>SUTAMARCHAN</t>
  </si>
  <si>
    <t>Territorio:</t>
  </si>
  <si>
    <t>Gestión abril</t>
  </si>
  <si>
    <t>Gestión mayo</t>
  </si>
  <si>
    <t>Gestión junio</t>
  </si>
  <si>
    <t>Ejecución visitas</t>
  </si>
  <si>
    <t>Resumen ejecutivo</t>
  </si>
  <si>
    <t>Mide el porcentaje de leads que fueron calificados dentro del tiempo establecido (48 horas después de generado). Se compara la cantidad de leads calificados oportunamente frente al total de leads que debían ser gestionados en el período.</t>
  </si>
  <si>
    <t>Meta esperada prom. mes</t>
  </si>
  <si>
    <t>199659</t>
  </si>
  <si>
    <t>MOSTRADOR MENSUAL</t>
  </si>
  <si>
    <t>1387119</t>
  </si>
  <si>
    <t>C I UNION DE BANANEROS DE URABA SA. C.I. UNIBAN S.A</t>
  </si>
  <si>
    <t>Visita Mostrador Especial</t>
  </si>
  <si>
    <t>ALMACEN TROPYCENTRO UNIBAN KM 1 SALIDA A TURBO FRENTE AL SEN / 05045 APARTADO / CO</t>
  </si>
  <si>
    <t>C I UNION DE BANANEROS DE URABA SA. C.I. UNIBAN S.A / ALMACEN TROPYCENTRO UNIBAN KM 1 SALIDA A TURBO</t>
  </si>
  <si>
    <t>ALMACEN TROPYCENTRO UNIBAN KM 1 SALIDA A TURBO</t>
  </si>
  <si>
    <t>APARTADO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</si>
</sst>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 #,##0.00_-;\-&quot;$&quot;\ * #,##0.00_-;_-&quot;$&quot;\ * &quot;-&quot;??_-;_-@_-"/>
    <numFmt numFmtId="164" formatCode="0.00\ %;\-0.00\ %;0.00\ %"/>
    <numFmt numFmtId="165" formatCode="\$#,##0;\(\$#,##0\);\$#,##0"/>
    <numFmt numFmtId="166" formatCode="#,##0\ %;\-#,##0\ %;#,##0\ %"/>
    <numFmt numFmtId="167" formatCode="\$#,##0.###############;\(\$#,##0.###############\);\$#,##0.###############"/>
    <numFmt numFmtId="168" formatCode="dd\.mm\.yyyy\ hh:mm\ AM/PM"/>
    <numFmt numFmtId="169" formatCode="&quot;$&quot;\ #,##0"/>
    <numFmt numFmtId="170" formatCode="0.0"/>
    <numFmt numFmtId="171" formatCode="&quot;$&quot;\ #,##0.00"/>
  </numFmts>
  <fonts count="27"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6" tint="0.39997558519241921"/>
      <name val="Aptos Narrow"/>
      <family val="2"/>
      <scheme val="minor"/>
    </font>
    <font>
      <sz val="24"/>
      <color theme="0"/>
      <name val="Aptos Narrow"/>
      <family val="2"/>
      <scheme val="minor"/>
    </font>
    <font>
      <sz val="18"/>
      <name val="Aptos Narrow"/>
      <family val="2"/>
      <scheme val="minor"/>
    </font>
    <font>
      <sz val="11"/>
      <color theme="1"/>
      <name val="Aptos Narrow"/>
      <family val="2"/>
      <scheme val="minor"/>
    </font>
    <font>
      <b/>
      <sz val="11"/>
      <color theme="1"/>
      <name val="Aptos Narrow"/>
      <family val="2"/>
    </font>
    <font>
      <b/>
      <sz val="72"/>
      <color theme="0"/>
      <name val="Aptos Narrow"/>
      <family val="2"/>
      <scheme val="minor"/>
    </font>
    <font>
      <b/>
      <sz val="14"/>
      <color theme="1"/>
      <name val="Aptos Narrow"/>
      <family val="2"/>
      <scheme val="minor"/>
    </font>
    <font>
      <sz val="14"/>
      <color theme="1"/>
      <name val="Aptos Narrow"/>
      <family val="2"/>
      <scheme val="minor"/>
    </font>
    <font>
      <sz val="10"/>
      <color theme="1"/>
      <name val="Aptos Narrow"/>
      <family val="2"/>
      <scheme val="minor"/>
    </font>
    <font>
      <b/>
      <sz val="9"/>
      <name val="Arial"/>
      <family val="2"/>
    </font>
    <font>
      <sz val="9"/>
      <name val="Arial"/>
      <family val="2"/>
    </font>
    <font>
      <b/>
      <sz val="11"/>
      <name val="Calibri"/>
      <family val="2"/>
    </font>
    <font>
      <b/>
      <sz val="11"/>
      <name val="Calibri"/>
      <family val="2"/>
    </font>
    <font>
      <i/>
      <sz val="11"/>
      <color theme="1"/>
      <name val="Aptos Narrow"/>
      <family val="2"/>
      <scheme val="minor"/>
    </font>
    <font>
      <sz val="11"/>
      <color theme="0"/>
      <name val="Aptos Narrow"/>
      <family val="2"/>
      <scheme val="minor"/>
    </font>
    <font>
      <sz val="12"/>
      <color theme="1"/>
      <name val="Aptos Narrow"/>
      <family val="2"/>
      <scheme val="minor"/>
    </font>
    <font>
      <b/>
      <sz val="24"/>
      <color theme="0"/>
      <name val="Aptos Narrow"/>
      <family val="2"/>
      <scheme val="minor"/>
    </font>
    <font>
      <sz val="11"/>
      <name val="Aptos Narrow"/>
      <family val="2"/>
      <scheme val="minor"/>
    </font>
    <font>
      <b/>
      <sz val="12"/>
      <color theme="0"/>
      <name val="Aptos Narrow"/>
      <family val="2"/>
      <scheme val="minor"/>
    </font>
    <font>
      <sz val="12"/>
      <color theme="6" tint="0.39997558519241921"/>
      <name val="Aptos Narrow"/>
      <family val="2"/>
      <scheme val="minor"/>
    </font>
    <font>
      <b/>
      <sz val="12"/>
      <color theme="1"/>
      <name val="Aptos Narrow"/>
      <family val="2"/>
      <scheme val="minor"/>
    </font>
    <font>
      <b/>
      <sz val="10"/>
      <color theme="1"/>
      <name val="Aptos Narrow"/>
      <family val="2"/>
      <scheme val="minor"/>
    </font>
    <font>
      <sz val="8"/>
      <name val="Aptos Narrow"/>
      <family val="2"/>
      <scheme val="minor"/>
    </font>
    <font>
      <b/>
      <sz val="68"/>
      <color theme="0"/>
      <name val="Aptos Narrow"/>
      <family val="2"/>
      <scheme val="minor"/>
    </font>
  </fonts>
  <fills count="10">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4" tint="-0.249977111117893"/>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indexed="8"/>
        <bgColor indexed="64"/>
      </patternFill>
    </fill>
    <fill>
      <patternFill patternType="solid">
        <fgColor rgb="FFFFFF00"/>
        <bgColor indexed="64"/>
      </patternFill>
    </fill>
    <fill>
      <patternFill patternType="solid">
        <fgColor theme="5"/>
        <bgColor indexed="64"/>
      </patternFill>
    </fill>
  </fills>
  <borders count="3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auto="1"/>
      </bottom>
      <diagonal/>
    </border>
    <border>
      <left/>
      <right style="thin">
        <color auto="1"/>
      </right>
      <top/>
      <bottom/>
      <diagonal/>
    </border>
    <border>
      <left/>
      <right/>
      <top/>
      <bottom style="thin">
        <color theme="4" tint="0.39997558519241921"/>
      </bottom>
      <diagonal/>
    </border>
    <border>
      <left style="thin">
        <color indexed="8"/>
      </left>
      <right style="thin">
        <color indexed="8"/>
      </right>
      <top style="thin">
        <color indexed="8"/>
      </top>
      <bottom style="thin">
        <color indexed="8"/>
      </bottom>
      <diagonal/>
    </border>
    <border>
      <left/>
      <right style="thin">
        <color auto="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7">
    <xf numFmtId="0" fontId="0" fillId="0" borderId="0"/>
    <xf numFmtId="9" fontId="6" fillId="0" borderId="0" applyFont="0" applyFill="0" applyBorder="0" applyAlignment="0" applyProtection="0"/>
    <xf numFmtId="44" fontId="6" fillId="0" borderId="0" applyFont="0" applyFill="0" applyBorder="0" applyAlignment="0" applyProtection="0"/>
    <xf numFmtId="0" fontId="12" fillId="7" borderId="17">
      <alignment vertical="center" wrapText="1"/>
    </xf>
    <xf numFmtId="49" fontId="13" fillId="0" borderId="17">
      <alignment horizontal="left" vertical="center" wrapText="1"/>
    </xf>
    <xf numFmtId="168" fontId="13" fillId="0" borderId="17">
      <alignment horizontal="left" vertical="center" wrapText="1"/>
    </xf>
    <xf numFmtId="1" fontId="13" fillId="0" borderId="17">
      <alignment vertical="center" wrapText="1"/>
    </xf>
  </cellStyleXfs>
  <cellXfs count="317">
    <xf numFmtId="0" fontId="0" fillId="0" borderId="0" xfId="0"/>
    <xf numFmtId="0" fontId="0" fillId="5" borderId="0" xfId="0" applyFill="1"/>
    <xf numFmtId="0" fontId="1" fillId="4" borderId="2" xfId="0" applyFont="1" applyFill="1" applyBorder="1"/>
    <xf numFmtId="0" fontId="1" fillId="4" borderId="0" xfId="0" applyFont="1" applyFill="1"/>
    <xf numFmtId="0" fontId="1" fillId="4" borderId="7" xfId="0" applyFont="1" applyFill="1" applyBorder="1"/>
    <xf numFmtId="0" fontId="0" fillId="0" borderId="14" xfId="0" applyBorder="1" applyAlignment="1">
      <alignment horizontal="center" vertical="center" wrapText="1"/>
    </xf>
    <xf numFmtId="0" fontId="2" fillId="0" borderId="16" xfId="0" applyFont="1" applyBorder="1" applyAlignment="1">
      <alignment horizontal="center" vertical="center"/>
    </xf>
    <xf numFmtId="0" fontId="2" fillId="0" borderId="0" xfId="0" applyFont="1" applyAlignment="1">
      <alignment horizontal="center" vertical="center"/>
    </xf>
    <xf numFmtId="0" fontId="0" fillId="5" borderId="5" xfId="0" applyFill="1" applyBorder="1" applyAlignment="1">
      <alignment horizontal="center"/>
    </xf>
    <xf numFmtId="0" fontId="7" fillId="6" borderId="0" xfId="0" applyFont="1" applyFill="1" applyAlignment="1">
      <alignment horizontal="center" vertical="center" wrapText="1"/>
    </xf>
    <xf numFmtId="0" fontId="9" fillId="5" borderId="0" xfId="0" applyFont="1" applyFill="1" applyAlignment="1">
      <alignment horizontal="center" vertical="center"/>
    </xf>
    <xf numFmtId="9" fontId="0" fillId="5" borderId="0" xfId="0" applyNumberFormat="1" applyFill="1" applyAlignment="1">
      <alignment horizontal="center" vertical="center"/>
    </xf>
    <xf numFmtId="1" fontId="0" fillId="5" borderId="0" xfId="1" applyNumberFormat="1" applyFont="1" applyFill="1" applyBorder="1" applyAlignment="1">
      <alignment horizontal="center" vertical="center"/>
    </xf>
    <xf numFmtId="9" fontId="0" fillId="0" borderId="0" xfId="0" applyNumberFormat="1"/>
    <xf numFmtId="0" fontId="0" fillId="5" borderId="0" xfId="0" applyFill="1" applyAlignment="1">
      <alignment horizontal="center"/>
    </xf>
    <xf numFmtId="0" fontId="0" fillId="0" borderId="15" xfId="0" applyBorder="1"/>
    <xf numFmtId="165" fontId="0" fillId="0" borderId="0" xfId="0" applyNumberFormat="1"/>
    <xf numFmtId="166" fontId="0" fillId="0" borderId="0" xfId="0" applyNumberFormat="1"/>
    <xf numFmtId="167" fontId="0" fillId="0" borderId="0" xfId="0" applyNumberFormat="1"/>
    <xf numFmtId="164" fontId="0" fillId="0" borderId="0" xfId="0" applyNumberFormat="1"/>
    <xf numFmtId="1" fontId="0" fillId="0" borderId="0" xfId="0" applyNumberFormat="1"/>
    <xf numFmtId="0" fontId="0" fillId="0" borderId="0" xfId="0" applyAlignment="1">
      <alignment vertical="top"/>
    </xf>
    <xf numFmtId="0" fontId="0" fillId="0" borderId="14" xfId="0" applyBorder="1"/>
    <xf numFmtId="0" fontId="11" fillId="5" borderId="0" xfId="2" applyNumberFormat="1" applyFont="1" applyFill="1" applyBorder="1" applyAlignment="1">
      <alignment horizontal="center" vertical="center"/>
    </xf>
    <xf numFmtId="9" fontId="0" fillId="0" borderId="0" xfId="1" applyFont="1"/>
    <xf numFmtId="0" fontId="0" fillId="5" borderId="0" xfId="0" applyFill="1" applyAlignment="1">
      <alignment horizontal="center" vertical="center"/>
    </xf>
    <xf numFmtId="3" fontId="0" fillId="0" borderId="0" xfId="0" applyNumberFormat="1"/>
    <xf numFmtId="0" fontId="0" fillId="0" borderId="0" xfId="0" pivotButton="1"/>
    <xf numFmtId="49" fontId="13" fillId="0" borderId="17" xfId="4">
      <alignment horizontal="left" vertical="center" wrapText="1"/>
    </xf>
    <xf numFmtId="168" fontId="13" fillId="0" borderId="17" xfId="5">
      <alignment horizontal="left" vertical="center" wrapText="1"/>
    </xf>
    <xf numFmtId="1" fontId="13" fillId="0" borderId="17" xfId="6">
      <alignment vertical="center" wrapText="1"/>
    </xf>
    <xf numFmtId="9" fontId="0" fillId="5" borderId="0" xfId="1" applyFont="1" applyFill="1" applyAlignment="1">
      <alignment horizontal="center" vertical="center"/>
    </xf>
    <xf numFmtId="0" fontId="0" fillId="0" borderId="0" xfId="0" applyAlignment="1">
      <alignment wrapText="1"/>
    </xf>
    <xf numFmtId="2" fontId="0" fillId="0" borderId="0" xfId="0" applyNumberFormat="1"/>
    <xf numFmtId="0" fontId="0" fillId="0" borderId="14" xfId="0" applyBorder="1" applyAlignment="1">
      <alignment wrapText="1"/>
    </xf>
    <xf numFmtId="3" fontId="0" fillId="0" borderId="0" xfId="0" applyNumberFormat="1" applyAlignment="1">
      <alignment horizontal="center" vertical="center"/>
    </xf>
    <xf numFmtId="164" fontId="0" fillId="0" borderId="0" xfId="0" applyNumberFormat="1" applyAlignment="1">
      <alignment horizontal="center" vertical="center"/>
    </xf>
    <xf numFmtId="1" fontId="0" fillId="0" borderId="0" xfId="0" applyNumberFormat="1" applyAlignment="1">
      <alignment horizontal="center" vertical="center"/>
    </xf>
    <xf numFmtId="1" fontId="14" fillId="0" borderId="0" xfId="0" applyNumberFormat="1" applyFont="1" applyAlignment="1">
      <alignment horizontal="center" vertical="center"/>
    </xf>
    <xf numFmtId="3" fontId="14" fillId="0" borderId="0" xfId="0" applyNumberFormat="1" applyFont="1" applyAlignment="1">
      <alignment horizontal="center" vertical="center"/>
    </xf>
    <xf numFmtId="1" fontId="15" fillId="0" borderId="0" xfId="0" applyNumberFormat="1" applyFont="1" applyAlignment="1">
      <alignment horizontal="center" vertical="center"/>
    </xf>
    <xf numFmtId="2" fontId="15" fillId="0" borderId="0" xfId="0" applyNumberFormat="1" applyFont="1" applyAlignment="1">
      <alignment horizontal="center" vertical="center"/>
    </xf>
    <xf numFmtId="0" fontId="0" fillId="0" borderId="18" xfId="0" applyBorder="1"/>
    <xf numFmtId="0" fontId="0" fillId="8" borderId="15" xfId="0" applyFill="1" applyBorder="1"/>
    <xf numFmtId="0" fontId="12" fillId="5" borderId="17" xfId="3" applyFill="1">
      <alignment vertical="center" wrapText="1"/>
    </xf>
    <xf numFmtId="0" fontId="16" fillId="0" borderId="0" xfId="0" applyFont="1"/>
    <xf numFmtId="0" fontId="0" fillId="0" borderId="2" xfId="0" applyBorder="1"/>
    <xf numFmtId="0" fontId="2" fillId="0" borderId="18" xfId="0" applyFont="1" applyBorder="1" applyAlignment="1">
      <alignment horizontal="center" vertical="center"/>
    </xf>
    <xf numFmtId="0" fontId="0" fillId="6" borderId="0" xfId="0" applyFill="1"/>
    <xf numFmtId="0" fontId="2" fillId="0" borderId="2" xfId="0" applyFont="1" applyBorder="1" applyAlignment="1">
      <alignment horizontal="center" vertical="center"/>
    </xf>
    <xf numFmtId="9" fontId="0" fillId="5" borderId="0" xfId="1" applyFont="1" applyFill="1" applyBorder="1" applyAlignment="1">
      <alignment horizontal="center" vertical="center"/>
    </xf>
    <xf numFmtId="1" fontId="0" fillId="5" borderId="5" xfId="1" applyNumberFormat="1" applyFont="1" applyFill="1" applyBorder="1" applyAlignment="1">
      <alignment horizontal="center" vertical="center"/>
    </xf>
    <xf numFmtId="0" fontId="2" fillId="6" borderId="16" xfId="0" applyFont="1" applyFill="1" applyBorder="1"/>
    <xf numFmtId="0" fontId="2" fillId="0" borderId="0" xfId="0" applyFont="1"/>
    <xf numFmtId="0" fontId="2" fillId="0" borderId="16" xfId="0" applyFont="1" applyBorder="1"/>
    <xf numFmtId="0" fontId="0" fillId="8" borderId="0" xfId="0" applyFill="1"/>
    <xf numFmtId="0" fontId="2" fillId="6" borderId="0" xfId="0" applyFont="1" applyFill="1"/>
    <xf numFmtId="3" fontId="14" fillId="8" borderId="0" xfId="0" applyNumberFormat="1" applyFont="1" applyFill="1" applyAlignment="1">
      <alignment horizontal="center" vertical="center"/>
    </xf>
    <xf numFmtId="171" fontId="0" fillId="0" borderId="0" xfId="0" applyNumberFormat="1"/>
    <xf numFmtId="0" fontId="0" fillId="5" borderId="3" xfId="0" applyFill="1" applyBorder="1" applyAlignment="1">
      <alignment horizontal="center"/>
    </xf>
    <xf numFmtId="0" fontId="9" fillId="5" borderId="0" xfId="0" applyFont="1" applyFill="1" applyAlignment="1">
      <alignment horizontal="center" vertical="center" wrapText="1"/>
    </xf>
    <xf numFmtId="0" fontId="0" fillId="5" borderId="4" xfId="0" applyFill="1" applyBorder="1" applyAlignment="1">
      <alignment horizontal="center" vertical="center" wrapText="1"/>
    </xf>
    <xf numFmtId="0" fontId="9" fillId="5" borderId="12" xfId="0" applyFont="1" applyFill="1" applyBorder="1" applyAlignment="1">
      <alignment horizontal="center" vertical="center" wrapText="1"/>
    </xf>
    <xf numFmtId="0" fontId="9" fillId="5" borderId="12" xfId="0" applyFont="1" applyFill="1" applyBorder="1" applyAlignment="1">
      <alignment horizontal="center" vertical="center"/>
    </xf>
    <xf numFmtId="0" fontId="0" fillId="5" borderId="11" xfId="0" applyFill="1" applyBorder="1" applyAlignment="1">
      <alignment horizontal="center" vertical="center"/>
    </xf>
    <xf numFmtId="0" fontId="9" fillId="2" borderId="21" xfId="0" applyFont="1" applyFill="1" applyBorder="1" applyAlignment="1">
      <alignment horizontal="center" vertical="center" wrapText="1"/>
    </xf>
    <xf numFmtId="169" fontId="11" fillId="5" borderId="21" xfId="2" applyNumberFormat="1" applyFont="1" applyFill="1" applyBorder="1" applyAlignment="1">
      <alignment horizontal="left" vertical="center" wrapText="1"/>
    </xf>
    <xf numFmtId="1" fontId="11" fillId="5" borderId="21" xfId="2" applyNumberFormat="1" applyFont="1" applyFill="1" applyBorder="1" applyAlignment="1">
      <alignment horizontal="left" vertical="center" wrapText="1"/>
    </xf>
    <xf numFmtId="9" fontId="11" fillId="5" borderId="21" xfId="1" applyFont="1" applyFill="1" applyBorder="1" applyAlignment="1">
      <alignment horizontal="left" vertical="center" wrapText="1"/>
    </xf>
    <xf numFmtId="170" fontId="11" fillId="5" borderId="21" xfId="2" applyNumberFormat="1" applyFont="1" applyFill="1" applyBorder="1" applyAlignment="1">
      <alignment horizontal="left" vertical="center" wrapText="1"/>
    </xf>
    <xf numFmtId="1" fontId="11" fillId="5" borderId="21" xfId="1" applyNumberFormat="1" applyFont="1" applyFill="1" applyBorder="1" applyAlignment="1">
      <alignment horizontal="left" vertical="center" wrapText="1"/>
    </xf>
    <xf numFmtId="1" fontId="11" fillId="5" borderId="10" xfId="1" applyNumberFormat="1" applyFont="1" applyFill="1" applyBorder="1" applyAlignment="1">
      <alignment horizontal="left" vertical="center" wrapText="1"/>
    </xf>
    <xf numFmtId="0" fontId="17" fillId="0" borderId="0" xfId="0" applyFont="1"/>
    <xf numFmtId="0" fontId="19" fillId="0" borderId="0" xfId="0" applyFont="1" applyAlignment="1">
      <alignment horizontal="center" vertical="center"/>
    </xf>
    <xf numFmtId="0" fontId="0" fillId="5" borderId="8" xfId="0" applyFill="1" applyBorder="1" applyAlignment="1">
      <alignment horizontal="center"/>
    </xf>
    <xf numFmtId="0" fontId="0" fillId="0" borderId="0" xfId="0" applyAlignment="1">
      <alignment vertical="center" wrapText="1"/>
    </xf>
    <xf numFmtId="0" fontId="9" fillId="5" borderId="0" xfId="0" applyFont="1" applyFill="1" applyAlignment="1">
      <alignment vertical="center"/>
    </xf>
    <xf numFmtId="0" fontId="0" fillId="5" borderId="11" xfId="0" applyFill="1" applyBorder="1" applyAlignment="1">
      <alignment horizontal="center" vertical="center" wrapText="1"/>
    </xf>
    <xf numFmtId="0" fontId="20" fillId="0" borderId="0" xfId="0" applyFont="1"/>
    <xf numFmtId="0" fontId="2" fillId="5" borderId="0" xfId="0" applyFont="1" applyFill="1" applyAlignment="1">
      <alignment horizontal="center" vertical="center" wrapText="1"/>
    </xf>
    <xf numFmtId="0" fontId="2" fillId="5" borderId="12" xfId="0" applyFont="1" applyFill="1" applyBorder="1" applyAlignment="1">
      <alignment horizontal="center" vertical="center" wrapText="1"/>
    </xf>
    <xf numFmtId="9" fontId="0" fillId="5" borderId="12" xfId="1" applyFont="1" applyFill="1" applyBorder="1" applyAlignment="1">
      <alignment horizontal="center" vertical="center"/>
    </xf>
    <xf numFmtId="9" fontId="0" fillId="5" borderId="12" xfId="0" applyNumberFormat="1" applyFill="1" applyBorder="1" applyAlignment="1">
      <alignment horizontal="center" vertical="center"/>
    </xf>
    <xf numFmtId="1" fontId="0" fillId="5" borderId="12" xfId="1" applyNumberFormat="1" applyFont="1" applyFill="1" applyBorder="1" applyAlignment="1">
      <alignment horizontal="center" vertical="center"/>
    </xf>
    <xf numFmtId="1" fontId="11" fillId="5" borderId="13" xfId="2" applyNumberFormat="1" applyFont="1" applyFill="1" applyBorder="1" applyAlignment="1">
      <alignment horizontal="center" vertical="center"/>
    </xf>
    <xf numFmtId="170" fontId="11" fillId="5" borderId="13" xfId="2" applyNumberFormat="1" applyFont="1" applyFill="1" applyBorder="1" applyAlignment="1">
      <alignment horizontal="center" vertical="center"/>
    </xf>
    <xf numFmtId="10" fontId="0" fillId="5" borderId="12" xfId="0" applyNumberFormat="1" applyFill="1" applyBorder="1" applyAlignment="1">
      <alignment horizontal="center" vertical="center"/>
    </xf>
    <xf numFmtId="169" fontId="11" fillId="5" borderId="12" xfId="2" applyNumberFormat="1" applyFont="1" applyFill="1" applyBorder="1" applyAlignment="1">
      <alignment horizontal="center" vertical="center"/>
    </xf>
    <xf numFmtId="169" fontId="11" fillId="5" borderId="13" xfId="2" applyNumberFormat="1" applyFont="1" applyFill="1" applyBorder="1" applyAlignment="1">
      <alignment horizontal="center" vertical="center"/>
    </xf>
    <xf numFmtId="1" fontId="0" fillId="5" borderId="13" xfId="1" applyNumberFormat="1" applyFont="1" applyFill="1" applyBorder="1" applyAlignment="1">
      <alignment horizontal="center" vertical="center"/>
    </xf>
    <xf numFmtId="0" fontId="9" fillId="0" borderId="0" xfId="0" applyFont="1" applyAlignment="1">
      <alignment horizontal="center" vertical="center" wrapText="1"/>
    </xf>
    <xf numFmtId="1" fontId="11" fillId="5" borderId="9" xfId="1" applyNumberFormat="1" applyFont="1" applyFill="1" applyBorder="1" applyAlignment="1">
      <alignment horizontal="left" vertical="center" wrapText="1"/>
    </xf>
    <xf numFmtId="0" fontId="9" fillId="2" borderId="21" xfId="0" applyFont="1" applyFill="1" applyBorder="1" applyAlignment="1">
      <alignment horizontal="center" vertical="center"/>
    </xf>
    <xf numFmtId="0" fontId="21" fillId="4" borderId="1" xfId="0" applyFont="1" applyFill="1" applyBorder="1"/>
    <xf numFmtId="0" fontId="21" fillId="4" borderId="2" xfId="0" applyFont="1" applyFill="1" applyBorder="1"/>
    <xf numFmtId="0" fontId="23" fillId="2" borderId="26" xfId="0" applyFont="1" applyFill="1" applyBorder="1" applyAlignment="1">
      <alignment horizontal="center" vertical="center" wrapText="1"/>
    </xf>
    <xf numFmtId="0" fontId="23" fillId="2" borderId="26" xfId="0" applyFont="1" applyFill="1" applyBorder="1" applyAlignment="1">
      <alignment horizontal="center" vertical="center"/>
    </xf>
    <xf numFmtId="0" fontId="23" fillId="2" borderId="27" xfId="0" applyFont="1" applyFill="1" applyBorder="1" applyAlignment="1">
      <alignment horizontal="center" vertical="center" wrapText="1"/>
    </xf>
    <xf numFmtId="0" fontId="18" fillId="5" borderId="11" xfId="0" applyFont="1" applyFill="1" applyBorder="1" applyAlignment="1">
      <alignment horizontal="center" vertical="center"/>
    </xf>
    <xf numFmtId="0" fontId="23" fillId="5" borderId="12" xfId="0" applyFont="1" applyFill="1" applyBorder="1" applyAlignment="1">
      <alignment horizontal="center" vertical="center" wrapText="1"/>
    </xf>
    <xf numFmtId="0" fontId="23" fillId="5" borderId="12" xfId="0" applyFont="1" applyFill="1" applyBorder="1" applyAlignment="1">
      <alignment horizontal="center" vertical="center"/>
    </xf>
    <xf numFmtId="9" fontId="18" fillId="5" borderId="12" xfId="1" applyFont="1" applyFill="1" applyBorder="1" applyAlignment="1">
      <alignment horizontal="center" vertical="center"/>
    </xf>
    <xf numFmtId="9" fontId="18" fillId="5" borderId="12" xfId="0" applyNumberFormat="1" applyFont="1" applyFill="1" applyBorder="1" applyAlignment="1">
      <alignment horizontal="center" vertical="center"/>
    </xf>
    <xf numFmtId="1" fontId="18" fillId="5" borderId="12" xfId="1" applyNumberFormat="1" applyFont="1" applyFill="1" applyBorder="1" applyAlignment="1">
      <alignment horizontal="center" vertical="center"/>
    </xf>
    <xf numFmtId="1" fontId="18" fillId="5" borderId="13" xfId="1" applyNumberFormat="1" applyFont="1" applyFill="1" applyBorder="1" applyAlignment="1">
      <alignment horizontal="center" vertical="center"/>
    </xf>
    <xf numFmtId="0" fontId="23" fillId="2" borderId="13" xfId="0" applyFont="1" applyFill="1" applyBorder="1" applyAlignment="1">
      <alignment horizontal="center" vertical="center" wrapText="1"/>
    </xf>
    <xf numFmtId="1" fontId="18" fillId="5" borderId="13" xfId="2" applyNumberFormat="1" applyFont="1" applyFill="1" applyBorder="1" applyAlignment="1">
      <alignment horizontal="center" vertical="center"/>
    </xf>
    <xf numFmtId="0" fontId="18" fillId="5" borderId="4" xfId="0" applyFont="1" applyFill="1" applyBorder="1" applyAlignment="1">
      <alignment horizontal="center" vertical="center"/>
    </xf>
    <xf numFmtId="0" fontId="18" fillId="0" borderId="0" xfId="0" applyFont="1"/>
    <xf numFmtId="0" fontId="23" fillId="5" borderId="0" xfId="0" applyFont="1" applyFill="1" applyAlignment="1">
      <alignment horizontal="center" vertical="center"/>
    </xf>
    <xf numFmtId="9" fontId="18" fillId="5" borderId="0" xfId="1" applyFont="1" applyFill="1" applyBorder="1" applyAlignment="1">
      <alignment horizontal="center" vertical="center"/>
    </xf>
    <xf numFmtId="9" fontId="18" fillId="5" borderId="0" xfId="0" applyNumberFormat="1" applyFont="1" applyFill="1" applyAlignment="1">
      <alignment horizontal="center" vertical="center"/>
    </xf>
    <xf numFmtId="1" fontId="18" fillId="5" borderId="0" xfId="1" applyNumberFormat="1" applyFont="1" applyFill="1" applyBorder="1" applyAlignment="1">
      <alignment horizontal="center" vertical="center"/>
    </xf>
    <xf numFmtId="0" fontId="18" fillId="5" borderId="0" xfId="2" applyNumberFormat="1" applyFont="1" applyFill="1" applyBorder="1" applyAlignment="1">
      <alignment horizontal="center" vertical="center"/>
    </xf>
    <xf numFmtId="0" fontId="18" fillId="5" borderId="5" xfId="2" applyNumberFormat="1" applyFont="1" applyFill="1" applyBorder="1" applyAlignment="1">
      <alignment horizontal="center" vertical="center"/>
    </xf>
    <xf numFmtId="0" fontId="23" fillId="5" borderId="21" xfId="0" applyFont="1" applyFill="1" applyBorder="1" applyAlignment="1">
      <alignment horizontal="center" vertical="center" wrapText="1"/>
    </xf>
    <xf numFmtId="0" fontId="0" fillId="0" borderId="21" xfId="0" applyBorder="1" applyAlignment="1">
      <alignment horizontal="center" vertical="center" wrapText="1"/>
    </xf>
    <xf numFmtId="164" fontId="14" fillId="0" borderId="0" xfId="0" applyNumberFormat="1" applyFont="1" applyAlignment="1">
      <alignment horizontal="center" vertical="center"/>
    </xf>
    <xf numFmtId="2" fontId="0" fillId="0" borderId="0" xfId="1" applyNumberFormat="1" applyFont="1"/>
    <xf numFmtId="0" fontId="23" fillId="2" borderId="21" xfId="0" applyFont="1" applyFill="1" applyBorder="1" applyAlignment="1">
      <alignment horizontal="center" vertical="center" wrapText="1"/>
    </xf>
    <xf numFmtId="9" fontId="23" fillId="2" borderId="21" xfId="0" applyNumberFormat="1" applyFont="1" applyFill="1" applyBorder="1" applyAlignment="1">
      <alignment horizontal="center" vertical="center" wrapText="1"/>
    </xf>
    <xf numFmtId="0" fontId="18" fillId="5" borderId="7" xfId="0" applyFont="1" applyFill="1" applyBorder="1"/>
    <xf numFmtId="0" fontId="18" fillId="5" borderId="8" xfId="0" applyFont="1" applyFill="1" applyBorder="1"/>
    <xf numFmtId="0" fontId="24" fillId="5" borderId="12" xfId="0" applyFont="1" applyFill="1" applyBorder="1" applyAlignment="1">
      <alignment horizontal="center" vertical="center" wrapText="1"/>
    </xf>
    <xf numFmtId="169" fontId="18" fillId="5" borderId="12" xfId="2" applyNumberFormat="1" applyFont="1" applyFill="1" applyBorder="1" applyAlignment="1">
      <alignment horizontal="center" vertical="center"/>
    </xf>
    <xf numFmtId="169" fontId="18" fillId="5" borderId="13" xfId="2" applyNumberFormat="1" applyFont="1" applyFill="1" applyBorder="1" applyAlignment="1">
      <alignment horizontal="center" vertical="center"/>
    </xf>
    <xf numFmtId="169" fontId="6" fillId="5" borderId="13" xfId="2" applyNumberFormat="1" applyFont="1" applyFill="1" applyBorder="1" applyAlignment="1">
      <alignment horizontal="center" vertical="center"/>
    </xf>
    <xf numFmtId="1" fontId="11" fillId="0" borderId="21" xfId="2" applyNumberFormat="1" applyFont="1" applyFill="1" applyBorder="1" applyAlignment="1">
      <alignment horizontal="left" vertical="center" wrapText="1"/>
    </xf>
    <xf numFmtId="0" fontId="2" fillId="8" borderId="20" xfId="0" applyFont="1" applyFill="1" applyBorder="1" applyAlignment="1">
      <alignment horizontal="center" vertical="center"/>
    </xf>
    <xf numFmtId="9" fontId="17" fillId="0" borderId="0" xfId="1" applyFont="1"/>
    <xf numFmtId="0" fontId="2" fillId="0" borderId="20" xfId="0" applyFont="1" applyBorder="1"/>
    <xf numFmtId="0" fontId="0" fillId="0" borderId="20" xfId="0" applyBorder="1" applyAlignment="1">
      <alignment vertical="top"/>
    </xf>
    <xf numFmtId="0" fontId="0" fillId="0" borderId="0" xfId="0" applyAlignment="1">
      <alignment horizontal="center" vertical="center"/>
    </xf>
    <xf numFmtId="0" fontId="2" fillId="0" borderId="19" xfId="0" applyFont="1" applyBorder="1" applyAlignment="1">
      <alignment horizontal="center" vertical="center"/>
    </xf>
    <xf numFmtId="0" fontId="0" fillId="0" borderId="20" xfId="0" applyBorder="1" applyAlignment="1">
      <alignment horizontal="center" vertical="center"/>
    </xf>
    <xf numFmtId="0" fontId="2" fillId="0" borderId="20" xfId="0" applyFont="1" applyBorder="1" applyAlignment="1">
      <alignment horizontal="center" vertical="center"/>
    </xf>
    <xf numFmtId="0" fontId="2" fillId="8" borderId="20" xfId="0" applyFont="1" applyFill="1" applyBorder="1" applyAlignment="1">
      <alignment horizontal="center"/>
    </xf>
    <xf numFmtId="0" fontId="18" fillId="0" borderId="6" xfId="0" applyFont="1" applyBorder="1"/>
    <xf numFmtId="0" fontId="18" fillId="0" borderId="7" xfId="0" applyFont="1" applyBorder="1"/>
    <xf numFmtId="0" fontId="9" fillId="5" borderId="21" xfId="0" applyFont="1" applyFill="1" applyBorder="1" applyAlignment="1">
      <alignment horizontal="center" vertical="center"/>
    </xf>
    <xf numFmtId="0" fontId="0" fillId="8" borderId="20" xfId="0" applyFill="1" applyBorder="1" applyAlignment="1">
      <alignment horizontal="center" vertical="center"/>
    </xf>
    <xf numFmtId="0" fontId="0" fillId="9" borderId="20" xfId="0" applyFill="1" applyBorder="1" applyAlignment="1">
      <alignment horizontal="center" vertical="center"/>
    </xf>
    <xf numFmtId="0" fontId="2" fillId="9" borderId="20" xfId="0" applyFont="1" applyFill="1" applyBorder="1" applyAlignment="1">
      <alignment horizontal="center" vertical="center"/>
    </xf>
    <xf numFmtId="0" fontId="2" fillId="9" borderId="20" xfId="0" applyFont="1" applyFill="1" applyBorder="1" applyAlignment="1">
      <alignment horizontal="center"/>
    </xf>
    <xf numFmtId="0" fontId="0" fillId="3" borderId="20" xfId="0" applyFill="1" applyBorder="1" applyAlignment="1">
      <alignment horizontal="center" vertical="center"/>
    </xf>
    <xf numFmtId="0" fontId="2" fillId="3" borderId="20" xfId="0" applyFont="1" applyFill="1" applyBorder="1" applyAlignment="1">
      <alignment horizontal="center" vertical="center"/>
    </xf>
    <xf numFmtId="0" fontId="2" fillId="3" borderId="20" xfId="0" applyFont="1" applyFill="1" applyBorder="1" applyAlignment="1">
      <alignment horizontal="center"/>
    </xf>
    <xf numFmtId="0" fontId="2" fillId="2" borderId="26" xfId="0" applyFont="1" applyFill="1" applyBorder="1" applyAlignment="1">
      <alignment horizontal="center" vertical="center" wrapText="1"/>
    </xf>
    <xf numFmtId="0" fontId="9" fillId="5" borderId="0" xfId="0" applyFont="1" applyFill="1" applyAlignment="1">
      <alignment vertical="top"/>
    </xf>
    <xf numFmtId="0" fontId="23" fillId="5" borderId="21" xfId="0" applyFont="1" applyFill="1" applyBorder="1" applyAlignment="1">
      <alignment horizontal="center" vertical="center"/>
    </xf>
    <xf numFmtId="44" fontId="0" fillId="0" borderId="0" xfId="2" applyFont="1"/>
    <xf numFmtId="0" fontId="21" fillId="4" borderId="2" xfId="0" applyFont="1" applyFill="1" applyBorder="1" applyAlignment="1">
      <alignment horizontal="center" vertical="center" wrapText="1"/>
    </xf>
    <xf numFmtId="0" fontId="21" fillId="4" borderId="0" xfId="0" applyFont="1" applyFill="1" applyAlignment="1">
      <alignment horizontal="center" vertical="center" wrapText="1"/>
    </xf>
    <xf numFmtId="0" fontId="21" fillId="4" borderId="7"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0" xfId="0" applyFont="1" applyFill="1" applyAlignment="1">
      <alignment horizontal="center" vertical="center" wrapText="1"/>
    </xf>
    <xf numFmtId="0" fontId="1" fillId="4" borderId="7" xfId="0" applyFont="1" applyFill="1" applyBorder="1" applyAlignment="1">
      <alignment horizontal="center" vertical="center" wrapText="1"/>
    </xf>
    <xf numFmtId="0" fontId="23" fillId="2" borderId="11" xfId="0" applyFont="1" applyFill="1" applyBorder="1" applyAlignment="1">
      <alignment horizontal="center" vertical="center" wrapText="1"/>
    </xf>
    <xf numFmtId="0" fontId="23" fillId="2" borderId="12" xfId="0" applyFont="1" applyFill="1" applyBorder="1" applyAlignment="1">
      <alignment horizontal="center" vertical="center" wrapText="1"/>
    </xf>
    <xf numFmtId="0" fontId="23" fillId="2" borderId="28" xfId="0" applyFont="1" applyFill="1" applyBorder="1" applyAlignment="1">
      <alignment horizontal="center" vertical="center" wrapText="1"/>
    </xf>
    <xf numFmtId="0" fontId="0" fillId="5" borderId="11" xfId="0" applyFill="1" applyBorder="1" applyAlignment="1">
      <alignment horizontal="center" vertical="center" wrapText="1"/>
    </xf>
    <xf numFmtId="0" fontId="0" fillId="5" borderId="12" xfId="0" applyFill="1" applyBorder="1" applyAlignment="1">
      <alignment horizontal="center" vertical="center" wrapText="1"/>
    </xf>
    <xf numFmtId="0" fontId="0" fillId="5" borderId="13" xfId="0" applyFill="1" applyBorder="1" applyAlignment="1">
      <alignment horizontal="center" vertical="center" wrapText="1"/>
    </xf>
    <xf numFmtId="0" fontId="23" fillId="5" borderId="11" xfId="0" applyFont="1" applyFill="1" applyBorder="1" applyAlignment="1">
      <alignment horizontal="center" vertical="center"/>
    </xf>
    <xf numFmtId="0" fontId="23" fillId="5" borderId="12" xfId="0" applyFont="1" applyFill="1" applyBorder="1" applyAlignment="1">
      <alignment horizontal="center" vertical="center"/>
    </xf>
    <xf numFmtId="0" fontId="23" fillId="5" borderId="13" xfId="0" applyFont="1" applyFill="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21" fillId="4" borderId="0" xfId="0" applyFont="1" applyFill="1" applyAlignment="1">
      <alignment horizontal="center" vertical="center"/>
    </xf>
    <xf numFmtId="0" fontId="21" fillId="4" borderId="7" xfId="0" applyFont="1" applyFill="1" applyBorder="1" applyAlignment="1">
      <alignment horizontal="center" vertical="center"/>
    </xf>
    <xf numFmtId="9" fontId="5" fillId="5" borderId="11" xfId="0" applyNumberFormat="1" applyFont="1" applyFill="1" applyBorder="1" applyAlignment="1">
      <alignment horizontal="center" vertical="center"/>
    </xf>
    <xf numFmtId="9" fontId="5" fillId="5" borderId="12" xfId="0" applyNumberFormat="1" applyFont="1" applyFill="1" applyBorder="1" applyAlignment="1">
      <alignment horizontal="center" vertical="center"/>
    </xf>
    <xf numFmtId="9" fontId="5" fillId="5" borderId="13" xfId="0" applyNumberFormat="1" applyFont="1" applyFill="1" applyBorder="1" applyAlignment="1">
      <alignment horizontal="center" vertical="center"/>
    </xf>
    <xf numFmtId="0" fontId="0" fillId="5" borderId="1" xfId="0" applyFill="1" applyBorder="1" applyAlignment="1">
      <alignment horizontal="center"/>
    </xf>
    <xf numFmtId="0" fontId="0" fillId="5" borderId="2" xfId="0" applyFill="1" applyBorder="1" applyAlignment="1">
      <alignment horizontal="center"/>
    </xf>
    <xf numFmtId="0" fontId="0" fillId="5" borderId="0" xfId="0" applyFill="1" applyAlignment="1">
      <alignment horizontal="center"/>
    </xf>
    <xf numFmtId="0" fontId="0" fillId="5" borderId="7" xfId="0" applyFill="1" applyBorder="1" applyAlignment="1">
      <alignment horizontal="center"/>
    </xf>
    <xf numFmtId="9" fontId="26" fillId="0" borderId="1" xfId="0" applyNumberFormat="1" applyFont="1" applyBorder="1" applyAlignment="1">
      <alignment horizontal="center" vertical="center"/>
    </xf>
    <xf numFmtId="9" fontId="26" fillId="0" borderId="2" xfId="0" applyNumberFormat="1" applyFont="1" applyBorder="1" applyAlignment="1">
      <alignment horizontal="center" vertical="center"/>
    </xf>
    <xf numFmtId="9" fontId="26" fillId="0" borderId="3" xfId="0" applyNumberFormat="1" applyFont="1" applyBorder="1" applyAlignment="1">
      <alignment horizontal="center" vertical="center"/>
    </xf>
    <xf numFmtId="9" fontId="26" fillId="0" borderId="4" xfId="0" applyNumberFormat="1" applyFont="1" applyBorder="1" applyAlignment="1">
      <alignment horizontal="center" vertical="center"/>
    </xf>
    <xf numFmtId="9" fontId="26" fillId="0" borderId="0" xfId="0" applyNumberFormat="1" applyFont="1" applyAlignment="1">
      <alignment horizontal="center" vertical="center"/>
    </xf>
    <xf numFmtId="9" fontId="26" fillId="0" borderId="5" xfId="0" applyNumberFormat="1" applyFont="1" applyBorder="1" applyAlignment="1">
      <alignment horizontal="center" vertical="center"/>
    </xf>
    <xf numFmtId="0" fontId="21" fillId="4" borderId="4" xfId="0" applyFont="1" applyFill="1" applyBorder="1" applyAlignment="1">
      <alignment horizontal="center"/>
    </xf>
    <xf numFmtId="0" fontId="21" fillId="4" borderId="0" xfId="0" applyFont="1" applyFill="1" applyAlignment="1">
      <alignment horizontal="center"/>
    </xf>
    <xf numFmtId="0" fontId="22" fillId="4" borderId="6" xfId="0" applyFont="1" applyFill="1" applyBorder="1" applyAlignment="1">
      <alignment horizontal="center" vertical="center"/>
    </xf>
    <xf numFmtId="0" fontId="22" fillId="4" borderId="7"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21" fillId="4" borderId="2" xfId="0" applyFont="1" applyFill="1" applyBorder="1" applyAlignment="1">
      <alignment horizontal="center" vertical="center"/>
    </xf>
    <xf numFmtId="0" fontId="21" fillId="4" borderId="3" xfId="0" applyFont="1" applyFill="1" applyBorder="1" applyAlignment="1">
      <alignment horizontal="center" vertical="center"/>
    </xf>
    <xf numFmtId="0" fontId="0" fillId="0" borderId="1"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0" xfId="0" applyAlignment="1">
      <alignment horizontal="center"/>
    </xf>
    <xf numFmtId="0" fontId="0" fillId="0" borderId="6" xfId="0" applyBorder="1" applyAlignment="1">
      <alignment horizontal="center"/>
    </xf>
    <xf numFmtId="0" fontId="0" fillId="0" borderId="7" xfId="0" applyBorder="1" applyAlignment="1">
      <alignment horizontal="center"/>
    </xf>
    <xf numFmtId="0" fontId="23" fillId="2" borderId="11" xfId="0" applyFont="1" applyFill="1" applyBorder="1" applyAlignment="1">
      <alignment horizontal="center" vertical="center"/>
    </xf>
    <xf numFmtId="0" fontId="23" fillId="2" borderId="12" xfId="0" applyFont="1" applyFill="1" applyBorder="1" applyAlignment="1">
      <alignment horizontal="center" vertical="center"/>
    </xf>
    <xf numFmtId="0" fontId="23" fillId="2" borderId="13" xfId="0" applyFont="1" applyFill="1" applyBorder="1" applyAlignment="1">
      <alignment horizontal="center" vertical="center"/>
    </xf>
    <xf numFmtId="0" fontId="21" fillId="4" borderId="3" xfId="0" applyFont="1" applyFill="1" applyBorder="1" applyAlignment="1">
      <alignment horizontal="center" vertical="center" wrapText="1"/>
    </xf>
    <xf numFmtId="0" fontId="21" fillId="4" borderId="5" xfId="0" applyFont="1" applyFill="1" applyBorder="1" applyAlignment="1">
      <alignment horizontal="center" vertical="center"/>
    </xf>
    <xf numFmtId="0" fontId="21" fillId="4" borderId="8" xfId="0" applyFont="1" applyFill="1" applyBorder="1" applyAlignment="1">
      <alignment horizontal="center" vertical="center"/>
    </xf>
    <xf numFmtId="0" fontId="18" fillId="4" borderId="1" xfId="0" applyFont="1" applyFill="1" applyBorder="1" applyAlignment="1">
      <alignment horizontal="center" vertical="center"/>
    </xf>
    <xf numFmtId="0" fontId="18" fillId="4" borderId="4" xfId="0" applyFont="1" applyFill="1" applyBorder="1" applyAlignment="1">
      <alignment horizontal="center" vertical="center"/>
    </xf>
    <xf numFmtId="0" fontId="18" fillId="4" borderId="6" xfId="0" applyFont="1" applyFill="1" applyBorder="1" applyAlignment="1">
      <alignment horizontal="center" vertical="center"/>
    </xf>
    <xf numFmtId="0" fontId="21" fillId="4" borderId="7" xfId="0" applyFont="1" applyFill="1" applyBorder="1" applyAlignment="1">
      <alignment horizontal="center"/>
    </xf>
    <xf numFmtId="0" fontId="21" fillId="4" borderId="2" xfId="0" applyFont="1" applyFill="1" applyBorder="1" applyAlignment="1">
      <alignment horizontal="center"/>
    </xf>
    <xf numFmtId="0" fontId="21" fillId="4" borderId="3" xfId="0" applyFont="1" applyFill="1" applyBorder="1" applyAlignment="1">
      <alignment horizontal="center"/>
    </xf>
    <xf numFmtId="0" fontId="21" fillId="4" borderId="0" xfId="0" applyFont="1" applyFill="1" applyAlignment="1">
      <alignment horizontal="center" wrapText="1"/>
    </xf>
    <xf numFmtId="0" fontId="21" fillId="4" borderId="5" xfId="0" applyFont="1" applyFill="1" applyBorder="1" applyAlignment="1">
      <alignment horizontal="center" wrapText="1"/>
    </xf>
    <xf numFmtId="0" fontId="21" fillId="4" borderId="5" xfId="0" applyFont="1" applyFill="1" applyBorder="1" applyAlignment="1">
      <alignment horizontal="center"/>
    </xf>
    <xf numFmtId="0" fontId="21" fillId="4" borderId="8" xfId="0" applyFont="1" applyFill="1" applyBorder="1" applyAlignment="1">
      <alignment horizontal="center"/>
    </xf>
    <xf numFmtId="0" fontId="23" fillId="2" borderId="25" xfId="0" applyFont="1" applyFill="1" applyBorder="1" applyAlignment="1">
      <alignment horizontal="center" vertical="center" wrapText="1"/>
    </xf>
    <xf numFmtId="0" fontId="23" fillId="2" borderId="26" xfId="0" applyFont="1" applyFill="1" applyBorder="1" applyAlignment="1">
      <alignment horizontal="center" vertical="center" wrapText="1"/>
    </xf>
    <xf numFmtId="0" fontId="1" fillId="4" borderId="0" xfId="0" applyFont="1" applyFill="1" applyAlignment="1">
      <alignment horizontal="center"/>
    </xf>
    <xf numFmtId="0" fontId="3" fillId="4" borderId="7" xfId="0" applyFont="1" applyFill="1" applyBorder="1" applyAlignment="1">
      <alignment horizontal="center"/>
    </xf>
    <xf numFmtId="0" fontId="1" fillId="4" borderId="2" xfId="0" applyFont="1" applyFill="1" applyBorder="1" applyAlignment="1">
      <alignment horizontal="center"/>
    </xf>
    <xf numFmtId="0" fontId="1" fillId="4" borderId="3" xfId="0" applyFont="1" applyFill="1" applyBorder="1" applyAlignment="1">
      <alignment horizontal="center"/>
    </xf>
    <xf numFmtId="0" fontId="1" fillId="4" borderId="5" xfId="0" applyFont="1" applyFill="1" applyBorder="1" applyAlignment="1">
      <alignment horizontal="center"/>
    </xf>
    <xf numFmtId="0" fontId="1" fillId="4" borderId="7" xfId="0" applyFont="1" applyFill="1" applyBorder="1" applyAlignment="1">
      <alignment horizontal="center"/>
    </xf>
    <xf numFmtId="0" fontId="1" fillId="4" borderId="8" xfId="0" applyFont="1"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0" fontId="0" fillId="5" borderId="5" xfId="0" applyFill="1" applyBorder="1" applyAlignment="1">
      <alignment horizontal="center"/>
    </xf>
    <xf numFmtId="0" fontId="0" fillId="5" borderId="6" xfId="0" applyFill="1" applyBorder="1" applyAlignment="1">
      <alignment horizontal="center"/>
    </xf>
    <xf numFmtId="0" fontId="0" fillId="5" borderId="8" xfId="0" applyFill="1" applyBorder="1" applyAlignment="1">
      <alignment horizontal="center"/>
    </xf>
    <xf numFmtId="0" fontId="1" fillId="4" borderId="12" xfId="0" applyFont="1" applyFill="1" applyBorder="1" applyAlignment="1">
      <alignment horizontal="center" vertical="center"/>
    </xf>
    <xf numFmtId="0" fontId="1" fillId="4" borderId="13" xfId="0" applyFont="1" applyFill="1" applyBorder="1" applyAlignment="1">
      <alignment horizontal="center" vertical="center"/>
    </xf>
    <xf numFmtId="0" fontId="23" fillId="2" borderId="13" xfId="0" applyFont="1" applyFill="1" applyBorder="1" applyAlignment="1">
      <alignment horizontal="center" vertical="center" wrapText="1"/>
    </xf>
    <xf numFmtId="0" fontId="9" fillId="2" borderId="1" xfId="0" applyFont="1" applyFill="1" applyBorder="1" applyAlignment="1">
      <alignment horizontal="center"/>
    </xf>
    <xf numFmtId="0" fontId="9" fillId="2" borderId="2" xfId="0" applyFont="1" applyFill="1" applyBorder="1" applyAlignment="1">
      <alignment horizontal="center"/>
    </xf>
    <xf numFmtId="0" fontId="9" fillId="2" borderId="3" xfId="0" applyFont="1" applyFill="1" applyBorder="1" applyAlignment="1">
      <alignment horizontal="center"/>
    </xf>
    <xf numFmtId="9" fontId="8" fillId="0" borderId="1" xfId="0" applyNumberFormat="1" applyFont="1" applyBorder="1" applyAlignment="1">
      <alignment horizontal="center" vertical="center"/>
    </xf>
    <xf numFmtId="9" fontId="8" fillId="0" borderId="2" xfId="0" applyNumberFormat="1" applyFont="1" applyBorder="1" applyAlignment="1">
      <alignment horizontal="center" vertical="center"/>
    </xf>
    <xf numFmtId="9" fontId="8" fillId="0" borderId="3" xfId="0" applyNumberFormat="1" applyFont="1" applyBorder="1" applyAlignment="1">
      <alignment horizontal="center" vertical="center"/>
    </xf>
    <xf numFmtId="9" fontId="8" fillId="0" borderId="4" xfId="0" applyNumberFormat="1" applyFont="1" applyBorder="1" applyAlignment="1">
      <alignment horizontal="center" vertical="center"/>
    </xf>
    <xf numFmtId="9" fontId="8" fillId="0" borderId="0" xfId="0" applyNumberFormat="1" applyFont="1" applyAlignment="1">
      <alignment horizontal="center" vertical="center"/>
    </xf>
    <xf numFmtId="9" fontId="8" fillId="0" borderId="5" xfId="0" applyNumberFormat="1" applyFont="1" applyBorder="1" applyAlignment="1">
      <alignment horizontal="center" vertical="center"/>
    </xf>
    <xf numFmtId="0" fontId="4" fillId="3" borderId="4" xfId="0" applyFont="1" applyFill="1" applyBorder="1" applyAlignment="1">
      <alignment horizontal="center" vertical="center"/>
    </xf>
    <xf numFmtId="0" fontId="4" fillId="3" borderId="0" xfId="0" applyFont="1" applyFill="1" applyAlignment="1">
      <alignment horizontal="center" vertical="center"/>
    </xf>
    <xf numFmtId="0" fontId="10" fillId="4" borderId="1" xfId="0" applyFont="1" applyFill="1" applyBorder="1" applyAlignment="1">
      <alignment horizontal="center" vertical="center"/>
    </xf>
    <xf numFmtId="0" fontId="10" fillId="4" borderId="4" xfId="0" applyFont="1" applyFill="1" applyBorder="1" applyAlignment="1">
      <alignment horizontal="center" vertical="center"/>
    </xf>
    <xf numFmtId="0" fontId="10" fillId="4" borderId="6" xfId="0" applyFont="1" applyFill="1" applyBorder="1" applyAlignment="1">
      <alignment horizontal="center" vertical="center"/>
    </xf>
    <xf numFmtId="0" fontId="0" fillId="5" borderId="1" xfId="0" applyFill="1" applyBorder="1" applyAlignment="1">
      <alignment horizontal="center" vertical="center" wrapText="1"/>
    </xf>
    <xf numFmtId="0" fontId="0" fillId="5" borderId="2" xfId="0" applyFill="1" applyBorder="1" applyAlignment="1">
      <alignment horizontal="center" vertical="center" wrapText="1"/>
    </xf>
    <xf numFmtId="0" fontId="0" fillId="5" borderId="3" xfId="0" applyFill="1" applyBorder="1" applyAlignment="1">
      <alignment horizontal="center" vertical="center" wrapText="1"/>
    </xf>
    <xf numFmtId="0" fontId="0" fillId="5" borderId="4" xfId="0" applyFill="1" applyBorder="1" applyAlignment="1">
      <alignment horizontal="center" vertical="center" wrapText="1"/>
    </xf>
    <xf numFmtId="0" fontId="0" fillId="5" borderId="0" xfId="0" applyFill="1" applyAlignment="1">
      <alignment horizontal="center" vertical="center" wrapText="1"/>
    </xf>
    <xf numFmtId="0" fontId="0" fillId="5" borderId="5" xfId="0" applyFill="1" applyBorder="1" applyAlignment="1">
      <alignment horizontal="center" vertical="center" wrapText="1"/>
    </xf>
    <xf numFmtId="0" fontId="0" fillId="5" borderId="6" xfId="0" applyFill="1" applyBorder="1" applyAlignment="1">
      <alignment horizontal="center" vertical="center" wrapText="1"/>
    </xf>
    <xf numFmtId="0" fontId="0" fillId="5" borderId="7" xfId="0" applyFill="1" applyBorder="1" applyAlignment="1">
      <alignment horizontal="center" vertical="center" wrapText="1"/>
    </xf>
    <xf numFmtId="0" fontId="0" fillId="5" borderId="8" xfId="0" applyFill="1" applyBorder="1" applyAlignment="1">
      <alignment horizontal="center" vertical="center" wrapText="1"/>
    </xf>
    <xf numFmtId="0" fontId="9" fillId="5" borderId="11" xfId="0" applyFont="1" applyFill="1" applyBorder="1" applyAlignment="1">
      <alignment horizontal="center" vertical="center"/>
    </xf>
    <xf numFmtId="0" fontId="9" fillId="5" borderId="12" xfId="0" applyFont="1" applyFill="1" applyBorder="1" applyAlignment="1">
      <alignment horizontal="center" vertical="center"/>
    </xf>
    <xf numFmtId="0" fontId="9" fillId="5" borderId="13" xfId="0" applyFont="1" applyFill="1" applyBorder="1" applyAlignment="1">
      <alignment horizontal="center" vertical="center"/>
    </xf>
    <xf numFmtId="0" fontId="9" fillId="2" borderId="11" xfId="0" applyFont="1" applyFill="1" applyBorder="1" applyAlignment="1">
      <alignment horizontal="center"/>
    </xf>
    <xf numFmtId="0" fontId="9" fillId="2" borderId="12" xfId="0" applyFont="1" applyFill="1" applyBorder="1" applyAlignment="1">
      <alignment horizontal="center"/>
    </xf>
    <xf numFmtId="0" fontId="9" fillId="2" borderId="13" xfId="0" applyFont="1" applyFill="1" applyBorder="1" applyAlignment="1">
      <alignment horizontal="center"/>
    </xf>
    <xf numFmtId="0" fontId="9" fillId="2" borderId="11"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4" borderId="2" xfId="0" applyFont="1" applyFill="1" applyBorder="1" applyAlignment="1">
      <alignment horizontal="center" wrapText="1"/>
    </xf>
    <xf numFmtId="0" fontId="1" fillId="4" borderId="3" xfId="0" applyFont="1" applyFill="1" applyBorder="1" applyAlignment="1">
      <alignment horizontal="center" wrapText="1"/>
    </xf>
    <xf numFmtId="0" fontId="1" fillId="4" borderId="0" xfId="0" applyFont="1" applyFill="1" applyAlignment="1">
      <alignment horizontal="center" wrapText="1"/>
    </xf>
    <xf numFmtId="0" fontId="1" fillId="4" borderId="5" xfId="0" applyFont="1" applyFill="1" applyBorder="1" applyAlignment="1">
      <alignment horizontal="center" wrapText="1"/>
    </xf>
    <xf numFmtId="0" fontId="1" fillId="4" borderId="7" xfId="0" applyFont="1" applyFill="1" applyBorder="1" applyAlignment="1">
      <alignment horizontal="center" wrapText="1"/>
    </xf>
    <xf numFmtId="0" fontId="1" fillId="4" borderId="8" xfId="0" applyFont="1" applyFill="1" applyBorder="1" applyAlignment="1">
      <alignment horizontal="center" wrapText="1"/>
    </xf>
    <xf numFmtId="0" fontId="0" fillId="5" borderId="9" xfId="0" applyFill="1" applyBorder="1" applyAlignment="1">
      <alignment horizontal="center" vertical="center" wrapText="1"/>
    </xf>
    <xf numFmtId="0" fontId="0" fillId="5" borderId="29" xfId="0" applyFill="1" applyBorder="1" applyAlignment="1">
      <alignment horizontal="center" vertical="center" wrapText="1"/>
    </xf>
    <xf numFmtId="0" fontId="0" fillId="5" borderId="10" xfId="0"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6" xfId="0" applyFont="1" applyFill="1" applyBorder="1" applyAlignment="1">
      <alignment horizontal="center" vertical="center" wrapText="1"/>
    </xf>
    <xf numFmtId="9" fontId="8" fillId="0" borderId="6" xfId="0" applyNumberFormat="1" applyFont="1" applyBorder="1" applyAlignment="1">
      <alignment horizontal="center" vertical="center"/>
    </xf>
    <xf numFmtId="9" fontId="8" fillId="0" borderId="7" xfId="0" applyNumberFormat="1" applyFont="1" applyBorder="1" applyAlignment="1">
      <alignment horizontal="center" vertical="center"/>
    </xf>
    <xf numFmtId="9" fontId="8" fillId="0" borderId="8" xfId="0" applyNumberFormat="1" applyFont="1" applyBorder="1" applyAlignment="1">
      <alignment horizontal="center" vertical="center"/>
    </xf>
    <xf numFmtId="0" fontId="4" fillId="3" borderId="11" xfId="0" applyFont="1" applyFill="1" applyBorder="1" applyAlignment="1">
      <alignment horizontal="center" vertical="center"/>
    </xf>
    <xf numFmtId="0" fontId="4" fillId="3" borderId="12" xfId="0" applyFont="1" applyFill="1" applyBorder="1" applyAlignment="1">
      <alignment horizontal="center" vertical="center"/>
    </xf>
    <xf numFmtId="0" fontId="4" fillId="3" borderId="13" xfId="0" applyFont="1" applyFill="1" applyBorder="1" applyAlignment="1">
      <alignment horizontal="center" vertical="center"/>
    </xf>
    <xf numFmtId="0" fontId="0" fillId="4" borderId="1" xfId="0" applyFill="1" applyBorder="1" applyAlignment="1">
      <alignment horizontal="center" vertical="center"/>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9" fillId="2" borderId="25" xfId="0" applyFont="1" applyFill="1" applyBorder="1" applyAlignment="1">
      <alignment horizontal="center" vertical="center" wrapText="1"/>
    </xf>
    <xf numFmtId="0" fontId="9" fillId="2" borderId="26" xfId="0" applyFont="1" applyFill="1" applyBorder="1" applyAlignment="1">
      <alignment horizontal="center" vertical="center" wrapText="1"/>
    </xf>
    <xf numFmtId="0" fontId="9" fillId="2" borderId="27"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8" fillId="0" borderId="1" xfId="0" applyFont="1" applyBorder="1" applyAlignment="1">
      <alignment horizontal="center"/>
    </xf>
    <xf numFmtId="0" fontId="18" fillId="0" borderId="2" xfId="0" applyFont="1" applyBorder="1" applyAlignment="1">
      <alignment horizontal="center"/>
    </xf>
    <xf numFmtId="0" fontId="18" fillId="0" borderId="4" xfId="0" applyFont="1" applyBorder="1" applyAlignment="1">
      <alignment horizontal="center"/>
    </xf>
    <xf numFmtId="0" fontId="18" fillId="0" borderId="0" xfId="0" applyFont="1" applyAlignment="1">
      <alignment horizontal="center"/>
    </xf>
    <xf numFmtId="0" fontId="18" fillId="0" borderId="6" xfId="0" applyFont="1" applyBorder="1" applyAlignment="1">
      <alignment horizontal="center"/>
    </xf>
    <xf numFmtId="0" fontId="18" fillId="0" borderId="7" xfId="0" applyFont="1" applyBorder="1" applyAlignment="1">
      <alignment horizontal="center"/>
    </xf>
    <xf numFmtId="0" fontId="0" fillId="0" borderId="0" xfId="0" applyBorder="1" applyAlignment="1">
      <alignment horizontal="center"/>
    </xf>
    <xf numFmtId="0" fontId="1" fillId="4" borderId="0" xfId="0" applyFont="1" applyFill="1" applyBorder="1" applyAlignment="1">
      <alignment horizontal="center"/>
    </xf>
    <xf numFmtId="0" fontId="1" fillId="4" borderId="0" xfId="0" applyFont="1" applyFill="1" applyBorder="1"/>
    <xf numFmtId="0" fontId="1" fillId="4" borderId="11" xfId="0" applyFont="1" applyFill="1" applyBorder="1" applyAlignment="1">
      <alignment horizontal="center" vertical="center"/>
    </xf>
    <xf numFmtId="0" fontId="1" fillId="4" borderId="1" xfId="0" applyFont="1" applyFill="1" applyBorder="1" applyAlignment="1">
      <alignment horizontal="center"/>
    </xf>
    <xf numFmtId="0" fontId="1" fillId="4" borderId="4" xfId="0" applyFont="1" applyFill="1" applyBorder="1" applyAlignment="1">
      <alignment horizontal="center"/>
    </xf>
    <xf numFmtId="0" fontId="3" fillId="4" borderId="6" xfId="0" applyFont="1" applyFill="1" applyBorder="1" applyAlignment="1">
      <alignment horizontal="center"/>
    </xf>
    <xf numFmtId="0" fontId="11" fillId="0" borderId="30"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32" xfId="0" applyFont="1" applyBorder="1" applyAlignment="1">
      <alignment horizontal="center" vertical="center" wrapText="1"/>
    </xf>
    <xf numFmtId="0" fontId="11" fillId="0" borderId="33" xfId="0" applyFont="1" applyBorder="1" applyAlignment="1">
      <alignment horizontal="center" vertical="center" wrapText="1"/>
    </xf>
    <xf numFmtId="0" fontId="11" fillId="0" borderId="20" xfId="0" applyFont="1" applyBorder="1" applyAlignment="1">
      <alignment horizontal="center" vertical="center" wrapText="1"/>
    </xf>
    <xf numFmtId="0" fontId="11" fillId="0" borderId="34" xfId="0" applyFont="1" applyBorder="1" applyAlignment="1">
      <alignment horizontal="center" vertical="center" wrapText="1"/>
    </xf>
    <xf numFmtId="0" fontId="11" fillId="0" borderId="35" xfId="0" applyFont="1" applyBorder="1" applyAlignment="1">
      <alignment horizontal="center" vertical="center" wrapText="1"/>
    </xf>
    <xf numFmtId="0" fontId="11" fillId="0" borderId="36" xfId="0" applyFont="1" applyBorder="1" applyAlignment="1">
      <alignment horizontal="center" vertical="center" wrapText="1"/>
    </xf>
    <xf numFmtId="0" fontId="11" fillId="0" borderId="37"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3" xfId="0" applyFont="1" applyBorder="1" applyAlignment="1">
      <alignment horizontal="center" vertical="center" wrapText="1"/>
    </xf>
    <xf numFmtId="0" fontId="11" fillId="0" borderId="24" xfId="0" applyFont="1" applyBorder="1" applyAlignment="1">
      <alignment horizontal="center" vertical="center" wrapText="1"/>
    </xf>
    <xf numFmtId="9" fontId="0" fillId="5" borderId="12" xfId="1" applyNumberFormat="1" applyFont="1" applyFill="1" applyBorder="1" applyAlignment="1">
      <alignment horizontal="center" vertical="center"/>
    </xf>
  </cellXfs>
  <cellStyles count="7">
    <cellStyle name="_SAP_BYD_TABLE_CELL_DATETIME_HHMM" xfId="5" xr:uid="{E92A5D5E-AAC9-445F-8780-B7D171381E82}"/>
    <cellStyle name="_SAP_BYD_TABLE_CELL_NUMBER_NO_DECIMAL" xfId="6" xr:uid="{6F873BA5-C3AE-4BAD-BA50-5C7902E07929}"/>
    <cellStyle name="_SAP_BYD_TABLE_CELL_TEXT" xfId="4" xr:uid="{539FB465-76C5-4E3F-90A0-96AE16CB3A4C}"/>
    <cellStyle name="_SAP_BYD_TABLE_HEADER_CELL" xfId="3" xr:uid="{52A4A887-BAFE-4F8E-BDD6-B5187BE4C3D4}"/>
    <cellStyle name="Moneda" xfId="2" builtinId="4"/>
    <cellStyle name="Normal" xfId="0" builtinId="0"/>
    <cellStyle name="Porcentaje" xfId="1" builtinId="5"/>
  </cellStyles>
  <dxfs count="95">
    <dxf>
      <font>
        <b/>
        <i/>
        <color theme="9"/>
      </font>
    </dxf>
    <dxf>
      <font>
        <color rgb="FFFFFF00"/>
      </font>
    </dxf>
    <dxf>
      <font>
        <color rgb="FFFFC000"/>
      </font>
    </dxf>
    <dxf>
      <font>
        <color rgb="FFFF4B4B"/>
      </font>
    </dxf>
    <dxf>
      <fill>
        <patternFill>
          <bgColor rgb="FFFF4621"/>
        </patternFill>
      </fill>
    </dxf>
    <dxf>
      <fill>
        <patternFill>
          <bgColor rgb="FFFFC000"/>
        </patternFill>
      </fill>
    </dxf>
    <dxf>
      <fill>
        <patternFill>
          <bgColor rgb="FFFFE701"/>
        </patternFill>
      </fill>
    </dxf>
    <dxf>
      <fill>
        <patternFill>
          <bgColor rgb="FF92D050"/>
        </patternFill>
      </fill>
    </dxf>
    <dxf>
      <fill>
        <patternFill>
          <bgColor rgb="FF92D050"/>
        </patternFill>
      </fill>
    </dxf>
    <dxf>
      <fill>
        <patternFill>
          <bgColor rgb="FFFCE404"/>
        </patternFill>
      </fill>
    </dxf>
    <dxf>
      <fill>
        <patternFill>
          <bgColor rgb="FFFFC000"/>
        </patternFill>
      </fill>
    </dxf>
    <dxf>
      <fill>
        <patternFill>
          <bgColor rgb="FFFF4B4B"/>
        </patternFill>
      </fill>
    </dxf>
    <dxf>
      <font>
        <b/>
        <i/>
        <color theme="9"/>
      </font>
    </dxf>
    <dxf>
      <font>
        <color rgb="FFFFFF00"/>
      </font>
    </dxf>
    <dxf>
      <font>
        <color rgb="FFFFC000"/>
      </font>
    </dxf>
    <dxf>
      <font>
        <color rgb="FFFF4B4B"/>
      </font>
    </dxf>
    <dxf>
      <fill>
        <patternFill>
          <bgColor rgb="FFFF4621"/>
        </patternFill>
      </fill>
    </dxf>
    <dxf>
      <fill>
        <patternFill>
          <bgColor rgb="FFFFC000"/>
        </patternFill>
      </fill>
    </dxf>
    <dxf>
      <fill>
        <patternFill>
          <bgColor rgb="FFFFE701"/>
        </patternFill>
      </fill>
    </dxf>
    <dxf>
      <fill>
        <patternFill>
          <bgColor rgb="FF92D050"/>
        </patternFill>
      </fill>
    </dxf>
    <dxf>
      <fill>
        <patternFill>
          <bgColor rgb="FF92D050"/>
        </patternFill>
      </fill>
    </dxf>
    <dxf>
      <fill>
        <patternFill>
          <bgColor rgb="FFFCE404"/>
        </patternFill>
      </fill>
    </dxf>
    <dxf>
      <fill>
        <patternFill>
          <bgColor rgb="FFFFC000"/>
        </patternFill>
      </fill>
    </dxf>
    <dxf>
      <fill>
        <patternFill>
          <bgColor rgb="FFFF4B4B"/>
        </patternFill>
      </fill>
    </dxf>
    <dxf>
      <font>
        <b/>
        <i/>
        <color theme="9"/>
      </font>
    </dxf>
    <dxf>
      <font>
        <color rgb="FFFFFF00"/>
      </font>
    </dxf>
    <dxf>
      <font>
        <color rgb="FFFFC000"/>
      </font>
    </dxf>
    <dxf>
      <font>
        <color rgb="FFFF4B4B"/>
      </font>
    </dxf>
    <dxf>
      <fill>
        <patternFill>
          <bgColor rgb="FFFF4621"/>
        </patternFill>
      </fill>
    </dxf>
    <dxf>
      <fill>
        <patternFill>
          <bgColor rgb="FFFFC000"/>
        </patternFill>
      </fill>
    </dxf>
    <dxf>
      <fill>
        <patternFill>
          <bgColor rgb="FFFFE701"/>
        </patternFill>
      </fill>
    </dxf>
    <dxf>
      <fill>
        <patternFill>
          <bgColor rgb="FF92D050"/>
        </patternFill>
      </fill>
    </dxf>
    <dxf>
      <fill>
        <patternFill>
          <bgColor rgb="FF92D050"/>
        </patternFill>
      </fill>
    </dxf>
    <dxf>
      <fill>
        <patternFill>
          <bgColor rgb="FFFCE404"/>
        </patternFill>
      </fill>
    </dxf>
    <dxf>
      <fill>
        <patternFill>
          <bgColor rgb="FFFFC000"/>
        </patternFill>
      </fill>
    </dxf>
    <dxf>
      <fill>
        <patternFill>
          <bgColor rgb="FFFF4B4B"/>
        </patternFill>
      </fill>
    </dxf>
    <dxf>
      <font>
        <b/>
        <i/>
        <color theme="9"/>
      </font>
    </dxf>
    <dxf>
      <font>
        <color rgb="FFFFFF00"/>
      </font>
    </dxf>
    <dxf>
      <font>
        <color rgb="FFFFC000"/>
      </font>
    </dxf>
    <dxf>
      <font>
        <color rgb="FFFF4B4B"/>
      </font>
    </dxf>
    <dxf>
      <fill>
        <patternFill>
          <bgColor rgb="FFFF4621"/>
        </patternFill>
      </fill>
    </dxf>
    <dxf>
      <fill>
        <patternFill>
          <bgColor rgb="FFFFC000"/>
        </patternFill>
      </fill>
    </dxf>
    <dxf>
      <fill>
        <patternFill>
          <bgColor rgb="FFFFE701"/>
        </patternFill>
      </fill>
    </dxf>
    <dxf>
      <fill>
        <patternFill>
          <bgColor rgb="FF92D050"/>
        </patternFill>
      </fill>
    </dxf>
    <dxf>
      <fill>
        <patternFill>
          <bgColor rgb="FF92D050"/>
        </patternFill>
      </fill>
    </dxf>
    <dxf>
      <fill>
        <patternFill>
          <bgColor rgb="FFFCE404"/>
        </patternFill>
      </fill>
    </dxf>
    <dxf>
      <fill>
        <patternFill>
          <bgColor rgb="FFFFC000"/>
        </patternFill>
      </fill>
    </dxf>
    <dxf>
      <fill>
        <patternFill>
          <bgColor rgb="FFFF4B4B"/>
        </patternFill>
      </fill>
    </dxf>
    <dxf>
      <numFmt numFmtId="2" formatCode="0.00"/>
    </dxf>
    <dxf>
      <numFmt numFmtId="2" formatCode="0.00"/>
    </dxf>
    <dxf>
      <numFmt numFmtId="2" formatCode="0.00"/>
    </dxf>
    <dxf>
      <numFmt numFmtId="1" formatCode="0"/>
    </dxf>
    <dxf>
      <numFmt numFmtId="164" formatCode="0.00\ %;\-0.00\ %;0.00\ %"/>
    </dxf>
    <dxf>
      <numFmt numFmtId="167" formatCode="\$#,##0.###############;\(\$#,##0.###############\);\$#,##0.###############"/>
    </dxf>
    <dxf>
      <numFmt numFmtId="166" formatCode="#,##0\ %;\-#,##0\ %;#,##0\ %"/>
    </dxf>
    <dxf>
      <numFmt numFmtId="165" formatCode="\$#,##0;\(\$#,##0\);\$#,##0"/>
    </dxf>
    <dxf>
      <border diagonalUp="0" diagonalDown="0">
        <left/>
        <right style="thin">
          <color auto="1"/>
        </right>
        <top/>
        <bottom/>
        <vertical/>
        <horizontal/>
      </border>
    </dxf>
    <dxf>
      <alignment horizontal="general" vertical="top" textRotation="0" wrapText="0" indent="0" justifyLastLine="0" shrinkToFit="0" readingOrder="0"/>
    </dxf>
    <dxf>
      <border outline="0">
        <bottom style="thin">
          <color auto="1"/>
        </bottom>
      </border>
    </dxf>
    <dxf>
      <alignment horizontal="general" vertical="bottom" textRotation="0" wrapText="1" indent="0" justifyLastLine="0" shrinkToFit="0" readingOrder="0"/>
    </dxf>
    <dxf>
      <numFmt numFmtId="1" formatCode="0"/>
    </dxf>
    <dxf>
      <numFmt numFmtId="1" formatCode="0"/>
    </dxf>
    <dxf>
      <numFmt numFmtId="164" formatCode="0.00\ %;\-0.00\ %;0.00\ %"/>
    </dxf>
    <dxf>
      <numFmt numFmtId="1" formatCode="0"/>
    </dxf>
    <dxf>
      <numFmt numFmtId="1" formatCode="0"/>
    </dxf>
    <dxf>
      <numFmt numFmtId="1" formatCode="0"/>
    </dxf>
    <dxf>
      <border diagonalUp="0" diagonalDown="0">
        <left/>
        <right style="thin">
          <color auto="1"/>
        </right>
        <top/>
        <bottom/>
        <vertical/>
        <horizontal/>
      </border>
    </dxf>
    <dxf>
      <alignment horizontal="general" vertical="top" textRotation="0" wrapText="0" indent="0" justifyLastLine="0" shrinkToFit="0" readingOrder="0"/>
    </dxf>
    <dxf>
      <border outline="0">
        <bottom style="thin">
          <color auto="1"/>
        </bottom>
      </border>
    </dxf>
    <dxf>
      <alignment horizontal="general" vertical="bottom" textRotation="0" wrapText="1" indent="0" justifyLastLine="0" shrinkToFit="0" readingOrder="0"/>
    </dxf>
    <dxf>
      <numFmt numFmtId="30" formatCode="@"/>
    </dxf>
    <dxf>
      <fill>
        <patternFill patternType="solid">
          <fgColor indexed="64"/>
          <bgColor theme="0"/>
        </patternFill>
      </fill>
    </dxf>
    <dxf>
      <alignment wrapText="1"/>
    </dxf>
    <dxf>
      <alignment wrapText="1"/>
    </dxf>
    <dxf>
      <numFmt numFmtId="3" formatCode="#,##0"/>
    </dxf>
    <dxf>
      <numFmt numFmtId="3" formatCode="#,##0"/>
    </dxf>
    <dxf>
      <border diagonalUp="0" diagonalDown="0">
        <left/>
        <right style="thin">
          <color auto="1"/>
        </right>
        <top/>
        <bottom/>
        <vertical/>
        <horizontal/>
      </border>
    </dxf>
    <dxf>
      <numFmt numFmtId="0" formatCode="General"/>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numFmt numFmtId="1" formatCode="0"/>
      <alignment horizontal="center" vertical="center" textRotation="0" indent="0" justifyLastLine="0" shrinkToFit="0" readingOrder="0"/>
    </dxf>
    <dxf>
      <font>
        <b/>
        <i val="0"/>
        <strike val="0"/>
        <condense val="0"/>
        <extend val="0"/>
        <outline val="0"/>
        <shadow val="0"/>
        <u val="none"/>
        <vertAlign val="baseline"/>
        <sz val="11"/>
        <color auto="1"/>
        <name val="Calibri"/>
        <scheme val="none"/>
      </font>
      <numFmt numFmtId="1" formatCode="0"/>
      <alignment horizontal="center" vertical="center" textRotation="0" indent="0" justifyLastLine="0" shrinkToFit="0" readingOrder="0"/>
    </dxf>
    <dxf>
      <font>
        <b/>
        <i val="0"/>
        <strike val="0"/>
        <condense val="0"/>
        <extend val="0"/>
        <outline val="0"/>
        <shadow val="0"/>
        <u val="none"/>
        <vertAlign val="baseline"/>
        <sz val="11"/>
        <color auto="1"/>
        <name val="Calibri"/>
        <scheme val="none"/>
      </font>
      <numFmt numFmtId="164" formatCode="0.00\ %;\-0.00\ %;0.00\ %"/>
      <alignment horizontal="center" vertical="center" textRotation="0" indent="0" justifyLastLine="0" shrinkToFit="0" readingOrder="0"/>
    </dxf>
    <dxf>
      <font>
        <b/>
        <i val="0"/>
        <strike val="0"/>
        <condense val="0"/>
        <extend val="0"/>
        <outline val="0"/>
        <shadow val="0"/>
        <u val="none"/>
        <vertAlign val="baseline"/>
        <sz val="11"/>
        <color auto="1"/>
        <name val="Calibri"/>
        <scheme val="none"/>
      </font>
      <numFmt numFmtId="1" formatCode="0"/>
      <alignment horizontal="center" vertical="center" textRotation="0" indent="0" justifyLastLine="0" shrinkToFit="0" readingOrder="0"/>
    </dxf>
    <dxf>
      <font>
        <b/>
        <i val="0"/>
        <strike val="0"/>
        <condense val="0"/>
        <extend val="0"/>
        <outline val="0"/>
        <shadow val="0"/>
        <u val="none"/>
        <vertAlign val="baseline"/>
        <sz val="11"/>
        <color auto="1"/>
        <name val="Calibri"/>
        <scheme val="none"/>
      </font>
      <numFmt numFmtId="1" formatCode="0"/>
      <alignment horizontal="center" vertical="center" textRotation="0" indent="0" justifyLastLine="0" shrinkToFit="0" readingOrder="0"/>
    </dxf>
    <dxf>
      <font>
        <b/>
        <i val="0"/>
        <strike val="0"/>
        <condense val="0"/>
        <extend val="0"/>
        <outline val="0"/>
        <shadow val="0"/>
        <u val="none"/>
        <vertAlign val="baseline"/>
        <sz val="11"/>
        <color auto="1"/>
        <name val="Calibri"/>
        <scheme val="none"/>
      </font>
      <numFmt numFmtId="164" formatCode="0.00\ %;\-0.00\ %;0.00\ %"/>
      <alignment horizontal="center" vertical="center" textRotation="0" indent="0" justifyLastLine="0" shrinkToFit="0" readingOrder="0"/>
    </dxf>
    <dxf>
      <font>
        <b/>
        <i val="0"/>
        <strike val="0"/>
        <condense val="0"/>
        <extend val="0"/>
        <outline val="0"/>
        <shadow val="0"/>
        <u val="none"/>
        <vertAlign val="baseline"/>
        <sz val="11"/>
        <color auto="1"/>
        <name val="Calibri"/>
        <scheme val="none"/>
      </font>
      <numFmt numFmtId="1" formatCode="0"/>
      <alignment horizontal="center" vertical="center" textRotation="0" indent="0" justifyLastLine="0" shrinkToFit="0" readingOrder="0"/>
    </dxf>
    <dxf>
      <font>
        <b/>
        <i val="0"/>
        <strike val="0"/>
        <condense val="0"/>
        <extend val="0"/>
        <outline val="0"/>
        <shadow val="0"/>
        <u val="none"/>
        <vertAlign val="baseline"/>
        <sz val="11"/>
        <color auto="1"/>
        <name val="Calibri"/>
        <scheme val="none"/>
      </font>
      <numFmt numFmtId="164" formatCode="0.00\ %;\-0.00\ %;0.00\ %"/>
      <alignment horizontal="center" vertical="center" textRotation="0" indent="0" justifyLastLine="0" shrinkToFit="0" readingOrder="0"/>
    </dxf>
    <dxf>
      <font>
        <b/>
        <i val="0"/>
        <strike val="0"/>
        <condense val="0"/>
        <extend val="0"/>
        <outline val="0"/>
        <shadow val="0"/>
        <u val="none"/>
        <vertAlign val="baseline"/>
        <sz val="11"/>
        <color auto="1"/>
        <name val="Calibri"/>
        <scheme val="none"/>
      </font>
      <numFmt numFmtId="3" formatCode="#,##0"/>
      <alignment horizontal="center" vertical="center" textRotation="0" indent="0" justifyLastLine="0" shrinkToFit="0" readingOrder="0"/>
    </dxf>
    <dxf>
      <font>
        <b/>
        <i val="0"/>
        <strike val="0"/>
        <condense val="0"/>
        <extend val="0"/>
        <outline val="0"/>
        <shadow val="0"/>
        <u val="none"/>
        <vertAlign val="baseline"/>
        <sz val="11"/>
        <color auto="1"/>
        <name val="Calibri"/>
        <scheme val="none"/>
      </font>
      <numFmt numFmtId="3" formatCode="#,##0"/>
      <alignment horizontal="center" vertical="center" textRotation="0" indent="0" justifyLastLine="0" shrinkToFit="0" readingOrder="0"/>
    </dxf>
    <dxf>
      <alignment horizontal="general" vertical="top" textRotation="0" wrapText="0" indent="0" justifyLastLine="0" shrinkToFit="0" readingOrder="0"/>
    </dxf>
    <dxf>
      <font>
        <b/>
        <i val="0"/>
        <strike val="0"/>
        <condense val="0"/>
        <extend val="0"/>
        <outline val="0"/>
        <shadow val="0"/>
        <u val="none"/>
        <vertAlign val="baseline"/>
        <sz val="11"/>
        <color auto="1"/>
        <name val="Calibri"/>
        <scheme val="none"/>
      </font>
    </dxf>
    <dxf>
      <border outline="0">
        <bottom style="thin">
          <color auto="1"/>
        </bottom>
      </border>
    </dxf>
    <dxf>
      <alignment horizontal="center" vertical="center" textRotation="0" wrapText="1" indent="0" justifyLastLine="0" shrinkToFit="0" readingOrder="0"/>
    </dxf>
  </dxfs>
  <tableStyles count="0" defaultTableStyle="TableStyleMedium2" defaultPivotStyle="PivotStyleLight16"/>
  <colors>
    <mruColors>
      <color rgb="FFFF6363"/>
      <color rgb="FFFF4621"/>
      <color rgb="FFFF4B4B"/>
      <color rgb="FFFF9985"/>
      <color rgb="FFF8696B"/>
      <color rgb="FFFFE701"/>
      <color rgb="FFFCE404"/>
      <color rgb="FFC5C000"/>
      <color rgb="FFDFD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17/10/relationships/person" Target="persons/perso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121689660323967"/>
          <c:y val="5.2577475003946904E-2"/>
          <c:w val="0.63388877151987688"/>
          <c:h val="1"/>
        </c:manualLayout>
      </c:layout>
      <c:doughnutChart>
        <c:varyColors val="1"/>
        <c:ser>
          <c:idx val="0"/>
          <c:order val="0"/>
          <c:spPr>
            <a:solidFill>
              <a:srgbClr val="FFFF00"/>
            </a:solidFill>
            <a:ln>
              <a:noFill/>
            </a:ln>
          </c:spPr>
          <c:dPt>
            <c:idx val="0"/>
            <c:bubble3D val="0"/>
            <c:spPr>
              <a:solidFill>
                <a:srgbClr val="92D050"/>
              </a:solidFill>
              <a:ln w="25400">
                <a:noFill/>
              </a:ln>
              <a:effectLst/>
            </c:spPr>
            <c:extLst>
              <c:ext xmlns:c16="http://schemas.microsoft.com/office/drawing/2014/chart" uri="{C3380CC4-5D6E-409C-BE32-E72D297353CC}">
                <c16:uniqueId val="{00000001-748A-4C02-9D29-3326C22C0AE7}"/>
              </c:ext>
            </c:extLst>
          </c:dPt>
          <c:dPt>
            <c:idx val="1"/>
            <c:bubble3D val="0"/>
            <c:spPr>
              <a:solidFill>
                <a:srgbClr val="F8696B"/>
              </a:solidFill>
              <a:ln w="25400">
                <a:noFill/>
              </a:ln>
              <a:effectLst/>
            </c:spPr>
            <c:extLst>
              <c:ext xmlns:c16="http://schemas.microsoft.com/office/drawing/2014/chart" uri="{C3380CC4-5D6E-409C-BE32-E72D297353CC}">
                <c16:uniqueId val="{00000003-748A-4C02-9D29-3326C22C0AE7}"/>
              </c:ext>
            </c:extLst>
          </c:dPt>
          <c:dPt>
            <c:idx val="2"/>
            <c:bubble3D val="0"/>
            <c:explosion val="1"/>
            <c:spPr>
              <a:noFill/>
              <a:ln w="19050">
                <a:noFill/>
              </a:ln>
              <a:effectLst/>
            </c:spPr>
            <c:extLst>
              <c:ext xmlns:c16="http://schemas.microsoft.com/office/drawing/2014/chart" uri="{C3380CC4-5D6E-409C-BE32-E72D297353CC}">
                <c16:uniqueId val="{00000005-748A-4C02-9D29-3326C22C0AE7}"/>
              </c:ext>
            </c:extLst>
          </c:dPt>
          <c:val>
            <c:numRef>
              <c:f>'X territorio'!$L$8:$L$10</c:f>
              <c:numCache>
                <c:formatCode>General</c:formatCode>
                <c:ptCount val="3"/>
                <c:pt idx="0">
                  <c:v>24.090596484218079</c:v>
                </c:pt>
                <c:pt idx="1">
                  <c:v>75.909403515781918</c:v>
                </c:pt>
                <c:pt idx="2">
                  <c:v>100</c:v>
                </c:pt>
              </c:numCache>
            </c:numRef>
          </c:val>
          <c:extLst>
            <c:ext xmlns:c16="http://schemas.microsoft.com/office/drawing/2014/chart" uri="{C3380CC4-5D6E-409C-BE32-E72D297353CC}">
              <c16:uniqueId val="{00000006-748A-4C02-9D29-3326C22C0AE7}"/>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292100"/>
    </a:effectLst>
  </c:spPr>
  <c:txPr>
    <a:bodyPr/>
    <a:lstStyle/>
    <a:p>
      <a:pPr>
        <a:defRPr/>
      </a:pPr>
      <a:endParaRPr lang="es-CO"/>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121689660323967"/>
          <c:y val="5.2577475003946904E-2"/>
          <c:w val="0.63388877151987688"/>
          <c:h val="1"/>
        </c:manualLayout>
      </c:layout>
      <c:doughnutChart>
        <c:varyColors val="1"/>
        <c:ser>
          <c:idx val="0"/>
          <c:order val="0"/>
          <c:spPr>
            <a:solidFill>
              <a:srgbClr val="FFFF00"/>
            </a:solidFill>
            <a:ln>
              <a:noFill/>
            </a:ln>
          </c:spPr>
          <c:dPt>
            <c:idx val="0"/>
            <c:bubble3D val="0"/>
            <c:spPr>
              <a:solidFill>
                <a:srgbClr val="92D050"/>
              </a:solidFill>
              <a:ln w="25400">
                <a:noFill/>
              </a:ln>
              <a:effectLst/>
            </c:spPr>
            <c:extLst>
              <c:ext xmlns:c16="http://schemas.microsoft.com/office/drawing/2014/chart" uri="{C3380CC4-5D6E-409C-BE32-E72D297353CC}">
                <c16:uniqueId val="{00000001-34BC-426A-B46B-033BFE904476}"/>
              </c:ext>
            </c:extLst>
          </c:dPt>
          <c:dPt>
            <c:idx val="1"/>
            <c:bubble3D val="0"/>
            <c:spPr>
              <a:solidFill>
                <a:srgbClr val="F8696B"/>
              </a:solidFill>
              <a:ln w="25400">
                <a:noFill/>
              </a:ln>
              <a:effectLst/>
            </c:spPr>
            <c:extLst>
              <c:ext xmlns:c16="http://schemas.microsoft.com/office/drawing/2014/chart" uri="{C3380CC4-5D6E-409C-BE32-E72D297353CC}">
                <c16:uniqueId val="{00000003-34BC-426A-B46B-033BFE904476}"/>
              </c:ext>
            </c:extLst>
          </c:dPt>
          <c:dPt>
            <c:idx val="2"/>
            <c:bubble3D val="0"/>
            <c:spPr>
              <a:noFill/>
              <a:ln w="19050">
                <a:noFill/>
              </a:ln>
              <a:effectLst/>
            </c:spPr>
            <c:extLst>
              <c:ext xmlns:c16="http://schemas.microsoft.com/office/drawing/2014/chart" uri="{C3380CC4-5D6E-409C-BE32-E72D297353CC}">
                <c16:uniqueId val="{00000005-34BC-426A-B46B-033BFE904476}"/>
              </c:ext>
            </c:extLst>
          </c:dPt>
          <c:val>
            <c:numRef>
              <c:f>mensual!$N$9:$N$11</c:f>
              <c:numCache>
                <c:formatCode>General</c:formatCode>
                <c:ptCount val="3"/>
                <c:pt idx="0">
                  <c:v>27.782781159506637</c:v>
                </c:pt>
                <c:pt idx="1">
                  <c:v>72.217218840493359</c:v>
                </c:pt>
                <c:pt idx="2">
                  <c:v>100</c:v>
                </c:pt>
              </c:numCache>
            </c:numRef>
          </c:val>
          <c:extLst>
            <c:ext xmlns:c16="http://schemas.microsoft.com/office/drawing/2014/chart" uri="{C3380CC4-5D6E-409C-BE32-E72D297353CC}">
              <c16:uniqueId val="{00000006-34BC-426A-B46B-033BFE904476}"/>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292100"/>
    </a:effectLst>
  </c:spPr>
  <c:txPr>
    <a:bodyPr/>
    <a:lstStyle/>
    <a:p>
      <a:pPr>
        <a:defRPr/>
      </a:pPr>
      <a:endParaRPr lang="es-CO"/>
    </a:p>
  </c:txPr>
  <c:printSettings>
    <c:headerFooter/>
    <c:pageMargins b="0.75" l="0.7" r="0.7" t="0.75" header="0.3" footer="0.3"/>
    <c:pageSetup orientation="portrait"/>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121689660323967"/>
          <c:y val="5.2577475003946904E-2"/>
          <c:w val="0.63388877151987688"/>
          <c:h val="1"/>
        </c:manualLayout>
      </c:layout>
      <c:doughnutChart>
        <c:varyColors val="1"/>
        <c:ser>
          <c:idx val="0"/>
          <c:order val="0"/>
          <c:spPr>
            <a:solidFill>
              <a:srgbClr val="FFFF00"/>
            </a:solidFill>
            <a:ln>
              <a:noFill/>
            </a:ln>
          </c:spPr>
          <c:dPt>
            <c:idx val="0"/>
            <c:bubble3D val="0"/>
            <c:spPr>
              <a:solidFill>
                <a:srgbClr val="92D050"/>
              </a:solidFill>
              <a:ln w="25400">
                <a:noFill/>
              </a:ln>
              <a:effectLst/>
            </c:spPr>
            <c:extLst>
              <c:ext xmlns:c16="http://schemas.microsoft.com/office/drawing/2014/chart" uri="{C3380CC4-5D6E-409C-BE32-E72D297353CC}">
                <c16:uniqueId val="{00000003-89E8-4E18-A501-2365C650F35B}"/>
              </c:ext>
            </c:extLst>
          </c:dPt>
          <c:dPt>
            <c:idx val="1"/>
            <c:bubble3D val="0"/>
            <c:spPr>
              <a:solidFill>
                <a:srgbClr val="F8696B"/>
              </a:solidFill>
              <a:ln w="25400">
                <a:noFill/>
              </a:ln>
              <a:effectLst/>
            </c:spPr>
            <c:extLst>
              <c:ext xmlns:c16="http://schemas.microsoft.com/office/drawing/2014/chart" uri="{C3380CC4-5D6E-409C-BE32-E72D297353CC}">
                <c16:uniqueId val="{00000002-89E8-4E18-A501-2365C650F35B}"/>
              </c:ext>
            </c:extLst>
          </c:dPt>
          <c:dPt>
            <c:idx val="2"/>
            <c:bubble3D val="0"/>
            <c:explosion val="1"/>
            <c:spPr>
              <a:noFill/>
              <a:ln w="19050">
                <a:noFill/>
              </a:ln>
              <a:effectLst/>
            </c:spPr>
            <c:extLst>
              <c:ext xmlns:c16="http://schemas.microsoft.com/office/drawing/2014/chart" uri="{C3380CC4-5D6E-409C-BE32-E72D297353CC}">
                <c16:uniqueId val="{00000001-89E8-4E18-A501-2365C650F35B}"/>
              </c:ext>
            </c:extLst>
          </c:dPt>
          <c:val>
            <c:numRef>
              <c:f>Trimestre!$K$8:$K$10</c:f>
              <c:numCache>
                <c:formatCode>0%</c:formatCode>
                <c:ptCount val="3"/>
                <c:pt idx="0">
                  <c:v>25.570163712432642</c:v>
                </c:pt>
                <c:pt idx="1">
                  <c:v>74.429836287567355</c:v>
                </c:pt>
                <c:pt idx="2">
                  <c:v>100</c:v>
                </c:pt>
              </c:numCache>
            </c:numRef>
          </c:val>
          <c:extLst>
            <c:ext xmlns:c16="http://schemas.microsoft.com/office/drawing/2014/chart" uri="{C3380CC4-5D6E-409C-BE32-E72D297353CC}">
              <c16:uniqueId val="{00000000-89E8-4E18-A501-2365C650F35B}"/>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292100"/>
    </a:effectLst>
  </c:spPr>
  <c:txPr>
    <a:bodyPr/>
    <a:lstStyle/>
    <a:p>
      <a:pPr>
        <a:defRPr/>
      </a:pPr>
      <a:endParaRPr lang="es-CO"/>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121689660323967"/>
          <c:y val="5.2577475003946904E-2"/>
          <c:w val="0.63388877151987688"/>
          <c:h val="1"/>
        </c:manualLayout>
      </c:layout>
      <c:doughnutChart>
        <c:varyColors val="1"/>
        <c:ser>
          <c:idx val="0"/>
          <c:order val="0"/>
          <c:spPr>
            <a:solidFill>
              <a:srgbClr val="FFFF00"/>
            </a:solidFill>
            <a:ln>
              <a:noFill/>
            </a:ln>
          </c:spPr>
          <c:dPt>
            <c:idx val="0"/>
            <c:bubble3D val="0"/>
            <c:spPr>
              <a:solidFill>
                <a:srgbClr val="92D050"/>
              </a:solidFill>
              <a:ln w="25400">
                <a:noFill/>
              </a:ln>
              <a:effectLst/>
            </c:spPr>
            <c:extLst>
              <c:ext xmlns:c16="http://schemas.microsoft.com/office/drawing/2014/chart" uri="{C3380CC4-5D6E-409C-BE32-E72D297353CC}">
                <c16:uniqueId val="{00000001-E4FB-40BA-B822-47445555C2A8}"/>
              </c:ext>
            </c:extLst>
          </c:dPt>
          <c:dPt>
            <c:idx val="1"/>
            <c:bubble3D val="0"/>
            <c:spPr>
              <a:solidFill>
                <a:srgbClr val="F8696B"/>
              </a:solidFill>
              <a:ln w="25400">
                <a:noFill/>
              </a:ln>
              <a:effectLst/>
            </c:spPr>
            <c:extLst>
              <c:ext xmlns:c16="http://schemas.microsoft.com/office/drawing/2014/chart" uri="{C3380CC4-5D6E-409C-BE32-E72D297353CC}">
                <c16:uniqueId val="{00000003-E4FB-40BA-B822-47445555C2A8}"/>
              </c:ext>
            </c:extLst>
          </c:dPt>
          <c:dPt>
            <c:idx val="2"/>
            <c:bubble3D val="0"/>
            <c:explosion val="1"/>
            <c:spPr>
              <a:noFill/>
              <a:ln w="19050">
                <a:noFill/>
              </a:ln>
              <a:effectLst/>
            </c:spPr>
            <c:extLst>
              <c:ext xmlns:c16="http://schemas.microsoft.com/office/drawing/2014/chart" uri="{C3380CC4-5D6E-409C-BE32-E72D297353CC}">
                <c16:uniqueId val="{00000005-E4FB-40BA-B822-47445555C2A8}"/>
              </c:ext>
            </c:extLst>
          </c:dPt>
          <c:val>
            <c:numRef>
              <c:f>Director!$N$8:$N$10</c:f>
              <c:numCache>
                <c:formatCode>General</c:formatCode>
                <c:ptCount val="3"/>
                <c:pt idx="0">
                  <c:v>0</c:v>
                </c:pt>
                <c:pt idx="1">
                  <c:v>100</c:v>
                </c:pt>
                <c:pt idx="2">
                  <c:v>100</c:v>
                </c:pt>
              </c:numCache>
            </c:numRef>
          </c:val>
          <c:extLst>
            <c:ext xmlns:c16="http://schemas.microsoft.com/office/drawing/2014/chart" uri="{C3380CC4-5D6E-409C-BE32-E72D297353CC}">
              <c16:uniqueId val="{00000006-E4FB-40BA-B822-47445555C2A8}"/>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292100"/>
    </a:effectLst>
  </c:spPr>
  <c:txPr>
    <a:bodyPr/>
    <a:lstStyle/>
    <a:p>
      <a:pPr>
        <a:defRPr/>
      </a:pPr>
      <a:endParaRPr lang="es-CO"/>
    </a:p>
  </c:txPr>
  <c:printSettings>
    <c:headerFooter/>
    <c:pageMargins b="0.75" l="0.7" r="0.7" t="0.75" header="0.3" footer="0.3"/>
    <c:pageSetup orientation="portrait"/>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257175</xdr:colOff>
      <xdr:row>5</xdr:row>
      <xdr:rowOff>34927</xdr:rowOff>
    </xdr:from>
    <xdr:to>
      <xdr:col>8</xdr:col>
      <xdr:colOff>1892301</xdr:colOff>
      <xdr:row>13</xdr:row>
      <xdr:rowOff>311151</xdr:rowOff>
    </xdr:to>
    <xdr:graphicFrame macro="">
      <xdr:nvGraphicFramePr>
        <xdr:cNvPr id="2" name="Gráfico 1">
          <a:extLst>
            <a:ext uri="{FF2B5EF4-FFF2-40B4-BE49-F238E27FC236}">
              <a16:creationId xmlns:a16="http://schemas.microsoft.com/office/drawing/2014/main" id="{BE18CE96-8D88-41A7-BEAF-43CD320582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0.36802</cdr:x>
      <cdr:y>0.45775</cdr:y>
    </cdr:from>
    <cdr:to>
      <cdr:x>0.60406</cdr:x>
      <cdr:y>0.66197</cdr:y>
    </cdr:to>
    <cdr:sp macro="" textlink="">
      <cdr:nvSpPr>
        <cdr:cNvPr id="3" name="CuadroTexto 2">
          <a:extLst xmlns:a="http://schemas.openxmlformats.org/drawingml/2006/main">
            <a:ext uri="{FF2B5EF4-FFF2-40B4-BE49-F238E27FC236}">
              <a16:creationId xmlns:a16="http://schemas.microsoft.com/office/drawing/2014/main" id="{2A742775-A857-07A5-50BA-4E5108A2C617}"/>
            </a:ext>
          </a:extLst>
        </cdr:cNvPr>
        <cdr:cNvSpPr txBox="1"/>
      </cdr:nvSpPr>
      <cdr:spPr>
        <a:xfrm xmlns:a="http://schemas.openxmlformats.org/drawingml/2006/main">
          <a:off x="920750" y="825499"/>
          <a:ext cx="590550" cy="368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sz="1100" kern="1200"/>
        </a:p>
      </cdr:txBody>
    </cdr:sp>
  </cdr:relSizeAnchor>
  <cdr:relSizeAnchor xmlns:cdr="http://schemas.openxmlformats.org/drawingml/2006/chartDrawing">
    <cdr:from>
      <cdr:x>0.3854</cdr:x>
      <cdr:y>0.30618</cdr:y>
    </cdr:from>
    <cdr:to>
      <cdr:x>0.58591</cdr:x>
      <cdr:y>0.5421</cdr:y>
    </cdr:to>
    <cdr:sp macro="" textlink="'X territorio'!$M$8">
      <cdr:nvSpPr>
        <cdr:cNvPr id="6" name="CuadroTexto 5">
          <a:extLst xmlns:a="http://schemas.openxmlformats.org/drawingml/2006/main">
            <a:ext uri="{FF2B5EF4-FFF2-40B4-BE49-F238E27FC236}">
              <a16:creationId xmlns:a16="http://schemas.microsoft.com/office/drawing/2014/main" id="{399C6A53-BDE8-C856-4D4B-9D6A65F18F40}"/>
            </a:ext>
          </a:extLst>
        </cdr:cNvPr>
        <cdr:cNvSpPr txBox="1"/>
      </cdr:nvSpPr>
      <cdr:spPr>
        <a:xfrm xmlns:a="http://schemas.openxmlformats.org/drawingml/2006/main">
          <a:off x="1649460" y="548283"/>
          <a:ext cx="858162" cy="42246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56478B07-45D3-4072-A123-4775DD487740}" type="TxLink">
            <a:rPr lang="en-US" sz="2400" b="1" i="0" u="none" strike="noStrike" kern="1200">
              <a:solidFill>
                <a:srgbClr val="217346"/>
              </a:solidFill>
              <a:latin typeface="Aptos Narrow"/>
            </a:rPr>
            <a:pPr/>
            <a:t>24%</a:t>
          </a:fld>
          <a:endParaRPr lang="es-CO" sz="1100" kern="1200"/>
        </a:p>
      </cdr:txBody>
    </cdr:sp>
  </cdr:relSizeAnchor>
</c:userShapes>
</file>

<file path=xl/drawings/drawing3.xml><?xml version="1.0" encoding="utf-8"?>
<xdr:wsDr xmlns:xdr="http://schemas.openxmlformats.org/drawingml/2006/spreadsheetDrawing" xmlns:a="http://schemas.openxmlformats.org/drawingml/2006/main">
  <xdr:twoCellAnchor>
    <xdr:from>
      <xdr:col>5</xdr:col>
      <xdr:colOff>284163</xdr:colOff>
      <xdr:row>6</xdr:row>
      <xdr:rowOff>109539</xdr:rowOff>
    </xdr:from>
    <xdr:to>
      <xdr:col>10</xdr:col>
      <xdr:colOff>1597026</xdr:colOff>
      <xdr:row>14</xdr:row>
      <xdr:rowOff>322261</xdr:rowOff>
    </xdr:to>
    <xdr:graphicFrame macro="">
      <xdr:nvGraphicFramePr>
        <xdr:cNvPr id="2" name="Gráfico 1">
          <a:extLst>
            <a:ext uri="{FF2B5EF4-FFF2-40B4-BE49-F238E27FC236}">
              <a16:creationId xmlns:a16="http://schemas.microsoft.com/office/drawing/2014/main" id="{856F0BEB-1B3F-4481-BB73-070190B902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0.36802</cdr:x>
      <cdr:y>0.45775</cdr:y>
    </cdr:from>
    <cdr:to>
      <cdr:x>0.60406</cdr:x>
      <cdr:y>0.66197</cdr:y>
    </cdr:to>
    <cdr:sp macro="" textlink="">
      <cdr:nvSpPr>
        <cdr:cNvPr id="3" name="CuadroTexto 2">
          <a:extLst xmlns:a="http://schemas.openxmlformats.org/drawingml/2006/main">
            <a:ext uri="{FF2B5EF4-FFF2-40B4-BE49-F238E27FC236}">
              <a16:creationId xmlns:a16="http://schemas.microsoft.com/office/drawing/2014/main" id="{2A742775-A857-07A5-50BA-4E5108A2C617}"/>
            </a:ext>
          </a:extLst>
        </cdr:cNvPr>
        <cdr:cNvSpPr txBox="1"/>
      </cdr:nvSpPr>
      <cdr:spPr>
        <a:xfrm xmlns:a="http://schemas.openxmlformats.org/drawingml/2006/main">
          <a:off x="920750" y="825499"/>
          <a:ext cx="590550" cy="368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sz="1100" kern="1200"/>
        </a:p>
      </cdr:txBody>
    </cdr:sp>
  </cdr:relSizeAnchor>
  <cdr:relSizeAnchor xmlns:cdr="http://schemas.openxmlformats.org/drawingml/2006/chartDrawing">
    <cdr:from>
      <cdr:x>0.37617</cdr:x>
      <cdr:y>0.33121</cdr:y>
    </cdr:from>
    <cdr:to>
      <cdr:x>0.57668</cdr:x>
      <cdr:y>0.56713</cdr:y>
    </cdr:to>
    <cdr:sp macro="" textlink="mensual!$O$9">
      <cdr:nvSpPr>
        <cdr:cNvPr id="6" name="CuadroTexto 5">
          <a:extLst xmlns:a="http://schemas.openxmlformats.org/drawingml/2006/main">
            <a:ext uri="{FF2B5EF4-FFF2-40B4-BE49-F238E27FC236}">
              <a16:creationId xmlns:a16="http://schemas.microsoft.com/office/drawing/2014/main" id="{399C6A53-BDE8-C856-4D4B-9D6A65F18F40}"/>
            </a:ext>
          </a:extLst>
        </cdr:cNvPr>
        <cdr:cNvSpPr txBox="1"/>
      </cdr:nvSpPr>
      <cdr:spPr>
        <a:xfrm xmlns:a="http://schemas.openxmlformats.org/drawingml/2006/main">
          <a:off x="2911196" y="1050524"/>
          <a:ext cx="1551760" cy="74829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56478B07-45D3-4072-A123-4775DD487740}" type="TxLink">
            <a:rPr lang="en-US" sz="2400" b="1" i="0" u="none" strike="noStrike" kern="1200">
              <a:solidFill>
                <a:srgbClr val="217346"/>
              </a:solidFill>
              <a:latin typeface="Aptos Narrow"/>
            </a:rPr>
            <a:pPr algn="ctr"/>
            <a:t>28%</a:t>
          </a:fld>
          <a:endParaRPr lang="es-CO" sz="1100" kern="1200"/>
        </a:p>
      </cdr:txBody>
    </cdr:sp>
  </cdr:relSizeAnchor>
</c:userShapes>
</file>

<file path=xl/drawings/drawing5.xml><?xml version="1.0" encoding="utf-8"?>
<xdr:wsDr xmlns:xdr="http://schemas.openxmlformats.org/drawingml/2006/spreadsheetDrawing" xmlns:a="http://schemas.openxmlformats.org/drawingml/2006/main">
  <xdr:twoCellAnchor>
    <xdr:from>
      <xdr:col>5</xdr:col>
      <xdr:colOff>48931</xdr:colOff>
      <xdr:row>5</xdr:row>
      <xdr:rowOff>141941</xdr:rowOff>
    </xdr:from>
    <xdr:to>
      <xdr:col>8</xdr:col>
      <xdr:colOff>1546038</xdr:colOff>
      <xdr:row>13</xdr:row>
      <xdr:rowOff>126999</xdr:rowOff>
    </xdr:to>
    <xdr:graphicFrame macro="">
      <xdr:nvGraphicFramePr>
        <xdr:cNvPr id="4" name="Gráfico 3">
          <a:extLst>
            <a:ext uri="{FF2B5EF4-FFF2-40B4-BE49-F238E27FC236}">
              <a16:creationId xmlns:a16="http://schemas.microsoft.com/office/drawing/2014/main" id="{F72B4EC7-7522-74DF-8435-9B9D7C077E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0.36802</cdr:x>
      <cdr:y>0.45775</cdr:y>
    </cdr:from>
    <cdr:to>
      <cdr:x>0.60406</cdr:x>
      <cdr:y>0.66197</cdr:y>
    </cdr:to>
    <cdr:sp macro="" textlink="">
      <cdr:nvSpPr>
        <cdr:cNvPr id="3" name="CuadroTexto 2">
          <a:extLst xmlns:a="http://schemas.openxmlformats.org/drawingml/2006/main">
            <a:ext uri="{FF2B5EF4-FFF2-40B4-BE49-F238E27FC236}">
              <a16:creationId xmlns:a16="http://schemas.microsoft.com/office/drawing/2014/main" id="{2A742775-A857-07A5-50BA-4E5108A2C617}"/>
            </a:ext>
          </a:extLst>
        </cdr:cNvPr>
        <cdr:cNvSpPr txBox="1"/>
      </cdr:nvSpPr>
      <cdr:spPr>
        <a:xfrm xmlns:a="http://schemas.openxmlformats.org/drawingml/2006/main">
          <a:off x="920750" y="825499"/>
          <a:ext cx="590550" cy="368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sz="1100" kern="1200"/>
        </a:p>
      </cdr:txBody>
    </cdr:sp>
  </cdr:relSizeAnchor>
  <cdr:relSizeAnchor xmlns:cdr="http://schemas.openxmlformats.org/drawingml/2006/chartDrawing">
    <cdr:from>
      <cdr:x>0.37978</cdr:x>
      <cdr:y>0.30059</cdr:y>
    </cdr:from>
    <cdr:to>
      <cdr:x>0.55855</cdr:x>
      <cdr:y>0.59441</cdr:y>
    </cdr:to>
    <cdr:sp macro="" textlink="Trimestre!$L$8">
      <cdr:nvSpPr>
        <cdr:cNvPr id="6" name="CuadroTexto 5">
          <a:extLst xmlns:a="http://schemas.openxmlformats.org/drawingml/2006/main">
            <a:ext uri="{FF2B5EF4-FFF2-40B4-BE49-F238E27FC236}">
              <a16:creationId xmlns:a16="http://schemas.microsoft.com/office/drawing/2014/main" id="{399C6A53-BDE8-C856-4D4B-9D6A65F18F40}"/>
            </a:ext>
          </a:extLst>
        </cdr:cNvPr>
        <cdr:cNvSpPr txBox="1"/>
      </cdr:nvSpPr>
      <cdr:spPr>
        <a:xfrm xmlns:a="http://schemas.openxmlformats.org/drawingml/2006/main">
          <a:off x="1489785" y="684557"/>
          <a:ext cx="701280" cy="66914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indent="0" algn="ctr"/>
          <a:fld id="{56478B07-45D3-4072-A123-4775DD487740}" type="TxLink">
            <a:rPr lang="en-US" sz="2400" b="1" i="0" u="none" strike="noStrike" kern="1200">
              <a:solidFill>
                <a:srgbClr val="217346"/>
              </a:solidFill>
              <a:latin typeface="Aptos Narrow"/>
              <a:ea typeface="+mn-ea"/>
              <a:cs typeface="+mn-cs"/>
            </a:rPr>
            <a:pPr marL="0" indent="0" algn="ctr"/>
            <a:t>26%</a:t>
          </a:fld>
          <a:endParaRPr lang="es-CO" sz="2400" b="1" i="0" u="none" strike="noStrike" kern="1200">
            <a:solidFill>
              <a:srgbClr val="217346"/>
            </a:solidFill>
            <a:latin typeface="Aptos Narrow"/>
            <a:ea typeface="+mn-ea"/>
            <a:cs typeface="+mn-cs"/>
          </a:endParaRPr>
        </a:p>
      </cdr:txBody>
    </cdr:sp>
  </cdr:relSizeAnchor>
</c:userShapes>
</file>

<file path=xl/drawings/drawing7.xml><?xml version="1.0" encoding="utf-8"?>
<xdr:wsDr xmlns:xdr="http://schemas.openxmlformats.org/drawingml/2006/spreadsheetDrawing" xmlns:a="http://schemas.openxmlformats.org/drawingml/2006/main">
  <xdr:twoCellAnchor>
    <xdr:from>
      <xdr:col>5</xdr:col>
      <xdr:colOff>284163</xdr:colOff>
      <xdr:row>5</xdr:row>
      <xdr:rowOff>109539</xdr:rowOff>
    </xdr:from>
    <xdr:to>
      <xdr:col>10</xdr:col>
      <xdr:colOff>1597026</xdr:colOff>
      <xdr:row>13</xdr:row>
      <xdr:rowOff>322261</xdr:rowOff>
    </xdr:to>
    <xdr:graphicFrame macro="">
      <xdr:nvGraphicFramePr>
        <xdr:cNvPr id="2" name="Gráfico 1">
          <a:extLst>
            <a:ext uri="{FF2B5EF4-FFF2-40B4-BE49-F238E27FC236}">
              <a16:creationId xmlns:a16="http://schemas.microsoft.com/office/drawing/2014/main" id="{CD592422-81A5-478F-980A-AFAFA0592A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134939</xdr:colOff>
      <xdr:row>0</xdr:row>
      <xdr:rowOff>134937</xdr:rowOff>
    </xdr:from>
    <xdr:to>
      <xdr:col>1</xdr:col>
      <xdr:colOff>896937</xdr:colOff>
      <xdr:row>3</xdr:row>
      <xdr:rowOff>97816</xdr:rowOff>
    </xdr:to>
    <xdr:pic>
      <xdr:nvPicPr>
        <xdr:cNvPr id="3" name="Imagen 2">
          <a:extLst>
            <a:ext uri="{FF2B5EF4-FFF2-40B4-BE49-F238E27FC236}">
              <a16:creationId xmlns:a16="http://schemas.microsoft.com/office/drawing/2014/main" id="{1B94E34B-ADDF-49B2-9A52-9268694B0B5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4939" y="134937"/>
          <a:ext cx="1041398" cy="534379"/>
        </a:xfrm>
        <a:prstGeom prst="rect">
          <a:avLst/>
        </a:prstGeom>
      </xdr:spPr>
    </xdr:pic>
    <xdr:clientData/>
  </xdr:twoCellAnchor>
</xdr:wsDr>
</file>

<file path=xl/drawings/drawing8.xml><?xml version="1.0" encoding="utf-8"?>
<c:userShapes xmlns:c="http://schemas.openxmlformats.org/drawingml/2006/chart">
  <cdr:relSizeAnchor xmlns:cdr="http://schemas.openxmlformats.org/drawingml/2006/chartDrawing">
    <cdr:from>
      <cdr:x>0.36802</cdr:x>
      <cdr:y>0.45775</cdr:y>
    </cdr:from>
    <cdr:to>
      <cdr:x>0.60406</cdr:x>
      <cdr:y>0.66197</cdr:y>
    </cdr:to>
    <cdr:sp macro="" textlink="">
      <cdr:nvSpPr>
        <cdr:cNvPr id="3" name="CuadroTexto 2">
          <a:extLst xmlns:a="http://schemas.openxmlformats.org/drawingml/2006/main">
            <a:ext uri="{FF2B5EF4-FFF2-40B4-BE49-F238E27FC236}">
              <a16:creationId xmlns:a16="http://schemas.microsoft.com/office/drawing/2014/main" id="{2A742775-A857-07A5-50BA-4E5108A2C617}"/>
            </a:ext>
          </a:extLst>
        </cdr:cNvPr>
        <cdr:cNvSpPr txBox="1"/>
      </cdr:nvSpPr>
      <cdr:spPr>
        <a:xfrm xmlns:a="http://schemas.openxmlformats.org/drawingml/2006/main">
          <a:off x="920750" y="825499"/>
          <a:ext cx="590550" cy="368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sz="1100" kern="1200"/>
        </a:p>
      </cdr:txBody>
    </cdr:sp>
  </cdr:relSizeAnchor>
  <cdr:relSizeAnchor xmlns:cdr="http://schemas.openxmlformats.org/drawingml/2006/chartDrawing">
    <cdr:from>
      <cdr:x>0.37617</cdr:x>
      <cdr:y>0.33121</cdr:y>
    </cdr:from>
    <cdr:to>
      <cdr:x>0.57668</cdr:x>
      <cdr:y>0.56713</cdr:y>
    </cdr:to>
    <cdr:sp macro="" textlink="Director!$O$8">
      <cdr:nvSpPr>
        <cdr:cNvPr id="6" name="CuadroTexto 5">
          <a:extLst xmlns:a="http://schemas.openxmlformats.org/drawingml/2006/main">
            <a:ext uri="{FF2B5EF4-FFF2-40B4-BE49-F238E27FC236}">
              <a16:creationId xmlns:a16="http://schemas.microsoft.com/office/drawing/2014/main" id="{399C6A53-BDE8-C856-4D4B-9D6A65F18F40}"/>
            </a:ext>
          </a:extLst>
        </cdr:cNvPr>
        <cdr:cNvSpPr txBox="1"/>
      </cdr:nvSpPr>
      <cdr:spPr>
        <a:xfrm xmlns:a="http://schemas.openxmlformats.org/drawingml/2006/main">
          <a:off x="2911196" y="1050524"/>
          <a:ext cx="1551760" cy="74829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56478B07-45D3-4072-A123-4775DD487740}" type="TxLink">
            <a:rPr lang="en-US" sz="2400" b="1" i="0" u="none" strike="noStrike" kern="1200">
              <a:solidFill>
                <a:srgbClr val="217346"/>
              </a:solidFill>
              <a:latin typeface="Aptos Narrow"/>
            </a:rPr>
            <a:pPr algn="ctr"/>
            <a:t>0%</a:t>
          </a:fld>
          <a:endParaRPr lang="es-CO" sz="1100" kern="1200"/>
        </a:p>
      </cdr:txBody>
    </cdr:sp>
  </cdr:relSizeAnchor>
</c:userShapes>
</file>

<file path=xl/persons/person.xml><?xml version="1.0" encoding="utf-8"?>
<personList xmlns="http://schemas.microsoft.com/office/spreadsheetml/2018/threadedcomments" xmlns:x="http://schemas.openxmlformats.org/spreadsheetml/2006/main">
  <person displayName="Mario Andres Granada Guisao" id="{97714360-0F13-45B6-8A65-06DC7DBF86A1}" userId="S::mario.granada@perezycardona.com.co::1511e116-68a6-464f-aa03-851dafe9a777" providerId="AD"/>
</personList>
</file>

<file path=xl/pivotCache/_rels/pivotCacheDefinition1.xml.rels><?xml version="1.0" encoding="UTF-8" standalone="yes"?>
<Relationships xmlns="http://schemas.openxmlformats.org/package/2006/relationships"><Relationship Id="rId2" Type="http://schemas.openxmlformats.org/officeDocument/2006/relationships/externalLinkPath" Target="informe%20Q1%20-%20Galagro%20Ant.xlsx#BgEIDA4ADAMGBAcBBAQECw=24.0"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informe%20Q1%20-%20Galagro%20Ant.xlsx#BgEIDA4ADAMGBAcBBAQECw=24.0"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o Andres Granada Guisao" refreshedDate="46183.620347222219" createdVersion="8" refreshedVersion="8" minRefreshableVersion="3" recordCount="96" xr:uid="{2B07CB78-10FC-49B6-896D-0E51C8BDF69B}">
  <cacheSource type="worksheet">
    <worksheetSource ref="A1:AF1048576" sheet="Act Campo" r:id="rId2"/>
  </cacheSource>
  <cacheFields count="32">
    <cacheField name="ID" numFmtId="0">
      <sharedItems containsBlank="1"/>
    </cacheField>
    <cacheField name="Estado" numFmtId="0">
      <sharedItems containsBlank="1"/>
    </cacheField>
    <cacheField name="Asunto" numFmtId="0">
      <sharedItems containsBlank="1"/>
    </cacheField>
    <cacheField name="ID de cliente" numFmtId="0">
      <sharedItems containsBlank="1"/>
    </cacheField>
    <cacheField name="Cliente" numFmtId="0">
      <sharedItems containsBlank="1"/>
    </cacheField>
    <cacheField name="Tipo de visita" numFmtId="0">
      <sharedItems containsBlank="1" count="3">
        <s v="Evento Especial"/>
        <s v="Día de campo"/>
        <m/>
      </sharedItems>
    </cacheField>
    <cacheField name="Propietario" numFmtId="0">
      <sharedItems containsBlank="1" count="34">
        <s v="Elizabeth Sanmartin Vasquez"/>
        <s v="(vacante) Alex García Moncada"/>
        <s v="Sara Ruíz Restrepo"/>
        <s v="Juan Esteban Montoya Serna"/>
        <s v="John Álvaro Correa Castaño"/>
        <s v="Juan David Rojas Rivera"/>
        <s v="Annuar Andrey Hoyos Muñoz"/>
        <s v="Juan Pablo Valencia Carvajal "/>
        <s v="Miguel Andrés León Díaz"/>
        <s v="Juana Andrea Moncaleano Sandoval"/>
        <s v="Katherine Bedoya Rodas"/>
        <s v="Tatiana Marcela Velasco Vasquez"/>
        <s v="Luisa Fernanda Quiceno Restrepo"/>
        <s v="Edison Ferney Rivera Muñoz"/>
        <s v="Silvana Astrid Molina Pérez"/>
        <s v="Andrea Sileny Pardo Pillimue"/>
        <s v="Juan Felipe Botero Gómez"/>
        <s v="Fabian Rueda Rueda"/>
        <s v="Brarlyn Steven Garcia Castro"/>
        <s v="Yeison Antonio Arenilla Diaz"/>
        <s v="Camila Rojas García"/>
        <s v="Leidy Astrid Restrepo Acevedo"/>
        <s v="Manuela Valencia Patiño"/>
        <s v="(Vacante) Jonathan De Jesús Salcedo Arango"/>
        <s v="Paola Andrea Jaramillo García"/>
        <s v="Fredy Alberto Guzmán Daza"/>
        <s v="Jairo Jesús Morales Doria"/>
        <s v="Carolina María Escobar Londoño"/>
        <s v="Marcela Ramirez Ramirez"/>
        <s v="Julio Andrés Cuspoca Martínez"/>
        <s v="César Augusto Escarria Reyes"/>
        <s v="Sebastián Zapata Gutiérrez"/>
        <s v="Alejandro Suárez García"/>
        <m/>
      </sharedItems>
    </cacheField>
    <cacheField name="LinkUbicacion" numFmtId="0">
      <sharedItems containsNonDate="0" containsString="0" containsBlank="1"/>
    </cacheField>
    <cacheField name="Dirección" numFmtId="0">
      <sharedItems containsBlank="1"/>
    </cacheField>
    <cacheField name="Estado1" numFmtId="0">
      <sharedItems containsBlank="1"/>
    </cacheField>
    <cacheField name="Creado el" numFmtId="0">
      <sharedItems containsNonDate="0" containsDate="1" containsString="0" containsBlank="1" minDate="2026-01-13T17:27:35" maxDate="2026-03-29T21:41:53"/>
    </cacheField>
    <cacheField name="Fecha/Hora de inicio" numFmtId="0">
      <sharedItems containsNonDate="0" containsDate="1" containsString="0" containsBlank="1" minDate="2026-01-18T09:00:00" maxDate="2026-03-30T10:00:00"/>
    </cacheField>
    <cacheField name="Fecha/Hora de fin" numFmtId="0">
      <sharedItems containsNonDate="0" containsDate="1" containsString="0" containsBlank="1" minDate="2026-01-18T14:00:00" maxDate="2026-03-30T15:30:00"/>
    </cacheField>
    <cacheField name="Fecha/Hora Inic.visita" numFmtId="0">
      <sharedItems containsNonDate="0" containsDate="1" containsString="0" containsBlank="1" minDate="2026-01-18T09:47:04" maxDate="2026-03-30T10:12:27"/>
    </cacheField>
    <cacheField name="Fecha/Hora Fin visita" numFmtId="0">
      <sharedItems containsNonDate="0" containsDate="1" containsString="0" containsBlank="1" minDate="2026-01-18T14:00:46" maxDate="2026-03-30T15:30:51"/>
    </cacheField>
    <cacheField name="Notas" numFmtId="0">
      <sharedItems containsBlank="1" longText="1"/>
    </cacheField>
    <cacheField name="Territorio de ventas" numFmtId="0">
      <sharedItems containsBlank="1" count="25">
        <s v="PYC NORTE 2 PECUARIA"/>
        <s v="PYC AGRÍCOLA ANT SUROESTE"/>
        <s v="PYC AGRÍCOLA ANT ORIENTE A"/>
        <s v="GALAGRO SUROESTE ANT."/>
        <s v="GALAGRO NACIONAL COORDINACIÓN"/>
        <s v="GALAGRO SANTANDER NAL."/>
        <s v="GALAGRO EJE CAFETERO Y VALLE NORTE NAL."/>
        <s v="GALAGRO NORTE ANT."/>
        <s v="GALAGRO OFICINA ANT."/>
        <s v="GALAGRO ANTIOQUIA COORDINACIÓN"/>
        <s v="GALAGRO CAUCA NAL."/>
        <s v="PYC AGRÍCOLA ANT ORIENTE B"/>
        <s v="PYC PECUARIA COORDINACIÓN"/>
        <s v="GALAGRO HUILA NAL."/>
        <s v="PYC AGRÍCOLA ANT VALLE ABURRÁ"/>
        <s v="GALAGRO ORIENTE B ANT."/>
        <s v="GALAGRO BAJO CAUCA ANT."/>
        <s v="COLOMBIA - PYC"/>
        <s v="PYC GUILLÉN ANTIOQUIA"/>
        <s v="PYC AGRÍCOLA ANT CÓRDOBA"/>
        <s v="PYC COMUNA 5 Y 11 PECUARIA"/>
        <s v="GALAGRO BOYACA NAL."/>
        <s v="GALAGRO META NAL."/>
        <s v="PYC AGRÍCOLA ANT NORTE"/>
        <m/>
      </sharedItems>
    </cacheField>
    <cacheField name="Organización de ventas" numFmtId="0">
      <sharedItems containsBlank="1"/>
    </cacheField>
    <cacheField name="Creados por" numFmtId="0">
      <sharedItems containsBlank="1"/>
    </cacheField>
    <cacheField name="Ubicación" numFmtId="0">
      <sharedItems containsBlank="1"/>
    </cacheField>
    <cacheField name="Observaciones Visita" numFmtId="0">
      <sharedItems containsNonDate="0" containsString="0" containsBlank="1"/>
    </cacheField>
    <cacheField name="Cultivo" numFmtId="0">
      <sharedItems containsNonDate="0" containsString="0" containsBlank="1"/>
    </cacheField>
    <cacheField name="Recomendaciones" numFmtId="0">
      <sharedItems containsBlank="1"/>
    </cacheField>
    <cacheField name="Estado cultivo" numFmtId="0">
      <sharedItems containsNonDate="0" containsString="0" containsBlank="1"/>
    </cacheField>
    <cacheField name="Hectáreas" numFmtId="0">
      <sharedItems containsString="0" containsBlank="1" containsNumber="1" containsInteger="1" minValue="0" maxValue="0"/>
    </cacheField>
    <cacheField name="Oportunidades comerciales" numFmtId="0">
      <sharedItems containsNonDate="0" containsString="0" containsBlank="1"/>
    </cacheField>
    <cacheField name="Estado2" numFmtId="0">
      <sharedItems containsNonDate="0" containsString="0" containsBlank="1"/>
    </cacheField>
    <cacheField name="zaUbicacion" numFmtId="0">
      <sharedItems containsBlank="1"/>
    </cacheField>
    <cacheField name="Est.Fed./Prov." numFmtId="0">
      <sharedItems containsBlank="1"/>
    </cacheField>
    <cacheField name="Ciudad" numFmtId="0">
      <sharedItems containsBlank="1"/>
    </cacheField>
    <cacheField name="Link Ubicacion" numFmtId="0">
      <sharedItems containsNonDate="0" containsString="0" containsBlank="1"/>
    </cacheField>
    <cacheField name="mes" numFmtId="0">
      <sharedItems containsBlank="1" count="4">
        <s v="enero"/>
        <s v="febrero"/>
        <s v="marzo"/>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o Andres Granada Guisao" refreshedDate="46224.67167048611" createdVersion="8" refreshedVersion="8" minRefreshableVersion="3" recordCount="32" xr:uid="{CCFFCA0C-DFBD-43B0-847D-BC481F259DE8}">
  <cacheSource type="worksheet">
    <worksheetSource ref="M1:U1048576" sheet="Tabla dinam gestion comercial" r:id="rId2"/>
  </cacheSource>
  <cacheFields count="9">
    <cacheField name="Comercial" numFmtId="0">
      <sharedItems containsBlank="1"/>
    </cacheField>
    <cacheField name="Territorio" numFmtId="0">
      <sharedItems containsBlank="1" count="21">
        <m/>
        <s v="GALAGRO ANTIOQUIA DIRECCIÓN"/>
        <s v="GALAGRO BAJO CAUCA ANT."/>
        <s v="GALAGRO CORDOBA ANT."/>
        <s v="GALAGRO URABA ANT."/>
        <s v="GALAGRO NORDESTE Y MAG. MEDIO ANT."/>
        <s v="GALAGRO NORTE ANT."/>
        <s v="GALAGRO ORIENTE B ANT."/>
        <s v="GALAGRO VALLE DE ABURRA ANT."/>
        <s v="GALAGRO ORIENTE A ANT."/>
        <s v="GALAGRO SUROESTE ANT."/>
        <s v="GALAGRO OFICINA ANT."/>
        <s v="PYC AGRÍCOLA ANT BAJO CAUCA" u="1"/>
        <s v="PYC AGRÍCOLA ANT CÓRDOBA" u="1"/>
        <s v="PYC AGRÍCOLA ANT NORTE" u="1"/>
        <s v="PYC AGRÍCOLA ANT ORIENTE A" u="1"/>
        <s v="PYC AGRÍCOLA ANT ORIENTE B" u="1"/>
        <s v="PYC AGRÍCOLA ANT SUROESTE" u="1"/>
        <s v="PYC AGRÍCOLA ANT URABÁ" u="1"/>
        <s v="PYC AGRÍCOLA ANT VALLE ABURRÁ" u="1"/>
        <s v="PYC AGRÍCOLA ANTIOQUIA DIRECCIÓN" u="1"/>
      </sharedItems>
    </cacheField>
    <cacheField name="Cargo" numFmtId="0">
      <sharedItems containsBlank="1"/>
    </cacheField>
    <cacheField name="Empresa" numFmtId="0">
      <sharedItems containsBlank="1"/>
    </cacheField>
    <cacheField name="Meta Parcelas" numFmtId="0">
      <sharedItems containsString="0" containsBlank="1" containsNumber="1" minValue="0.5" maxValue="14"/>
    </cacheField>
    <cacheField name="Meta Actividades" numFmtId="0">
      <sharedItems containsString="0" containsBlank="1" containsNumber="1" containsInteger="1" minValue="3" maxValue="84"/>
    </cacheField>
    <cacheField name="META" numFmtId="0">
      <sharedItems containsString="0" containsBlank="1" containsNumber="1" minValue="3.5" maxValue="98"/>
    </cacheField>
    <cacheField name="Meta hectareas" numFmtId="0">
      <sharedItems containsString="0" containsBlank="1" containsNumber="1" containsInteger="1" minValue="30" maxValue="840"/>
    </cacheField>
    <cacheField name="cultivos" numFmtId="0">
      <sharedItems containsString="0" containsBlank="1" containsNumber="1" containsInteger="1" minValue="3" maxValue="8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s v="182138"/>
    <s v="Completado"/>
    <s v="EVENTO INAUGURACIÓN NUEVA P.V"/>
    <s v="1571715"/>
    <s v="JARAMILLO ZAPATA NATALIA ANDREA MY PETS HUELLITAS CONSENTIDAS"/>
    <x v="0"/>
    <x v="0"/>
    <m/>
    <s v="CR 63 CL 57S 62 / 05088 BELLO / CO"/>
    <s v="ANTIOQUIA"/>
    <d v="2026-01-31T09:43:39"/>
    <d v="2026-01-31T08:30:00"/>
    <d v="2026-01-31T14:00:00"/>
    <d v="2026-01-31T09:43:49"/>
    <d v="2026-01-31T14:00:11"/>
    <s v="EVENTO AGRIPAC"/>
    <x v="0"/>
    <s v="PEREZ Y CARDONA"/>
    <s v="Elizabeth Sanmartin Vasquez"/>
    <s v="JARAMILLO ZAPATA NATALIA ANDREA MY PETS HUELLITAS CONSENTIDAS / CR 63 CL 57S 62 / 05088 BELLO / CO"/>
    <m/>
    <m/>
    <m/>
    <m/>
    <n v="0"/>
    <m/>
    <m/>
    <s v="CR 63 CL 57S 62 / 05088 BELLO"/>
    <s v="ANTIOQUIA"/>
    <s v="BELLO"/>
    <m/>
    <x v="0"/>
  </r>
  <r>
    <s v="181466"/>
    <s v="Completado"/>
    <s v="Capacitación a mostradores de comsab"/>
    <s v="1333635"/>
    <s v="COOPERATIVA AGROMULTIACTIVA SAN BARTOLO COMSAB"/>
    <x v="0"/>
    <x v="1"/>
    <m/>
    <s v="DG 53 53 47 / 05034 ANDES / CO"/>
    <s v="ANTIOQUIA"/>
    <d v="2026-01-27T14:50:13"/>
    <d v="2026-01-27T15:00:00"/>
    <d v="2026-01-27T17:30:00"/>
    <d v="2026-01-27T18:53:07"/>
    <d v="2026-01-27T18:53:17"/>
    <s v="Nos acompaña Eduardo Sáenz sumitomo"/>
    <x v="1"/>
    <s v="PEREZ Y CARDONA"/>
    <s v="(vacante) Alex García Moncada"/>
    <s v="COOPERATIVA AGROMULTIACTIVA SAN BARTOLO COMSAB / DG 53 53 47 / 05034 ANDES / CO"/>
    <m/>
    <m/>
    <m/>
    <m/>
    <n v="0"/>
    <m/>
    <m/>
    <s v="DG 53 53 47 / 05034 ANDES"/>
    <s v="ANTIOQUIA"/>
    <s v="ANDES"/>
    <m/>
    <x v="0"/>
  </r>
  <r>
    <s v="183061"/>
    <s v="Completado"/>
    <s v="Capacitación a Mostradores, con probelte"/>
    <s v="1333635"/>
    <s v="COOPERATIVA AGROMULTIACTIVA SAN BARTOLO COMSAB"/>
    <x v="0"/>
    <x v="1"/>
    <m/>
    <s v="DG 53 53 47 / 05034 ANDES / CO"/>
    <s v="ANTIOQUIA"/>
    <d v="2026-02-06T08:52:46"/>
    <d v="2026-02-03T14:30:00"/>
    <d v="2026-02-03T17:00:00"/>
    <d v="2026-02-06T08:52:51"/>
    <d v="2026-02-06T08:52:55"/>
    <m/>
    <x v="1"/>
    <s v="PEREZ Y CARDONA"/>
    <s v="(vacante) Alex García Moncada"/>
    <s v="COOPERATIVA AGROMULTIACTIVA SAN BARTOLO COMSAB / DG 53 53 47 / 05034 ANDES / CO"/>
    <m/>
    <m/>
    <m/>
    <m/>
    <n v="0"/>
    <m/>
    <m/>
    <s v="DG 53 53 47 / 05034 ANDES"/>
    <s v="ANTIOQUIA"/>
    <s v="ANDES"/>
    <m/>
    <x v="1"/>
  </r>
  <r>
    <s v="182539"/>
    <s v="Completado"/>
    <s v="Capacitación probelte en comsab"/>
    <s v="1333635"/>
    <s v="COOPERATIVA AGROMULTIACTIVA SAN BARTOLO COMSAB"/>
    <x v="0"/>
    <x v="2"/>
    <m/>
    <s v="DG 53 53 47 / 05034 ANDES / CO"/>
    <s v="ANTIOQUIA"/>
    <d v="2026-02-03T14:10:07"/>
    <d v="2026-02-03T14:00:00"/>
    <d v="2026-02-03T15:00:00"/>
    <d v="2026-02-03T14:10:34"/>
    <d v="2026-02-03T15:59:53"/>
    <s v="Se capacitación los mostradores y quedaron muy contentos con la información"/>
    <x v="1"/>
    <s v="PEREZ Y CARDONA"/>
    <s v="Sara Ruíz Restrepo"/>
    <s v="COOPERATIVA AGROMULTIACTIVA SAN BARTOLO COMSAB / DG 53 53 47 / 05034 ANDES / CO"/>
    <m/>
    <m/>
    <m/>
    <m/>
    <n v="0"/>
    <m/>
    <m/>
    <s v="DG 53 53 47 / 05034 ANDES"/>
    <s v="ANTIOQUIA"/>
    <s v="ANDES"/>
    <m/>
    <x v="1"/>
  </r>
  <r>
    <s v="180229"/>
    <s v="Completado"/>
    <s v="Asamblea fedepapa"/>
    <s v="1337069"/>
    <s v="FED COLOMBIANA DE PRODUCTORES DE PAPA FEDEPAPA"/>
    <x v="0"/>
    <x v="3"/>
    <m/>
    <s v="CL 11 8 31 / 05400 LA UNION / CO"/>
    <s v="ANTIOQUIA"/>
    <d v="2026-01-18T09:46:49"/>
    <d v="2026-01-18T09:00:00"/>
    <d v="2026-01-18T14:00:00"/>
    <d v="2026-01-18T09:47:04"/>
    <d v="2026-01-18T14:00:46"/>
    <m/>
    <x v="2"/>
    <s v="PEREZ Y CARDONA"/>
    <s v="Juan Esteban Montoya Serna"/>
    <s v="FED COLOMBIANA DE PRODUCTORES DE PAPA FEDEPAPA / CL 11 8 31 / 05400 LA UNION / CO"/>
    <m/>
    <m/>
    <m/>
    <m/>
    <n v="0"/>
    <m/>
    <m/>
    <s v="CL 11 8 31 / 05400 LA UNION"/>
    <s v="ANTIOQUIA"/>
    <s v="LA UNION"/>
    <m/>
    <x v="0"/>
  </r>
  <r>
    <s v="182632"/>
    <s v="Completado"/>
    <s v="Fortalecimiento de conceptos Camporigen"/>
    <s v="1400707"/>
    <s v="GALAGRO ANTIOQUIA GENERICO"/>
    <x v="1"/>
    <x v="4"/>
    <m/>
    <s v="05541 PEÑOL / CO"/>
    <s v="ANTIOQUIA"/>
    <d v="2026-02-03T11:00:57"/>
    <d v="2026-02-03T07:30:00"/>
    <d v="2026-02-03T11:00:00"/>
    <d v="2026-02-03T11:01:13"/>
    <d v="2026-02-03T11:01:16"/>
    <m/>
    <x v="3"/>
    <s v="GALAGRO"/>
    <s v="John Álvaro Correa Castaño"/>
    <s v="GALAGRO ANTIOQUIA GENERICO / CO"/>
    <m/>
    <m/>
    <m/>
    <m/>
    <n v="0"/>
    <m/>
    <m/>
    <s v="CO"/>
    <s v="ANTIOQUIA"/>
    <s v="PEÑOL"/>
    <m/>
    <x v="1"/>
  </r>
  <r>
    <s v="182266"/>
    <s v="Completado"/>
    <s v="Gira técnica eje cafetero"/>
    <s v="1400070"/>
    <s v="GALAGRO NACIONAL GENERICO"/>
    <x v="0"/>
    <x v="5"/>
    <m/>
    <s v="41551 PITALITO / CO"/>
    <s v="HUILA"/>
    <d v="2026-02-02T09:29:41"/>
    <d v="2026-02-02T08:00:00"/>
    <d v="2026-02-02T21:30:00"/>
    <d v="2026-02-02T09:29:57"/>
    <d v="2026-02-02T20:02:53"/>
    <m/>
    <x v="4"/>
    <s v="GALAGRO"/>
    <s v="Juan David Rojas Rivera"/>
    <s v="GALAGRO NACIONAL GENERICO / CO"/>
    <m/>
    <m/>
    <m/>
    <m/>
    <n v="0"/>
    <m/>
    <m/>
    <s v="CO"/>
    <s v="HUILA"/>
    <s v="PITALITO"/>
    <m/>
    <x v="1"/>
  </r>
  <r>
    <s v="182625"/>
    <s v="Completado"/>
    <s v="Gira técnica Café Armenia"/>
    <s v="1400070"/>
    <s v="GALAGRO NACIONAL GENERICO"/>
    <x v="0"/>
    <x v="5"/>
    <m/>
    <s v="41551 PITALITO / CO"/>
    <s v="HUILA"/>
    <d v="2026-02-03T20:40:13"/>
    <d v="2026-02-03T08:00:00"/>
    <d v="2026-02-03T21:00:00"/>
    <d v="2026-02-03T20:40:34"/>
    <d v="2026-02-03T20:41:10"/>
    <m/>
    <x v="4"/>
    <s v="GALAGRO"/>
    <s v="Juan David Rojas Rivera"/>
    <s v="GALAGRO NACIONAL GENERICO / CO"/>
    <m/>
    <m/>
    <m/>
    <m/>
    <n v="0"/>
    <m/>
    <m/>
    <s v="CO"/>
    <s v="HUILA"/>
    <s v="PITALITO"/>
    <m/>
    <x v="1"/>
  </r>
  <r>
    <s v="182708"/>
    <s v="Completado"/>
    <s v="Gira tecnica café"/>
    <s v="1400070"/>
    <s v="GALAGRO NACIONAL GENERICO"/>
    <x v="0"/>
    <x v="5"/>
    <m/>
    <s v="41551 PITALITO / CO"/>
    <s v="HUILA"/>
    <d v="2026-02-04T20:24:18"/>
    <d v="2026-02-04T08:00:00"/>
    <d v="2026-02-04T17:30:00"/>
    <d v="2026-02-04T20:24:37"/>
    <d v="2026-02-04T20:24:51"/>
    <m/>
    <x v="4"/>
    <s v="GALAGRO"/>
    <s v="Juan David Rojas Rivera"/>
    <s v="GALAGRO NACIONAL GENERICO / CO"/>
    <m/>
    <m/>
    <m/>
    <m/>
    <n v="0"/>
    <m/>
    <m/>
    <s v="CO"/>
    <s v="HUILA"/>
    <s v="PITALITO"/>
    <m/>
    <x v="1"/>
  </r>
  <r>
    <s v="182992"/>
    <s v="Completado"/>
    <s v="Visita café norte y charla Cartago gira café"/>
    <s v="1400070"/>
    <s v="GALAGRO NACIONAL GENERICO"/>
    <x v="0"/>
    <x v="5"/>
    <m/>
    <s v="41551 PITALITO / CO"/>
    <s v="HUILA"/>
    <d v="2026-02-05T13:46:04"/>
    <d v="2026-02-05T07:30:00"/>
    <d v="2026-02-05T19:30:00"/>
    <d v="2026-02-05T13:46:18"/>
    <d v="2026-02-05T22:52:10"/>
    <m/>
    <x v="4"/>
    <s v="GALAGRO"/>
    <s v="Juan David Rojas Rivera"/>
    <s v="GALAGRO NACIONAL GENERICO / CO"/>
    <m/>
    <m/>
    <m/>
    <m/>
    <n v="0"/>
    <m/>
    <m/>
    <s v="CO"/>
    <s v="HUILA"/>
    <s v="PITALITO"/>
    <m/>
    <x v="1"/>
  </r>
  <r>
    <s v="182292"/>
    <s v="Completado"/>
    <s v="Aplicación con dron"/>
    <s v="1400056"/>
    <s v="CLAUDIA SARMIENTO LA ESQUINA DEL CAMPO SOCORRO"/>
    <x v="1"/>
    <x v="6"/>
    <m/>
    <s v="68755 SOCORRO / CO"/>
    <s v="SANTANDER"/>
    <d v="2026-02-02T06:05:40"/>
    <d v="2026-02-02T09:00:00"/>
    <d v="2026-02-02T14:00:00"/>
    <d v="2026-02-02T08:35:30"/>
    <d v="2026-02-02T14:48:13"/>
    <m/>
    <x v="5"/>
    <s v="GALAGRO"/>
    <s v="Annuar Andrey Hoyos Muñoz"/>
    <s v="CLAUDIA SARMIENTO LA ESQUINA DEL CAMPO SOCORRO / CO"/>
    <m/>
    <m/>
    <m/>
    <m/>
    <n v="0"/>
    <m/>
    <m/>
    <s v="CO"/>
    <s v="SANTANDER"/>
    <s v="SOCORRO"/>
    <m/>
    <x v="1"/>
  </r>
  <r>
    <s v="182980"/>
    <s v="Completado"/>
    <s v="Gira vellsam uvio"/>
    <s v="1400070"/>
    <s v="GALAGRO NACIONAL GENERICO"/>
    <x v="0"/>
    <x v="7"/>
    <m/>
    <s v="41551 PITALITO / CO"/>
    <s v="HUILA"/>
    <d v="2026-02-06T08:16:54"/>
    <d v="2026-02-06T08:30:00"/>
    <d v="2026-02-06T17:30:00"/>
    <d v="2026-02-06T19:46:06"/>
    <d v="2026-02-06T19:46:12"/>
    <m/>
    <x v="6"/>
    <s v="GALAGRO"/>
    <s v="Juan Pablo Valencia Carvajal "/>
    <s v="GALAGRO NACIONAL GENERICO / CO"/>
    <m/>
    <m/>
    <m/>
    <m/>
    <n v="0"/>
    <m/>
    <m/>
    <s v="CO"/>
    <s v="HUILA"/>
    <s v="PITALITO"/>
    <m/>
    <x v="1"/>
  </r>
  <r>
    <s v="183177"/>
    <s v="Completado"/>
    <s v="Gira vellsam - uvio"/>
    <s v="1400070"/>
    <s v="GALAGRO NACIONAL GENERICO"/>
    <x v="0"/>
    <x v="7"/>
    <m/>
    <s v="41551 PITALITO / CO"/>
    <s v="HUILA"/>
    <d v="2026-02-06T19:47:59"/>
    <d v="2026-02-05T12:30:00"/>
    <d v="2026-02-05T13:00:00"/>
    <d v="2026-02-06T19:48:23"/>
    <d v="2026-02-06T19:48:29"/>
    <s v="Gira por el valle y capacitación a productores y clientes de la zona"/>
    <x v="6"/>
    <s v="GALAGRO"/>
    <s v="Juan Pablo Valencia Carvajal "/>
    <s v="GALAGRO NACIONAL GENERICO / CO"/>
    <m/>
    <m/>
    <m/>
    <m/>
    <n v="0"/>
    <m/>
    <m/>
    <s v="CO"/>
    <s v="HUILA"/>
    <s v="PITALITO"/>
    <m/>
    <x v="1"/>
  </r>
  <r>
    <s v="182073"/>
    <s v="Completado"/>
    <s v="Preparación Inaguración almacén el llano San Pedro"/>
    <s v="1378770"/>
    <s v="EL LLANO DC SAS EL LLANO DC SAS"/>
    <x v="0"/>
    <x v="8"/>
    <m/>
    <s v="AV 38 31 200 / 05686 SANTA ROSA DE OSOS / CO"/>
    <s v="ANTIOQUIA"/>
    <d v="2026-01-30T09:07:55"/>
    <d v="2026-01-28T13:00:00"/>
    <d v="2026-01-28T13:30:00"/>
    <d v="2026-01-30T09:07:59"/>
    <d v="2026-01-30T09:08:27"/>
    <m/>
    <x v="7"/>
    <s v="GALAGRO"/>
    <s v="Miguel Andrés León Díaz"/>
    <s v="EL LLANO DC SAS EL LLANO DC SAS / AV 38 31 200 / 05686 SANTA ROSA DE OSOS / CO"/>
    <m/>
    <m/>
    <m/>
    <m/>
    <n v="0"/>
    <m/>
    <m/>
    <s v="AV 38 31 200 / 05686 SANTA ROSA DE OSOS"/>
    <s v="ANTIOQUIA"/>
    <s v="SANTA ROSA DE OSOS"/>
    <m/>
    <x v="0"/>
  </r>
  <r>
    <s v="179849"/>
    <s v="Completado"/>
    <s v="actividad eje cafetero"/>
    <s v="1407703"/>
    <s v="PLAGUEX SAS PLAGUEX DISTRIBUIDORA"/>
    <x v="1"/>
    <x v="9"/>
    <m/>
    <s v="CL 2E 2E 54 SC CHARCO / 52356 IPIALES / CO"/>
    <s v="NARIÑO"/>
    <d v="2026-01-13T17:27:35"/>
    <d v="2026-02-02T00:00:00"/>
    <d v="2026-02-02T00:30:00"/>
    <d v="2026-02-02T11:53:41"/>
    <d v="2026-02-02T16:09:12"/>
    <m/>
    <x v="6"/>
    <s v="GALAGRO"/>
    <s v="Juana Andrea Moncaleano Sandoval"/>
    <s v="PLAGUEX SAS PLAGUEX DISTRIBUIDORA / CL 2E 2E 54 SC CHARCO / 52356 IPIALES / CO"/>
    <m/>
    <m/>
    <m/>
    <m/>
    <n v="0"/>
    <m/>
    <m/>
    <s v="CL 2E 2E 54 SC CHARCO / 52356 IPIALES"/>
    <s v="NARIÑO"/>
    <s v="IPIALES"/>
    <m/>
    <x v="1"/>
  </r>
  <r>
    <s v="179885"/>
    <s v="Completado"/>
    <s v="actividad eje cafetero"/>
    <s v="1407703"/>
    <s v="PLAGUEX SAS PLAGUEX DISTRIBUIDORA"/>
    <x v="1"/>
    <x v="9"/>
    <m/>
    <s v="CL 2E 2E 54 SC CHARCO / 52356 IPIALES / CO"/>
    <s v="NARIÑO"/>
    <d v="2026-01-13T18:22:01"/>
    <d v="2026-02-03T00:00:00"/>
    <d v="2026-02-03T00:30:00"/>
    <d v="2026-02-03T12:05:47"/>
    <d v="2026-02-03T17:05:54"/>
    <m/>
    <x v="6"/>
    <s v="GALAGRO"/>
    <s v="Juana Andrea Moncaleano Sandoval"/>
    <s v="PLAGUEX SAS PLAGUEX DISTRIBUIDORA / CL 2E 2E 54 SC CHARCO / 52356 IPIALES / CO"/>
    <m/>
    <m/>
    <m/>
    <m/>
    <n v="0"/>
    <m/>
    <m/>
    <s v="CL 2E 2E 54 SC CHARCO / 52356 IPIALES"/>
    <s v="NARIÑO"/>
    <s v="IPIALES"/>
    <m/>
    <x v="1"/>
  </r>
  <r>
    <s v="183298"/>
    <s v="Completado"/>
    <s v="Evento Camporigen y Uvio"/>
    <s v="1333192"/>
    <s v="PEREZ Y CARDONA S.A.S. TIERRAGRO MEDELLIN"/>
    <x v="0"/>
    <x v="10"/>
    <m/>
    <s v="CL 32 48 45 / 05001 MEDELLIN / CO"/>
    <s v="ANTIOQUIA"/>
    <d v="2026-02-09T06:52:38"/>
    <d v="2026-02-09T07:00:00"/>
    <d v="2026-02-09T17:00:00"/>
    <d v="2026-02-09T06:52:42"/>
    <d v="2026-02-09T17:42:21"/>
    <m/>
    <x v="8"/>
    <s v="GALAGRO"/>
    <s v="Katherine Bedoya Rodas"/>
    <s v="PEREZ Y CARDONA S.A.S. TIERRAGRO MEDELLIN / CL 32 48 45 / 05001 MEDELLIN / CO"/>
    <m/>
    <m/>
    <m/>
    <m/>
    <n v="0"/>
    <m/>
    <m/>
    <s v="CL 32 48 45 / 05001 MEDELLIN"/>
    <s v="ANTIOQUIA"/>
    <s v="MEDELLIN"/>
    <m/>
    <x v="1"/>
  </r>
  <r>
    <s v="183224"/>
    <s v="Completado"/>
    <s v="Gira técnica tomate"/>
    <s v="1400707"/>
    <s v="GALAGRO ANTIOQUIA GENERICO"/>
    <x v="0"/>
    <x v="5"/>
    <m/>
    <s v="05541 PEÑOL / CO"/>
    <s v="ANTIOQUIA"/>
    <d v="2026-02-09T08:05:08"/>
    <d v="2026-02-09T08:30:00"/>
    <d v="2026-02-09T18:00:00"/>
    <d v="2026-02-09T08:05:18"/>
    <d v="2026-02-09T17:58:51"/>
    <m/>
    <x v="9"/>
    <s v="GALAGRO"/>
    <s v="Juan David Rojas Rivera"/>
    <s v="GALAGRO ANTIOQUIA GENERICO / CO"/>
    <m/>
    <m/>
    <m/>
    <m/>
    <n v="0"/>
    <m/>
    <m/>
    <s v="CO"/>
    <s v="ANTIOQUIA"/>
    <s v="PEÑOL"/>
    <m/>
    <x v="1"/>
  </r>
  <r>
    <s v="181938"/>
    <s v="Completado"/>
    <s v="gira tecnica"/>
    <s v="1407703"/>
    <s v="PLAGUEX SAS PLAGUEX DISTRIBUIDORA"/>
    <x v="1"/>
    <x v="11"/>
    <m/>
    <s v="CL 2E 2E 54 SC CHARCO / 52356 IPIALES / CO"/>
    <s v="NARIÑO"/>
    <d v="2026-01-29T17:07:27"/>
    <d v="2026-02-02T00:00:00"/>
    <d v="2026-02-04T00:30:00"/>
    <d v="2026-02-03T07:35:27"/>
    <d v="2026-02-09T19:29:36"/>
    <m/>
    <x v="10"/>
    <s v="GALAGRO"/>
    <s v="Tatiana Marcela Velasco Vasquez"/>
    <s v="PLAGUEX SAS PLAGUEX DISTRIBUIDORA / CL 2E 2E 54 SC CHARCO / 52356 IPIALES / CO"/>
    <m/>
    <m/>
    <m/>
    <m/>
    <n v="0"/>
    <m/>
    <m/>
    <s v="CL 2E 2E 54 SC CHARCO / 52356 IPIALES"/>
    <s v="NARIÑO"/>
    <s v="IPIALES"/>
    <m/>
    <x v="1"/>
  </r>
  <r>
    <s v="183738"/>
    <s v="Completado"/>
    <s v="Gira tecnica Camporigen Uvio suroeste"/>
    <s v="1400707"/>
    <s v="GALAGRO ANTIOQUIA GENERICO"/>
    <x v="0"/>
    <x v="5"/>
    <m/>
    <s v="05541 PEÑOL / CO"/>
    <s v="ANTIOQUIA"/>
    <d v="2026-02-10T17:11:49"/>
    <d v="2026-02-10T08:00:00"/>
    <d v="2026-02-10T19:00:00"/>
    <d v="2026-02-10T17:12:04"/>
    <d v="2026-02-10T17:12:14"/>
    <m/>
    <x v="9"/>
    <s v="GALAGRO"/>
    <s v="Juan David Rojas Rivera"/>
    <s v="GALAGRO ANTIOQUIA GENERICO / CO"/>
    <m/>
    <m/>
    <m/>
    <m/>
    <n v="0"/>
    <m/>
    <m/>
    <s v="CO"/>
    <s v="ANTIOQUIA"/>
    <s v="PEÑOL"/>
    <m/>
    <x v="1"/>
  </r>
  <r>
    <s v="183753"/>
    <s v="Completado"/>
    <s v="Visita Uvio a la zona"/>
    <s v="1400707"/>
    <s v="GALAGRO ANTIOQUIA GENERICO"/>
    <x v="1"/>
    <x v="12"/>
    <m/>
    <s v="05541 PEÑOL / CO"/>
    <s v="ANTIOQUIA"/>
    <d v="2026-02-10T23:23:03"/>
    <d v="2026-02-11T09:00:00"/>
    <d v="2026-02-11T16:00:00"/>
    <d v="2026-02-11T09:31:39"/>
    <d v="2026-02-11T17:25:07"/>
    <m/>
    <x v="7"/>
    <s v="GALAGRO"/>
    <s v="Luisa Fernanda Quiceno Restrepo"/>
    <s v="GALAGRO ANTIOQUIA GENERICO / CO"/>
    <m/>
    <m/>
    <m/>
    <m/>
    <n v="0"/>
    <m/>
    <m/>
    <s v="CO"/>
    <s v="ANTIOQUIA"/>
    <s v="PEÑOL"/>
    <m/>
    <x v="1"/>
  </r>
  <r>
    <s v="183882"/>
    <s v="Completado"/>
    <s v="Gira tecnica Camporigen Uvio"/>
    <s v="1400707"/>
    <s v="GALAGRO ANTIOQUIA GENERICO"/>
    <x v="0"/>
    <x v="5"/>
    <m/>
    <s v="05541 PEÑOL / CO"/>
    <s v="ANTIOQUIA"/>
    <d v="2026-02-11T15:31:00"/>
    <d v="2026-02-11T08:00:00"/>
    <d v="2026-02-11T18:00:00"/>
    <d v="2026-02-11T16:24:20"/>
    <d v="2026-02-12T07:10:46"/>
    <m/>
    <x v="9"/>
    <s v="GALAGRO"/>
    <s v="Juan David Rojas Rivera"/>
    <s v="GALAGRO ANTIOQUIA GENERICO / CO"/>
    <m/>
    <m/>
    <m/>
    <m/>
    <n v="0"/>
    <m/>
    <m/>
    <s v="CO"/>
    <s v="ANTIOQUIA"/>
    <s v="PEÑOL"/>
    <m/>
    <x v="1"/>
  </r>
  <r>
    <s v="183791"/>
    <s v="Completado"/>
    <s v="Charla veredal"/>
    <s v="1333030"/>
    <s v="DISTRIBUCIONES MUNDO AGRO ANTIOQUIA"/>
    <x v="0"/>
    <x v="13"/>
    <m/>
    <s v="AV 26 B 34 50 / 05674 SAN VICENTE / CO"/>
    <s v="ANTIOQUIA"/>
    <d v="2026-02-11T09:42:58"/>
    <d v="2026-02-10T16:00:00"/>
    <d v="2026-02-10T17:30:00"/>
    <d v="2026-02-12T09:19:52"/>
    <d v="2026-02-12T09:19:57"/>
    <m/>
    <x v="11"/>
    <s v="PEREZ Y CARDONA"/>
    <s v="Edison Ferney Rivera Muñoz"/>
    <s v="DISTRIBUCIONES MUNDO AGRO ANTIOQUIA / AV 26 B 34 50 / 05674 SAN VICENTE / CO"/>
    <m/>
    <m/>
    <m/>
    <m/>
    <n v="0"/>
    <m/>
    <m/>
    <s v="AV 26 B 34 50 / 05674 SAN VICENTE"/>
    <s v="ANTIOQUIA"/>
    <s v="SAN VICENTE"/>
    <m/>
    <x v="1"/>
  </r>
  <r>
    <s v="184310"/>
    <s v="Completado"/>
    <s v="Activación de marca nutra pro wallnes"/>
    <s v="1344761"/>
    <s v="PEREZ Y CARDONA S.A.S. TIERRAGRO BELLO"/>
    <x v="0"/>
    <x v="14"/>
    <m/>
    <s v="DG 50 A 38 20 / 05088 BELLO / CO"/>
    <s v="ANTIOQUIA"/>
    <d v="2026-02-14T10:56:38"/>
    <d v="2026-02-14T09:00:00"/>
    <d v="2026-02-14T14:00:00"/>
    <d v="2026-02-14T10:56:58"/>
    <d v="2026-02-14T14:22:06"/>
    <m/>
    <x v="12"/>
    <s v="PEREZ Y CARDONA"/>
    <s v="Silvana Astrid Molina Pérez"/>
    <s v="PEREZ Y CARDONA S.A.S. TIERRAGRO BELLO / DG 50 A 38 20 / 05088 BELLO / CO"/>
    <m/>
    <m/>
    <m/>
    <m/>
    <n v="0"/>
    <m/>
    <m/>
    <s v="DG 50 A 38 20 / 05088 BELLO"/>
    <s v="ANTIOQUIA"/>
    <s v="BELLO"/>
    <m/>
    <x v="1"/>
  </r>
  <r>
    <s v="184105"/>
    <s v="Completado"/>
    <s v="toma de almacén"/>
    <s v="1544730"/>
    <s v="Florentino fajardo El campesino"/>
    <x v="0"/>
    <x v="11"/>
    <m/>
    <s v="19698 SANTANDER DE QUILICHAO / CO"/>
    <s v="CAUCA"/>
    <d v="2026-02-12T16:06:23"/>
    <d v="2026-02-14T00:00:00"/>
    <d v="2026-02-14T00:30:00"/>
    <d v="2026-02-14T17:02:34"/>
    <d v="2026-02-14T17:24:08"/>
    <s v="evento de mostrador especial en día de mercado"/>
    <x v="10"/>
    <s v="GALAGRO"/>
    <s v="Tatiana Marcela Velasco Vasquez"/>
    <s v="Florentino fajardo El campesino / 19698 SANTANDER DE QUILICHAO / CO"/>
    <m/>
    <m/>
    <s v="HIDROINICIO 13-40-13 X 1 KG#|HIDROFOLLAJE 30-10-10 X 1 KG#|AMINOPODER X 5 LT#"/>
    <m/>
    <n v="0"/>
    <m/>
    <m/>
    <s v="19698 SANTANDER DE QUILICHAO"/>
    <s v="CAUCA"/>
    <s v="SANTANDER DE QUILICHAO"/>
    <m/>
    <x v="1"/>
  </r>
  <r>
    <s v="183923"/>
    <s v="Completado"/>
    <s v="Reunion organizacion feria alcaldia la plata"/>
    <s v="1339400"/>
    <s v="DISTRIBUCIONES ARAMA LTDA"/>
    <x v="0"/>
    <x v="15"/>
    <m/>
    <s v="PARQUE INDUSTRIAL PALEMO BG D16 KM / 41001 NEIVA / CO"/>
    <s v="HUILA"/>
    <d v="2026-02-12T09:50:07"/>
    <d v="2026-02-12T14:00:00"/>
    <d v="2026-02-12T15:30:00"/>
    <d v="2026-02-12T14:09:47"/>
    <d v="2026-02-16T14:57:14"/>
    <m/>
    <x v="13"/>
    <s v="GALAGRO"/>
    <s v="Andrea Sileny Pardo Pillimue"/>
    <s v="DISTRIBUCIONES ARAMA LTDA / PARQUE INDUSTRIAL PALEMO BG D16 KM / 41001 NEIVA / CO"/>
    <m/>
    <m/>
    <m/>
    <m/>
    <n v="0"/>
    <m/>
    <m/>
    <s v="PARQUE INDUSTRIAL PALEMO BG D16 KM / 41001 NEIVA"/>
    <s v="HUILA"/>
    <s v="NEIVA"/>
    <m/>
    <x v="1"/>
  </r>
  <r>
    <s v="185079"/>
    <s v="Completado"/>
    <s v="Capacitación compañia agricla la sierra"/>
    <s v="1354498"/>
    <s v="COMPAÑIA AGRICOLA DE LA SIERRA SUCU COMPAÑIA AGRICOLA DE LA SIERRA SUCU"/>
    <x v="1"/>
    <x v="16"/>
    <m/>
    <s v="KM 5 VIA CARACOLI FNC DE LOS CHILEN / 05670 SAN ROQUE / CO"/>
    <s v="ANTIOQUIA"/>
    <d v="2026-02-19T08:10:48"/>
    <d v="2026-02-19T09:00:00"/>
    <d v="2026-02-19T12:00:00"/>
    <d v="2026-02-19T09:31:17"/>
    <d v="2026-02-19T12:26:20"/>
    <m/>
    <x v="14"/>
    <s v="PEREZ Y CARDONA"/>
    <s v="Juan Felipe Botero Gómez"/>
    <s v="COMPAÑIA AGRICOLA DE LA SIERRA SUCU COMPAÑIA AGRICOLA DE LA SIERRA SUCU / KM 5 VIA CARACOLI FNC DE L"/>
    <m/>
    <m/>
    <m/>
    <m/>
    <n v="0"/>
    <m/>
    <m/>
    <s v="KM 5 VIA CARACOLI FNC DE L"/>
    <s v="ANTIOQUIA"/>
    <s v="SAN ROQUE"/>
    <m/>
    <x v="1"/>
  </r>
  <r>
    <s v="185283"/>
    <s v="Completado"/>
    <s v="EVENTO AGRIPAC"/>
    <s v="1332932"/>
    <s v="VELEZ RICO SANDRA MILENA AGRORICHE SAN CRISTOBAL"/>
    <x v="0"/>
    <x v="0"/>
    <m/>
    <s v="CL 63 129 A 8 SAN CRISTOBAL / 05001 MEDELLIN / CO"/>
    <s v="ANTIOQUIA"/>
    <d v="2026-02-20T08:58:59"/>
    <d v="2026-02-20T09:00:00"/>
    <d v="2026-02-20T09:30:00"/>
    <d v="2026-02-20T09:09:37"/>
    <d v="2026-02-20T09:22:48"/>
    <m/>
    <x v="0"/>
    <s v="PEREZ Y CARDONA"/>
    <s v="Elizabeth Sanmartin Vasquez"/>
    <s v="VELEZ RICO SANDRA MILENA AGRORICHE SAN CRISTOBAL / CL 63 129 A 8 SAN CRISTOBAL / 05001 MEDELLIN / CO"/>
    <m/>
    <m/>
    <m/>
    <m/>
    <n v="0"/>
    <m/>
    <m/>
    <s v="CL 63 129 A 8 SAN CRISTOBAL / 05001 MEDELLIN"/>
    <s v="ANTIOQUIA"/>
    <s v="MEDELLIN"/>
    <m/>
    <x v="1"/>
  </r>
  <r>
    <s v="184213"/>
    <s v="Completado"/>
    <s v="Capacitación sumitomo"/>
    <s v="1000"/>
    <s v="PEREZ Y CARDONA"/>
    <x v="0"/>
    <x v="17"/>
    <m/>
    <s v="CO"/>
    <m/>
    <d v="2026-02-13T10:34:54"/>
    <d v="2026-02-19T17:30:00"/>
    <d v="2026-02-19T20:00:00"/>
    <d v="2026-02-20T09:32:17"/>
    <d v="2026-02-20T09:32:33"/>
    <s v="Evento y capacitación _x000a_Municipio de Urrao con portafolio _x000a_Sumitomo _x000a_Objetivo dará a conocer el portafolio a los agrónomos de la zona"/>
    <x v="1"/>
    <s v="PEREZ Y CARDONA"/>
    <s v="Fabian Rueda Rueda"/>
    <s v="PEREZ Y CARDONA / CO"/>
    <m/>
    <m/>
    <m/>
    <m/>
    <n v="0"/>
    <m/>
    <m/>
    <s v="CO"/>
    <m/>
    <m/>
    <m/>
    <x v="1"/>
  </r>
  <r>
    <s v="185176"/>
    <s v="Completado"/>
    <s v="Visita de campo"/>
    <s v="1457056"/>
    <s v="OCAMPO RAMIREZ JOSE DOMINGO FINCA #158"/>
    <x v="1"/>
    <x v="18"/>
    <m/>
    <s v="ALTO DEL MERCADO FINCA #158 / 05440 MARINILLA / CO"/>
    <s v="ANTIOQUIA"/>
    <d v="2026-02-20T09:00:07"/>
    <d v="2026-02-20T09:00:00"/>
    <d v="2026-02-20T09:30:00"/>
    <d v="2026-02-20T09:00:49"/>
    <d v="2026-02-20T12:05:06"/>
    <m/>
    <x v="15"/>
    <s v="GALAGRO"/>
    <s v="Brarlyn Steven Garcia Castro"/>
    <s v="OCAMPO RAMIREZ JOSE DOMINGO FINCA #158 / ALTO DEL MERCADO FINCA #158 / 05440 MARINILLA / CO"/>
    <m/>
    <m/>
    <m/>
    <m/>
    <n v="0"/>
    <m/>
    <m/>
    <s v="ALTO DEL MERCADO FINCA #158 / 05440 MARINILLA"/>
    <s v="ANTIOQUIA"/>
    <s v="MARINILLA"/>
    <m/>
    <x v="1"/>
  </r>
  <r>
    <s v="185381"/>
    <s v="Completado"/>
    <s v="Ventas"/>
    <s v="1332969"/>
    <s v="HERNANDEZ RUIZ WILSON DE JESUS FERROAGRO EL CAMPESINO"/>
    <x v="0"/>
    <x v="19"/>
    <m/>
    <s v="CR TRONCAL PUERTO VALDIVIA / 05854 VALDIVIA / CO"/>
    <s v="ANTIOQUIA"/>
    <d v="2026-02-20T12:51:35"/>
    <d v="2026-02-20T13:00:00"/>
    <d v="2026-02-20T13:30:00"/>
    <d v="2026-02-20T12:51:42"/>
    <d v="2026-02-20T12:51:49"/>
    <m/>
    <x v="16"/>
    <s v="GALAGRO"/>
    <s v="Yeison Antonio Arenilla Diaz"/>
    <s v="HERNANDEZ RUIZ WILSON DE JESUS FERROAGRO EL CAMPESINO / CR TRONCAL PUERTO VALDIVIA / 05854 VALDIVIA"/>
    <m/>
    <m/>
    <m/>
    <m/>
    <n v="0"/>
    <m/>
    <m/>
    <s v="CR TRONCAL PUERTO VALDIVIA / 05854 VALDIVIA"/>
    <s v="ANTIOQUIA"/>
    <s v="VALDIVIA"/>
    <m/>
    <x v="1"/>
  </r>
  <r>
    <s v="185473"/>
    <s v="Completado"/>
    <s v="Toma de almacén tierragro medellin"/>
    <s v="1400278"/>
    <s v="PYC PECUARIA GENERICO"/>
    <x v="0"/>
    <x v="20"/>
    <m/>
    <s v="05001 MEDELLÍN / CO"/>
    <s v="ANTIOQUIA"/>
    <d v="2026-02-21T10:06:39"/>
    <d v="2026-02-21T09:00:00"/>
    <d v="2026-02-21T14:00:00"/>
    <d v="2026-02-21T10:06:47"/>
    <d v="2026-02-21T14:10:46"/>
    <s v="Impulso tierragro medellín"/>
    <x v="17"/>
    <s v="PEREZ Y CARDONA"/>
    <s v="Camila Rojas García"/>
    <s v="PYC PECUARIA GENERICO / 05001 MEDELLÍN / CO"/>
    <m/>
    <m/>
    <m/>
    <m/>
    <n v="0"/>
    <m/>
    <m/>
    <s v="05001 MEDELLÍN"/>
    <s v="ANTIOQUIA"/>
    <s v="MEDELLÍN"/>
    <m/>
    <x v="1"/>
  </r>
  <r>
    <s v="185446"/>
    <s v="Completado"/>
    <s v="Toma de almacén tierragro medellin"/>
    <s v="1400278"/>
    <s v="PYC PECUARIA GENERICO"/>
    <x v="0"/>
    <x v="21"/>
    <m/>
    <s v="05001 MEDELLÍN / CO"/>
    <s v="ANTIOQUIA"/>
    <d v="2026-02-21T09:58:04"/>
    <d v="2026-02-21T09:00:00"/>
    <d v="2026-02-21T14:30:00"/>
    <d v="2026-02-21T09:58:16"/>
    <d v="2026-02-21T14:22:09"/>
    <s v="Impulso  tierragro medellin"/>
    <x v="18"/>
    <s v="PEREZ Y CARDONA"/>
    <s v="Leidy Astrid Restrepo Acevedo"/>
    <s v="PYC PECUARIA GENERICO / 05001 MEDELLÍN / CO"/>
    <m/>
    <m/>
    <m/>
    <m/>
    <n v="0"/>
    <m/>
    <m/>
    <s v="05001 MEDELLÍN"/>
    <s v="ANTIOQUIA"/>
    <s v="MEDELLÍN"/>
    <m/>
    <x v="1"/>
  </r>
  <r>
    <s v="184890"/>
    <s v="Completado"/>
    <s v="Capacitación técnica sumitomo"/>
    <s v="1440827"/>
    <s v="LA BODEGA SALAZAR SAS"/>
    <x v="0"/>
    <x v="2"/>
    <m/>
    <s v="CL 30 28 72 / 05847 URRAO / CO"/>
    <s v="ANTIOQUIA"/>
    <d v="2026-02-18T08:45:01"/>
    <d v="2026-02-19T17:00:00"/>
    <d v="2026-02-19T20:30:00"/>
    <d v="2026-02-19T17:08:29"/>
    <d v="2026-02-23T09:07:47"/>
    <m/>
    <x v="1"/>
    <s v="PEREZ Y CARDONA"/>
    <s v="Sara Ruíz Restrepo"/>
    <s v="LA BODEGA SALAZAR SAS / CL 30 28 72 / 05847 URRAO / CO"/>
    <m/>
    <m/>
    <m/>
    <m/>
    <n v="0"/>
    <m/>
    <m/>
    <s v="CL 30 28 72 / 05847 URRAO"/>
    <s v="ANTIOQUIA"/>
    <s v="URRAO"/>
    <m/>
    <x v="1"/>
  </r>
  <r>
    <s v="184225"/>
    <s v="Completado"/>
    <s v="Evento experiencia Tierragro Palmas"/>
    <s v="1340946"/>
    <s v="PEREZ Y CARDONA S.A.S. TIERRAGRO PALMAS"/>
    <x v="0"/>
    <x v="22"/>
    <m/>
    <s v="KM 16 AV LAS PALMAS LC 29 MALL COMERCIAL LEMONT / 05266 ENVIGADO / CO"/>
    <s v="ANTIOQUIA"/>
    <d v="2026-02-13T11:17:19"/>
    <d v="2026-02-13T11:00:00"/>
    <d v="2026-02-13T15:30:00"/>
    <d v="2026-02-13T11:17:32"/>
    <d v="2026-02-23T13:47:29"/>
    <m/>
    <x v="12"/>
    <s v="PEREZ Y CARDONA"/>
    <s v="Manuela Valencia Patiño"/>
    <s v="PEREZ Y CARDONA S.A.S. TIERRAGRO PALMAS / KM 16 AV LAS PALMAS LC 29 MALL COMERCIAL LEMONT / 05266 EN"/>
    <m/>
    <m/>
    <m/>
    <m/>
    <n v="0"/>
    <m/>
    <m/>
    <s v="KM 16 AV LAS PALMAS LC 29 MALL COMERCIAL LEMONT / 05266 EN"/>
    <s v="ANTIOQUIA"/>
    <s v="ENVIGADO"/>
    <m/>
    <x v="1"/>
  </r>
  <r>
    <s v="184298"/>
    <s v="Completado"/>
    <s v="Entrega de obsequios evento t bello"/>
    <s v="1344761"/>
    <s v="PEREZ Y CARDONA S.A.S. TIERRAGRO BELLO"/>
    <x v="0"/>
    <x v="22"/>
    <m/>
    <s v="DG 50 A 38 20 / 05088 BELLO / CO"/>
    <s v="ANTIOQUIA"/>
    <d v="2026-02-14T08:13:26"/>
    <d v="2026-02-14T08:30:00"/>
    <d v="2026-02-14T10:00:00"/>
    <d v="2026-02-14T08:13:39"/>
    <d v="2026-02-23T13:50:43"/>
    <m/>
    <x v="12"/>
    <s v="PEREZ Y CARDONA"/>
    <s v="Manuela Valencia Patiño"/>
    <s v="PEREZ Y CARDONA S.A.S. TIERRAGRO BELLO / DG 50 A 38 20 / 05088 BELLO / CO"/>
    <m/>
    <m/>
    <m/>
    <m/>
    <n v="0"/>
    <m/>
    <m/>
    <s v="DG 50 A 38 20 / 05088 BELLO"/>
    <s v="ANTIOQUIA"/>
    <s v="BELLO"/>
    <m/>
    <x v="1"/>
  </r>
  <r>
    <s v="185957"/>
    <s v="Completado"/>
    <s v="Feria café Bucaramanga"/>
    <s v="1340587"/>
    <s v="DISTRIBUCIONES ARAMA LTDA"/>
    <x v="0"/>
    <x v="6"/>
    <m/>
    <s v="CR 8 20 148 BG 10 / 68001 BUCARAMANGA / CO"/>
    <s v="SANTANDER"/>
    <d v="2026-02-26T06:24:52"/>
    <d v="2026-02-26T15:00:00"/>
    <d v="2026-02-26T18:00:00"/>
    <d v="2026-02-26T16:21:14"/>
    <d v="2026-02-26T16:21:19"/>
    <m/>
    <x v="5"/>
    <s v="GALAGRO"/>
    <s v="Annuar Andrey Hoyos Muñoz"/>
    <s v="DISTRIBUCIONES ARAMA LTDA / CR 8 20 148 BG 10 / 68001 BUCARAMANGA / CO"/>
    <m/>
    <m/>
    <m/>
    <m/>
    <n v="0"/>
    <m/>
    <m/>
    <s v="CR 8 20 148 BG 10 / 68001 BUCARAMANGA"/>
    <s v="SANTANDER"/>
    <s v="BUCARAMANGA"/>
    <m/>
    <x v="1"/>
  </r>
  <r>
    <s v="186431"/>
    <s v="Completado"/>
    <s v="Ensayo productos sumitomo para potrero"/>
    <s v="1578667"/>
    <s v="DUMAR HABIB JORGE ANTONIO"/>
    <x v="1"/>
    <x v="23"/>
    <m/>
    <s v="CL 41 14 80 / 23001 MONTERIA / CO"/>
    <s v="CORDOBA"/>
    <d v="2026-02-27T11:02:57"/>
    <d v="2026-02-27T08:30:00"/>
    <d v="2026-02-27T13:00:00"/>
    <d v="2026-02-27T11:03:10"/>
    <d v="2026-02-27T12:47:12"/>
    <s v="Ensayo de productos tales como torch multi, control Black, nufuron, en  parcelas demostrativas en la finca terranoba en cerete cordoba"/>
    <x v="19"/>
    <s v="PEREZ Y CARDONA"/>
    <s v="(Vacante) Jonathan De Jesús Salcedo Arango"/>
    <s v="DUMAR HABIB JORGE ANTONIO / CL 41 14 80 / 23001 MONTERIA / CO"/>
    <m/>
    <m/>
    <m/>
    <m/>
    <n v="0"/>
    <m/>
    <m/>
    <s v="CL 41 14 80 / 23001 MONTERIA"/>
    <s v="CORDOBA"/>
    <s v="MONTERIA"/>
    <m/>
    <x v="1"/>
  </r>
  <r>
    <s v="185958"/>
    <s v="Completado"/>
    <s v="Feria café Bucaramanga"/>
    <s v="1340587"/>
    <s v="DISTRIBUCIONES ARAMA LTDA"/>
    <x v="0"/>
    <x v="6"/>
    <m/>
    <s v="CR 8 20 148 BG 10 / 68001 BUCARAMANGA / CO"/>
    <s v="SANTANDER"/>
    <d v="2026-02-26T06:26:45"/>
    <d v="2026-02-27T08:00:00"/>
    <d v="2026-02-27T19:00:00"/>
    <d v="2026-02-27T10:22:07"/>
    <d v="2026-02-27T17:31:25"/>
    <m/>
    <x v="5"/>
    <s v="GALAGRO"/>
    <s v="Annuar Andrey Hoyos Muñoz"/>
    <s v="DISTRIBUCIONES ARAMA LTDA / CR 8 20 148 BG 10 / 68001 BUCARAMANGA / CO"/>
    <m/>
    <m/>
    <m/>
    <m/>
    <n v="0"/>
    <m/>
    <m/>
    <s v="CR 8 20 148 BG 10 / 68001 BUCARAMANGA"/>
    <s v="SANTANDER"/>
    <s v="BUCARAMANGA"/>
    <m/>
    <x v="1"/>
  </r>
  <r>
    <s v="186539"/>
    <s v="Completado"/>
    <s v="Aniversario"/>
    <s v="1574935"/>
    <s v="ANIMAL CHAMPION OFICIAL S.A.S."/>
    <x v="0"/>
    <x v="14"/>
    <m/>
    <s v="CL 34 80 C 10 / 05001 MEDELLIN / CO"/>
    <s v="ANTIOQUIA"/>
    <d v="2026-02-28T12:50:38"/>
    <d v="2026-02-28T09:00:00"/>
    <d v="2026-02-28T14:30:00"/>
    <d v="2026-02-28T12:50:52"/>
    <d v="2026-02-28T14:38:54"/>
    <m/>
    <x v="12"/>
    <s v="PEREZ Y CARDONA"/>
    <s v="Silvana Astrid Molina Pérez"/>
    <s v="ANIMAL CHAMPION OFICIAL S.A.S. / CL 34 80 C 10 / 05001 MEDELLIN / CO"/>
    <m/>
    <m/>
    <m/>
    <m/>
    <n v="0"/>
    <m/>
    <m/>
    <s v="CL 34 80 C 10 / 05001 MEDELLIN"/>
    <s v="ANTIOQUIA"/>
    <s v="MEDELLIN"/>
    <m/>
    <x v="1"/>
  </r>
  <r>
    <s v="185959"/>
    <s v="Completado"/>
    <s v="Feria de Bucaramanga"/>
    <s v="1340587"/>
    <s v="DISTRIBUCIONES ARAMA LTDA"/>
    <x v="0"/>
    <x v="6"/>
    <m/>
    <s v="CR 8 20 148 BG 10 / 68001 BUCARAMANGA / CO"/>
    <s v="SANTANDER"/>
    <d v="2026-02-26T06:28:06"/>
    <d v="2026-02-28T08:00:00"/>
    <d v="2026-02-28T19:00:00"/>
    <d v="2026-02-28T13:31:28"/>
    <d v="2026-02-28T15:40:58"/>
    <m/>
    <x v="5"/>
    <s v="GALAGRO"/>
    <s v="Annuar Andrey Hoyos Muñoz"/>
    <s v="DISTRIBUCIONES ARAMA LTDA / CR 8 20 148 BG 10 / 68001 BUCARAMANGA / CO"/>
    <m/>
    <m/>
    <m/>
    <m/>
    <n v="0"/>
    <m/>
    <m/>
    <s v="CR 8 20 148 BG 10 / 68001 BUCARAMANGA"/>
    <s v="SANTANDER"/>
    <s v="BUCARAMANGA"/>
    <m/>
    <x v="1"/>
  </r>
  <r>
    <s v="186545"/>
    <s v="Completado"/>
    <s v="Evento"/>
    <s v="1400278"/>
    <s v="PYC PECUARIA GENERICO"/>
    <x v="0"/>
    <x v="21"/>
    <m/>
    <s v="05001 MEDELLÍN / CO"/>
    <s v="ANTIOQUIA"/>
    <d v="2026-02-28T11:18:19"/>
    <d v="2026-02-28T10:00:00"/>
    <d v="2026-02-28T16:00:00"/>
    <d v="2026-02-28T11:18:34"/>
    <d v="2026-02-28T15:44:34"/>
    <s v="Tierragro sabaneta"/>
    <x v="18"/>
    <s v="PEREZ Y CARDONA"/>
    <s v="Leidy Astrid Restrepo Acevedo"/>
    <s v="PYC PECUARIA GENERICO / 05001 MEDELLÍN / CO"/>
    <m/>
    <m/>
    <m/>
    <m/>
    <n v="0"/>
    <m/>
    <m/>
    <s v="05001 MEDELLÍN"/>
    <s v="ANTIOQUIA"/>
    <s v="MEDELLÍN"/>
    <m/>
    <x v="1"/>
  </r>
  <r>
    <s v="186335"/>
    <s v="Completado"/>
    <s v="Traslado de mercancia"/>
    <s v="1149361"/>
    <s v="REGIONAGRO SAS REGIONAGRO SAS"/>
    <x v="0"/>
    <x v="13"/>
    <m/>
    <s v="CL 49 48 A 18 / 05318 GUARNE / CO"/>
    <s v="ANTIOQUIA"/>
    <d v="2026-02-27T21:00:28"/>
    <d v="2026-02-27T08:00:00"/>
    <d v="2026-02-27T10:00:00"/>
    <d v="2026-02-28T17:43:12"/>
    <d v="2026-02-28T17:43:17"/>
    <m/>
    <x v="11"/>
    <s v="PEREZ Y CARDONA"/>
    <s v="Edison Ferney Rivera Muñoz"/>
    <s v="REGIONAGRO SAS REGIONAGRO SAS / CL 49 48 A 18 / 05318 GUARNE / CO"/>
    <m/>
    <m/>
    <m/>
    <m/>
    <n v="0"/>
    <m/>
    <m/>
    <s v="CL 49 48 A 18 / 05318 GUARNE"/>
    <s v="ANTIOQUIA"/>
    <s v="GUARNE"/>
    <m/>
    <x v="1"/>
  </r>
  <r>
    <s v="186486"/>
    <s v="Completado"/>
    <s v="Aniversario"/>
    <s v="1574935"/>
    <s v="ANIMAL CHAMPION OFICIAL S.A.S."/>
    <x v="0"/>
    <x v="24"/>
    <m/>
    <s v="CL 34 80 C 10 / 05001 MEDELLIN / CO"/>
    <s v="ANTIOQUIA"/>
    <d v="2026-02-28T09:51:12"/>
    <d v="2026-02-28T09:00:00"/>
    <d v="2026-02-28T16:00:00"/>
    <d v="2026-02-28T09:51:20"/>
    <d v="2026-02-28T19:58:18"/>
    <m/>
    <x v="20"/>
    <s v="PEREZ Y CARDONA"/>
    <s v="Paola Andrea Jaramillo García"/>
    <s v="ANIMAL CHAMPION OFICIAL S.A.S. / CL 34 80 C 10 / 05001 MEDELLIN / CO"/>
    <m/>
    <m/>
    <m/>
    <m/>
    <n v="0"/>
    <m/>
    <m/>
    <s v="CL 34 80 C 10 / 05001 MEDELLIN"/>
    <s v="ANTIOQUIA"/>
    <s v="MEDELLIN"/>
    <m/>
    <x v="1"/>
  </r>
  <r>
    <s v="185960"/>
    <s v="Completado"/>
    <s v="Feria de café Bucaramanga"/>
    <s v="1340587"/>
    <s v="DISTRIBUCIONES ARAMA LTDA"/>
    <x v="0"/>
    <x v="6"/>
    <m/>
    <s v="CR 8 20 148 BG 10 / 68001 BUCARAMANGA / CO"/>
    <s v="SANTANDER"/>
    <d v="2026-02-26T06:30:21"/>
    <d v="2026-03-01T09:00:00"/>
    <d v="2026-03-01T19:00:00"/>
    <d v="2026-03-01T08:24:23"/>
    <d v="2026-03-01T16:44:07"/>
    <m/>
    <x v="5"/>
    <s v="GALAGRO"/>
    <s v="Annuar Andrey Hoyos Muñoz"/>
    <s v="DISTRIBUCIONES ARAMA LTDA / CR 8 20 148 BG 10 / 68001 BUCARAMANGA / CO"/>
    <m/>
    <m/>
    <s v="HIDROKOFI 25-4-24 X 25 KG#Recomendación de hidrokofi en la feria con clientes en el departamento de Santander con mayor afluencia de agricultores de Sur de Santander"/>
    <m/>
    <n v="0"/>
    <m/>
    <m/>
    <s v="CR 8 20 148 BG 10 / 68001 BUCARAMANGA"/>
    <s v="SANTANDER"/>
    <s v="BUCARAMANGA"/>
    <m/>
    <x v="2"/>
  </r>
  <r>
    <s v="186631"/>
    <s v="Completado"/>
    <s v="Feria agricola villa losasa"/>
    <s v="1339400"/>
    <s v="DISTRIBUCIONES ARAMA LTDA"/>
    <x v="0"/>
    <x v="15"/>
    <m/>
    <s v="PARQUE INDUSTRIAL PALEMO BG D16 KM / 41001 NEIVA / CO"/>
    <s v="HUILA"/>
    <d v="2026-03-01T08:07:29"/>
    <d v="2026-03-01T08:30:00"/>
    <d v="2026-03-01T12:00:00"/>
    <d v="2026-03-01T08:07:48"/>
    <d v="2026-03-02T21:56:24"/>
    <m/>
    <x v="13"/>
    <s v="GALAGRO"/>
    <s v="Andrea Sileny Pardo Pillimue"/>
    <s v="DISTRIBUCIONES ARAMA LTDA / PARQUE INDUSTRIAL PALEMO BG D16 KM / 41001 NEIVA / CO"/>
    <m/>
    <m/>
    <m/>
    <m/>
    <n v="0"/>
    <m/>
    <m/>
    <s v="PARQUE INDUSTRIAL PALEMO BG D16 KM / 41001 NEIVA"/>
    <s v="HUILA"/>
    <s v="NEIVA"/>
    <m/>
    <x v="2"/>
  </r>
  <r>
    <s v="187007"/>
    <s v="Completado"/>
    <s v="Ver estado de la finca despues de la inundación"/>
    <s v="1581734"/>
    <s v="Juan Camilo Garcia Anaya La Gloria"/>
    <x v="1"/>
    <x v="23"/>
    <m/>
    <s v="CO"/>
    <m/>
    <d v="2026-03-04T08:02:12"/>
    <d v="2026-03-04T08:00:00"/>
    <d v="2026-03-04T10:00:00"/>
    <d v="2026-03-04T08:03:07"/>
    <d v="2026-03-04T08:49:17"/>
    <m/>
    <x v="19"/>
    <s v="PEREZ Y CARDONA"/>
    <s v="(Vacante) Jonathan De Jesús Salcedo Arango"/>
    <s v="Juan Camilo Garcia Anaya La Gloria / CO"/>
    <m/>
    <m/>
    <m/>
    <m/>
    <n v="0"/>
    <m/>
    <m/>
    <s v="CO"/>
    <m/>
    <m/>
    <m/>
    <x v="2"/>
  </r>
  <r>
    <s v="187131"/>
    <s v="Completado"/>
    <s v="Visita a la finca de un posible cliente"/>
    <s v="1401434"/>
    <s v="AGRICOLA ANTIOQUIA GENERICO"/>
    <x v="1"/>
    <x v="23"/>
    <m/>
    <s v="VRD LAS LAJAS / 05615 RIONEGRO / CO"/>
    <s v="ANTIOQUIA"/>
    <d v="2026-03-04T11:13:14"/>
    <d v="2026-03-04T11:00:00"/>
    <d v="2026-03-04T12:30:00"/>
    <d v="2026-03-04T11:13:38"/>
    <d v="2026-03-04T11:50:16"/>
    <s v="Visita a la finca de Miguel Ardila, observamos las malezas y el estado de la finca para experimentar y hacer muestras del producto de sumitomo en potreros"/>
    <x v="19"/>
    <s v="PEREZ Y CARDONA"/>
    <s v="(Vacante) Jonathan De Jesús Salcedo Arango"/>
    <s v="AGRICOLA ANTIOQUIA GENERICO / VRD LAS LAJAS / 05615 RIONEGRO / CO"/>
    <m/>
    <m/>
    <m/>
    <m/>
    <n v="0"/>
    <m/>
    <m/>
    <s v="VRD LAS LAJAS / 05615 RIONEGRO"/>
    <s v="ANTIOQUIA"/>
    <s v="RIONEGRO"/>
    <m/>
    <x v="2"/>
  </r>
  <r>
    <s v="187234"/>
    <s v="Completado"/>
    <s v="Conocer qhe malezas tiene la finca y el estado"/>
    <s v="1577450"/>
    <s v="Claudia Anaya Providencia"/>
    <x v="1"/>
    <x v="23"/>
    <m/>
    <s v="CO"/>
    <m/>
    <d v="2026-03-04T18:03:13"/>
    <d v="2026-03-04T13:30:00"/>
    <d v="2026-03-04T17:00:00"/>
    <d v="2026-03-04T18:03:28"/>
    <d v="2026-03-04T18:03:40"/>
    <s v="Se fue a la finca y se hizo un recorrido por los potreros, se observaron el estado de los potreros y tipos de malezas"/>
    <x v="19"/>
    <s v="PEREZ Y CARDONA"/>
    <s v="(Vacante) Jonathan De Jesús Salcedo Arango"/>
    <s v="Claudia Anaya Providencia / CO"/>
    <m/>
    <m/>
    <m/>
    <m/>
    <n v="0"/>
    <m/>
    <m/>
    <s v="CO"/>
    <m/>
    <m/>
    <m/>
    <x v="2"/>
  </r>
  <r>
    <s v="186598"/>
    <s v="Completado"/>
    <s v="Participacion en charla técnica grupo de productores del municipio de Briceño Boyacá, referidos asistente técnico Ingeniero CAMILO ORTIZ"/>
    <s v="1582331"/>
    <s v="CAMILO ORTIZ NARANJITOS"/>
    <x v="0"/>
    <x v="25"/>
    <m/>
    <s v="VEREDA MORAY / 15106 BRICENO / CO"/>
    <s v="BOYACA"/>
    <d v="2026-02-28T18:55:16"/>
    <d v="2026-03-06T09:00:00"/>
    <d v="2026-03-06T12:30:00"/>
    <d v="2026-03-06T10:54:14"/>
    <d v="2026-03-06T14:51:51"/>
    <s v="Charla técnica con productores de guanabana de la vereda MORAY municipio de Briceño Boyacá. Se adjunta fotografía lista de asistencia."/>
    <x v="21"/>
    <s v="GALAGRO"/>
    <s v="Fredy Alberto Guzmán Daza"/>
    <s v="CAMILO ORTIZ NARANJITOS / CO"/>
    <m/>
    <m/>
    <m/>
    <m/>
    <n v="0"/>
    <m/>
    <m/>
    <s v="CO"/>
    <s v="BOYACA"/>
    <s v="BRICENO"/>
    <m/>
    <x v="2"/>
  </r>
  <r>
    <s v="187681"/>
    <s v="Completado"/>
    <s v="Asamblea general"/>
    <s v="1333635"/>
    <s v="COOPERATIVA AGROMULTIACTIVA SAN BARTOLO COMSAB"/>
    <x v="0"/>
    <x v="1"/>
    <m/>
    <s v="DG 53 53 47 / 05034 ANDES / CO"/>
    <s v="ANTIOQUIA"/>
    <d v="2026-03-07T10:19:48"/>
    <d v="2026-03-07T08:00:00"/>
    <d v="2026-03-07T12:00:00"/>
    <d v="2026-03-07T10:20:20"/>
    <d v="2026-03-07T17:09:46"/>
    <m/>
    <x v="1"/>
    <s v="PEREZ Y CARDONA"/>
    <s v="(vacante) Alex García Moncada"/>
    <s v="COOPERATIVA AGROMULTIACTIVA SAN BARTOLO COMSAB / DG 53 53 47 / 05034 ANDES / CO"/>
    <m/>
    <m/>
    <m/>
    <m/>
    <n v="0"/>
    <m/>
    <m/>
    <s v="DG 53 53 47 / 05034 ANDES"/>
    <s v="ANTIOQUIA"/>
    <s v="ANDES"/>
    <m/>
    <x v="2"/>
  </r>
  <r>
    <s v="187685"/>
    <s v="Completado"/>
    <s v="Visita a la finca la gloria"/>
    <s v="1581734"/>
    <s v="Juan Camilo Garcia Anaya La Gloria"/>
    <x v="1"/>
    <x v="23"/>
    <m/>
    <s v="CO"/>
    <m/>
    <d v="2026-03-09T09:26:39"/>
    <d v="2026-03-09T10:00:00"/>
    <d v="2026-03-09T14:00:00"/>
    <d v="2026-03-09T12:30:13"/>
    <d v="2026-03-09T14:10:06"/>
    <s v="Se converso con el sr Juan García,  se le recomendó la aplicación de foliar para ayudar al pasto con el estrés y a crecer más rápido, quedamos de ir de nuevo a medir los lotes a los cuales se van a trabajar"/>
    <x v="19"/>
    <s v="PEREZ Y CARDONA"/>
    <s v="(Vacante) Jonathan De Jesús Salcedo Arango"/>
    <s v="Juan Camilo Garcia Anaya La Gloria / CO"/>
    <m/>
    <m/>
    <m/>
    <m/>
    <n v="0"/>
    <m/>
    <m/>
    <s v="CO"/>
    <m/>
    <m/>
    <m/>
    <x v="2"/>
  </r>
  <r>
    <s v="187686"/>
    <s v="Completado"/>
    <s v="Actividad secretaria envigado"/>
    <s v="1400070"/>
    <s v="GALAGRO NACIONAL GENERICO"/>
    <x v="0"/>
    <x v="5"/>
    <m/>
    <s v="41551 PITALITO / CO"/>
    <s v="HUILA"/>
    <d v="2026-03-09T09:27:01"/>
    <d v="2026-03-09T09:30:00"/>
    <d v="2026-03-09T18:00:00"/>
    <d v="2026-03-09T09:27:16"/>
    <d v="2026-03-09T18:46:44"/>
    <m/>
    <x v="4"/>
    <s v="GALAGRO"/>
    <s v="Juan David Rojas Rivera"/>
    <s v="GALAGRO NACIONAL GENERICO / 41551 PITALITO / CO"/>
    <m/>
    <m/>
    <m/>
    <m/>
    <n v="0"/>
    <m/>
    <m/>
    <s v="41551 PITALITO"/>
    <s v="HUILA"/>
    <s v="PITALITO"/>
    <m/>
    <x v="2"/>
  </r>
  <r>
    <s v="188121"/>
    <s v="Completado"/>
    <s v="Reconocimiento y evaluacion de la finca"/>
    <s v="1583091"/>
    <s v="Multiservicios del campo JE SAS Finca Janne"/>
    <x v="1"/>
    <x v="23"/>
    <m/>
    <s v="CO"/>
    <m/>
    <d v="2026-03-10T13:19:41"/>
    <d v="2026-03-10T08:00:00"/>
    <d v="2026-03-10T12:30:00"/>
    <d v="2026-03-10T13:20:01"/>
    <d v="2026-03-10T13:24:37"/>
    <s v="Se conoció el lugar exacto de la finca, la finca es nueva, la están limpiando,  hay malezas grandes, hay que hacerle una labor de toconeo y otra de fumigacion, se estima hacer un ensayo para que el cliente vea los productos y hablar sobre si trabajamos juntos"/>
    <x v="19"/>
    <s v="PEREZ Y CARDONA"/>
    <s v="(Vacante) Jonathan De Jesús Salcedo Arango"/>
    <s v="Multiservicios del campo JE SAS Finca Janne / CO"/>
    <m/>
    <m/>
    <m/>
    <m/>
    <n v="0"/>
    <m/>
    <m/>
    <s v="CO"/>
    <m/>
    <m/>
    <m/>
    <x v="2"/>
  </r>
  <r>
    <s v="188173"/>
    <s v="Completado"/>
    <s v="Ensayar torch multi y control black"/>
    <s v="1583091"/>
    <s v="Multiservicios del campo JE SAS Finca Janne"/>
    <x v="1"/>
    <x v="23"/>
    <m/>
    <s v="CO"/>
    <m/>
    <d v="2026-03-10T19:36:43"/>
    <d v="2026-03-11T07:30:00"/>
    <d v="2026-03-11T13:30:00"/>
    <d v="2026-03-11T08:01:35"/>
    <d v="2026-03-11T13:32:19"/>
    <s v="Se hicieron dos tratamientos, uno con torch milti más nufuron a 120cc y otro con control Black a 200cc"/>
    <x v="19"/>
    <s v="PEREZ Y CARDONA"/>
    <s v="(Vacante) Jonathan De Jesús Salcedo Arango"/>
    <s v="Multiservicios del campo JE SAS Finca Janne / CO"/>
    <m/>
    <m/>
    <m/>
    <m/>
    <n v="0"/>
    <m/>
    <m/>
    <s v="CO"/>
    <m/>
    <m/>
    <m/>
    <x v="2"/>
  </r>
  <r>
    <s v="188269"/>
    <s v="Completado"/>
    <s v="Capacitacion tecnica"/>
    <s v="1524701"/>
    <s v="SISTREL AGROPECUARIA SAS"/>
    <x v="0"/>
    <x v="26"/>
    <m/>
    <s v="CL 21 3 15 / 05154 CAUCASIA / CO"/>
    <s v="ANTIOQUIA"/>
    <d v="2026-03-11T17:57:07"/>
    <d v="2026-03-11T08:00:00"/>
    <d v="2026-03-11T18:00:00"/>
    <d v="2026-03-11T17:57:13"/>
    <d v="2026-03-11T17:57:16"/>
    <m/>
    <x v="19"/>
    <s v="PEREZ Y CARDONA"/>
    <s v="Jairo Jesús Morales Doria"/>
    <s v="SISTREL AGROPECUARIA SAS / CL 21 3 15 / 05154 CAUCASIA / CO"/>
    <m/>
    <m/>
    <m/>
    <m/>
    <n v="0"/>
    <m/>
    <m/>
    <s v="CL 21 3 15 / 05154 CAUCASIA"/>
    <s v="ANTIOQUIA"/>
    <s v="CAUCASIA"/>
    <m/>
    <x v="2"/>
  </r>
  <r>
    <s v="188308"/>
    <s v="Completado"/>
    <s v="Entrega de productos y aplicación"/>
    <s v="1581734"/>
    <s v="Juan Camilo Garcia Anaya La Gloria"/>
    <x v="1"/>
    <x v="23"/>
    <m/>
    <s v="CO"/>
    <m/>
    <d v="2026-03-13T09:22:41"/>
    <d v="2026-03-13T10:00:00"/>
    <d v="2026-03-13T15:00:00"/>
    <d v="2026-03-13T10:54:38"/>
    <d v="2026-03-13T13:28:41"/>
    <m/>
    <x v="19"/>
    <s v="PEREZ Y CARDONA"/>
    <s v="(Vacante) Jonathan De Jesús Salcedo Arango"/>
    <s v="Juan Camilo Garcia Anaya La Gloria / CO"/>
    <m/>
    <m/>
    <m/>
    <m/>
    <n v="0"/>
    <m/>
    <m/>
    <s v="CO"/>
    <m/>
    <m/>
    <m/>
    <x v="2"/>
  </r>
  <r>
    <s v="187710"/>
    <s v="Completado"/>
    <s v="Día de campo Caficultores"/>
    <s v="1339400"/>
    <s v="DISTRIBUCIONES ARAMA LTDA"/>
    <x v="1"/>
    <x v="15"/>
    <m/>
    <s v="PARQUE INDUSTRIAL PALEMO BG D16 KM / 41001 NEIVA / CO"/>
    <s v="HUILA"/>
    <d v="2026-03-09T04:43:47"/>
    <d v="2026-03-13T09:00:00"/>
    <d v="2026-03-13T12:00:00"/>
    <d v="2026-03-13T12:49:36"/>
    <d v="2026-03-13T21:05:24"/>
    <m/>
    <x v="13"/>
    <s v="GALAGRO"/>
    <s v="Andrea Sileny Pardo Pillimue"/>
    <s v="DISTRIBUCIONES ARAMA LTDA / PARQUE INDUSTRIAL PALEMO BG D16 KM / 41001 NEIVA / CO"/>
    <m/>
    <m/>
    <m/>
    <m/>
    <n v="0"/>
    <m/>
    <m/>
    <s v="PARQUE INDUSTRIAL PALEMO BG D16 KM / 41001 NEIVA"/>
    <s v="HUILA"/>
    <s v="NEIVA"/>
    <m/>
    <x v="2"/>
  </r>
  <r>
    <s v="188827"/>
    <s v="Completado"/>
    <s v="Aplicacion de Bingo,Gibgro y GoUpMicro"/>
    <s v="1581734"/>
    <s v="Juan Camilo Garcia Anaya La Gloria"/>
    <x v="1"/>
    <x v="23"/>
    <m/>
    <s v="CO"/>
    <m/>
    <d v="2026-03-14T08:38:10"/>
    <d v="2026-03-14T07:00:00"/>
    <d v="2026-03-14T12:30:00"/>
    <d v="2026-03-14T08:38:22"/>
    <d v="2026-03-14T12:10:58"/>
    <s v="Se hizo una aplicación de estos 3 productos ya que había una gran incidencia de gusanos y también buscamos ayudar a crecer el pasto, de alcanzó a fumigar al rededor de 1 hectárea ya que hoy no contaban con suficientes bombas"/>
    <x v="19"/>
    <s v="PEREZ Y CARDONA"/>
    <s v="(Vacante) Jonathan De Jesús Salcedo Arango"/>
    <s v="Juan Camilo Garcia Anaya La Gloria / CO"/>
    <m/>
    <m/>
    <m/>
    <m/>
    <n v="0"/>
    <m/>
    <m/>
    <s v="CO"/>
    <m/>
    <m/>
    <m/>
    <x v="2"/>
  </r>
  <r>
    <s v="188991"/>
    <s v="Completado"/>
    <s v="Fumigacion de Bingo,GiBro"/>
    <s v="1581734"/>
    <s v="Juan Camilo Garcia Anaya La Gloria"/>
    <x v="1"/>
    <x v="23"/>
    <m/>
    <s v="CO"/>
    <m/>
    <d v="2026-03-16T08:38:19"/>
    <d v="2026-03-16T08:00:00"/>
    <d v="2026-03-16T14:00:00"/>
    <d v="2026-03-16T08:38:36"/>
    <d v="2026-03-16T14:04:33"/>
    <m/>
    <x v="19"/>
    <s v="PEREZ Y CARDONA"/>
    <s v="(Vacante) Jonathan De Jesús Salcedo Arango"/>
    <s v="Juan Camilo Garcia Anaya La Gloria / CO"/>
    <m/>
    <m/>
    <m/>
    <m/>
    <n v="0"/>
    <m/>
    <m/>
    <s v="CO"/>
    <m/>
    <m/>
    <m/>
    <x v="2"/>
  </r>
  <r>
    <s v="189006"/>
    <s v="Completado"/>
    <s v="Gira técnica Meta"/>
    <s v="1425648"/>
    <s v="AGROEXPORT DE COLOMBIA SAS"/>
    <x v="0"/>
    <x v="5"/>
    <m/>
    <s v="CR 23 5 54 / 50001 VILLAVICENCIO / CO"/>
    <s v="META"/>
    <d v="2026-03-16T11:03:58"/>
    <d v="2026-03-16T11:30:00"/>
    <d v="2026-03-16T18:30:00"/>
    <d v="2026-03-16T11:04:14"/>
    <d v="2026-03-16T19:06:05"/>
    <m/>
    <x v="22"/>
    <s v="GALAGRO"/>
    <s v="Juan David Rojas Rivera"/>
    <s v="AGROEXPORT DE COLOMBIA SAS / CR 23 5 54 / 50001 VILLAVICENCIO / CO"/>
    <m/>
    <m/>
    <m/>
    <m/>
    <n v="0"/>
    <m/>
    <m/>
    <s v="CR 23 5 54 / 50001 VILLAVICENCIO"/>
    <s v="META"/>
    <s v="VILLAVICENCIO"/>
    <m/>
    <x v="2"/>
  </r>
  <r>
    <s v="189212"/>
    <s v="Completado"/>
    <s v="Evalacion del producto utilizado y vista de finca"/>
    <s v="1577450"/>
    <s v="Claudia Anaya Providencia"/>
    <x v="1"/>
    <x v="23"/>
    <m/>
    <s v="CO"/>
    <m/>
    <d v="2026-03-17T08:39:38"/>
    <d v="2026-03-17T08:00:00"/>
    <d v="2026-03-17T16:00:00"/>
    <d v="2026-03-17T08:39:50"/>
    <d v="2026-03-17T16:32:09"/>
    <s v="Se va a evaluar la aplicación de matrero en toconeo y se va a mirar el estado de la finca y que se puede recomendar"/>
    <x v="19"/>
    <s v="PEREZ Y CARDONA"/>
    <s v="(Vacante) Jonathan De Jesús Salcedo Arango"/>
    <s v="Claudia Anaya Providencia / CO"/>
    <m/>
    <m/>
    <m/>
    <m/>
    <n v="0"/>
    <m/>
    <m/>
    <s v="CO"/>
    <m/>
    <m/>
    <m/>
    <x v="2"/>
  </r>
  <r>
    <s v="189008"/>
    <s v="Completado"/>
    <s v="Gira técnica Meta .. Palma , semestrales , plátano"/>
    <s v="1425648"/>
    <s v="AGROEXPORT DE COLOMBIA SAS"/>
    <x v="0"/>
    <x v="5"/>
    <m/>
    <s v="CR 23 5 54 / 50001 VILLAVICENCIO / CO"/>
    <s v="META"/>
    <d v="2026-03-16T11:06:43"/>
    <d v="2026-03-17T07:00:00"/>
    <d v="2026-03-17T20:30:00"/>
    <d v="2026-03-17T07:52:32"/>
    <d v="2026-03-17T20:01:58"/>
    <m/>
    <x v="22"/>
    <s v="GALAGRO"/>
    <s v="Juan David Rojas Rivera"/>
    <s v="AGROEXPORT DE COLOMBIA SAS / CR 23 5 54 / 50001 VILLAVICENCIO / CO"/>
    <m/>
    <m/>
    <m/>
    <m/>
    <n v="0"/>
    <m/>
    <m/>
    <s v="CR 23 5 54 / 50001 VILLAVICENCIO"/>
    <s v="META"/>
    <s v="VILLAVICENCIO"/>
    <m/>
    <x v="2"/>
  </r>
  <r>
    <s v="189372"/>
    <s v="Completado"/>
    <s v="Preparacion de los productos"/>
    <s v="1581734"/>
    <s v="Juan Camilo Garcia Anaya La Gloria"/>
    <x v="1"/>
    <x v="23"/>
    <m/>
    <s v="CO"/>
    <m/>
    <d v="2026-03-18T07:40:32"/>
    <d v="2026-03-18T07:30:00"/>
    <d v="2026-03-18T12:30:00"/>
    <d v="2026-03-18T07:41:05"/>
    <d v="2026-03-18T12:07:08"/>
    <s v="Preparación de bingo y GiBro para la fumigacion foliar, y acompaña la fumigacion"/>
    <x v="19"/>
    <s v="PEREZ Y CARDONA"/>
    <s v="(Vacante) Jonathan De Jesús Salcedo Arango"/>
    <s v="Juan Camilo Garcia Anaya La Gloria / CO"/>
    <m/>
    <m/>
    <m/>
    <m/>
    <n v="0"/>
    <m/>
    <m/>
    <s v="CO"/>
    <m/>
    <m/>
    <m/>
    <x v="2"/>
  </r>
  <r>
    <s v="189325"/>
    <s v="Completado"/>
    <s v="Asamblea colanta"/>
    <s v="1339061"/>
    <s v="COOPERATIVA COLANTA COOPERATIVA COLANTA"/>
    <x v="0"/>
    <x v="16"/>
    <m/>
    <s v="CENTRAL GANADERA LOCAL 202 B 202 C / 05001 MEDELLIN / CO"/>
    <s v="ANTIOQUIA"/>
    <d v="2026-03-18T07:55:33"/>
    <d v="2026-03-18T06:30:00"/>
    <d v="2026-03-18T17:00:00"/>
    <d v="2026-03-18T07:55:46"/>
    <d v="2026-03-18T15:43:20"/>
    <m/>
    <x v="14"/>
    <s v="PEREZ Y CARDONA"/>
    <s v="Juan Felipe Botero Gómez"/>
    <s v="COOPERATIVA COLANTA COOPERATIVA COLANTA / CENTRAL GANADERA LOCAL 202 B 202 C / 05001 MEDELLIN / CO"/>
    <m/>
    <m/>
    <m/>
    <m/>
    <n v="0"/>
    <m/>
    <m/>
    <s v="CENTRAL GANADERA LOCAL 202 B 202 C / 05001 MEDELLIN"/>
    <s v="ANTIOQUIA"/>
    <s v="MEDELLIN"/>
    <m/>
    <x v="2"/>
  </r>
  <r>
    <s v="189051"/>
    <s v="Completado"/>
    <s v="Gira técnica Meta . Sandía Yuca"/>
    <s v="1425648"/>
    <s v="AGROEXPORT DE COLOMBIA SAS"/>
    <x v="0"/>
    <x v="5"/>
    <m/>
    <s v="CR 23 5 54 / 50001 VILLAVICENCIO / CO"/>
    <s v="META"/>
    <d v="2026-03-16T11:14:37"/>
    <d v="2026-03-18T06:00:00"/>
    <d v="2026-03-18T20:00:00"/>
    <d v="2026-03-18T08:13:03"/>
    <d v="2026-03-18T19:46:42"/>
    <m/>
    <x v="22"/>
    <s v="GALAGRO"/>
    <s v="Juan David Rojas Rivera"/>
    <s v="AGROEXPORT DE COLOMBIA SAS / CR 23 5 54 / 50001 VILLAVICENCIO / CO"/>
    <m/>
    <m/>
    <m/>
    <m/>
    <n v="0"/>
    <m/>
    <m/>
    <s v="CR 23 5 54 / 50001 VILLAVICENCIO"/>
    <s v="META"/>
    <s v="VILLAVICENCIO"/>
    <m/>
    <x v="2"/>
  </r>
  <r>
    <s v="189010"/>
    <s v="Completado"/>
    <s v="Gira técnica Meta . Aguacate"/>
    <s v="1425648"/>
    <s v="AGROEXPORT DE COLOMBIA SAS"/>
    <x v="0"/>
    <x v="5"/>
    <m/>
    <s v="CR 23 5 54 / 50001 VILLAVICENCIO / CO"/>
    <s v="META"/>
    <d v="2026-03-16T11:13:15"/>
    <d v="2026-03-19T06:00:00"/>
    <d v="2026-03-19T20:00:00"/>
    <d v="2026-03-19T05:13:15"/>
    <d v="2026-03-19T18:15:23"/>
    <m/>
    <x v="22"/>
    <s v="GALAGRO"/>
    <s v="Juan David Rojas Rivera"/>
    <s v="AGROEXPORT DE COLOMBIA SAS / CR 23 5 54 / 50001 VILLAVICENCIO / CO"/>
    <m/>
    <m/>
    <m/>
    <m/>
    <n v="0"/>
    <m/>
    <m/>
    <s v="CR 23 5 54 / 50001 VILLAVICENCIO"/>
    <s v="META"/>
    <s v="VILLAVICENCIO"/>
    <m/>
    <x v="2"/>
  </r>
  <r>
    <s v="188819"/>
    <s v="Completado"/>
    <s v="Asamblea general de caficultores"/>
    <s v="1333016"/>
    <s v="COOPERATIVA DE CAFICULTORES DE SALGAR"/>
    <x v="0"/>
    <x v="2"/>
    <m/>
    <s v="CL 30 28 69 ED CAFE / 05642 SALGAR / CO"/>
    <s v="ANTIOQUIA"/>
    <d v="2026-03-14T10:07:55"/>
    <d v="2026-03-19T08:00:00"/>
    <d v="2026-03-19T14:00:00"/>
    <d v="2026-03-19T10:02:47"/>
    <d v="2026-03-19T18:19:00"/>
    <m/>
    <x v="1"/>
    <s v="PEREZ Y CARDONA"/>
    <s v="Sara Ruíz Restrepo"/>
    <s v="COOPERATIVA DE CAFICULTORES DE SALGAR / CL 30 28 69 ED CAFE / 05642 SALGAR / CO"/>
    <m/>
    <m/>
    <m/>
    <m/>
    <n v="0"/>
    <m/>
    <m/>
    <s v="CL 30 28 69 ED CAFE / 05642 SALGAR"/>
    <s v="ANTIOQUIA"/>
    <s v="SALGAR"/>
    <m/>
    <x v="2"/>
  </r>
  <r>
    <s v="188642"/>
    <s v="Completado"/>
    <s v="Charla técnica"/>
    <s v="1472002"/>
    <s v="JUAN CARLOS GALLON ANGEL FINCA LA CRUZ"/>
    <x v="0"/>
    <x v="1"/>
    <m/>
    <s v="VRD LA CASIANA, CERCA A LA FINCA LA CASIANA / 05364 JARDIN / CO"/>
    <s v="ANTIOQUIA"/>
    <d v="2026-03-12T21:56:13"/>
    <d v="2026-03-19T17:00:00"/>
    <d v="2026-03-19T19:30:00"/>
    <d v="2026-03-20T11:56:16"/>
    <d v="2026-03-20T11:56:23"/>
    <m/>
    <x v="1"/>
    <s v="PEREZ Y CARDONA"/>
    <s v="(vacante) Alex García Moncada"/>
    <s v="JUAN CARLOS GALLON ANGEL FINCA LA CRUZ / VRD LA CASIANA, CERCA A LA FINCA LA CASIANA / 05364 JARDIN"/>
    <m/>
    <m/>
    <m/>
    <m/>
    <n v="0"/>
    <m/>
    <m/>
    <s v="VRD LA CASIANA, CERCA A LA FINCA LA CASIANA / 05364 JARDIN"/>
    <s v="ANTIOQUIA"/>
    <s v="JARDIN"/>
    <m/>
    <x v="2"/>
  </r>
  <r>
    <s v="189926"/>
    <s v="Completado"/>
    <s v="Seguimiento de aplicación foliar"/>
    <s v="1581734"/>
    <s v="Juan Camilo Garcia Anaya La Gloria"/>
    <x v="1"/>
    <x v="23"/>
    <m/>
    <s v="CO"/>
    <m/>
    <d v="2026-03-24T08:12:17"/>
    <d v="2026-03-24T08:00:00"/>
    <d v="2026-03-24T10:00:00"/>
    <d v="2026-03-24T08:36:54"/>
    <d v="2026-03-24T10:40:29"/>
    <s v="Vía cerrada, hay un bloqueo y no dejan pasar"/>
    <x v="19"/>
    <s v="PEREZ Y CARDONA"/>
    <s v="(Vacante) Jonathan De Jesús Salcedo Arango"/>
    <s v="Juan Camilo Garcia Anaya La Gloria / CO"/>
    <m/>
    <m/>
    <m/>
    <m/>
    <n v="0"/>
    <m/>
    <m/>
    <s v="CO"/>
    <m/>
    <m/>
    <m/>
    <x v="2"/>
  </r>
  <r>
    <s v="188641"/>
    <s v="Completado"/>
    <s v="Cierre de Q y rifa de moto"/>
    <s v="1538036"/>
    <s v="PAREJA QUINTERO OSCAR DE JESUS"/>
    <x v="0"/>
    <x v="1"/>
    <m/>
    <s v="CR 50 51 16 PAR PPAL / 05034 ANDES / CO"/>
    <s v="ANTIOQUIA"/>
    <d v="2026-03-12T21:55:13"/>
    <d v="2026-03-24T13:00:00"/>
    <d v="2026-03-24T18:00:00"/>
    <d v="2026-03-24T18:44:53"/>
    <d v="2026-03-24T18:45:01"/>
    <m/>
    <x v="1"/>
    <s v="PEREZ Y CARDONA"/>
    <s v="(vacante) Alex García Moncada"/>
    <s v="PAREJA QUINTERO OSCAR DE JESUS / CR 50 51 16 PAR PPAL / 05034 ANDES / CO"/>
    <m/>
    <m/>
    <m/>
    <m/>
    <n v="0"/>
    <m/>
    <m/>
    <s v="CR 50 51 16 PAR PPAL / 05034 ANDES"/>
    <s v="ANTIOQUIA"/>
    <s v="ANDES"/>
    <m/>
    <x v="2"/>
  </r>
  <r>
    <s v="190277"/>
    <s v="Completado"/>
    <s v="Asamblea socios Cooperativa entrerrios"/>
    <s v="1333027"/>
    <s v="COOPERATIVA AGROPECUARIA DE ENTRERRIOS COOAGROPECUARIA"/>
    <x v="0"/>
    <x v="27"/>
    <m/>
    <s v="CR 11 11 A 42 / 05264 ENTRERRIOS / CO"/>
    <s v="ANTIOQUIA"/>
    <d v="2026-03-25T10:50:29"/>
    <d v="2026-03-25T08:00:00"/>
    <d v="2026-03-25T14:30:00"/>
    <d v="2026-03-25T10:50:43"/>
    <d v="2026-03-25T10:50:48"/>
    <m/>
    <x v="23"/>
    <s v="PEREZ Y CARDONA"/>
    <s v="Carolina María Escobar Londoño"/>
    <s v="COOPERATIVA AGROPECUARIA DE ENTRERRIOS COOAGROPECUARIA / CR 11 11 A 42 / 05264 ENTRERRIOS / CO"/>
    <m/>
    <m/>
    <m/>
    <m/>
    <n v="0"/>
    <m/>
    <m/>
    <s v="CR 11 11 A 42 / 05264 ENTRERRIOS"/>
    <s v="ANTIOQUIA"/>
    <s v="ENTRERRIOS"/>
    <m/>
    <x v="2"/>
  </r>
  <r>
    <s v="190179"/>
    <s v="Completado"/>
    <s v="Chequeo de finca y aplicaciones"/>
    <s v="1581734"/>
    <s v="Juan Camilo Garcia Anaya La Gloria"/>
    <x v="1"/>
    <x v="23"/>
    <m/>
    <s v="CO"/>
    <m/>
    <d v="2026-03-25T10:45:00"/>
    <d v="2026-03-25T08:00:00"/>
    <d v="2026-03-25T13:00:00"/>
    <d v="2026-03-25T10:45:16"/>
    <d v="2026-03-25T12:45:55"/>
    <m/>
    <x v="19"/>
    <s v="PEREZ Y CARDONA"/>
    <s v="(Vacante) Jonathan De Jesús Salcedo Arango"/>
    <s v="Juan Camilo Garcia Anaya La Gloria / CO"/>
    <m/>
    <m/>
    <m/>
    <m/>
    <n v="0"/>
    <m/>
    <m/>
    <s v="CO"/>
    <m/>
    <m/>
    <m/>
    <x v="2"/>
  </r>
  <r>
    <s v="190163"/>
    <s v="Completado"/>
    <s v="Evento especial jornada de adopción Eafit"/>
    <s v="1400278"/>
    <s v="PYC PECUARIA GENERICO"/>
    <x v="0"/>
    <x v="22"/>
    <m/>
    <s v="05001 MEDELLÍN / CO"/>
    <s v="ANTIOQUIA"/>
    <d v="2026-03-25T08:14:41"/>
    <d v="2026-03-25T08:00:00"/>
    <d v="2026-03-25T11:30:00"/>
    <d v="2026-03-25T08:14:48"/>
    <d v="2026-03-25T14:12:48"/>
    <m/>
    <x v="12"/>
    <s v="PEREZ Y CARDONA"/>
    <s v="Manuela Valencia Patiño"/>
    <s v="PYC PECUARIA GENERICO / 05001 MEDELLÍN / CO"/>
    <m/>
    <m/>
    <m/>
    <m/>
    <n v="0"/>
    <m/>
    <m/>
    <s v="05001 MEDELLÍN"/>
    <s v="ANTIOQUIA"/>
    <s v="MEDELLÍN"/>
    <m/>
    <x v="2"/>
  </r>
  <r>
    <s v="188554"/>
    <s v="Completado"/>
    <s v="Sorteo de la moto y rueda de negocios sumitomo"/>
    <s v="1333635"/>
    <s v="COOPERATIVA AGROMULTIACTIVA SAN BARTOLO COMSAB"/>
    <x v="0"/>
    <x v="2"/>
    <m/>
    <s v="DG 53 53 47 / 05034 ANDES / CO"/>
    <s v="ANTIOQUIA"/>
    <d v="2026-03-12T18:05:30"/>
    <d v="2026-03-24T08:00:00"/>
    <d v="2026-03-24T18:00:00"/>
    <d v="2026-03-24T14:26:17"/>
    <d v="2026-03-25T15:49:34"/>
    <m/>
    <x v="1"/>
    <s v="PEREZ Y CARDONA"/>
    <s v="Sara Ruíz Restrepo"/>
    <s v="COOPERATIVA AGROMULTIACTIVA SAN BARTOLO COMSAB / DG 53 53 47 / 05034 ANDES / CO"/>
    <m/>
    <m/>
    <m/>
    <m/>
    <n v="0"/>
    <m/>
    <m/>
    <s v="DG 53 53 47 / 05034 ANDES"/>
    <s v="ANTIOQUIA"/>
    <s v="ANDES"/>
    <m/>
    <x v="2"/>
  </r>
  <r>
    <s v="190100"/>
    <s v="Completado"/>
    <s v="Charla con federación"/>
    <s v="1538030"/>
    <s v="GABRIEL JAIME POSADA POSADA FINCA EL TAMBO"/>
    <x v="1"/>
    <x v="1"/>
    <m/>
    <s v="VRD EL TAMBO SANTA RITA / 05034 ANDES / CO"/>
    <s v="ANTIOQUIA"/>
    <d v="2026-03-24T18:47:57"/>
    <d v="2026-03-25T08:00:00"/>
    <d v="2026-03-25T13:00:00"/>
    <d v="2026-03-26T21:25:09"/>
    <d v="2026-03-26T21:27:13"/>
    <m/>
    <x v="1"/>
    <s v="PEREZ Y CARDONA"/>
    <s v="(vacante) Alex García Moncada"/>
    <s v="GABRIEL JAIME POSADA POSADA FINCA EL TAMBO / VRD EL TAMBO SANTA RITA / 05034 ANDES / CO"/>
    <m/>
    <m/>
    <s v="DANTOTSU X 500 GR#|METROPOL SC X LT#|FLUMYZIN X 1 LT#"/>
    <m/>
    <n v="0"/>
    <m/>
    <m/>
    <s v="VRD EL TAMBO SANTA RITA / 05034 ANDES"/>
    <s v="ANTIOQUIA"/>
    <s v="ANDES"/>
    <m/>
    <x v="2"/>
  </r>
  <r>
    <s v="190692"/>
    <s v="Completado"/>
    <s v="Revisando famigacion foliar"/>
    <s v="1581734"/>
    <s v="Juan Camilo Garcia Anaya La Gloria"/>
    <x v="1"/>
    <x v="23"/>
    <m/>
    <s v="CO"/>
    <m/>
    <d v="2026-03-27T13:51:27"/>
    <d v="2026-03-27T08:30:00"/>
    <d v="2026-03-27T13:30:00"/>
    <d v="2026-03-27T13:51:41"/>
    <d v="2026-03-27T13:52:50"/>
    <s v="Se finalizó la aplicación de foliar de GibBro, Bingo y Go Up, se reviso el avance del crecimiento del pasto y si no se encontraba ningún gusano"/>
    <x v="19"/>
    <s v="PEREZ Y CARDONA"/>
    <s v="(Vacante) Jonathan De Jesús Salcedo Arango"/>
    <s v="Juan Camilo Garcia Anaya La Gloria / CO"/>
    <m/>
    <m/>
    <m/>
    <m/>
    <n v="0"/>
    <m/>
    <m/>
    <s v="CO"/>
    <m/>
    <m/>
    <m/>
    <x v="2"/>
  </r>
  <r>
    <s v="188899"/>
    <s v="Completado"/>
    <s v="Reunion charla asocomunal"/>
    <s v="1401434"/>
    <s v="AGRICOLA ANTIOQUIA GENERICO"/>
    <x v="0"/>
    <x v="28"/>
    <m/>
    <s v="VRD LAS LAJAS / 05615 RIONEGRO / CO"/>
    <s v="ANTIOQUIA"/>
    <d v="2026-03-16T15:04:50"/>
    <d v="2026-03-28T08:00:00"/>
    <d v="2026-03-28T13:00:00"/>
    <d v="2026-03-28T10:16:40"/>
    <d v="2026-03-28T18:58:17"/>
    <m/>
    <x v="23"/>
    <s v="PEREZ Y CARDONA"/>
    <s v="Marcela Ramirez Ramirez"/>
    <s v="AGRICOLA ANTIOQUIA GENERICO / VRD LAS LAJAS / 05615 RIONEGRO / CO"/>
    <m/>
    <m/>
    <m/>
    <m/>
    <n v="0"/>
    <m/>
    <m/>
    <s v="VRD LAS LAJAS / 05615 RIONEGRO"/>
    <s v="ANTIOQUIA"/>
    <s v="RIONEGRO"/>
    <m/>
    <x v="2"/>
  </r>
  <r>
    <s v="190748"/>
    <s v="Completado"/>
    <s v="Charla tecnica agricultores zetaquira"/>
    <s v="1495486"/>
    <s v="VARGAS TENJO NIDIA MAYERLIN AGRODIS SEDE ZETAQUIRA"/>
    <x v="0"/>
    <x v="29"/>
    <m/>
    <s v="Carrera 2#2-60 / 15897 ZETAQUIRA / CO"/>
    <s v="BOYACA"/>
    <d v="2026-03-29T21:41:53"/>
    <d v="2026-03-30T10:00:00"/>
    <d v="2026-03-30T15:30:00"/>
    <d v="2026-03-30T10:12:27"/>
    <d v="2026-03-30T15:30:51"/>
    <s v="Se realizo reuniom con 25 agricultores donde se expuso el portafolio se toman datos para reali,ar visitas en campo"/>
    <x v="21"/>
    <s v="GALAGRO"/>
    <s v="Julio Andrés Cuspoca Martínez"/>
    <s v="VARGAS TENJO NIDIA MAYERLIN AGRODIS SEDE ZETAQUIRA / Carrera 2#2-60 / 15897 ZETAQUIRA / CO"/>
    <m/>
    <m/>
    <m/>
    <m/>
    <n v="0"/>
    <m/>
    <m/>
    <s v="Carrera 2#2-60 / 15897 ZETAQUIRA"/>
    <s v="BOYACA"/>
    <s v="ZETAQUIRA"/>
    <m/>
    <x v="2"/>
  </r>
  <r>
    <s v="182770"/>
    <s v="Completado"/>
    <s v="REUNION CON AGRICULTORES DE CAFE ZONA NORTE DEL VALLE"/>
    <s v="1400070"/>
    <s v="GALAGRO NACIONAL GENERICO"/>
    <x v="0"/>
    <x v="30"/>
    <m/>
    <s v="41551 PITALITO / CO"/>
    <s v="HUILA"/>
    <d v="2026-02-04T23:29:43"/>
    <d v="2026-02-05T16:30:00"/>
    <d v="2026-02-05T18:30:00"/>
    <d v="2026-02-05T16:30:00"/>
    <d v="2026-02-05T18:30:00"/>
    <m/>
    <x v="6"/>
    <s v="GALAGRO"/>
    <s v="César Augusto Escarria Reyes"/>
    <s v="GALAGRO NACIONAL GENERICO / CO"/>
    <m/>
    <m/>
    <m/>
    <m/>
    <n v="0"/>
    <m/>
    <m/>
    <s v="CO"/>
    <s v="HUILA"/>
    <s v="PITALITO"/>
    <m/>
    <x v="1"/>
  </r>
  <r>
    <s v="185543"/>
    <s v="Completado"/>
    <s v="Reunion con agricultores en el Municipio de Belen de Umbria"/>
    <s v="1400070"/>
    <s v="GALAGRO NACIONAL GENERICO"/>
    <x v="0"/>
    <x v="31"/>
    <m/>
    <s v="41551 PITALITO / CO"/>
    <s v="HUILA"/>
    <d v="2026-02-22T20:06:25"/>
    <d v="2026-02-25T14:00:00"/>
    <d v="2026-02-25T17:00:00"/>
    <d v="2026-02-25T14:00:00"/>
    <d v="2026-02-25T17:00:00"/>
    <s v="Reunión con agricultores del Municipio de Belén de Umbría con el objetivo de mostrar casos de éxito y resultados y poder crear nuevas oportunidades"/>
    <x v="6"/>
    <s v="GALAGRO"/>
    <s v="Sebastián Zapata Gutiérrez"/>
    <s v="GALAGRO NACIONAL GENERICO / 41551 PITALITO / CO"/>
    <m/>
    <m/>
    <m/>
    <m/>
    <n v="0"/>
    <m/>
    <m/>
    <s v="41551 PITALITO"/>
    <s v="HUILA"/>
    <s v="PITALITO"/>
    <m/>
    <x v="1"/>
  </r>
  <r>
    <s v="182288"/>
    <s v="Completado"/>
    <s v="Visita de campo a parcela demostrativa / Quindio"/>
    <s v="1400070"/>
    <s v="GALAGRO NACIONAL GENERICO"/>
    <x v="1"/>
    <x v="31"/>
    <m/>
    <s v="41551 PITALITO / CO"/>
    <s v="HUILA"/>
    <d v="2026-02-02T09:26:42"/>
    <d v="2026-02-03T08:00:00"/>
    <d v="2026-02-03T16:00:00"/>
    <d v="2026-02-03T08:00:00"/>
    <d v="2026-02-03T16:00:00"/>
    <s v="Visita de campo junto al equipo galagro y plaguex con el objetivo de observar parcela demostrativa con manejo camporigen - Uvio"/>
    <x v="6"/>
    <s v="GALAGRO"/>
    <s v="Sebastián Zapata Gutiérrez"/>
    <s v="GALAGRO NACIONAL GENERICO / CO"/>
    <m/>
    <m/>
    <m/>
    <m/>
    <n v="0"/>
    <m/>
    <m/>
    <s v="CO"/>
    <s v="HUILA"/>
    <s v="PITALITO"/>
    <m/>
    <x v="1"/>
  </r>
  <r>
    <s v="189353"/>
    <s v="Completado"/>
    <s v="ASAMBLEA DE AFILIADOS AGROCOLANTA"/>
    <s v="1339148"/>
    <s v="COOPERATIVA COLANTA COOPERATIVA COLANTA"/>
    <x v="0"/>
    <x v="32"/>
    <m/>
    <s v="CR 46 37 63 / 05001 MEDELLIN / CO"/>
    <s v="ANTIOQUIA"/>
    <d v="2026-03-18T05:33:56"/>
    <d v="2026-03-17T22:00:00"/>
    <d v="2026-03-18T22:00:00"/>
    <d v="2026-03-17T22:00:00"/>
    <d v="2026-03-18T22:00:00"/>
    <m/>
    <x v="11"/>
    <s v="PEREZ Y CARDONA"/>
    <s v="Juan Felipe Botero Gómez"/>
    <s v="COOPERATIVA COLANTA COOPERATIVA COLANTA / CR 46 37 63 / 05001 MEDELLIN / CO"/>
    <m/>
    <m/>
    <m/>
    <m/>
    <n v="0"/>
    <m/>
    <m/>
    <s v="CR 46 37 63 / 05001 MEDELLIN"/>
    <s v="ANTIOQUIA"/>
    <s v="MEDELLIN"/>
    <m/>
    <x v="2"/>
  </r>
  <r>
    <s v="183816"/>
    <s v="Completado"/>
    <s v="Gira técnica Camporigen Uvio norte"/>
    <s v="1400707"/>
    <s v="GALAGRO ANTIOQUIA GENERICO"/>
    <x v="0"/>
    <x v="5"/>
    <m/>
    <s v="05541 PEÑOL / CO"/>
    <s v="ANTIOQUIA"/>
    <d v="2026-02-11T16:23:54"/>
    <d v="2026-02-11T08:00:00"/>
    <d v="2026-02-11T18:00:00"/>
    <d v="2026-02-11T08:00:00"/>
    <d v="2026-02-11T18:00:00"/>
    <m/>
    <x v="9"/>
    <s v="GALAGRO"/>
    <s v="Juan David Rojas Rivera"/>
    <s v="GALAGRO ANTIOQUIA GENERICO / 05541 PEÑOL / CO"/>
    <m/>
    <m/>
    <m/>
    <m/>
    <n v="0"/>
    <m/>
    <m/>
    <s v="05541 PEÑOL"/>
    <s v="ANTIOQUIA"/>
    <s v="PEÑOL"/>
    <m/>
    <x v="1"/>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m/>
    <x v="0"/>
    <m/>
    <m/>
    <m/>
    <m/>
    <m/>
    <m/>
    <m/>
  </r>
  <r>
    <s v="Yuri Andrea Garro Sánchez"/>
    <x v="1"/>
    <s v="DIR GALAGRO ANTIOQUIA"/>
    <s v="GALAGRO"/>
    <n v="14"/>
    <n v="84"/>
    <n v="98"/>
    <n v="840"/>
    <n v="84"/>
  </r>
  <r>
    <s v="Yeison Antonio Arenilla Diaz"/>
    <x v="2"/>
    <s v="RC GALAGRO BAJO CAUCA"/>
    <s v="GALAGRO"/>
    <n v="0.5"/>
    <n v="3"/>
    <n v="3.5"/>
    <n v="30"/>
    <n v="3"/>
  </r>
  <r>
    <s v="Karen Paola Hernández Pacheco"/>
    <x v="3"/>
    <s v="RTC GALAGRO CORDOBA"/>
    <s v="GALAGRO"/>
    <n v="0.5"/>
    <n v="3"/>
    <n v="3.5"/>
    <n v="30"/>
    <n v="3"/>
  </r>
  <r>
    <s v="Stefanía Builes Rodríguez"/>
    <x v="4"/>
    <s v="RTC GALAGRO URABA"/>
    <s v="GALAGRO"/>
    <n v="1"/>
    <n v="6"/>
    <n v="7"/>
    <n v="60"/>
    <n v="6"/>
  </r>
  <r>
    <s v="(vacante) Maria Alejandra Duque Laverde"/>
    <x v="5"/>
    <s v="PROMOTOR GALAGRO NORDESTE ANT"/>
    <s v="GALAGRO"/>
    <n v="0.5"/>
    <n v="3"/>
    <n v="3.5"/>
    <n v="30"/>
    <n v="3"/>
  </r>
  <r>
    <s v="Luisa Fernanda Quiceno Restrepo"/>
    <x v="6"/>
    <s v="RC GALAGRO NORTE ANT"/>
    <s v="GALAGRO"/>
    <n v="1"/>
    <n v="6"/>
    <n v="7"/>
    <n v="60"/>
    <n v="6"/>
  </r>
  <r>
    <s v="Norbey Fernando Montoya Grajales"/>
    <x v="7"/>
    <s v="RC GALAGRO ORIENTE B ANT"/>
    <s v="GALAGRO"/>
    <n v="1"/>
    <n v="6"/>
    <n v="7"/>
    <n v="60"/>
    <n v="6"/>
  </r>
  <r>
    <s v="Katherine Bedoya Rodas"/>
    <x v="8"/>
    <s v="RC GALAGRO VALLE DE ABURRA"/>
    <s v="GALAGRO"/>
    <n v="1"/>
    <n v="6"/>
    <n v="7"/>
    <n v="60"/>
    <n v="6"/>
  </r>
  <r>
    <s v="Geovanny Andres Monsalve Garcia"/>
    <x v="9"/>
    <s v="RC GALAGRO ORIENTE A ANT"/>
    <s v="GALAGRO"/>
    <n v="1"/>
    <n v="6"/>
    <n v="7"/>
    <n v="60"/>
    <n v="6"/>
  </r>
  <r>
    <s v="Mónica Lucero Valencia Montoya"/>
    <x v="10"/>
    <s v="RC GALAGRO SUROESTE ANT"/>
    <s v="GALAGRO"/>
    <n v="1"/>
    <n v="6"/>
    <n v="7"/>
    <n v="60"/>
    <n v="6"/>
  </r>
  <r>
    <s v="(Vacante) Karen Paola Hernandez Pacheco"/>
    <x v="3"/>
    <s v="PROMOTOR GALAGRO CORDOBA"/>
    <s v="GALAGRO"/>
    <n v="0.5"/>
    <n v="3"/>
    <n v="3.5"/>
    <n v="30"/>
    <n v="3"/>
  </r>
  <r>
    <s v="Miguel Andrés León Díaz"/>
    <x v="6"/>
    <s v="PROMOTOR GALAGRO NORTE ANT"/>
    <s v="GALAGRO"/>
    <n v="1"/>
    <n v="6"/>
    <n v="7"/>
    <n v="60"/>
    <n v="6"/>
  </r>
  <r>
    <s v="Estefania Osorio Usuga"/>
    <x v="11"/>
    <s v="PROMOTOR GALAGRO VALLE DE ABURRA"/>
    <s v="GALAGRO"/>
    <n v="0.5"/>
    <n v="3"/>
    <n v="3.5"/>
    <n v="30"/>
    <n v="3"/>
  </r>
  <r>
    <s v="Alexander Marulanda Vera"/>
    <x v="9"/>
    <s v="PROMOTOR GALAGRO ORIENTE A ANT"/>
    <s v="GALAGRO"/>
    <n v="1"/>
    <n v="6"/>
    <n v="7"/>
    <n v="60"/>
    <n v="6"/>
  </r>
  <r>
    <s v="Brarlyn Steven Garcia Castro"/>
    <x v="7"/>
    <s v="PROMOTOR GALAGRO ORIENTE B ANT"/>
    <s v="GALAGRO"/>
    <n v="1"/>
    <n v="6"/>
    <n v="7"/>
    <n v="60"/>
    <n v="6"/>
  </r>
  <r>
    <s v="John Álvaro Correa Castaño"/>
    <x v="10"/>
    <s v="PROMOTOR GALAGRO SUROESTE ANT"/>
    <s v="GALAGRO"/>
    <n v="1"/>
    <n v="6"/>
    <n v="7"/>
    <n v="60"/>
    <n v="6"/>
  </r>
  <r>
    <s v="(Vacante) José Eliécer Borja David"/>
    <x v="4"/>
    <s v="PROMOTOR GALAGRO URABA"/>
    <s v="GALAGRO"/>
    <n v="1"/>
    <n v="6"/>
    <n v="7"/>
    <n v="60"/>
    <n v="6"/>
  </r>
  <r>
    <s v="Estefania Osorio Usuga"/>
    <x v="8"/>
    <s v="PROMOTOR GALAGRO VALLE DE ABURRA"/>
    <s v="GALAGRO"/>
    <n v="0.5"/>
    <n v="3"/>
    <n v="3.5"/>
    <n v="30"/>
    <n v="3"/>
  </r>
  <r>
    <m/>
    <x v="0"/>
    <m/>
    <m/>
    <m/>
    <m/>
    <m/>
    <m/>
    <m/>
  </r>
  <r>
    <m/>
    <x v="0"/>
    <m/>
    <m/>
    <m/>
    <m/>
    <m/>
    <m/>
    <m/>
  </r>
  <r>
    <m/>
    <x v="0"/>
    <m/>
    <m/>
    <m/>
    <m/>
    <m/>
    <m/>
    <m/>
  </r>
  <r>
    <m/>
    <x v="0"/>
    <m/>
    <m/>
    <m/>
    <m/>
    <m/>
    <m/>
    <m/>
  </r>
  <r>
    <m/>
    <x v="0"/>
    <m/>
    <m/>
    <m/>
    <m/>
    <m/>
    <m/>
    <m/>
  </r>
  <r>
    <m/>
    <x v="0"/>
    <m/>
    <m/>
    <m/>
    <m/>
    <m/>
    <m/>
    <m/>
  </r>
  <r>
    <m/>
    <x v="0"/>
    <m/>
    <m/>
    <m/>
    <m/>
    <m/>
    <m/>
    <m/>
  </r>
  <r>
    <m/>
    <x v="0"/>
    <m/>
    <m/>
    <m/>
    <m/>
    <m/>
    <m/>
    <m/>
  </r>
  <r>
    <m/>
    <x v="0"/>
    <m/>
    <m/>
    <m/>
    <m/>
    <m/>
    <m/>
    <m/>
  </r>
  <r>
    <m/>
    <x v="0"/>
    <m/>
    <m/>
    <m/>
    <m/>
    <m/>
    <m/>
    <m/>
  </r>
  <r>
    <m/>
    <x v="0"/>
    <m/>
    <m/>
    <m/>
    <m/>
    <m/>
    <m/>
    <m/>
  </r>
  <r>
    <m/>
    <x v="0"/>
    <m/>
    <m/>
    <m/>
    <m/>
    <m/>
    <m/>
    <m/>
  </r>
  <r>
    <m/>
    <x v="0"/>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5B1475-AE32-47CB-B604-EECFBAF4BDB4}" name="TablaDinámica1" cacheId="3" applyNumberFormats="0" applyBorderFormats="0" applyFontFormats="0" applyPatternFormats="0" applyAlignmentFormats="0" applyWidthHeightFormats="1" dataCaption="Valores" updatedVersion="8" minRefreshableVersion="3" useAutoFormatting="1" itemPrintTitles="1" createdVersion="8" indent="0" compact="0" compactData="0" gridDropZones="1" multipleFieldFilters="0">
  <location ref="I1:K15" firstHeaderRow="1" firstDataRow="2" firstDataCol="1"/>
  <pivotFields count="9">
    <pivotField compact="0" outline="0" showAll="0" defaultSubtotal="0">
      <extLst>
        <ext xmlns:x14="http://schemas.microsoft.com/office/spreadsheetml/2009/9/main" uri="{2946ED86-A175-432a-8AC1-64E0C546D7DE}">
          <x14:pivotField fillDownLabels="1"/>
        </ext>
      </extLst>
    </pivotField>
    <pivotField axis="axisRow" compact="0" outline="0" showAll="0">
      <items count="22">
        <item m="1" x="12"/>
        <item m="1" x="13"/>
        <item m="1" x="14"/>
        <item m="1" x="15"/>
        <item m="1" x="16"/>
        <item m="1" x="17"/>
        <item m="1" x="18"/>
        <item m="1" x="19"/>
        <item m="1" x="20"/>
        <item x="0"/>
        <item x="1"/>
        <item x="2"/>
        <item x="3"/>
        <item x="4"/>
        <item x="5"/>
        <item x="6"/>
        <item x="7"/>
        <item x="8"/>
        <item x="9"/>
        <item x="10"/>
        <item x="11"/>
        <item t="default"/>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1"/>
  </rowFields>
  <rowItems count="13">
    <i>
      <x v="9"/>
    </i>
    <i>
      <x v="10"/>
    </i>
    <i>
      <x v="11"/>
    </i>
    <i>
      <x v="12"/>
    </i>
    <i>
      <x v="13"/>
    </i>
    <i>
      <x v="14"/>
    </i>
    <i>
      <x v="15"/>
    </i>
    <i>
      <x v="16"/>
    </i>
    <i>
      <x v="17"/>
    </i>
    <i>
      <x v="18"/>
    </i>
    <i>
      <x v="19"/>
    </i>
    <i>
      <x v="20"/>
    </i>
    <i t="grand">
      <x/>
    </i>
  </rowItems>
  <colFields count="1">
    <field x="-2"/>
  </colFields>
  <colItems count="2">
    <i>
      <x/>
    </i>
    <i i="1">
      <x v="1"/>
    </i>
  </colItems>
  <dataFields count="2">
    <dataField name="Suma de Meta hectareas" fld="7" baseField="0" baseItem="0"/>
    <dataField name="Suma de cultivo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38A898-E09B-4D42-80AB-1790B05238FC}" name="TablaDinámica2" cacheId="2" applyNumberFormats="0" applyBorderFormats="0" applyFontFormats="0" applyPatternFormats="0" applyAlignmentFormats="0" applyWidthHeightFormats="1" dataCaption="Valores" updatedVersion="8" minRefreshableVersion="3" useAutoFormatting="1" itemPrintTitles="1" createdVersion="8" indent="0" compact="0" compactData="0" gridDropZones="1" multipleFieldFilters="0">
  <location ref="AH1:AL54" firstHeaderRow="2" firstDataRow="2" firstDataCol="4"/>
  <pivotFields count="32">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1"/>
        <item x="0"/>
        <item x="2"/>
      </items>
      <extLst>
        <ext xmlns:x14="http://schemas.microsoft.com/office/spreadsheetml/2009/9/main" uri="{2946ED86-A175-432a-8AC1-64E0C546D7DE}">
          <x14:pivotField fillDownLabels="1"/>
        </ext>
      </extLst>
    </pivotField>
    <pivotField axis="axisRow" compact="0" outline="0" showAll="0" defaultSubtotal="0">
      <items count="34">
        <item x="1"/>
        <item x="23"/>
        <item x="32"/>
        <item x="27"/>
        <item x="13"/>
        <item x="17"/>
        <item x="26"/>
        <item x="3"/>
        <item x="16"/>
        <item x="28"/>
        <item x="2"/>
        <item x="0"/>
        <item x="4"/>
        <item x="5"/>
        <item x="6"/>
        <item x="7"/>
        <item x="8"/>
        <item x="9"/>
        <item x="10"/>
        <item x="11"/>
        <item x="12"/>
        <item x="14"/>
        <item x="15"/>
        <item x="18"/>
        <item x="19"/>
        <item x="20"/>
        <item x="21"/>
        <item x="22"/>
        <item x="24"/>
        <item x="25"/>
        <item x="29"/>
        <item x="30"/>
        <item x="31"/>
        <item x="33"/>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8" outline="0" showAll="0">
      <extLst>
        <ext xmlns:x14="http://schemas.microsoft.com/office/spreadsheetml/2009/9/main" uri="{2946ED86-A175-432a-8AC1-64E0C546D7DE}">
          <x14:pivotField fillDownLabels="1"/>
        </ext>
      </extLst>
    </pivotField>
    <pivotField compact="0" numFmtId="168" outline="0" showAll="0">
      <extLst>
        <ext xmlns:x14="http://schemas.microsoft.com/office/spreadsheetml/2009/9/main" uri="{2946ED86-A175-432a-8AC1-64E0C546D7DE}">
          <x14:pivotField fillDownLabels="1"/>
        </ext>
      </extLst>
    </pivotField>
    <pivotField compact="0" numFmtId="168" outline="0" showAll="0">
      <extLst>
        <ext xmlns:x14="http://schemas.microsoft.com/office/spreadsheetml/2009/9/main" uri="{2946ED86-A175-432a-8AC1-64E0C546D7DE}">
          <x14:pivotField fillDownLabels="1"/>
        </ext>
      </extLst>
    </pivotField>
    <pivotField compact="0" numFmtId="168" outline="0" showAll="0">
      <extLst>
        <ext xmlns:x14="http://schemas.microsoft.com/office/spreadsheetml/2009/9/main" uri="{2946ED86-A175-432a-8AC1-64E0C546D7DE}">
          <x14:pivotField fillDownLabels="1"/>
        </ext>
      </extLst>
    </pivotField>
    <pivotField compact="0" numFmtId="168"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25">
        <item x="19"/>
        <item x="23"/>
        <item x="2"/>
        <item x="11"/>
        <item x="1"/>
        <item x="14"/>
        <item x="0"/>
        <item x="3"/>
        <item x="4"/>
        <item x="5"/>
        <item x="6"/>
        <item x="7"/>
        <item x="8"/>
        <item x="9"/>
        <item x="10"/>
        <item x="12"/>
        <item x="13"/>
        <item x="15"/>
        <item x="16"/>
        <item x="17"/>
        <item x="18"/>
        <item x="20"/>
        <item x="21"/>
        <item x="22"/>
        <item x="24"/>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4">
        <item x="0"/>
        <item x="1"/>
        <item x="2"/>
        <item x="3"/>
      </items>
      <extLst>
        <ext xmlns:x14="http://schemas.microsoft.com/office/spreadsheetml/2009/9/main" uri="{2946ED86-A175-432a-8AC1-64E0C546D7DE}">
          <x14:pivotField fillDownLabels="1"/>
        </ext>
      </extLst>
    </pivotField>
  </pivotFields>
  <rowFields count="4">
    <field x="16"/>
    <field x="31"/>
    <field x="6"/>
    <field x="5"/>
  </rowFields>
  <rowItems count="52">
    <i>
      <x/>
      <x v="1"/>
      <x v="1"/>
      <x/>
    </i>
    <i r="1">
      <x v="2"/>
      <x v="1"/>
      <x/>
    </i>
    <i r="2">
      <x v="6"/>
      <x v="1"/>
    </i>
    <i>
      <x v="1"/>
      <x v="2"/>
      <x v="3"/>
      <x v="1"/>
    </i>
    <i r="2">
      <x v="9"/>
      <x v="1"/>
    </i>
    <i>
      <x v="2"/>
      <x/>
      <x v="7"/>
      <x v="1"/>
    </i>
    <i>
      <x v="3"/>
      <x v="1"/>
      <x v="4"/>
      <x v="1"/>
    </i>
    <i r="1">
      <x v="2"/>
      <x v="2"/>
      <x v="1"/>
    </i>
    <i>
      <x v="4"/>
      <x/>
      <x/>
      <x v="1"/>
    </i>
    <i r="1">
      <x v="1"/>
      <x/>
      <x v="1"/>
    </i>
    <i r="2">
      <x v="5"/>
      <x v="1"/>
    </i>
    <i r="2">
      <x v="10"/>
      <x v="1"/>
    </i>
    <i r="1">
      <x v="2"/>
      <x/>
      <x/>
    </i>
    <i r="3">
      <x v="1"/>
    </i>
    <i r="2">
      <x v="10"/>
      <x v="1"/>
    </i>
    <i>
      <x v="5"/>
      <x v="1"/>
      <x v="8"/>
      <x/>
    </i>
    <i r="1">
      <x v="2"/>
      <x v="8"/>
      <x v="1"/>
    </i>
    <i>
      <x v="6"/>
      <x/>
      <x v="11"/>
      <x v="1"/>
    </i>
    <i r="1">
      <x v="1"/>
      <x v="11"/>
      <x v="1"/>
    </i>
    <i>
      <x v="7"/>
      <x v="1"/>
      <x v="12"/>
      <x/>
    </i>
    <i>
      <x v="8"/>
      <x v="1"/>
      <x v="13"/>
      <x v="1"/>
    </i>
    <i r="1">
      <x v="2"/>
      <x v="13"/>
      <x v="1"/>
    </i>
    <i>
      <x v="9"/>
      <x v="1"/>
      <x v="14"/>
      <x/>
    </i>
    <i r="3">
      <x v="1"/>
    </i>
    <i r="1">
      <x v="2"/>
      <x v="14"/>
      <x v="1"/>
    </i>
    <i>
      <x v="10"/>
      <x v="1"/>
      <x v="15"/>
      <x v="1"/>
    </i>
    <i r="2">
      <x v="17"/>
      <x/>
    </i>
    <i r="2">
      <x v="31"/>
      <x v="1"/>
    </i>
    <i r="2">
      <x v="32"/>
      <x/>
    </i>
    <i r="3">
      <x v="1"/>
    </i>
    <i>
      <x v="11"/>
      <x/>
      <x v="16"/>
      <x v="1"/>
    </i>
    <i r="1">
      <x v="1"/>
      <x v="20"/>
      <x/>
    </i>
    <i>
      <x v="12"/>
      <x v="1"/>
      <x v="18"/>
      <x v="1"/>
    </i>
    <i>
      <x v="13"/>
      <x v="1"/>
      <x v="13"/>
      <x v="1"/>
    </i>
    <i>
      <x v="14"/>
      <x v="1"/>
      <x v="19"/>
      <x/>
    </i>
    <i r="3">
      <x v="1"/>
    </i>
    <i>
      <x v="15"/>
      <x v="1"/>
      <x v="21"/>
      <x v="1"/>
    </i>
    <i r="2">
      <x v="27"/>
      <x v="1"/>
    </i>
    <i r="1">
      <x v="2"/>
      <x v="27"/>
      <x v="1"/>
    </i>
    <i>
      <x v="16"/>
      <x v="1"/>
      <x v="22"/>
      <x v="1"/>
    </i>
    <i r="1">
      <x v="2"/>
      <x v="22"/>
      <x/>
    </i>
    <i r="3">
      <x v="1"/>
    </i>
    <i>
      <x v="17"/>
      <x v="1"/>
      <x v="23"/>
      <x/>
    </i>
    <i>
      <x v="18"/>
      <x v="1"/>
      <x v="24"/>
      <x v="1"/>
    </i>
    <i>
      <x v="19"/>
      <x v="1"/>
      <x v="25"/>
      <x v="1"/>
    </i>
    <i>
      <x v="20"/>
      <x v="1"/>
      <x v="26"/>
      <x v="1"/>
    </i>
    <i>
      <x v="21"/>
      <x v="1"/>
      <x v="28"/>
      <x v="1"/>
    </i>
    <i>
      <x v="22"/>
      <x v="2"/>
      <x v="29"/>
      <x v="1"/>
    </i>
    <i r="2">
      <x v="30"/>
      <x v="1"/>
    </i>
    <i>
      <x v="23"/>
      <x v="2"/>
      <x v="13"/>
      <x v="1"/>
    </i>
    <i>
      <x v="24"/>
      <x v="3"/>
      <x v="33"/>
      <x v="2"/>
    </i>
    <i t="grand">
      <x/>
    </i>
  </rowItems>
  <colItems count="1">
    <i/>
  </colItems>
  <dataFields count="1">
    <dataField name="Cuenta de ID de cliente" fld="3" subtotal="count" baseField="0" baseItem="0"/>
  </dataFields>
  <formats count="2">
    <format dxfId="73">
      <pivotArea dataOnly="0" labelOnly="1" outline="0" fieldPosition="0">
        <references count="1">
          <reference field="5" count="0"/>
        </references>
      </pivotArea>
    </format>
    <format dxfId="7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8">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66533CA-2EAE-423E-8947-9F7A85A9F12D}" name="Tabla18" displayName="Tabla18" ref="A1:L84" totalsRowShown="0" headerRowDxfId="94" dataDxfId="92" headerRowBorderDxfId="93">
  <autoFilter ref="A1:L84" xr:uid="{F66533CA-2EAE-423E-8947-9F7A85A9F12D}">
    <filterColumn colId="1">
      <filters>
        <filter val="Estefania Osorio Usuga"/>
      </filters>
    </filterColumn>
  </autoFilter>
  <tableColumns count="12">
    <tableColumn id="1" xr3:uid="{E9348DC1-25D7-43E5-BCFF-71C4622EB90B}" name="Territorio" dataDxfId="91"/>
    <tableColumn id="2" xr3:uid="{8E79968D-7ECA-43E1-AE07-7740085AE709}" name="Empleado"/>
    <tableColumn id="3" xr3:uid="{E7690C2C-E812-4847-92D3-C90DEE2C0358}" name="Meta Cobertura y Visitas" dataDxfId="90"/>
    <tableColumn id="4" xr3:uid="{1990EBAB-C140-4702-89E4-0210A42BDF28}" name="Clientes Visitados" dataDxfId="89"/>
    <tableColumn id="5" xr3:uid="{FEFE6C55-012C-472F-90D2-374E9253BFD3}" name="Cobertura Clientes" dataDxfId="88"/>
    <tableColumn id="6" xr3:uid="{CEE55799-E1C0-4894-8A3B-8E97797F8957}" name="Cant. Visitas" dataDxfId="87"/>
    <tableColumn id="7" xr3:uid="{44248436-EB0E-4951-BE18-7CD69A853D5B}" name="Ejec. Visitas" dataDxfId="86"/>
    <tableColumn id="8" xr3:uid="{B0AF98ED-B02B-40DC-8BBF-AB14BED7E5E6}" name="Meta Clientes Recuperar" dataDxfId="85"/>
    <tableColumn id="9" xr3:uid="{F4D241E2-89DE-4396-AA3E-9607A94D1007}" name="Cant. Clientes Nuevos" dataDxfId="84"/>
    <tableColumn id="10" xr3:uid="{9923A0F6-34C0-4406-B19A-47A0F5C8C4CC}" name="Ejec. Clientes Nuevos" dataDxfId="83"/>
    <tableColumn id="11" xr3:uid="{746C9D0E-041D-4F0E-B222-F2CD91CCF732}" name="Mes" dataDxfId="82"/>
    <tableColumn id="12" xr3:uid="{C611E80B-3B1E-47C0-8683-606895341A7D}" name="METAVISITAS" dataDxfId="81">
      <calculatedColumnFormula>Tabla18[[#This Row],[Meta Cobertura y Visitas]]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F62060A-8044-4FB5-BC54-FC067AD7F869}" name="Tabla19" displayName="Tabla19" ref="A1:G34" totalsRowShown="0" headerRowBorderDxfId="80">
  <tableColumns count="7">
    <tableColumn id="1" xr3:uid="{433744F4-DD42-4C17-8F05-529E92D5D953}" name="Unidad de Negocio" dataDxfId="79"/>
    <tableColumn id="2" xr3:uid="{E1D0EC93-7309-4D8A-BDDF-ADADE17FDE5E}" name="des_territorio" dataDxfId="78"/>
    <tableColumn id="3" xr3:uid="{5F651759-1627-4D2C-B3FF-3D28EEA73A26}" name="atr_desc_empleado" dataDxfId="77">
      <calculatedColumnFormula>VLOOKUP(Tabla19[[#This Row],[des_territorio]],I17:J33,2,0)</calculatedColumnFormula>
    </tableColumn>
    <tableColumn id="4" xr3:uid="{C4793952-6F9D-41EE-BAF9-32D24161682B}" name="atr_cultivo_texto" dataDxfId="76"/>
    <tableColumn id="5" xr3:uid="{45514867-9CA5-455A-B42F-0DB50B5041DE}" name="# Fincas" dataDxfId="75"/>
    <tableColumn id="6" xr3:uid="{4671D357-5F14-46F7-A361-40D747FF1546}" name="Héctareas" dataDxfId="74"/>
    <tableColumn id="7" xr3:uid="{E7CC8829-C2BD-4DBE-BE6F-AAEFAAF11331}" name="M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C2B43D8-D37C-4179-905F-C7D144583587}" name="_SAP_DATA_00015" displayName="_SAP_DATA_00015" ref="A1:AF147" headerRowDxfId="71">
  <autoFilter ref="A1:AF147" xr:uid="{4C2B43D8-D37C-4179-905F-C7D144583587}">
    <filterColumn colId="16">
      <filters>
        <filter val="GALAGRO NORTE ANT."/>
      </filters>
    </filterColumn>
  </autoFilter>
  <tableColumns count="32">
    <tableColumn id="1" xr3:uid="{50BABCF5-33D2-4205-A524-E77B82470108}" name="ID" dataCellStyle="_SAP_BYD_TABLE_CELL_TEXT"/>
    <tableColumn id="2" xr3:uid="{19668DFC-2C3F-4290-B558-5185B417AF13}" name="Estado" dataCellStyle="_SAP_BYD_TABLE_CELL_TEXT"/>
    <tableColumn id="3" xr3:uid="{9B143DB4-7480-4C84-8317-1A222416B2B3}" name="Asunto" dataCellStyle="_SAP_BYD_TABLE_CELL_TEXT"/>
    <tableColumn id="4" xr3:uid="{B729A05A-5898-4042-B738-81E0417B9B2E}" name="ID de cliente" dataCellStyle="_SAP_BYD_TABLE_CELL_TEXT"/>
    <tableColumn id="5" xr3:uid="{D4691256-FB2C-45BB-81A6-9668E3501C3B}" name="Cliente" dataCellStyle="_SAP_BYD_TABLE_CELL_TEXT"/>
    <tableColumn id="6" xr3:uid="{CBAB693B-D07C-40D6-B5F1-81AF2FA241BD}" name="Tipo de visita" dataCellStyle="_SAP_BYD_TABLE_CELL_TEXT"/>
    <tableColumn id="7" xr3:uid="{A9AB92D3-9994-4089-BD79-093794EE2874}" name="Propietario" dataCellStyle="_SAP_BYD_TABLE_CELL_TEXT"/>
    <tableColumn id="8" xr3:uid="{22B0F556-7A24-4163-9909-FF9DAB85F2B5}" name="LinkUbicacion" dataCellStyle="_SAP_BYD_TABLE_CELL_TEXT"/>
    <tableColumn id="9" xr3:uid="{90A90404-64F1-4210-88EF-E65920593BD6}" name="Dirección" dataCellStyle="_SAP_BYD_TABLE_CELL_TEXT"/>
    <tableColumn id="10" xr3:uid="{CCFCFE34-2A19-40D5-BC24-59D20C890258}" name="Estado1" dataCellStyle="_SAP_BYD_TABLE_CELL_TEXT"/>
    <tableColumn id="11" xr3:uid="{3DC65C36-C147-4BAB-8B5C-50E8334DC245}" name="Creado el" dataCellStyle="_SAP_BYD_TABLE_CELL_DATETIME_HHMM"/>
    <tableColumn id="12" xr3:uid="{9FF39D9A-5AE1-4C99-9342-FFD197694988}" name="Fecha/Hora de inicio" dataCellStyle="_SAP_BYD_TABLE_CELL_DATETIME_HHMM"/>
    <tableColumn id="13" xr3:uid="{6EBCFEDA-33DF-4B01-819C-0BBEEF7E3D8A}" name="Fecha/Hora de fin" dataCellStyle="_SAP_BYD_TABLE_CELL_DATETIME_HHMM"/>
    <tableColumn id="14" xr3:uid="{8C7CA956-FE35-4DEB-97C5-06368B927761}" name="Fecha/Hora Inic.visita" dataCellStyle="_SAP_BYD_TABLE_CELL_DATETIME_HHMM"/>
    <tableColumn id="15" xr3:uid="{2963BE7E-29B3-459D-8CF0-75C0BBBBF873}" name="Fecha/Hora Fin visita" dataCellStyle="_SAP_BYD_TABLE_CELL_DATETIME_HHMM"/>
    <tableColumn id="16" xr3:uid="{0085EFDC-959B-4480-8746-74CD85EDFED5}" name="Notas" dataCellStyle="_SAP_BYD_TABLE_CELL_TEXT"/>
    <tableColumn id="17" xr3:uid="{2FDEB585-D359-494A-8AC9-9F887A388AE2}" name="Territorio de ventas" dataCellStyle="_SAP_BYD_TABLE_CELL_TEXT"/>
    <tableColumn id="18" xr3:uid="{347C6B18-4891-411E-BD08-72DEC84AF665}" name="Organización de ventas" dataCellStyle="_SAP_BYD_TABLE_CELL_TEXT"/>
    <tableColumn id="19" xr3:uid="{2647296B-0887-43CD-8BF1-A87A1EF5CAF2}" name="Creados por" dataCellStyle="_SAP_BYD_TABLE_CELL_TEXT"/>
    <tableColumn id="20" xr3:uid="{38A086F5-8796-48DE-BCFF-C134785DA089}" name="Ubicación" dataCellStyle="_SAP_BYD_TABLE_CELL_TEXT"/>
    <tableColumn id="21" xr3:uid="{40BA6553-7388-41C5-A42A-FA97A593558A}" name="Observaciones Visita" dataCellStyle="_SAP_BYD_TABLE_CELL_TEXT"/>
    <tableColumn id="22" xr3:uid="{CE2D9FE5-9639-4CF2-B756-3BCFDA314DFD}" name="Cultivo" dataCellStyle="_SAP_BYD_TABLE_CELL_TEXT"/>
    <tableColumn id="23" xr3:uid="{82505DED-0C5A-4CFA-876F-B77B15F971D9}" name="Recomendaciones" dataCellStyle="_SAP_BYD_TABLE_CELL_TEXT"/>
    <tableColumn id="24" xr3:uid="{A3B9A057-0B8B-46FA-BC61-A736D76AF9C9}" name="Estado cultivo" dataCellStyle="_SAP_BYD_TABLE_CELL_TEXT"/>
    <tableColumn id="25" xr3:uid="{A95B114E-E854-4ED2-9FBC-C3805BB73917}" name="Hectáreas" dataCellStyle="_SAP_BYD_TABLE_CELL_NUMBER_NO_DECIMAL"/>
    <tableColumn id="26" xr3:uid="{A76C9073-7E71-4584-A72D-6CB062AD1B2C}" name="Oportunidades comerciales" dataCellStyle="_SAP_BYD_TABLE_CELL_TEXT"/>
    <tableColumn id="27" xr3:uid="{A5C83C63-74FD-4763-B630-3B57A8024F80}" name="Estado2" dataCellStyle="_SAP_BYD_TABLE_CELL_TEXT"/>
    <tableColumn id="28" xr3:uid="{08539077-7BA4-465F-8C70-A24B3F6F0A50}" name="zaUbicacion" dataCellStyle="_SAP_BYD_TABLE_CELL_TEXT"/>
    <tableColumn id="29" xr3:uid="{35F02323-29CF-4CB6-8716-CB91CC18FE93}" name="Est.Fed./Prov." dataCellStyle="_SAP_BYD_TABLE_CELL_TEXT"/>
    <tableColumn id="30" xr3:uid="{15D567F7-A736-457A-861E-AA0A33499AC5}" name="Ciudad" dataCellStyle="_SAP_BYD_TABLE_CELL_TEXT"/>
    <tableColumn id="31" xr3:uid="{A4C1702F-304C-4A59-A6D7-1B1630E515C7}" name="Link Ubicacion" dataCellStyle="_SAP_BYD_TABLE_CELL_TEXT"/>
    <tableColumn id="32" xr3:uid="{D54ABA5C-24FE-4B51-8ACD-0174E8555852}" name="mes" dataDxfId="70" dataCellStyle="_SAP_BYD_TABLE_CELL_TEXT">
      <calculatedColumnFormula>TEXT(L2,"mmmm")</calculatedColumn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1F16120-6C14-47D1-A869-457ADEC4EC6B}" name="Tabla3" displayName="Tabla3" ref="B1:J10" totalsRowShown="0" headerRowDxfId="69" headerRowBorderDxfId="68">
  <autoFilter ref="B1:J10" xr:uid="{01F16120-6C14-47D1-A869-457ADEC4EC6B}"/>
  <tableColumns count="9">
    <tableColumn id="1" xr3:uid="{008D0629-8679-402C-A146-2DD8690A00C4}" name="Unidad de Negocio" dataDxfId="67"/>
    <tableColumn id="2" xr3:uid="{890EAFDC-0F4D-4948-8ECE-9E8FD3B7CFF6}" name="Empleado" dataDxfId="66"/>
    <tableColumn id="3" xr3:uid="{CA4CAE61-DCE6-453D-A800-37594BE03114}" name="Meta Leads" dataDxfId="65"/>
    <tableColumn id="4" xr3:uid="{D100C0DF-7297-47F5-949E-E5DCF7E598C7}" name="Calificados Oportunos" dataDxfId="64"/>
    <tableColumn id="5" xr3:uid="{3FDC4987-DAB7-467E-9AC0-F25223A6EA56}" name="Fuera de Tiempo" dataDxfId="63"/>
    <tableColumn id="6" xr3:uid="{DFDB5718-6950-4949-9083-7A5221EBCE06}" name="Leads calificados" dataDxfId="62"/>
    <tableColumn id="7" xr3:uid="{3A54D86B-F59A-4583-A2A0-821BFEAA05B2}" name="Pendientes" dataDxfId="61"/>
    <tableColumn id="9" xr3:uid="{1F13B36A-05A1-4164-A618-294C67A87DA2}" name="Mes" dataDxfId="60"/>
    <tableColumn id="8" xr3:uid="{B3F41823-4BEF-43A8-9E57-A6BD23EE9AD1}" name="A tiempo" dataCellStyle="Porcentaje">
      <calculatedColumnFormula>Tabla3[[#This Row],[Calificados Oportunos]]/Tabla3[[#This Row],[Meta Leads]]</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DDCDA9-FEEC-4494-BB68-760CE19D485B}" name="Tabla2" displayName="Tabla2" ref="A1:K92" totalsRowShown="0" headerRowDxfId="59" headerRowBorderDxfId="58">
  <autoFilter ref="A1:K92" xr:uid="{A7DDCDA9-FEEC-4494-BB68-760CE19D485B}">
    <filterColumn colId="0">
      <filters>
        <filter val="GALAGRO ORIENTE A ANT."/>
      </filters>
    </filterColumn>
  </autoFilter>
  <tableColumns count="11">
    <tableColumn id="1" xr3:uid="{5FC142E9-2EEA-418F-9F86-193B4F45E4FE}" name="Territorio" dataDxfId="57"/>
    <tableColumn id="2" xr3:uid="{C4A4B953-C9BE-4357-BD91-16B24F32E3B2}" name="Grupo Artículos" dataDxfId="56"/>
    <tableColumn id="3" xr3:uid="{CD062E16-549D-4031-9B0D-A6F68050AD0C}" name="Ppto" dataDxfId="55"/>
    <tableColumn id="4" xr3:uid="{217A297C-E235-407C-B811-36C1D3C5ED54}" name="Valor Recomendaciones" dataDxfId="54"/>
    <tableColumn id="5" xr3:uid="{39AD7C47-B955-44D4-8FE7-BED439E01DFE}" name="Recomendaciones vs Ppto" dataDxfId="53"/>
    <tableColumn id="6" xr3:uid="{0158E81F-48CB-4017-B1B6-FF1658A87ABA}" name="Valor Ventas" dataDxfId="52"/>
    <tableColumn id="7" xr3:uid="{5AB52629-966D-4E05-8565-C0CCD8F27225}" name="% Paticipación Recomendación" dataDxfId="51"/>
    <tableColumn id="8" xr3:uid="{C549B987-28EA-4E46-95F2-EA8B7EBF71F8}" name="Meta Referencias" dataDxfId="50"/>
    <tableColumn id="9" xr3:uid="{A059BE30-4CF6-40F7-A0D9-C320C29AA0D4}" name="Referencias Recomendadas"/>
    <tableColumn id="10" xr3:uid="{41A3722F-BF3D-41F3-8F61-F5714BC3EC59}" name="REF CANTIDAD" dataDxfId="49">
      <calculatedColumnFormula>Tabla2[[#This Row],[Referencias Recomendadas]]*Tabla2[[#This Row],[Meta Referencias]]</calculatedColumnFormula>
    </tableColumn>
    <tableColumn id="11" xr3:uid="{B7307607-7B77-4CB5-9F4F-D0E5083FBEA2}" name="Mes" dataDxfId="48"/>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14" dT="2026-06-05T15:13:15.52" personId="{97714360-0F13-45B6-8A65-06DC7DBF86A1}" id="{8DCA311A-07F6-4D32-8BD5-41C1EDC6E31E}">
    <text>La cantidad total de clientes en el territorio para los comerciales, deben dar la vuelta a todos los clientes en el mes</text>
  </threadedComment>
  <threadedComment ref="I14" dT="2026-06-17T20:27:36.61" personId="{97714360-0F13-45B6-8A65-06DC7DBF86A1}" id="{4D3C5501-A3FA-4851-B68E-E3A2E826359D}">
    <text xml:space="preserve">Se compara cada mes contra la meta del territorio.
Si el asesor visita menos clientes que la meta, no cumple ese mes.
Si visita la meta o más, ese mes cuenta como 100%.
El resultado final es el promedio de los meses evaluados. </text>
  </threadedComment>
  <threadedComment ref="D15" dT="2026-06-01T19:55:26.08" personId="{97714360-0F13-45B6-8A65-06DC7DBF86A1}" id="{2A22092C-AA8C-435C-8123-FE68C7619A6D}">
    <text>Los clientes que recuperen los comerciales es el resultado de la gestion</text>
  </threadedComment>
  <threadedComment ref="D15" dT="2026-06-01T20:00:34.89" personId="{97714360-0F13-45B6-8A65-06DC7DBF86A1}" id="{E5F44D30-5973-4FFE-A746-B9EB3C26A47E}" parentId="{2A22092C-AA8C-435C-8123-FE68C7619A6D}">
    <text>La meta esperada no es acumulable es dividido 3</text>
  </threadedComment>
  <threadedComment ref="H15" dT="2026-06-05T15:13:45.19" personId="{97714360-0F13-45B6-8A65-06DC7DBF86A1}" id="{B48FDD09-0934-40D1-BEA8-D005A4C12E1B}">
    <text>La cobertura se esta dividiendo X 3</text>
  </threadedComment>
  <threadedComment ref="H16" dT="2026-06-05T15:14:42.69" personId="{97714360-0F13-45B6-8A65-06DC7DBF86A1}" id="{54BE2095-FD94-43DB-8155-6FD88DDACE12}">
    <text>Divide los clientes totales a recuperar por 12 meses</text>
  </threadedComment>
  <threadedComment ref="B18" dT="2026-06-01T20:11:35.98" personId="{97714360-0F13-45B6-8A65-06DC7DBF86A1}" id="{7D7D6652-D16B-4E32-B857-4EC0491571A7}">
    <text>Gestión de todo el equipo</text>
  </threadedComment>
  <threadedComment ref="H19" dT="2026-06-05T15:15:28.56" personId="{97714360-0F13-45B6-8A65-06DC7DBF86A1}" id="{60F96C19-CC06-4EEE-9E84-2250E62ADDC2}">
    <text>Recomendaciones, par amedir el indicador si dejamos todo el portafolio o ponemos una meta fija mientras suben los numeros</text>
  </threadedComment>
  <threadedComment ref="D21" dT="2026-06-01T19:46:31.77" personId="{97714360-0F13-45B6-8A65-06DC7DBF86A1}" id="{E4478C96-C7BF-4027-8984-23DAD104B24B}">
    <text xml:space="preserve">Si no tiene leads, es 0, y la meta total del indicador es sobre 80
</text>
  </threadedComment>
  <threadedComment ref="D21" dT="2026-06-09T14:16:48.45" personId="{97714360-0F13-45B6-8A65-06DC7DBF86A1}" id="{800C43DF-0C31-4B45-8EB0-00B09BFE94FE}" parentId="{E4478C96-C7BF-4027-8984-23DAD104B24B}">
    <text>Validamos nuevamente y si no tiene leads este item del indicador le queda en cero y suma al total</text>
  </threadedComment>
  <threadedComment ref="D22" dT="2026-06-01T19:46:43.55" personId="{97714360-0F13-45B6-8A65-06DC7DBF86A1}" id="{18B680A7-1C19-430E-8722-1FC2841A7D1B}">
    <text>No aplica si no tiene leads</text>
  </threadedComment>
  <threadedComment ref="D22" dT="2026-06-09T14:17:12.26" personId="{97714360-0F13-45B6-8A65-06DC7DBF86A1}" id="{44109DCB-0CCB-468B-82FE-956AE8F5C09F}" parentId="{18B680A7-1C19-430E-8722-1FC2841A7D1B}">
    <text>En una nueva validación acordamos que si suma al indicador aunque no tenga leads</text>
  </threadedComment>
  <threadedComment ref="D23" dT="2026-06-01T19:50:16.61" personId="{97714360-0F13-45B6-8A65-06DC7DBF86A1}" id="{02A3033F-677F-4750-BE41-C13C9B529AB0}">
    <text>Revisar la meta según los promotores</text>
  </threadedComment>
  <threadedComment ref="D24" dT="2026-06-01T19:51:43.81" personId="{97714360-0F13-45B6-8A65-06DC7DBF86A1}" id="{19E9C216-97D9-4591-AD19-798E0F441F7D}">
    <text>30 por promotor</text>
  </threadedComment>
  <threadedComment ref="H24" dT="2026-06-09T14:22:59.43" personId="{97714360-0F13-45B6-8A65-06DC7DBF86A1}" id="{48DF3080-049F-4302-A209-A38ABFD433FF}">
    <text>Le suman al indicador 30 hectáreas por promotor</text>
  </threadedComment>
  <threadedComment ref="D25" dT="2026-06-01T19:54:21.22" personId="{97714360-0F13-45B6-8A65-06DC7DBF86A1}" id="{D57E5246-3728-428E-939A-43FCA0AB79C5}">
    <text>Son 428 clientes y se divide entre 12 y cada mes se acumula el 8,33%</text>
  </threadedComment>
  <threadedComment ref="H25" dT="2026-06-09T14:21:05.99" personId="{97714360-0F13-45B6-8A65-06DC7DBF86A1}" id="{5C1717D7-A202-4BD1-B424-2E53CBFA1E09}">
    <text>Le suman al territorio 3 cultivos por cada promotor, es un indicador grupal.</text>
  </threadedComment>
</ThreadedComments>
</file>

<file path=xl/threadedComments/threadedComment2.xml><?xml version="1.0" encoding="utf-8"?>
<ThreadedComments xmlns="http://schemas.microsoft.com/office/spreadsheetml/2018/threadedcomments" xmlns:x="http://schemas.openxmlformats.org/spreadsheetml/2006/main">
  <threadedComment ref="J15" dT="2026-06-05T15:13:15.52" personId="{97714360-0F13-45B6-8A65-06DC7DBF86A1}" id="{26CBE949-0F5A-4D94-BDE1-ABD6B13953B7}">
    <text>La cantidad total de clientes en el territorio para los comerciales, deben dar la vuelta a todos los clientes en el mes</text>
  </threadedComment>
  <threadedComment ref="K15" dT="2026-06-17T20:27:36.61" personId="{97714360-0F13-45B6-8A65-06DC7DBF86A1}" id="{27280B6D-E8C3-4DA1-AB89-D43BE0975EFF}">
    <text xml:space="preserve">Se compara cada mes contra la meta del territorio.
Si el asesor visita menos clientes que la meta, no cumple ese mes.
Si visita la meta o más, ese mes cuenta como 100%.
El resultado final es el promedio de los meses evaluados. </text>
  </threadedComment>
  <threadedComment ref="D16" dT="2026-06-01T19:55:26.08" personId="{97714360-0F13-45B6-8A65-06DC7DBF86A1}" id="{BE2F6E56-50F0-449B-9743-D87D93781B92}">
    <text>Los clientes que recuperen los comerciales es el resultado de la gestion</text>
  </threadedComment>
  <threadedComment ref="D16" dT="2026-06-01T20:00:34.89" personId="{97714360-0F13-45B6-8A65-06DC7DBF86A1}" id="{F19E5F24-0880-4A16-8E5C-D728A64AA98D}" parentId="{BE2F6E56-50F0-449B-9743-D87D93781B92}">
    <text>La meta esperada no es acumulable es dividido 3</text>
  </threadedComment>
  <threadedComment ref="J16" dT="2026-06-05T15:13:45.19" personId="{97714360-0F13-45B6-8A65-06DC7DBF86A1}" id="{A601AC13-2891-4974-89E2-B60AC523F43A}">
    <text>La cobertura se esta dividiendo X 3</text>
  </threadedComment>
  <threadedComment ref="J17" dT="2026-06-05T15:14:42.69" personId="{97714360-0F13-45B6-8A65-06DC7DBF86A1}" id="{4FA4758A-AAE1-4FBC-8218-ACE36D2EC0C9}">
    <text>Divide los clientes totales a recuperar por 12 meses</text>
  </threadedComment>
  <threadedComment ref="B19" dT="2026-06-01T20:11:35.98" personId="{97714360-0F13-45B6-8A65-06DC7DBF86A1}" id="{ADA2B3A1-0A9F-421C-9804-4B01075B9E69}">
    <text>Gestión de todo el equipo</text>
  </threadedComment>
  <threadedComment ref="J20" dT="2026-06-05T15:15:28.56" personId="{97714360-0F13-45B6-8A65-06DC7DBF86A1}" id="{A5903D35-9F89-4AD3-8AA8-17631372513B}">
    <text>Recomendaciones, par amedir el indicador si dejamos todo el portafolio o ponemos una meta fija mientras suben los numeros</text>
  </threadedComment>
  <threadedComment ref="D22" dT="2026-06-01T19:46:31.77" personId="{97714360-0F13-45B6-8A65-06DC7DBF86A1}" id="{C6739D95-5610-4660-99BA-C0A8EC44E387}">
    <text xml:space="preserve">Si no tiene leads, es 0, y la meta total del indicador es sobre 80
</text>
  </threadedComment>
  <threadedComment ref="D22" dT="2026-06-09T14:16:48.45" personId="{97714360-0F13-45B6-8A65-06DC7DBF86A1}" id="{D1A8FB71-7EB0-4410-A6C7-7695E72D5797}" parentId="{C6739D95-5610-4660-99BA-C0A8EC44E387}">
    <text>Validamos nuevamente y si no tiene leads este item del indicador le queda en cero y suma al total</text>
  </threadedComment>
  <threadedComment ref="J22" dT="2026-06-17T14:46:16.86" personId="{97714360-0F13-45B6-8A65-06DC7DBF86A1}" id="{7936BA74-4A07-4C7B-8080-151E601AA695}">
    <text xml:space="preserve">Poner N/A Si es cero
incluir una columna con definiciones
</text>
  </threadedComment>
  <threadedComment ref="D23" dT="2026-06-01T19:46:43.55" personId="{97714360-0F13-45B6-8A65-06DC7DBF86A1}" id="{996AA890-04C2-44E7-B0F1-BBB1FD08CB49}">
    <text>No aplica si no tiene leads</text>
  </threadedComment>
  <threadedComment ref="D23" dT="2026-06-09T14:17:12.26" personId="{97714360-0F13-45B6-8A65-06DC7DBF86A1}" id="{0683A018-A4F1-4AFB-925A-D47AD37EC1B2}" parentId="{996AA890-04C2-44E7-B0F1-BBB1FD08CB49}">
    <text>En una nueva validación acordamos que si suma al indicador aunque no tenga leads</text>
  </threadedComment>
  <threadedComment ref="D24" dT="2026-06-01T19:50:16.61" personId="{97714360-0F13-45B6-8A65-06DC7DBF86A1}" id="{26BCC79E-D307-432C-BDDF-003A1421DC13}">
    <text>Revisar la meta según los promotores</text>
  </threadedComment>
  <threadedComment ref="D25" dT="2026-06-01T19:51:43.81" personId="{97714360-0F13-45B6-8A65-06DC7DBF86A1}" id="{18DA04DB-8FCA-4F82-80A5-D61309F29F0E}">
    <text>30 por promotor</text>
  </threadedComment>
  <threadedComment ref="J25" dT="2026-06-09T14:22:59.43" personId="{97714360-0F13-45B6-8A65-06DC7DBF86A1}" id="{A1473161-0F63-485F-9D0B-C9AFC4DD4F8C}">
    <text>Le suman al indicador 30 hectáreas por promotor</text>
  </threadedComment>
  <threadedComment ref="D26" dT="2026-06-01T19:54:21.22" personId="{97714360-0F13-45B6-8A65-06DC7DBF86A1}" id="{53C8E696-C718-4D11-9C77-21AEB641BD20}">
    <text>Son 428 clientes y se divide entre 12 y cada mes se acumula el 8,33%</text>
  </threadedComment>
  <threadedComment ref="J26" dT="2026-06-09T14:21:05.99" personId="{97714360-0F13-45B6-8A65-06DC7DBF86A1}" id="{F75351B9-EDFE-41A4-B942-B80BB4E13D06}">
    <text>Le suman al territorio 3 cultivos por cada promotor, es un indicador grupal.</text>
  </threadedComment>
</ThreadedComments>
</file>

<file path=xl/threadedComments/threadedComment3.xml><?xml version="1.0" encoding="utf-8"?>
<ThreadedComments xmlns="http://schemas.microsoft.com/office/spreadsheetml/2018/threadedcomments" xmlns:x="http://schemas.openxmlformats.org/spreadsheetml/2006/main">
  <threadedComment ref="H14" dT="2026-06-05T15:13:15.52" personId="{97714360-0F13-45B6-8A65-06DC7DBF86A1}" id="{8906F621-EFC6-4381-809E-51FE3DAF3952}">
    <text>La cantidad total de clientes en el territorio para los comerciales, deben dar la vuelta a todos los clientes en el mes</text>
  </threadedComment>
  <threadedComment ref="I14" dT="2026-06-17T20:27:36.61" personId="{97714360-0F13-45B6-8A65-06DC7DBF86A1}" id="{0CBB6957-284B-40A8-965D-6EBDA2785ED8}">
    <text xml:space="preserve">Se compara cada mes contra la meta del territorio.
Si el asesor visita menos clientes que la meta, no cumple ese mes.
Si visita la meta o más, ese mes cuenta como 100%.
El resultado final es el promedio de los meses evaluados. </text>
  </threadedComment>
  <threadedComment ref="D15" dT="2026-06-01T19:55:26.08" personId="{97714360-0F13-45B6-8A65-06DC7DBF86A1}" id="{2F804AC1-75F1-4475-B29C-DABE3FA7E2B3}">
    <text>Los clientes que recuperen los comerciales es el resultado de la gestion</text>
  </threadedComment>
  <threadedComment ref="D15" dT="2026-06-01T20:00:34.89" personId="{97714360-0F13-45B6-8A65-06DC7DBF86A1}" id="{EBD86EB9-8939-41C6-8A32-1B8AD6BF3DAB}" parentId="{2F804AC1-75F1-4475-B29C-DABE3FA7E2B3}">
    <text>La meta esperada no es acumulable es dividido 3</text>
  </threadedComment>
  <threadedComment ref="H15" dT="2026-06-05T15:13:45.19" personId="{97714360-0F13-45B6-8A65-06DC7DBF86A1}" id="{007273DF-34F4-4C5D-ABDF-A3CA3FB7B9FE}">
    <text>La cobertura se esta dividiendo X 3</text>
  </threadedComment>
  <threadedComment ref="H16" dT="2026-06-05T15:14:42.69" personId="{97714360-0F13-45B6-8A65-06DC7DBF86A1}" id="{7554890C-090C-4C75-85B9-6613F411B0D3}">
    <text>Divide los clientes totales a recuperar por 12 meses</text>
  </threadedComment>
  <threadedComment ref="B18" dT="2026-06-01T20:11:35.98" personId="{97714360-0F13-45B6-8A65-06DC7DBF86A1}" id="{1AABDD65-6F9F-4D93-8375-D5ED74309AA9}">
    <text>Gestión de todo el equipo</text>
  </threadedComment>
  <threadedComment ref="H19" dT="2026-06-05T15:15:28.56" personId="{97714360-0F13-45B6-8A65-06DC7DBF86A1}" id="{902DBEA7-4564-41B1-9BD4-88A4CC56DC32}">
    <text>Recomendaciones, par amedir el indicador si dejamos todo el portafolio o ponemos una meta fija mientras suben los numeros</text>
  </threadedComment>
  <threadedComment ref="D20" dT="2026-06-01T19:46:31.77" personId="{97714360-0F13-45B6-8A65-06DC7DBF86A1}" id="{D99CFC61-CF0D-48CD-8E4B-F4E6A00EEA2B}">
    <text xml:space="preserve">Si no tiene leads, es 0, y la meta total del indicador es sobre 80
</text>
  </threadedComment>
  <threadedComment ref="D20" dT="2026-06-09T14:16:48.45" personId="{97714360-0F13-45B6-8A65-06DC7DBF86A1}" id="{A07F07F9-1B5E-4D79-945B-E6FD8053EC18}" parentId="{D99CFC61-CF0D-48CD-8E4B-F4E6A00EEA2B}">
    <text>Validamos nuevamente y si no tiene leads este item del indicador le queda en cero y suma al total</text>
  </threadedComment>
  <threadedComment ref="D21" dT="2026-06-01T19:46:43.55" personId="{97714360-0F13-45B6-8A65-06DC7DBF86A1}" id="{5534DAE0-B6A4-4FB5-9509-D659F3B51F00}">
    <text>No aplica si no tiene leads</text>
  </threadedComment>
  <threadedComment ref="D21" dT="2026-06-09T14:17:12.26" personId="{97714360-0F13-45B6-8A65-06DC7DBF86A1}" id="{9B250236-257D-4A16-964A-454C7A456EDB}" parentId="{5534DAE0-B6A4-4FB5-9509-D659F3B51F00}">
    <text>En una nueva validación acordamos que si suma al indicador aunque no tenga leads</text>
  </threadedComment>
  <threadedComment ref="D22" dT="2026-06-01T19:50:16.61" personId="{97714360-0F13-45B6-8A65-06DC7DBF86A1}" id="{C8AC47AA-D925-4620-86CA-9D14C5883D8F}">
    <text>Revisar la meta según los promotores</text>
  </threadedComment>
  <threadedComment ref="D23" dT="2026-06-01T19:51:43.81" personId="{97714360-0F13-45B6-8A65-06DC7DBF86A1}" id="{5DFD9778-0E85-4CEE-ADFB-033B0DEC9A1D}">
    <text>30 por promotor</text>
  </threadedComment>
  <threadedComment ref="H23" dT="2026-06-09T14:22:59.43" personId="{97714360-0F13-45B6-8A65-06DC7DBF86A1}" id="{91980F10-4314-4291-A0E2-0C7C3FF6514E}">
    <text>Le suman al indicador 30 hectáreas por promotor</text>
  </threadedComment>
  <threadedComment ref="D24" dT="2026-06-01T19:54:21.22" personId="{97714360-0F13-45B6-8A65-06DC7DBF86A1}" id="{D9FF764E-308B-4E04-A4FA-6642DF9A6753}">
    <text>Son 428 clientes y se divide entre 12 y cada mes se acumula el 8,33%</text>
  </threadedComment>
  <threadedComment ref="H24" dT="2026-06-09T14:21:05.99" personId="{97714360-0F13-45B6-8A65-06DC7DBF86A1}" id="{637C784D-C9F3-4B29-BAEB-C893497026B3}">
    <text>Le suman al territorio 3 cultivos por cada promotor, es un indicador grupal.</text>
  </threadedComment>
</ThreadedComments>
</file>

<file path=xl/threadedComments/threadedComment4.xml><?xml version="1.0" encoding="utf-8"?>
<ThreadedComments xmlns="http://schemas.microsoft.com/office/spreadsheetml/2018/threadedcomments" xmlns:x="http://schemas.openxmlformats.org/spreadsheetml/2006/main">
  <threadedComment ref="J14" dT="2026-06-05T15:13:15.52" personId="{97714360-0F13-45B6-8A65-06DC7DBF86A1}" id="{09ACDD42-A332-4A61-8BBB-27CA2CD454C2}">
    <text>La cantidad total de clientes en el territorio para los comerciales, deben dar la vuelta a todos los clientes en el mes</text>
  </threadedComment>
  <threadedComment ref="K14" dT="2026-06-17T20:27:36.61" personId="{97714360-0F13-45B6-8A65-06DC7DBF86A1}" id="{03B24AD0-0F02-47A7-A3C0-E5D261B78502}">
    <text xml:space="preserve">Se compara cada mes contra la meta del territorio.
Si el asesor visita menos clientes que la meta, no cumple ese mes.
Si visita la meta o más, ese mes cuenta como 100%.
El resultado final es el promedio de los meses evaluados. </text>
  </threadedComment>
  <threadedComment ref="D15" dT="2026-06-01T19:55:26.08" personId="{97714360-0F13-45B6-8A65-06DC7DBF86A1}" id="{DF51593D-1287-4119-AF92-6F131C1816BA}">
    <text>Los clientes que recuperen los comerciales es el resultado de la gestion</text>
  </threadedComment>
  <threadedComment ref="D15" dT="2026-06-01T20:00:34.89" personId="{97714360-0F13-45B6-8A65-06DC7DBF86A1}" id="{691D1F40-8656-45F5-B504-5E420C41DD45}" parentId="{DF51593D-1287-4119-AF92-6F131C1816BA}">
    <text>La meta esperada no es acumulable es dividido 3</text>
  </threadedComment>
  <threadedComment ref="J15" dT="2026-06-05T15:13:45.19" personId="{97714360-0F13-45B6-8A65-06DC7DBF86A1}" id="{58E88921-D69D-47EA-BE9F-B7AB3501C659}">
    <text>La cobertura se esta dividiendo X 3</text>
  </threadedComment>
  <threadedComment ref="J16" dT="2026-06-05T15:14:42.69" personId="{97714360-0F13-45B6-8A65-06DC7DBF86A1}" id="{8F6253D1-7C69-44F9-9444-282FBC3D30BA}">
    <text>Divide los clientes totales a recuperar por 12 meses</text>
  </threadedComment>
  <threadedComment ref="B18" dT="2026-06-01T20:11:35.98" personId="{97714360-0F13-45B6-8A65-06DC7DBF86A1}" id="{BF4FDA07-150A-4F67-A2E2-90CEA0FA6301}">
    <text>Gestión de todo el equipo</text>
  </threadedComment>
  <threadedComment ref="J19" dT="2026-06-05T15:15:28.56" personId="{97714360-0F13-45B6-8A65-06DC7DBF86A1}" id="{0B171AED-2484-4652-839B-FCF3899CFED5}">
    <text>Recomendaciones, par amedir el indicador si dejamos todo el portafolio o ponemos una meta fija mientras suben los numeros</text>
  </threadedComment>
  <threadedComment ref="D20" dT="2026-06-01T19:46:31.77" personId="{97714360-0F13-45B6-8A65-06DC7DBF86A1}" id="{8167F8A7-72FD-4D0D-BCF4-F75877E9F226}">
    <text xml:space="preserve">Si no tiene leads, es 0, y la meta total del indicador es sobre 80
</text>
  </threadedComment>
  <threadedComment ref="D20" dT="2026-06-09T14:16:48.45" personId="{97714360-0F13-45B6-8A65-06DC7DBF86A1}" id="{CFB27E0E-2842-4EBF-A609-72300D1D4037}" parentId="{8167F8A7-72FD-4D0D-BCF4-F75877E9F226}">
    <text>Validamos nuevamente y si no tiene leads este item del indicador le queda en cero y suma al total</text>
  </threadedComment>
  <threadedComment ref="J20" dT="2026-06-17T14:46:16.86" personId="{97714360-0F13-45B6-8A65-06DC7DBF86A1}" id="{8B8DD5C1-BF92-45D5-95D7-22D0392DCE66}">
    <text xml:space="preserve">Poner N/A Si es cero
incluir una columna con definiciones
</text>
  </threadedComment>
  <threadedComment ref="D21" dT="2026-06-01T19:46:43.55" personId="{97714360-0F13-45B6-8A65-06DC7DBF86A1}" id="{5798F832-FF5A-4E7D-ABCF-AEAAD90D202A}">
    <text>No aplica si no tiene leads</text>
  </threadedComment>
  <threadedComment ref="D21" dT="2026-06-09T14:17:12.26" personId="{97714360-0F13-45B6-8A65-06DC7DBF86A1}" id="{A5461F0C-A4D9-4018-AD3C-FF5098976554}" parentId="{5798F832-FF5A-4E7D-ABCF-AEAAD90D202A}">
    <text>En una nueva validación acordamos que si suma al indicador aunque no tenga leads</text>
  </threadedComment>
  <threadedComment ref="D22" dT="2026-06-01T19:50:16.61" personId="{97714360-0F13-45B6-8A65-06DC7DBF86A1}" id="{B582D5B8-12E2-4F39-8BB4-ECAD3E3259EA}">
    <text>Revisar la meta según los promotores</text>
  </threadedComment>
  <threadedComment ref="D23" dT="2026-06-01T19:51:43.81" personId="{97714360-0F13-45B6-8A65-06DC7DBF86A1}" id="{C9D0A3F7-266B-4097-B953-666461C167FB}">
    <text>30 por promotor</text>
  </threadedComment>
  <threadedComment ref="J23" dT="2026-06-09T14:22:59.43" personId="{97714360-0F13-45B6-8A65-06DC7DBF86A1}" id="{C510D69A-6BAA-480D-8915-130B4F336787}">
    <text>Le suman al indicador 30 hectáreas por promotor</text>
  </threadedComment>
  <threadedComment ref="D24" dT="2026-06-01T19:54:21.22" personId="{97714360-0F13-45B6-8A65-06DC7DBF86A1}" id="{6E70A8AF-1C17-45E8-8F60-E94B0D74B69E}">
    <text>Son 428 clientes y se divide entre 12 y cada mes se acumula el 8,33%</text>
  </threadedComment>
  <threadedComment ref="J24" dT="2026-06-09T14:21:05.99" personId="{97714360-0F13-45B6-8A65-06DC7DBF86A1}" id="{0FC7712D-A180-48EE-AFE6-32E848EEF298}">
    <text>Le suman al territorio 3 cultivos por cada promotor, es un indicador grupal.</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4.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1B691-8F3C-42AF-8D06-E916B4917602}">
  <dimension ref="A1:W84"/>
  <sheetViews>
    <sheetView zoomScale="80" workbookViewId="0">
      <pane ySplit="1" topLeftCell="A2" activePane="bottomLeft" state="frozen"/>
      <selection pane="bottomLeft" activeCell="A76" sqref="A76"/>
    </sheetView>
  </sheetViews>
  <sheetFormatPr baseColWidth="10" defaultRowHeight="14.5" x14ac:dyDescent="0.35"/>
  <cols>
    <col min="1" max="1" width="36.26953125" bestFit="1" customWidth="1"/>
    <col min="2" max="2" width="37.1796875" bestFit="1" customWidth="1"/>
    <col min="3" max="3" width="8.08984375" bestFit="1" customWidth="1"/>
    <col min="4" max="4" width="8.54296875" bestFit="1" customWidth="1"/>
    <col min="5" max="5" width="13.7265625" bestFit="1" customWidth="1"/>
    <col min="6" max="6" width="8.08984375" bestFit="1" customWidth="1"/>
    <col min="7" max="7" width="12.453125" bestFit="1" customWidth="1"/>
    <col min="8" max="11" width="8.08984375" customWidth="1"/>
    <col min="12" max="12" width="12" customWidth="1"/>
    <col min="13" max="13" width="37.36328125" bestFit="1" customWidth="1"/>
    <col min="14" max="14" width="36" bestFit="1" customWidth="1"/>
    <col min="15" max="15" width="35.453125" bestFit="1" customWidth="1"/>
  </cols>
  <sheetData>
    <row r="1" spans="1:23" ht="58" x14ac:dyDescent="0.35">
      <c r="A1" s="5" t="s">
        <v>3</v>
      </c>
      <c r="B1" s="5" t="s">
        <v>25</v>
      </c>
      <c r="C1" s="5" t="s">
        <v>27</v>
      </c>
      <c r="D1" s="5" t="s">
        <v>28</v>
      </c>
      <c r="E1" s="5" t="s">
        <v>29</v>
      </c>
      <c r="F1" s="5" t="s">
        <v>30</v>
      </c>
      <c r="G1" s="5" t="s">
        <v>31</v>
      </c>
      <c r="H1" s="5" t="s">
        <v>32</v>
      </c>
      <c r="I1" s="5" t="s">
        <v>33</v>
      </c>
      <c r="J1" s="5" t="s">
        <v>34</v>
      </c>
      <c r="K1" s="5" t="s">
        <v>186</v>
      </c>
      <c r="L1" s="5" t="s">
        <v>189</v>
      </c>
      <c r="M1" s="9" t="s">
        <v>49</v>
      </c>
      <c r="N1" s="9" t="s">
        <v>3</v>
      </c>
      <c r="O1" s="9" t="s">
        <v>50</v>
      </c>
      <c r="P1" s="9" t="s">
        <v>51</v>
      </c>
      <c r="Q1" s="9" t="s">
        <v>214</v>
      </c>
      <c r="R1" s="9" t="s">
        <v>216</v>
      </c>
      <c r="S1" s="9" t="s">
        <v>225</v>
      </c>
      <c r="T1" s="9" t="s">
        <v>226</v>
      </c>
      <c r="U1" s="9" t="s">
        <v>227</v>
      </c>
    </row>
    <row r="2" spans="1:23" hidden="1" x14ac:dyDescent="0.35">
      <c r="A2" s="21" t="s">
        <v>280</v>
      </c>
      <c r="B2" s="43" t="s">
        <v>279</v>
      </c>
      <c r="C2" s="35">
        <v>62</v>
      </c>
      <c r="D2" s="35">
        <v>25</v>
      </c>
      <c r="E2" s="36">
        <v>0.40322580645161288</v>
      </c>
      <c r="F2" s="37">
        <v>26</v>
      </c>
      <c r="G2" s="36">
        <v>0.41935483870967744</v>
      </c>
      <c r="H2" s="37">
        <v>38</v>
      </c>
      <c r="I2" s="37">
        <v>8</v>
      </c>
      <c r="J2" s="36">
        <v>0.21052631578947367</v>
      </c>
      <c r="K2" s="38" t="s">
        <v>411</v>
      </c>
      <c r="L2" s="40">
        <f>Tabla18[[#This Row],[Meta Cobertura y Visitas]]</f>
        <v>62</v>
      </c>
      <c r="M2" s="132" t="s">
        <v>461</v>
      </c>
      <c r="N2" s="133" t="s">
        <v>467</v>
      </c>
      <c r="O2" s="32" t="s">
        <v>491</v>
      </c>
      <c r="P2" t="s">
        <v>239</v>
      </c>
      <c r="Q2">
        <f>SUM(Q3:Q18)</f>
        <v>8</v>
      </c>
      <c r="R2">
        <f>SUM(R3:R18)</f>
        <v>48</v>
      </c>
      <c r="S2">
        <f t="shared" ref="S2:S18" si="0">R2+Q2</f>
        <v>56</v>
      </c>
      <c r="T2">
        <f>SUM(T3:T18)</f>
        <v>480</v>
      </c>
      <c r="U2">
        <f>SUM(U3:U18)</f>
        <v>48</v>
      </c>
      <c r="V2" s="7" t="s">
        <v>55</v>
      </c>
      <c r="W2" s="7" t="s">
        <v>58</v>
      </c>
    </row>
    <row r="3" spans="1:23" hidden="1" x14ac:dyDescent="0.35">
      <c r="A3" s="21" t="s">
        <v>462</v>
      </c>
      <c r="B3" s="15" t="s">
        <v>455</v>
      </c>
      <c r="C3" s="35">
        <v>124</v>
      </c>
      <c r="D3" s="35">
        <v>29</v>
      </c>
      <c r="E3" s="36">
        <v>0.23387096774193547</v>
      </c>
      <c r="F3" s="37">
        <v>35</v>
      </c>
      <c r="G3" s="36">
        <v>0.28225806451612906</v>
      </c>
      <c r="H3" s="37">
        <v>220</v>
      </c>
      <c r="I3" s="37">
        <v>9</v>
      </c>
      <c r="J3" s="36">
        <v>4.0909090909090909E-2</v>
      </c>
      <c r="K3" s="38" t="s">
        <v>411</v>
      </c>
      <c r="L3" s="40">
        <f>Tabla18[[#This Row],[Meta Cobertura y Visitas]]</f>
        <v>124</v>
      </c>
      <c r="M3" s="134" t="s">
        <v>279</v>
      </c>
      <c r="N3" s="135" t="s">
        <v>280</v>
      </c>
      <c r="O3" t="s">
        <v>482</v>
      </c>
      <c r="P3" t="s">
        <v>239</v>
      </c>
      <c r="Q3" s="45">
        <v>0.5</v>
      </c>
      <c r="R3">
        <v>3</v>
      </c>
      <c r="S3">
        <f t="shared" si="0"/>
        <v>3.5</v>
      </c>
      <c r="T3">
        <v>30</v>
      </c>
      <c r="U3">
        <v>3</v>
      </c>
      <c r="V3" s="7" t="s">
        <v>56</v>
      </c>
      <c r="W3" s="7" t="s">
        <v>59</v>
      </c>
    </row>
    <row r="4" spans="1:23" hidden="1" x14ac:dyDescent="0.35">
      <c r="A4" s="21" t="s">
        <v>462</v>
      </c>
      <c r="B4" s="43" t="s">
        <v>456</v>
      </c>
      <c r="C4" s="35"/>
      <c r="D4" s="35">
        <v>1</v>
      </c>
      <c r="E4" s="36"/>
      <c r="F4" s="37">
        <v>1</v>
      </c>
      <c r="G4" s="36"/>
      <c r="H4" s="37"/>
      <c r="I4" s="37"/>
      <c r="J4" s="36"/>
      <c r="K4" s="38" t="s">
        <v>411</v>
      </c>
      <c r="L4" s="40">
        <f>Tabla18[[#This Row],[Meta Cobertura y Visitas]]</f>
        <v>0</v>
      </c>
      <c r="M4" s="142" t="s">
        <v>468</v>
      </c>
      <c r="N4" s="143" t="s">
        <v>462</v>
      </c>
      <c r="O4" t="s">
        <v>492</v>
      </c>
      <c r="P4" t="s">
        <v>239</v>
      </c>
      <c r="Q4">
        <v>0.5</v>
      </c>
      <c r="R4">
        <v>3</v>
      </c>
      <c r="S4">
        <f t="shared" si="0"/>
        <v>3.5</v>
      </c>
      <c r="T4">
        <v>30</v>
      </c>
      <c r="U4">
        <v>3</v>
      </c>
      <c r="V4" s="7" t="s">
        <v>16</v>
      </c>
      <c r="W4" s="7" t="s">
        <v>60</v>
      </c>
    </row>
    <row r="5" spans="1:23" hidden="1" x14ac:dyDescent="0.35">
      <c r="A5" s="21" t="s">
        <v>463</v>
      </c>
      <c r="B5" s="15" t="s">
        <v>457</v>
      </c>
      <c r="C5" s="35">
        <v>74</v>
      </c>
      <c r="D5" s="35"/>
      <c r="E5" s="36"/>
      <c r="F5" s="37"/>
      <c r="G5" s="36"/>
      <c r="H5" s="37">
        <v>40</v>
      </c>
      <c r="I5" s="37">
        <v>7</v>
      </c>
      <c r="J5" s="36">
        <v>0.17499999999999999</v>
      </c>
      <c r="K5" s="38" t="s">
        <v>411</v>
      </c>
      <c r="L5" s="40">
        <f>Tabla18[[#This Row],[Meta Cobertura y Visitas]]</f>
        <v>74</v>
      </c>
      <c r="M5" s="141" t="s">
        <v>455</v>
      </c>
      <c r="N5" s="142" t="s">
        <v>462</v>
      </c>
      <c r="O5" t="s">
        <v>483</v>
      </c>
      <c r="P5" t="s">
        <v>239</v>
      </c>
      <c r="Q5" s="45">
        <v>0.5</v>
      </c>
      <c r="R5">
        <v>3</v>
      </c>
      <c r="S5">
        <f t="shared" si="0"/>
        <v>3.5</v>
      </c>
      <c r="T5">
        <v>30</v>
      </c>
      <c r="U5">
        <v>3</v>
      </c>
      <c r="V5" s="7" t="s">
        <v>57</v>
      </c>
      <c r="W5" s="7" t="s">
        <v>61</v>
      </c>
    </row>
    <row r="6" spans="1:23" hidden="1" x14ac:dyDescent="0.35">
      <c r="A6" s="21" t="s">
        <v>148</v>
      </c>
      <c r="B6" s="15" t="s">
        <v>267</v>
      </c>
      <c r="C6" s="35">
        <v>86</v>
      </c>
      <c r="D6" s="35">
        <v>16</v>
      </c>
      <c r="E6" s="36">
        <v>0.18604651162790697</v>
      </c>
      <c r="F6" s="37">
        <v>25</v>
      </c>
      <c r="G6" s="36">
        <v>0.29069767441860467</v>
      </c>
      <c r="H6" s="37">
        <v>47</v>
      </c>
      <c r="I6" s="37">
        <v>5</v>
      </c>
      <c r="J6" s="36">
        <v>0.10638297872340426</v>
      </c>
      <c r="K6" s="38" t="s">
        <v>411</v>
      </c>
      <c r="L6" s="40">
        <f>Tabla18[[#This Row],[Meta Cobertura y Visitas]]</f>
        <v>86</v>
      </c>
      <c r="M6" s="134" t="s">
        <v>457</v>
      </c>
      <c r="N6" s="135" t="s">
        <v>463</v>
      </c>
      <c r="O6" t="s">
        <v>485</v>
      </c>
      <c r="P6" t="s">
        <v>239</v>
      </c>
      <c r="Q6">
        <v>0.5</v>
      </c>
      <c r="R6">
        <v>3</v>
      </c>
      <c r="S6">
        <f t="shared" si="0"/>
        <v>3.5</v>
      </c>
      <c r="T6">
        <v>30</v>
      </c>
      <c r="U6">
        <v>3</v>
      </c>
    </row>
    <row r="7" spans="1:23" hidden="1" x14ac:dyDescent="0.35">
      <c r="A7" s="21" t="s">
        <v>148</v>
      </c>
      <c r="B7" s="15" t="s">
        <v>458</v>
      </c>
      <c r="C7" s="35"/>
      <c r="D7" s="35">
        <v>1</v>
      </c>
      <c r="E7" s="36"/>
      <c r="F7" s="37">
        <v>2</v>
      </c>
      <c r="G7" s="36"/>
      <c r="H7" s="37"/>
      <c r="I7" s="37"/>
      <c r="J7" s="36"/>
      <c r="K7" s="38" t="s">
        <v>411</v>
      </c>
      <c r="L7" s="40">
        <f>Tabla18[[#This Row],[Meta Cobertura y Visitas]]</f>
        <v>0</v>
      </c>
      <c r="M7" s="128" t="s">
        <v>254</v>
      </c>
      <c r="N7" s="136" t="s">
        <v>148</v>
      </c>
      <c r="O7" t="s">
        <v>493</v>
      </c>
      <c r="P7" t="s">
        <v>239</v>
      </c>
      <c r="Q7">
        <v>0.5</v>
      </c>
      <c r="R7">
        <v>3</v>
      </c>
      <c r="S7">
        <f t="shared" si="0"/>
        <v>3.5</v>
      </c>
      <c r="T7">
        <v>30</v>
      </c>
      <c r="U7">
        <v>3</v>
      </c>
    </row>
    <row r="8" spans="1:23" hidden="1" x14ac:dyDescent="0.35">
      <c r="A8" s="21" t="s">
        <v>264</v>
      </c>
      <c r="B8" s="15" t="s">
        <v>263</v>
      </c>
      <c r="C8" s="35">
        <v>4</v>
      </c>
      <c r="D8" s="35">
        <v>1</v>
      </c>
      <c r="E8" s="36">
        <v>0.25</v>
      </c>
      <c r="F8" s="37">
        <v>8</v>
      </c>
      <c r="G8" s="36">
        <v>2</v>
      </c>
      <c r="H8" s="37">
        <v>3</v>
      </c>
      <c r="I8" s="37"/>
      <c r="J8" s="36"/>
      <c r="K8" s="38" t="s">
        <v>411</v>
      </c>
      <c r="L8" s="40">
        <f>Tabla18[[#This Row],[Meta Cobertura y Visitas]]</f>
        <v>4</v>
      </c>
      <c r="M8" s="140" t="s">
        <v>267</v>
      </c>
      <c r="N8" s="128" t="s">
        <v>148</v>
      </c>
      <c r="O8" t="s">
        <v>486</v>
      </c>
      <c r="P8" t="s">
        <v>239</v>
      </c>
      <c r="Q8">
        <v>0.5</v>
      </c>
      <c r="R8">
        <v>3</v>
      </c>
      <c r="S8">
        <f t="shared" si="0"/>
        <v>3.5</v>
      </c>
      <c r="T8">
        <v>30</v>
      </c>
      <c r="U8">
        <v>3</v>
      </c>
    </row>
    <row r="9" spans="1:23" hidden="1" x14ac:dyDescent="0.35">
      <c r="A9" s="21" t="s">
        <v>464</v>
      </c>
      <c r="B9" s="15" t="s">
        <v>459</v>
      </c>
      <c r="C9" s="35">
        <v>59</v>
      </c>
      <c r="D9" s="35">
        <v>4</v>
      </c>
      <c r="E9" s="36">
        <v>6.7796610169491525E-2</v>
      </c>
      <c r="F9" s="37">
        <v>4</v>
      </c>
      <c r="G9" s="36">
        <v>6.7796610169491525E-2</v>
      </c>
      <c r="H9" s="37">
        <v>40</v>
      </c>
      <c r="I9" s="37">
        <v>3</v>
      </c>
      <c r="J9" s="36">
        <v>7.4999999999999997E-2</v>
      </c>
      <c r="K9" s="38" t="s">
        <v>411</v>
      </c>
      <c r="L9" s="40">
        <f>Tabla18[[#This Row],[Meta Cobertura y Visitas]]</f>
        <v>59</v>
      </c>
      <c r="M9" s="128" t="s">
        <v>470</v>
      </c>
      <c r="N9" s="136" t="s">
        <v>464</v>
      </c>
      <c r="O9" t="s">
        <v>495</v>
      </c>
      <c r="P9" t="s">
        <v>239</v>
      </c>
      <c r="Q9">
        <v>0.5</v>
      </c>
      <c r="R9">
        <v>3</v>
      </c>
      <c r="S9">
        <f t="shared" si="0"/>
        <v>3.5</v>
      </c>
      <c r="T9">
        <v>30</v>
      </c>
      <c r="U9">
        <v>3</v>
      </c>
    </row>
    <row r="10" spans="1:23" hidden="1" x14ac:dyDescent="0.35">
      <c r="A10" s="21" t="s">
        <v>150</v>
      </c>
      <c r="B10" s="2" t="s">
        <v>263</v>
      </c>
      <c r="C10" s="35"/>
      <c r="D10" s="35">
        <v>1</v>
      </c>
      <c r="E10" s="36"/>
      <c r="F10" s="37">
        <v>3</v>
      </c>
      <c r="G10" s="36"/>
      <c r="H10" s="37"/>
      <c r="I10" s="37"/>
      <c r="J10" s="36"/>
      <c r="K10" s="38" t="s">
        <v>411</v>
      </c>
      <c r="L10" s="40">
        <f>Tabla18[[#This Row],[Meta Cobertura y Visitas]]</f>
        <v>0</v>
      </c>
      <c r="M10" s="140" t="s">
        <v>459</v>
      </c>
      <c r="N10" s="128" t="s">
        <v>464</v>
      </c>
      <c r="O10" s="32" t="s">
        <v>489</v>
      </c>
      <c r="P10" t="s">
        <v>239</v>
      </c>
      <c r="Q10">
        <v>0.5</v>
      </c>
      <c r="R10">
        <v>3</v>
      </c>
      <c r="S10">
        <f t="shared" si="0"/>
        <v>3.5</v>
      </c>
      <c r="T10">
        <v>30</v>
      </c>
      <c r="U10">
        <v>3</v>
      </c>
    </row>
    <row r="11" spans="1:23" hidden="1" x14ac:dyDescent="0.35">
      <c r="A11" s="21" t="s">
        <v>150</v>
      </c>
      <c r="B11" s="15" t="s">
        <v>458</v>
      </c>
      <c r="C11" s="35">
        <v>28</v>
      </c>
      <c r="D11" s="35">
        <v>15</v>
      </c>
      <c r="E11" s="36">
        <v>0.5357142857142857</v>
      </c>
      <c r="F11" s="37">
        <v>55</v>
      </c>
      <c r="G11" s="36">
        <v>1.9642857142857142</v>
      </c>
      <c r="H11" s="37">
        <v>10</v>
      </c>
      <c r="I11" s="37"/>
      <c r="J11" s="36"/>
      <c r="K11" s="38" t="s">
        <v>411</v>
      </c>
      <c r="L11" s="40">
        <f>Tabla18[[#This Row],[Meta Cobertura y Visitas]]</f>
        <v>28</v>
      </c>
      <c r="M11" s="128" t="s">
        <v>277</v>
      </c>
      <c r="N11" s="136" t="s">
        <v>150</v>
      </c>
      <c r="O11" s="32" t="s">
        <v>496</v>
      </c>
      <c r="P11" t="s">
        <v>239</v>
      </c>
      <c r="Q11">
        <v>0.5</v>
      </c>
      <c r="R11">
        <v>3</v>
      </c>
      <c r="S11">
        <f t="shared" si="0"/>
        <v>3.5</v>
      </c>
      <c r="T11">
        <v>30</v>
      </c>
      <c r="U11">
        <v>3</v>
      </c>
    </row>
    <row r="12" spans="1:23" hidden="1" x14ac:dyDescent="0.35">
      <c r="A12" s="21" t="s">
        <v>133</v>
      </c>
      <c r="B12" s="15" t="s">
        <v>263</v>
      </c>
      <c r="C12" s="35"/>
      <c r="D12" s="35">
        <v>1</v>
      </c>
      <c r="E12" s="36"/>
      <c r="F12" s="37">
        <v>3</v>
      </c>
      <c r="G12" s="36"/>
      <c r="H12" s="37"/>
      <c r="I12" s="37"/>
      <c r="J12" s="36"/>
      <c r="K12" s="38" t="s">
        <v>411</v>
      </c>
      <c r="L12" s="40">
        <f>Tabla18[[#This Row],[Meta Cobertura y Visitas]]</f>
        <v>0</v>
      </c>
      <c r="M12" s="140" t="s">
        <v>458</v>
      </c>
      <c r="N12" s="128" t="s">
        <v>150</v>
      </c>
      <c r="O12" t="s">
        <v>487</v>
      </c>
      <c r="P12" t="s">
        <v>239</v>
      </c>
      <c r="Q12">
        <v>0.5</v>
      </c>
      <c r="R12">
        <v>3</v>
      </c>
      <c r="S12">
        <f t="shared" si="0"/>
        <v>3.5</v>
      </c>
      <c r="T12">
        <v>30</v>
      </c>
      <c r="U12">
        <v>3</v>
      </c>
    </row>
    <row r="13" spans="1:23" hidden="1" x14ac:dyDescent="0.35">
      <c r="A13" s="21" t="s">
        <v>133</v>
      </c>
      <c r="B13" s="15" t="s">
        <v>460</v>
      </c>
      <c r="C13" s="35">
        <v>112</v>
      </c>
      <c r="D13" s="35">
        <v>27</v>
      </c>
      <c r="E13" s="36">
        <v>0.24107142857142858</v>
      </c>
      <c r="F13" s="37">
        <v>31</v>
      </c>
      <c r="G13" s="36">
        <v>0.2767857142857143</v>
      </c>
      <c r="H13" s="37">
        <v>178</v>
      </c>
      <c r="I13" s="37">
        <v>10</v>
      </c>
      <c r="J13" s="36">
        <v>5.6179775280898875E-2</v>
      </c>
      <c r="K13" s="38" t="s">
        <v>411</v>
      </c>
      <c r="L13" s="40">
        <f>Tabla18[[#This Row],[Meta Cobertura y Visitas]]</f>
        <v>112</v>
      </c>
      <c r="M13" s="128" t="s">
        <v>237</v>
      </c>
      <c r="N13" s="136" t="s">
        <v>133</v>
      </c>
      <c r="O13" t="s">
        <v>497</v>
      </c>
      <c r="P13" t="s">
        <v>239</v>
      </c>
      <c r="Q13">
        <v>0.5</v>
      </c>
      <c r="R13">
        <v>3</v>
      </c>
      <c r="S13">
        <f t="shared" si="0"/>
        <v>3.5</v>
      </c>
      <c r="T13">
        <v>30</v>
      </c>
      <c r="U13">
        <v>3</v>
      </c>
    </row>
    <row r="14" spans="1:23" hidden="1" x14ac:dyDescent="0.35">
      <c r="A14" s="21" t="s">
        <v>465</v>
      </c>
      <c r="B14" s="15" t="s">
        <v>456</v>
      </c>
      <c r="C14" s="35">
        <v>89</v>
      </c>
      <c r="D14" s="35">
        <v>58</v>
      </c>
      <c r="E14" s="36">
        <v>0.651685393258427</v>
      </c>
      <c r="F14" s="37">
        <v>88</v>
      </c>
      <c r="G14" s="36">
        <v>0.9887640449438202</v>
      </c>
      <c r="H14" s="37">
        <v>95</v>
      </c>
      <c r="I14" s="37">
        <v>2</v>
      </c>
      <c r="J14" s="36">
        <v>2.1052631578947368E-2</v>
      </c>
      <c r="K14" s="38" t="s">
        <v>411</v>
      </c>
      <c r="L14" s="40">
        <f>Tabla18[[#This Row],[Meta Cobertura y Visitas]]</f>
        <v>89</v>
      </c>
      <c r="M14" s="140" t="s">
        <v>460</v>
      </c>
      <c r="N14" s="128" t="s">
        <v>133</v>
      </c>
      <c r="O14" t="s">
        <v>490</v>
      </c>
      <c r="P14" t="s">
        <v>239</v>
      </c>
      <c r="Q14">
        <v>0.5</v>
      </c>
      <c r="R14">
        <v>3</v>
      </c>
      <c r="S14">
        <f t="shared" si="0"/>
        <v>3.5</v>
      </c>
      <c r="T14">
        <v>30</v>
      </c>
      <c r="U14">
        <v>3</v>
      </c>
    </row>
    <row r="15" spans="1:23" hidden="1" x14ac:dyDescent="0.35">
      <c r="A15" s="21" t="s">
        <v>465</v>
      </c>
      <c r="B15" s="15" t="s">
        <v>279</v>
      </c>
      <c r="C15" s="35"/>
      <c r="D15" s="35">
        <v>1</v>
      </c>
      <c r="E15" s="36"/>
      <c r="F15" s="37">
        <v>1</v>
      </c>
      <c r="G15" s="36"/>
      <c r="H15" s="37"/>
      <c r="I15" s="37"/>
      <c r="J15" s="36"/>
      <c r="K15" s="38" t="s">
        <v>411</v>
      </c>
      <c r="L15" s="40">
        <f>Tabla18[[#This Row],[Meta Cobertura y Visitas]]</f>
        <v>0</v>
      </c>
      <c r="M15" s="145" t="s">
        <v>471</v>
      </c>
      <c r="N15" s="146" t="s">
        <v>465</v>
      </c>
      <c r="O15" t="s">
        <v>498</v>
      </c>
      <c r="P15" t="s">
        <v>239</v>
      </c>
      <c r="Q15">
        <v>0.5</v>
      </c>
      <c r="R15">
        <v>3</v>
      </c>
      <c r="S15">
        <f t="shared" si="0"/>
        <v>3.5</v>
      </c>
      <c r="T15">
        <v>30</v>
      </c>
      <c r="U15">
        <v>3</v>
      </c>
    </row>
    <row r="16" spans="1:23" hidden="1" x14ac:dyDescent="0.35">
      <c r="A16" s="21" t="s">
        <v>466</v>
      </c>
      <c r="B16" s="15" t="s">
        <v>263</v>
      </c>
      <c r="C16" s="26">
        <v>81</v>
      </c>
      <c r="D16" s="26">
        <v>10</v>
      </c>
      <c r="E16" s="19">
        <v>0.12345679012345678</v>
      </c>
      <c r="F16" s="20">
        <v>18</v>
      </c>
      <c r="G16" s="19">
        <v>0.22222222222222221</v>
      </c>
      <c r="H16" s="20">
        <v>70</v>
      </c>
      <c r="I16" s="20">
        <v>3</v>
      </c>
      <c r="J16" s="19">
        <v>4.2857142857142858E-2</v>
      </c>
      <c r="K16" s="38" t="s">
        <v>411</v>
      </c>
      <c r="L16" s="40">
        <f>Tabla18[[#This Row],[Meta Cobertura y Visitas]]</f>
        <v>81</v>
      </c>
      <c r="M16" s="144" t="s">
        <v>456</v>
      </c>
      <c r="N16" s="145" t="s">
        <v>465</v>
      </c>
      <c r="O16" t="s">
        <v>484</v>
      </c>
      <c r="P16" t="s">
        <v>239</v>
      </c>
      <c r="Q16">
        <v>0.5</v>
      </c>
      <c r="R16">
        <v>3</v>
      </c>
      <c r="S16">
        <f t="shared" si="0"/>
        <v>3.5</v>
      </c>
      <c r="T16">
        <v>30</v>
      </c>
      <c r="U16">
        <v>3</v>
      </c>
    </row>
    <row r="17" spans="1:21" hidden="1" x14ac:dyDescent="0.35">
      <c r="A17" s="21" t="s">
        <v>466</v>
      </c>
      <c r="B17" s="15" t="s">
        <v>456</v>
      </c>
      <c r="C17" s="26"/>
      <c r="D17" s="26">
        <v>1</v>
      </c>
      <c r="E17" s="19"/>
      <c r="F17" s="20">
        <v>1</v>
      </c>
      <c r="G17" s="19"/>
      <c r="H17" s="20"/>
      <c r="I17" s="20"/>
      <c r="J17" s="19"/>
      <c r="K17" s="38" t="s">
        <v>411</v>
      </c>
      <c r="L17" s="40">
        <f>Tabla18[[#This Row],[Meta Cobertura y Visitas]]</f>
        <v>0</v>
      </c>
      <c r="M17" s="128" t="s">
        <v>469</v>
      </c>
      <c r="N17" s="136" t="s">
        <v>466</v>
      </c>
      <c r="O17" t="s">
        <v>494</v>
      </c>
      <c r="P17" t="s">
        <v>239</v>
      </c>
      <c r="Q17">
        <v>0.5</v>
      </c>
      <c r="R17">
        <v>3</v>
      </c>
      <c r="S17">
        <f t="shared" si="0"/>
        <v>3.5</v>
      </c>
      <c r="T17">
        <v>30</v>
      </c>
      <c r="U17">
        <v>3</v>
      </c>
    </row>
    <row r="18" spans="1:21" hidden="1" x14ac:dyDescent="0.35">
      <c r="A18" s="21" t="s">
        <v>280</v>
      </c>
      <c r="B18" s="15" t="s">
        <v>279</v>
      </c>
      <c r="C18" s="26">
        <v>62</v>
      </c>
      <c r="D18" s="26">
        <v>15</v>
      </c>
      <c r="E18" s="19">
        <v>0.24193548387096775</v>
      </c>
      <c r="F18" s="20">
        <v>16</v>
      </c>
      <c r="G18" s="19">
        <v>0.25806451612903225</v>
      </c>
      <c r="H18" s="20">
        <v>38</v>
      </c>
      <c r="I18" s="20">
        <v>8</v>
      </c>
      <c r="J18" s="19">
        <v>0.21052631578947367</v>
      </c>
      <c r="K18" s="38" t="s">
        <v>504</v>
      </c>
      <c r="L18" s="40">
        <f>Tabla18[[#This Row],[Meta Cobertura y Visitas]]</f>
        <v>62</v>
      </c>
      <c r="M18" s="140" t="s">
        <v>263</v>
      </c>
      <c r="N18" s="128" t="s">
        <v>466</v>
      </c>
      <c r="O18" t="s">
        <v>488</v>
      </c>
      <c r="P18" t="s">
        <v>239</v>
      </c>
      <c r="Q18">
        <v>0.5</v>
      </c>
      <c r="R18">
        <v>3</v>
      </c>
      <c r="S18">
        <f t="shared" si="0"/>
        <v>3.5</v>
      </c>
      <c r="T18">
        <v>30</v>
      </c>
      <c r="U18">
        <v>3</v>
      </c>
    </row>
    <row r="19" spans="1:21" hidden="1" x14ac:dyDescent="0.35">
      <c r="A19" s="21" t="s">
        <v>462</v>
      </c>
      <c r="B19" s="15" t="s">
        <v>455</v>
      </c>
      <c r="C19" s="26">
        <v>124</v>
      </c>
      <c r="D19" s="26">
        <v>33</v>
      </c>
      <c r="E19" s="19">
        <v>0.2661290322580645</v>
      </c>
      <c r="F19" s="20">
        <v>39</v>
      </c>
      <c r="G19" s="19">
        <v>0.31451612903225806</v>
      </c>
      <c r="H19" s="20">
        <v>220</v>
      </c>
      <c r="I19" s="20">
        <v>9</v>
      </c>
      <c r="J19" s="19">
        <v>4.0909090909090909E-2</v>
      </c>
      <c r="K19" s="38" t="s">
        <v>504</v>
      </c>
      <c r="L19" s="40">
        <f>Tabla18[[#This Row],[Meta Cobertura y Visitas]]</f>
        <v>124</v>
      </c>
    </row>
    <row r="20" spans="1:21" hidden="1" x14ac:dyDescent="0.35">
      <c r="A20" s="21" t="s">
        <v>462</v>
      </c>
      <c r="B20" s="15" t="s">
        <v>456</v>
      </c>
      <c r="C20" s="26"/>
      <c r="D20" s="26">
        <v>2</v>
      </c>
      <c r="E20" s="19"/>
      <c r="F20" s="20">
        <v>2</v>
      </c>
      <c r="G20" s="19"/>
      <c r="H20" s="20"/>
      <c r="I20" s="20"/>
      <c r="J20" s="19"/>
      <c r="K20" s="38" t="s">
        <v>504</v>
      </c>
      <c r="L20" s="40">
        <f>Tabla18[[#This Row],[Meta Cobertura y Visitas]]</f>
        <v>0</v>
      </c>
      <c r="M20" s="130"/>
      <c r="N20" s="131"/>
    </row>
    <row r="21" spans="1:21" hidden="1" x14ac:dyDescent="0.35">
      <c r="A21" s="21" t="s">
        <v>463</v>
      </c>
      <c r="B21" s="15" t="s">
        <v>457</v>
      </c>
      <c r="C21" s="26">
        <v>74</v>
      </c>
      <c r="D21" s="26"/>
      <c r="E21" s="19"/>
      <c r="F21" s="20"/>
      <c r="G21" s="19"/>
      <c r="H21" s="20">
        <v>40</v>
      </c>
      <c r="I21" s="20">
        <v>7</v>
      </c>
      <c r="J21" s="19">
        <v>0.17499999999999999</v>
      </c>
      <c r="K21" s="38" t="s">
        <v>504</v>
      </c>
      <c r="L21" s="40">
        <f>Tabla18[[#This Row],[Meta Cobertura y Visitas]]</f>
        <v>74</v>
      </c>
    </row>
    <row r="22" spans="1:21" hidden="1" x14ac:dyDescent="0.35">
      <c r="A22" s="21" t="s">
        <v>148</v>
      </c>
      <c r="B22" s="15" t="s">
        <v>267</v>
      </c>
      <c r="C22" s="26">
        <v>86</v>
      </c>
      <c r="D22" s="26">
        <v>19</v>
      </c>
      <c r="E22" s="19">
        <v>0.22093023255813954</v>
      </c>
      <c r="F22" s="20">
        <v>34</v>
      </c>
      <c r="G22" s="19">
        <v>0.39534883720930231</v>
      </c>
      <c r="H22" s="20">
        <v>47</v>
      </c>
      <c r="I22" s="20">
        <v>5</v>
      </c>
      <c r="J22" s="19">
        <v>0.10638297872340426</v>
      </c>
      <c r="K22" s="38" t="s">
        <v>504</v>
      </c>
      <c r="L22" s="40">
        <f>Tabla18[[#This Row],[Meta Cobertura y Visitas]]</f>
        <v>86</v>
      </c>
      <c r="N22" s="6"/>
    </row>
    <row r="23" spans="1:21" hidden="1" x14ac:dyDescent="0.35">
      <c r="A23" s="21" t="s">
        <v>148</v>
      </c>
      <c r="B23" s="15" t="s">
        <v>458</v>
      </c>
      <c r="C23" s="26"/>
      <c r="D23" s="26">
        <v>1</v>
      </c>
      <c r="E23" s="19"/>
      <c r="F23" s="20">
        <v>2</v>
      </c>
      <c r="G23" s="19"/>
      <c r="H23" s="20"/>
      <c r="I23" s="20"/>
      <c r="J23" s="19"/>
      <c r="K23" s="38" t="s">
        <v>504</v>
      </c>
      <c r="L23" s="40">
        <f>Tabla18[[#This Row],[Meta Cobertura y Visitas]]</f>
        <v>0</v>
      </c>
    </row>
    <row r="24" spans="1:21" hidden="1" x14ac:dyDescent="0.35">
      <c r="A24" s="21" t="s">
        <v>264</v>
      </c>
      <c r="B24" s="15" t="s">
        <v>263</v>
      </c>
      <c r="C24" s="26">
        <v>4</v>
      </c>
      <c r="D24" s="26">
        <v>2</v>
      </c>
      <c r="E24" s="19">
        <v>0.5</v>
      </c>
      <c r="F24" s="20">
        <v>10</v>
      </c>
      <c r="G24" s="19">
        <v>2.5</v>
      </c>
      <c r="H24" s="20">
        <v>3</v>
      </c>
      <c r="I24" s="20"/>
      <c r="J24" s="19"/>
      <c r="K24" s="38" t="s">
        <v>504</v>
      </c>
      <c r="L24" s="40">
        <f>Tabla18[[#This Row],[Meta Cobertura y Visitas]]</f>
        <v>4</v>
      </c>
    </row>
    <row r="25" spans="1:21" hidden="1" x14ac:dyDescent="0.35">
      <c r="A25" s="21" t="s">
        <v>464</v>
      </c>
      <c r="B25" s="15" t="s">
        <v>459</v>
      </c>
      <c r="C25" s="26">
        <v>59</v>
      </c>
      <c r="D25" s="26">
        <v>20</v>
      </c>
      <c r="E25" s="19">
        <v>0.33898305084745761</v>
      </c>
      <c r="F25" s="20">
        <v>26</v>
      </c>
      <c r="G25" s="19">
        <v>0.44067796610169491</v>
      </c>
      <c r="H25" s="20">
        <v>40</v>
      </c>
      <c r="I25" s="20">
        <v>3</v>
      </c>
      <c r="J25" s="19">
        <v>7.4999999999999997E-2</v>
      </c>
      <c r="K25" s="38" t="s">
        <v>504</v>
      </c>
      <c r="L25" s="40">
        <f>Tabla18[[#This Row],[Meta Cobertura y Visitas]]</f>
        <v>59</v>
      </c>
    </row>
    <row r="26" spans="1:21" hidden="1" x14ac:dyDescent="0.35">
      <c r="A26" s="21" t="s">
        <v>464</v>
      </c>
      <c r="B26" s="15" t="s">
        <v>263</v>
      </c>
      <c r="C26" s="26"/>
      <c r="D26" s="26"/>
      <c r="E26" s="19"/>
      <c r="F26" s="20">
        <v>1</v>
      </c>
      <c r="G26" s="19"/>
      <c r="H26" s="20"/>
      <c r="I26" s="20"/>
      <c r="J26" s="19"/>
      <c r="K26" s="38" t="s">
        <v>504</v>
      </c>
      <c r="L26" s="40">
        <f>Tabla18[[#This Row],[Meta Cobertura y Visitas]]</f>
        <v>0</v>
      </c>
    </row>
    <row r="27" spans="1:21" hidden="1" x14ac:dyDescent="0.35">
      <c r="A27" s="21" t="s">
        <v>150</v>
      </c>
      <c r="B27" s="15" t="s">
        <v>263</v>
      </c>
      <c r="C27" s="26"/>
      <c r="D27" s="26">
        <v>1</v>
      </c>
      <c r="E27" s="19"/>
      <c r="F27" s="20">
        <v>1</v>
      </c>
      <c r="G27" s="19"/>
      <c r="H27" s="20"/>
      <c r="I27" s="20"/>
      <c r="J27" s="19"/>
      <c r="K27" s="38" t="s">
        <v>504</v>
      </c>
      <c r="L27" s="40">
        <f>Tabla18[[#This Row],[Meta Cobertura y Visitas]]</f>
        <v>0</v>
      </c>
    </row>
    <row r="28" spans="1:21" hidden="1" x14ac:dyDescent="0.35">
      <c r="A28" s="21" t="s">
        <v>150</v>
      </c>
      <c r="B28" s="15" t="s">
        <v>458</v>
      </c>
      <c r="C28" s="26">
        <v>28</v>
      </c>
      <c r="D28" s="26">
        <v>13</v>
      </c>
      <c r="E28" s="19">
        <v>0.4642857142857143</v>
      </c>
      <c r="F28" s="20">
        <v>35</v>
      </c>
      <c r="G28" s="19">
        <v>1.25</v>
      </c>
      <c r="H28" s="20">
        <v>10</v>
      </c>
      <c r="I28" s="20"/>
      <c r="J28" s="19"/>
      <c r="K28" s="38" t="s">
        <v>504</v>
      </c>
      <c r="L28" s="40">
        <f>Tabla18[[#This Row],[Meta Cobertura y Visitas]]</f>
        <v>28</v>
      </c>
    </row>
    <row r="29" spans="1:21" hidden="1" x14ac:dyDescent="0.35">
      <c r="A29" s="21" t="s">
        <v>133</v>
      </c>
      <c r="B29" s="15" t="s">
        <v>263</v>
      </c>
      <c r="C29" s="26"/>
      <c r="D29" s="26">
        <v>1</v>
      </c>
      <c r="E29" s="19"/>
      <c r="F29" s="20">
        <v>1</v>
      </c>
      <c r="G29" s="19"/>
      <c r="H29" s="20"/>
      <c r="I29" s="20"/>
      <c r="J29" s="19"/>
      <c r="K29" s="38" t="s">
        <v>504</v>
      </c>
      <c r="L29" s="40">
        <f>Tabla18[[#This Row],[Meta Cobertura y Visitas]]</f>
        <v>0</v>
      </c>
    </row>
    <row r="30" spans="1:21" hidden="1" x14ac:dyDescent="0.35">
      <c r="A30" s="21" t="s">
        <v>133</v>
      </c>
      <c r="B30" s="15" t="s">
        <v>460</v>
      </c>
      <c r="C30" s="26">
        <v>112</v>
      </c>
      <c r="D30" s="26">
        <v>20</v>
      </c>
      <c r="E30" s="19">
        <v>0.17857142857142858</v>
      </c>
      <c r="F30" s="20">
        <v>27</v>
      </c>
      <c r="G30" s="19">
        <v>0.24107142857142858</v>
      </c>
      <c r="H30" s="20">
        <v>178</v>
      </c>
      <c r="I30" s="20">
        <v>10</v>
      </c>
      <c r="J30" s="19">
        <v>5.6179775280898875E-2</v>
      </c>
      <c r="K30" s="38" t="s">
        <v>504</v>
      </c>
      <c r="L30" s="40">
        <f>Tabla18[[#This Row],[Meta Cobertura y Visitas]]</f>
        <v>112</v>
      </c>
    </row>
    <row r="31" spans="1:21" hidden="1" x14ac:dyDescent="0.35">
      <c r="A31" s="21" t="s">
        <v>465</v>
      </c>
      <c r="B31" s="15" t="s">
        <v>455</v>
      </c>
      <c r="C31" s="26"/>
      <c r="D31" s="26">
        <v>4</v>
      </c>
      <c r="E31" s="19"/>
      <c r="F31" s="20">
        <v>8</v>
      </c>
      <c r="G31" s="19"/>
      <c r="H31" s="20"/>
      <c r="I31" s="20"/>
      <c r="J31" s="19"/>
      <c r="K31" s="38" t="s">
        <v>504</v>
      </c>
      <c r="L31" s="40">
        <f>Tabla18[[#This Row],[Meta Cobertura y Visitas]]</f>
        <v>0</v>
      </c>
    </row>
    <row r="32" spans="1:21" hidden="1" x14ac:dyDescent="0.35">
      <c r="A32" s="21" t="s">
        <v>465</v>
      </c>
      <c r="B32" s="15" t="s">
        <v>456</v>
      </c>
      <c r="C32" s="26">
        <v>89</v>
      </c>
      <c r="D32" s="26">
        <v>69</v>
      </c>
      <c r="E32" s="19">
        <v>0.7752808988764045</v>
      </c>
      <c r="F32" s="20">
        <v>84</v>
      </c>
      <c r="G32" s="19">
        <v>0.9438202247191011</v>
      </c>
      <c r="H32" s="20">
        <v>95</v>
      </c>
      <c r="I32" s="20">
        <v>2</v>
      </c>
      <c r="J32" s="19">
        <v>2.1052631578947368E-2</v>
      </c>
      <c r="K32" s="38" t="s">
        <v>504</v>
      </c>
      <c r="L32" s="40">
        <f>Tabla18[[#This Row],[Meta Cobertura y Visitas]]</f>
        <v>89</v>
      </c>
    </row>
    <row r="33" spans="1:12" hidden="1" x14ac:dyDescent="0.35">
      <c r="A33" s="21" t="s">
        <v>466</v>
      </c>
      <c r="B33" s="15" t="s">
        <v>263</v>
      </c>
      <c r="C33" s="26">
        <v>81</v>
      </c>
      <c r="D33" s="26">
        <v>27</v>
      </c>
      <c r="E33" s="19">
        <v>0.33333333333333331</v>
      </c>
      <c r="F33" s="20">
        <v>35</v>
      </c>
      <c r="G33" s="19">
        <v>0.43209876543209874</v>
      </c>
      <c r="H33" s="20">
        <v>70</v>
      </c>
      <c r="I33" s="20">
        <v>3</v>
      </c>
      <c r="J33" s="19">
        <v>4.2857142857142858E-2</v>
      </c>
      <c r="K33" s="38" t="s">
        <v>504</v>
      </c>
      <c r="L33" s="40">
        <f>Tabla18[[#This Row],[Meta Cobertura y Visitas]]</f>
        <v>81</v>
      </c>
    </row>
    <row r="34" spans="1:12" hidden="1" x14ac:dyDescent="0.35">
      <c r="A34" s="21" t="s">
        <v>466</v>
      </c>
      <c r="B34" s="15" t="s">
        <v>456</v>
      </c>
      <c r="C34" s="26"/>
      <c r="D34" s="26">
        <v>1</v>
      </c>
      <c r="E34" s="19"/>
      <c r="F34" s="20">
        <v>1</v>
      </c>
      <c r="G34" s="19"/>
      <c r="H34" s="20"/>
      <c r="I34" s="20"/>
      <c r="J34" s="19"/>
      <c r="K34" s="38" t="s">
        <v>504</v>
      </c>
      <c r="L34" s="40">
        <f>Tabla18[[#This Row],[Meta Cobertura y Visitas]]</f>
        <v>0</v>
      </c>
    </row>
    <row r="35" spans="1:12" hidden="1" x14ac:dyDescent="0.35">
      <c r="A35" s="21" t="s">
        <v>280</v>
      </c>
      <c r="B35" s="15" t="s">
        <v>279</v>
      </c>
      <c r="C35" s="26">
        <v>62</v>
      </c>
      <c r="D35" s="26">
        <v>31</v>
      </c>
      <c r="E35" s="19">
        <v>0.5</v>
      </c>
      <c r="F35" s="20">
        <v>32</v>
      </c>
      <c r="G35" s="19">
        <v>0.5161290322580645</v>
      </c>
      <c r="H35" s="20">
        <v>38</v>
      </c>
      <c r="I35" s="20">
        <v>8</v>
      </c>
      <c r="J35" s="19">
        <v>0.21052631578947367</v>
      </c>
      <c r="K35" s="38" t="s">
        <v>505</v>
      </c>
      <c r="L35" s="40">
        <f>Tabla18[[#This Row],[Meta Cobertura y Visitas]]</f>
        <v>62</v>
      </c>
    </row>
    <row r="36" spans="1:12" hidden="1" x14ac:dyDescent="0.35">
      <c r="A36" s="21" t="s">
        <v>462</v>
      </c>
      <c r="B36" s="15" t="s">
        <v>455</v>
      </c>
      <c r="C36" s="26">
        <v>124</v>
      </c>
      <c r="D36" s="26">
        <v>22</v>
      </c>
      <c r="E36" s="19">
        <v>0.17741935483870969</v>
      </c>
      <c r="F36" s="20">
        <v>29</v>
      </c>
      <c r="G36" s="19">
        <v>0.23387096774193547</v>
      </c>
      <c r="H36" s="37">
        <v>220</v>
      </c>
      <c r="I36" s="20">
        <v>9</v>
      </c>
      <c r="J36" s="19">
        <v>4.0909090909090909E-2</v>
      </c>
      <c r="K36" s="38" t="s">
        <v>505</v>
      </c>
      <c r="L36" s="40">
        <f>Tabla18[[#This Row],[Meta Cobertura y Visitas]]</f>
        <v>124</v>
      </c>
    </row>
    <row r="37" spans="1:12" hidden="1" x14ac:dyDescent="0.35">
      <c r="A37" s="21" t="s">
        <v>462</v>
      </c>
      <c r="B37" s="15" t="s">
        <v>456</v>
      </c>
      <c r="C37" s="26"/>
      <c r="D37" s="26">
        <v>1</v>
      </c>
      <c r="E37" s="19"/>
      <c r="F37" s="20">
        <v>1</v>
      </c>
      <c r="G37" s="19"/>
      <c r="H37" s="20"/>
      <c r="I37" s="20"/>
      <c r="J37" s="19"/>
      <c r="K37" s="38" t="s">
        <v>505</v>
      </c>
      <c r="L37" s="40">
        <f>Tabla18[[#This Row],[Meta Cobertura y Visitas]]</f>
        <v>0</v>
      </c>
    </row>
    <row r="38" spans="1:12" hidden="1" x14ac:dyDescent="0.35">
      <c r="A38" s="21" t="s">
        <v>463</v>
      </c>
      <c r="B38" s="15" t="s">
        <v>457</v>
      </c>
      <c r="C38" s="26">
        <v>74</v>
      </c>
      <c r="D38" s="26"/>
      <c r="E38" s="19"/>
      <c r="F38" s="20"/>
      <c r="G38" s="19"/>
      <c r="H38" s="20">
        <v>40</v>
      </c>
      <c r="I38" s="20">
        <v>7</v>
      </c>
      <c r="J38" s="19">
        <v>0.17499999999999999</v>
      </c>
      <c r="K38" s="38" t="s">
        <v>505</v>
      </c>
      <c r="L38" s="40">
        <f>Tabla18[[#This Row],[Meta Cobertura y Visitas]]</f>
        <v>74</v>
      </c>
    </row>
    <row r="39" spans="1:12" hidden="1" x14ac:dyDescent="0.35">
      <c r="A39" s="21" t="s">
        <v>148</v>
      </c>
      <c r="B39" s="15" t="s">
        <v>267</v>
      </c>
      <c r="C39" s="26">
        <v>86</v>
      </c>
      <c r="D39" s="26">
        <v>18</v>
      </c>
      <c r="E39" s="19">
        <v>0.20930232558139536</v>
      </c>
      <c r="F39" s="20">
        <v>32</v>
      </c>
      <c r="G39" s="19">
        <v>0.37209302325581395</v>
      </c>
      <c r="H39" s="20">
        <v>47</v>
      </c>
      <c r="I39" s="20">
        <v>5</v>
      </c>
      <c r="J39" s="19">
        <v>0.10638297872340426</v>
      </c>
      <c r="K39" s="38" t="s">
        <v>505</v>
      </c>
      <c r="L39" s="40">
        <f>Tabla18[[#This Row],[Meta Cobertura y Visitas]]</f>
        <v>86</v>
      </c>
    </row>
    <row r="40" spans="1:12" hidden="1" x14ac:dyDescent="0.35">
      <c r="A40" s="21" t="s">
        <v>148</v>
      </c>
      <c r="B40" s="15" t="s">
        <v>458</v>
      </c>
      <c r="C40" s="26"/>
      <c r="D40" s="26">
        <v>1</v>
      </c>
      <c r="E40" s="19"/>
      <c r="F40" s="20">
        <v>3</v>
      </c>
      <c r="G40" s="19"/>
      <c r="H40" s="20"/>
      <c r="I40" s="20"/>
      <c r="J40" s="19"/>
      <c r="K40" s="38" t="s">
        <v>505</v>
      </c>
      <c r="L40" s="40">
        <f>Tabla18[[#This Row],[Meta Cobertura y Visitas]]</f>
        <v>0</v>
      </c>
    </row>
    <row r="41" spans="1:12" hidden="1" x14ac:dyDescent="0.35">
      <c r="A41" s="21" t="s">
        <v>264</v>
      </c>
      <c r="B41" s="15" t="s">
        <v>263</v>
      </c>
      <c r="C41" s="26">
        <v>4</v>
      </c>
      <c r="D41" s="26">
        <v>1</v>
      </c>
      <c r="E41" s="19">
        <v>0.25</v>
      </c>
      <c r="F41" s="20">
        <v>2</v>
      </c>
      <c r="G41" s="19">
        <v>0.5</v>
      </c>
      <c r="H41" s="20">
        <v>3</v>
      </c>
      <c r="I41" s="20"/>
      <c r="J41" s="19"/>
      <c r="K41" s="38" t="s">
        <v>505</v>
      </c>
      <c r="L41" s="40">
        <f>Tabla18[[#This Row],[Meta Cobertura y Visitas]]</f>
        <v>4</v>
      </c>
    </row>
    <row r="42" spans="1:12" hidden="1" x14ac:dyDescent="0.35">
      <c r="A42" s="21" t="s">
        <v>464</v>
      </c>
      <c r="B42" s="15" t="s">
        <v>459</v>
      </c>
      <c r="C42" s="26">
        <v>59</v>
      </c>
      <c r="D42" s="26">
        <v>22</v>
      </c>
      <c r="E42" s="19">
        <v>0.3728813559322034</v>
      </c>
      <c r="F42" s="20">
        <v>24</v>
      </c>
      <c r="G42" s="19">
        <v>0.40677966101694918</v>
      </c>
      <c r="H42" s="20">
        <v>40</v>
      </c>
      <c r="I42" s="20">
        <v>3</v>
      </c>
      <c r="J42" s="19">
        <v>7.4999999999999997E-2</v>
      </c>
      <c r="K42" s="38" t="s">
        <v>505</v>
      </c>
      <c r="L42" s="40">
        <f>Tabla18[[#This Row],[Meta Cobertura y Visitas]]</f>
        <v>59</v>
      </c>
    </row>
    <row r="43" spans="1:12" hidden="1" x14ac:dyDescent="0.35">
      <c r="A43" s="21" t="s">
        <v>150</v>
      </c>
      <c r="B43" s="15" t="s">
        <v>263</v>
      </c>
      <c r="C43" s="26"/>
      <c r="D43" s="26">
        <v>1</v>
      </c>
      <c r="E43" s="19"/>
      <c r="F43" s="20">
        <v>2</v>
      </c>
      <c r="G43" s="19"/>
      <c r="H43" s="20"/>
      <c r="I43" s="20"/>
      <c r="J43" s="19"/>
      <c r="K43" s="38" t="s">
        <v>505</v>
      </c>
      <c r="L43" s="40">
        <f>Tabla18[[#This Row],[Meta Cobertura y Visitas]]</f>
        <v>0</v>
      </c>
    </row>
    <row r="44" spans="1:12" hidden="1" x14ac:dyDescent="0.35">
      <c r="A44" s="21" t="s">
        <v>150</v>
      </c>
      <c r="B44" s="15" t="s">
        <v>458</v>
      </c>
      <c r="C44" s="26">
        <v>28</v>
      </c>
      <c r="D44" s="26">
        <v>18</v>
      </c>
      <c r="E44" s="19">
        <v>0.6428571428571429</v>
      </c>
      <c r="F44" s="20">
        <v>57</v>
      </c>
      <c r="G44" s="19">
        <v>2.0357142857142856</v>
      </c>
      <c r="H44" s="20">
        <v>10</v>
      </c>
      <c r="I44" s="20"/>
      <c r="J44" s="19"/>
      <c r="K44" s="38" t="s">
        <v>505</v>
      </c>
      <c r="L44" s="40">
        <f>Tabla18[[#This Row],[Meta Cobertura y Visitas]]</f>
        <v>28</v>
      </c>
    </row>
    <row r="45" spans="1:12" hidden="1" x14ac:dyDescent="0.35">
      <c r="A45" s="21" t="s">
        <v>133</v>
      </c>
      <c r="B45" s="15" t="s">
        <v>263</v>
      </c>
      <c r="C45" s="26"/>
      <c r="D45" s="26">
        <v>1</v>
      </c>
      <c r="E45" s="19"/>
      <c r="F45" s="20">
        <v>2</v>
      </c>
      <c r="G45" s="19"/>
      <c r="H45" s="20"/>
      <c r="I45" s="20"/>
      <c r="J45" s="19"/>
      <c r="K45" s="38" t="s">
        <v>505</v>
      </c>
      <c r="L45" s="40">
        <f>Tabla18[[#This Row],[Meta Cobertura y Visitas]]</f>
        <v>0</v>
      </c>
    </row>
    <row r="46" spans="1:12" hidden="1" x14ac:dyDescent="0.35">
      <c r="A46" s="21" t="s">
        <v>133</v>
      </c>
      <c r="B46" s="15" t="s">
        <v>460</v>
      </c>
      <c r="C46" s="26">
        <v>112</v>
      </c>
      <c r="D46" s="26">
        <v>39</v>
      </c>
      <c r="E46" s="19">
        <v>0.3482142857142857</v>
      </c>
      <c r="F46" s="20">
        <v>58</v>
      </c>
      <c r="G46" s="19">
        <v>0.5178571428571429</v>
      </c>
      <c r="H46" s="20">
        <v>178</v>
      </c>
      <c r="I46" s="20">
        <v>10</v>
      </c>
      <c r="J46" s="19">
        <v>5.6179775280898875E-2</v>
      </c>
      <c r="K46" s="38" t="s">
        <v>505</v>
      </c>
      <c r="L46" s="40">
        <f>Tabla18[[#This Row],[Meta Cobertura y Visitas]]</f>
        <v>112</v>
      </c>
    </row>
    <row r="47" spans="1:12" hidden="1" x14ac:dyDescent="0.35">
      <c r="A47" s="21" t="s">
        <v>465</v>
      </c>
      <c r="B47" s="15" t="s">
        <v>455</v>
      </c>
      <c r="C47" s="26"/>
      <c r="D47" s="26">
        <v>1</v>
      </c>
      <c r="E47" s="19"/>
      <c r="F47" s="20">
        <v>1</v>
      </c>
      <c r="G47" s="19"/>
      <c r="H47" s="20"/>
      <c r="I47" s="20"/>
      <c r="J47" s="19"/>
      <c r="K47" s="38" t="s">
        <v>505</v>
      </c>
      <c r="L47" s="40">
        <f>Tabla18[[#This Row],[Meta Cobertura y Visitas]]</f>
        <v>0</v>
      </c>
    </row>
    <row r="48" spans="1:12" hidden="1" x14ac:dyDescent="0.35">
      <c r="A48" s="21" t="s">
        <v>465</v>
      </c>
      <c r="B48" s="15" t="s">
        <v>263</v>
      </c>
      <c r="C48" s="26"/>
      <c r="D48" s="26"/>
      <c r="E48" s="19"/>
      <c r="F48" s="20">
        <v>1</v>
      </c>
      <c r="G48" s="19"/>
      <c r="H48" s="20"/>
      <c r="I48" s="20"/>
      <c r="J48" s="19"/>
      <c r="K48" s="38" t="s">
        <v>505</v>
      </c>
      <c r="L48" s="40">
        <f>Tabla18[[#This Row],[Meta Cobertura y Visitas]]</f>
        <v>0</v>
      </c>
    </row>
    <row r="49" spans="1:12" hidden="1" x14ac:dyDescent="0.35">
      <c r="A49" s="21" t="s">
        <v>465</v>
      </c>
      <c r="B49" s="15" t="s">
        <v>456</v>
      </c>
      <c r="C49" s="26">
        <v>89</v>
      </c>
      <c r="D49" s="26">
        <v>61</v>
      </c>
      <c r="E49" s="19">
        <v>0.6853932584269663</v>
      </c>
      <c r="F49" s="20">
        <v>76</v>
      </c>
      <c r="G49" s="19">
        <v>0.8539325842696629</v>
      </c>
      <c r="H49" s="20">
        <v>95</v>
      </c>
      <c r="I49" s="20">
        <v>2</v>
      </c>
      <c r="J49" s="19">
        <v>2.1052631578947368E-2</v>
      </c>
      <c r="K49" s="38" t="s">
        <v>505</v>
      </c>
      <c r="L49" s="40">
        <f>Tabla18[[#This Row],[Meta Cobertura y Visitas]]</f>
        <v>89</v>
      </c>
    </row>
    <row r="50" spans="1:12" hidden="1" x14ac:dyDescent="0.35">
      <c r="A50" s="21" t="s">
        <v>465</v>
      </c>
      <c r="B50" s="15" t="s">
        <v>279</v>
      </c>
      <c r="C50" s="26"/>
      <c r="D50" s="26">
        <v>1</v>
      </c>
      <c r="E50" s="19"/>
      <c r="F50" s="20">
        <v>1</v>
      </c>
      <c r="G50" s="19"/>
      <c r="H50" s="20"/>
      <c r="I50" s="20"/>
      <c r="J50" s="19"/>
      <c r="K50" s="38" t="s">
        <v>505</v>
      </c>
      <c r="L50" s="40">
        <f>Tabla18[[#This Row],[Meta Cobertura y Visitas]]</f>
        <v>0</v>
      </c>
    </row>
    <row r="51" spans="1:12" hidden="1" x14ac:dyDescent="0.35">
      <c r="A51" s="21" t="s">
        <v>466</v>
      </c>
      <c r="B51" s="15" t="s">
        <v>263</v>
      </c>
      <c r="C51" s="26">
        <v>81</v>
      </c>
      <c r="D51" s="26">
        <v>18</v>
      </c>
      <c r="E51" s="19">
        <v>0.22222222222222221</v>
      </c>
      <c r="F51" s="20">
        <v>20</v>
      </c>
      <c r="G51" s="19">
        <v>0.24691358024691357</v>
      </c>
      <c r="H51" s="20">
        <v>70</v>
      </c>
      <c r="I51" s="20">
        <v>3</v>
      </c>
      <c r="J51" s="19">
        <v>4.2857142857142858E-2</v>
      </c>
      <c r="K51" s="38" t="s">
        <v>505</v>
      </c>
      <c r="L51" s="40">
        <f>Tabla18[[#This Row],[Meta Cobertura y Visitas]]</f>
        <v>81</v>
      </c>
    </row>
    <row r="52" spans="1:12" hidden="1" x14ac:dyDescent="0.35">
      <c r="A52" s="21" t="s">
        <v>466</v>
      </c>
      <c r="B52" s="15" t="s">
        <v>456</v>
      </c>
      <c r="C52" s="26"/>
      <c r="D52" s="26">
        <v>1</v>
      </c>
      <c r="E52" s="19"/>
      <c r="F52" s="20">
        <v>1</v>
      </c>
      <c r="G52" s="19"/>
      <c r="H52" s="37"/>
      <c r="I52" s="20"/>
      <c r="J52" s="19"/>
      <c r="K52" s="38" t="s">
        <v>505</v>
      </c>
      <c r="L52" s="40">
        <f>Tabla18[[#This Row],[Meta Cobertura y Visitas]]</f>
        <v>0</v>
      </c>
    </row>
    <row r="53" spans="1:12" hidden="1" x14ac:dyDescent="0.35">
      <c r="A53" s="21" t="s">
        <v>462</v>
      </c>
      <c r="B53" s="15" t="s">
        <v>468</v>
      </c>
      <c r="C53" s="39">
        <v>231</v>
      </c>
      <c r="D53" s="26"/>
      <c r="E53" s="19"/>
      <c r="F53" s="26"/>
      <c r="G53" s="19"/>
      <c r="H53" s="20">
        <v>10</v>
      </c>
      <c r="I53" s="20"/>
      <c r="J53" s="19"/>
      <c r="K53" s="38" t="s">
        <v>411</v>
      </c>
      <c r="L53" s="41">
        <v>60</v>
      </c>
    </row>
    <row r="54" spans="1:12" hidden="1" x14ac:dyDescent="0.35">
      <c r="A54" s="21" t="s">
        <v>148</v>
      </c>
      <c r="B54" s="15" t="s">
        <v>254</v>
      </c>
      <c r="C54" s="57">
        <v>38</v>
      </c>
      <c r="D54" s="26">
        <v>7</v>
      </c>
      <c r="E54" s="19">
        <v>5.5555555555555552E-2</v>
      </c>
      <c r="F54" s="26">
        <v>7</v>
      </c>
      <c r="G54" s="19">
        <v>0.11666666666666667</v>
      </c>
      <c r="H54" s="20">
        <v>10</v>
      </c>
      <c r="I54" s="20"/>
      <c r="J54" s="19"/>
      <c r="K54" s="38" t="s">
        <v>411</v>
      </c>
      <c r="L54" s="41">
        <v>60</v>
      </c>
    </row>
    <row r="55" spans="1:12" x14ac:dyDescent="0.35">
      <c r="A55" s="21" t="s">
        <v>264</v>
      </c>
      <c r="B55" s="15" t="s">
        <v>469</v>
      </c>
      <c r="C55" s="39">
        <v>4</v>
      </c>
      <c r="D55" s="26">
        <v>1</v>
      </c>
      <c r="E55" s="19">
        <v>0.25</v>
      </c>
      <c r="F55" s="26">
        <v>15</v>
      </c>
      <c r="G55" s="19">
        <v>0.25</v>
      </c>
      <c r="H55" s="20">
        <v>10</v>
      </c>
      <c r="I55" s="20"/>
      <c r="J55" s="19"/>
      <c r="K55" s="38" t="s">
        <v>411</v>
      </c>
      <c r="L55" s="41">
        <v>0</v>
      </c>
    </row>
    <row r="56" spans="1:12" hidden="1" x14ac:dyDescent="0.35">
      <c r="A56" s="21" t="s">
        <v>464</v>
      </c>
      <c r="B56" s="15" t="s">
        <v>470</v>
      </c>
      <c r="C56" s="57">
        <v>214</v>
      </c>
      <c r="D56" s="26">
        <v>102</v>
      </c>
      <c r="E56" s="19">
        <v>0.25</v>
      </c>
      <c r="F56" s="26">
        <v>105</v>
      </c>
      <c r="G56" s="19">
        <v>1.75</v>
      </c>
      <c r="H56" s="20">
        <v>10</v>
      </c>
      <c r="I56" s="20">
        <v>2</v>
      </c>
      <c r="J56" s="19">
        <v>0.2</v>
      </c>
      <c r="K56" s="38" t="s">
        <v>411</v>
      </c>
      <c r="L56" s="41">
        <v>60</v>
      </c>
    </row>
    <row r="57" spans="1:12" hidden="1" x14ac:dyDescent="0.35">
      <c r="A57" s="21" t="s">
        <v>150</v>
      </c>
      <c r="B57" s="15" t="s">
        <v>277</v>
      </c>
      <c r="C57" s="57">
        <v>139</v>
      </c>
      <c r="D57" s="26">
        <v>20</v>
      </c>
      <c r="E57" s="19">
        <v>0.10256410256410256</v>
      </c>
      <c r="F57" s="26">
        <v>16</v>
      </c>
      <c r="G57" s="19">
        <v>0.26666666666666666</v>
      </c>
      <c r="H57" s="20">
        <v>10</v>
      </c>
      <c r="I57" s="20"/>
      <c r="J57" s="19"/>
      <c r="K57" s="38" t="s">
        <v>411</v>
      </c>
      <c r="L57" s="41">
        <v>60</v>
      </c>
    </row>
    <row r="58" spans="1:12" hidden="1" x14ac:dyDescent="0.35">
      <c r="A58" s="21" t="s">
        <v>133</v>
      </c>
      <c r="B58" s="15" t="s">
        <v>237</v>
      </c>
      <c r="C58" s="57">
        <v>265</v>
      </c>
      <c r="D58" s="26">
        <v>56</v>
      </c>
      <c r="E58" s="19">
        <v>0.21132075471698114</v>
      </c>
      <c r="F58" s="26">
        <v>37</v>
      </c>
      <c r="G58" s="19">
        <v>0.6166666666666667</v>
      </c>
      <c r="H58" s="20">
        <v>10</v>
      </c>
      <c r="I58" s="20"/>
      <c r="J58" s="19"/>
      <c r="K58" s="38" t="s">
        <v>411</v>
      </c>
      <c r="L58" s="41">
        <v>60</v>
      </c>
    </row>
    <row r="59" spans="1:12" hidden="1" x14ac:dyDescent="0.35">
      <c r="A59" s="21" t="s">
        <v>465</v>
      </c>
      <c r="B59" s="15" t="s">
        <v>471</v>
      </c>
      <c r="C59" s="57">
        <v>91</v>
      </c>
      <c r="D59" s="26"/>
      <c r="E59" s="19"/>
      <c r="F59" s="26"/>
      <c r="G59" s="19"/>
      <c r="H59" s="20">
        <v>10</v>
      </c>
      <c r="I59" s="20"/>
      <c r="J59" s="19"/>
      <c r="K59" s="38" t="s">
        <v>411</v>
      </c>
      <c r="L59" s="41">
        <v>60</v>
      </c>
    </row>
    <row r="60" spans="1:12" x14ac:dyDescent="0.35">
      <c r="A60" s="21" t="s">
        <v>466</v>
      </c>
      <c r="B60" s="15" t="s">
        <v>469</v>
      </c>
      <c r="C60" s="57">
        <v>4</v>
      </c>
      <c r="D60" s="26">
        <v>1</v>
      </c>
      <c r="E60" s="19">
        <v>1.2048192771084338E-2</v>
      </c>
      <c r="F60" s="26">
        <v>17</v>
      </c>
      <c r="G60" s="19">
        <v>0.28333333333333333</v>
      </c>
      <c r="H60" s="20">
        <v>10</v>
      </c>
      <c r="I60" s="20"/>
      <c r="J60" s="19"/>
      <c r="K60" s="38" t="s">
        <v>411</v>
      </c>
      <c r="L60" s="41">
        <v>60</v>
      </c>
    </row>
    <row r="61" spans="1:12" hidden="1" x14ac:dyDescent="0.35">
      <c r="A61" s="21" t="s">
        <v>462</v>
      </c>
      <c r="B61" s="15" t="s">
        <v>468</v>
      </c>
      <c r="C61" s="39">
        <v>231</v>
      </c>
      <c r="D61" s="26"/>
      <c r="E61" s="19"/>
      <c r="F61" s="26"/>
      <c r="G61" s="19"/>
      <c r="H61" s="20">
        <v>10</v>
      </c>
      <c r="I61" s="20"/>
      <c r="J61" s="19"/>
      <c r="K61" s="38" t="s">
        <v>504</v>
      </c>
      <c r="L61" s="41">
        <v>60</v>
      </c>
    </row>
    <row r="62" spans="1:12" hidden="1" x14ac:dyDescent="0.35">
      <c r="A62" s="21" t="s">
        <v>148</v>
      </c>
      <c r="B62" s="7" t="s">
        <v>254</v>
      </c>
      <c r="C62" s="57">
        <v>38</v>
      </c>
      <c r="D62" s="26">
        <v>21</v>
      </c>
      <c r="E62" s="19">
        <v>0.16666666666666666</v>
      </c>
      <c r="F62" s="26">
        <v>17</v>
      </c>
      <c r="G62" s="19">
        <v>0.28333333333333333</v>
      </c>
      <c r="H62" s="20">
        <v>10</v>
      </c>
      <c r="I62" s="20"/>
      <c r="J62" s="19"/>
      <c r="K62" s="38" t="s">
        <v>504</v>
      </c>
      <c r="L62" s="41">
        <v>60</v>
      </c>
    </row>
    <row r="63" spans="1:12" x14ac:dyDescent="0.35">
      <c r="A63" s="21" t="s">
        <v>264</v>
      </c>
      <c r="B63" s="7" t="s">
        <v>469</v>
      </c>
      <c r="C63" s="39">
        <v>4</v>
      </c>
      <c r="D63" s="26">
        <v>1</v>
      </c>
      <c r="E63" s="19">
        <v>0.25</v>
      </c>
      <c r="F63" s="26">
        <v>22</v>
      </c>
      <c r="G63" s="19">
        <v>0.36666666666666664</v>
      </c>
      <c r="H63" s="20">
        <v>10</v>
      </c>
      <c r="I63" s="20"/>
      <c r="J63" s="19"/>
      <c r="K63" s="38" t="s">
        <v>504</v>
      </c>
      <c r="L63" s="41">
        <v>0</v>
      </c>
    </row>
    <row r="64" spans="1:12" hidden="1" x14ac:dyDescent="0.35">
      <c r="A64" s="21" t="s">
        <v>464</v>
      </c>
      <c r="B64" s="7" t="s">
        <v>470</v>
      </c>
      <c r="C64" s="57">
        <v>214</v>
      </c>
      <c r="D64" s="26">
        <v>89</v>
      </c>
      <c r="E64" s="19">
        <v>0.21813725490196079</v>
      </c>
      <c r="F64" s="26">
        <v>80</v>
      </c>
      <c r="G64" s="19">
        <v>1.3333333333333333</v>
      </c>
      <c r="H64" s="20">
        <v>10</v>
      </c>
      <c r="I64" s="20">
        <v>2</v>
      </c>
      <c r="J64" s="19">
        <v>0.2</v>
      </c>
      <c r="K64" s="38" t="s">
        <v>504</v>
      </c>
      <c r="L64" s="41">
        <v>60</v>
      </c>
    </row>
    <row r="65" spans="1:12" hidden="1" x14ac:dyDescent="0.35">
      <c r="A65" s="21" t="s">
        <v>150</v>
      </c>
      <c r="B65" s="7" t="s">
        <v>277</v>
      </c>
      <c r="C65" s="39">
        <v>139</v>
      </c>
      <c r="D65" s="26">
        <v>47</v>
      </c>
      <c r="E65" s="19">
        <v>0.24102564102564103</v>
      </c>
      <c r="F65" s="26">
        <v>40</v>
      </c>
      <c r="G65" s="19">
        <v>0.66666666666666663</v>
      </c>
      <c r="H65" s="20">
        <v>10</v>
      </c>
      <c r="I65" s="20"/>
      <c r="J65" s="19"/>
      <c r="K65" s="38" t="s">
        <v>504</v>
      </c>
      <c r="L65" s="41">
        <v>60</v>
      </c>
    </row>
    <row r="66" spans="1:12" hidden="1" x14ac:dyDescent="0.35">
      <c r="A66" s="21" t="s">
        <v>133</v>
      </c>
      <c r="B66" s="7" t="s">
        <v>237</v>
      </c>
      <c r="C66" s="57">
        <v>265</v>
      </c>
      <c r="D66" s="26"/>
      <c r="E66" s="19"/>
      <c r="F66" s="26"/>
      <c r="G66" s="19"/>
      <c r="H66" s="20">
        <v>10</v>
      </c>
      <c r="I66" s="20"/>
      <c r="J66" s="19"/>
      <c r="K66" s="38" t="s">
        <v>504</v>
      </c>
      <c r="L66" s="41">
        <v>60</v>
      </c>
    </row>
    <row r="67" spans="1:12" hidden="1" x14ac:dyDescent="0.35">
      <c r="A67" s="21" t="s">
        <v>465</v>
      </c>
      <c r="B67" s="7" t="s">
        <v>471</v>
      </c>
      <c r="C67" s="57">
        <v>91</v>
      </c>
      <c r="D67" s="26"/>
      <c r="E67" s="19"/>
      <c r="F67" s="26"/>
      <c r="G67" s="19"/>
      <c r="H67" s="20">
        <v>10</v>
      </c>
      <c r="I67" s="20"/>
      <c r="J67" s="19"/>
      <c r="K67" s="38" t="s">
        <v>504</v>
      </c>
      <c r="L67" s="41">
        <v>60</v>
      </c>
    </row>
    <row r="68" spans="1:12" x14ac:dyDescent="0.35">
      <c r="A68" s="21" t="s">
        <v>466</v>
      </c>
      <c r="B68" s="7" t="s">
        <v>469</v>
      </c>
      <c r="C68" s="57">
        <v>4</v>
      </c>
      <c r="D68" s="26">
        <v>3</v>
      </c>
      <c r="E68" s="19">
        <v>3.614457831325301E-2</v>
      </c>
      <c r="F68" s="26">
        <v>11</v>
      </c>
      <c r="G68" s="19">
        <v>0.18333333333333332</v>
      </c>
      <c r="H68" s="20">
        <v>10</v>
      </c>
      <c r="I68" s="20"/>
      <c r="J68" s="19"/>
      <c r="K68" s="38" t="s">
        <v>504</v>
      </c>
      <c r="L68" s="41">
        <v>60</v>
      </c>
    </row>
    <row r="69" spans="1:12" hidden="1" x14ac:dyDescent="0.35">
      <c r="A69" s="21" t="s">
        <v>462</v>
      </c>
      <c r="B69" s="7" t="s">
        <v>468</v>
      </c>
      <c r="C69" s="57">
        <v>231</v>
      </c>
      <c r="D69" s="26"/>
      <c r="E69" s="19"/>
      <c r="F69" s="26"/>
      <c r="G69" s="19"/>
      <c r="H69" s="20">
        <v>10</v>
      </c>
      <c r="I69" s="20"/>
      <c r="J69" s="19"/>
      <c r="K69" s="38" t="s">
        <v>505</v>
      </c>
      <c r="L69" s="41">
        <v>60</v>
      </c>
    </row>
    <row r="70" spans="1:12" hidden="1" x14ac:dyDescent="0.35">
      <c r="A70" s="21" t="s">
        <v>148</v>
      </c>
      <c r="B70" s="7" t="s">
        <v>254</v>
      </c>
      <c r="C70" s="57">
        <v>38</v>
      </c>
      <c r="D70" s="26">
        <v>6</v>
      </c>
      <c r="E70" s="19">
        <v>4.7619047619047616E-2</v>
      </c>
      <c r="F70" s="26">
        <v>4</v>
      </c>
      <c r="G70" s="19">
        <v>6.6666666666666666E-2</v>
      </c>
      <c r="H70" s="20">
        <v>10</v>
      </c>
      <c r="I70" s="20"/>
      <c r="J70" s="19"/>
      <c r="K70" s="38" t="s">
        <v>505</v>
      </c>
      <c r="L70" s="41">
        <v>60</v>
      </c>
    </row>
    <row r="71" spans="1:12" x14ac:dyDescent="0.35">
      <c r="A71" s="21" t="s">
        <v>264</v>
      </c>
      <c r="B71" s="7" t="s">
        <v>469</v>
      </c>
      <c r="C71" s="39">
        <v>4</v>
      </c>
      <c r="D71" s="26">
        <v>1</v>
      </c>
      <c r="E71" s="19">
        <v>0.25</v>
      </c>
      <c r="F71" s="26">
        <v>16</v>
      </c>
      <c r="G71" s="19">
        <v>0.26666666666666666</v>
      </c>
      <c r="H71" s="20">
        <v>10</v>
      </c>
      <c r="I71" s="20"/>
      <c r="J71" s="19"/>
      <c r="K71" s="38" t="s">
        <v>505</v>
      </c>
      <c r="L71" s="41">
        <v>0</v>
      </c>
    </row>
    <row r="72" spans="1:12" hidden="1" x14ac:dyDescent="0.35">
      <c r="A72" s="21" t="s">
        <v>464</v>
      </c>
      <c r="B72" s="7" t="s">
        <v>470</v>
      </c>
      <c r="C72" s="57">
        <v>214</v>
      </c>
      <c r="D72" s="26">
        <v>95</v>
      </c>
      <c r="E72" s="19">
        <v>0.23284313725490197</v>
      </c>
      <c r="F72" s="26">
        <v>83</v>
      </c>
      <c r="G72" s="19">
        <v>1.3833333333333333</v>
      </c>
      <c r="H72" s="20">
        <v>10</v>
      </c>
      <c r="I72" s="20">
        <v>2</v>
      </c>
      <c r="J72" s="19">
        <v>0.2</v>
      </c>
      <c r="K72" s="38" t="s">
        <v>505</v>
      </c>
      <c r="L72" s="41">
        <v>60</v>
      </c>
    </row>
    <row r="73" spans="1:12" hidden="1" x14ac:dyDescent="0.35">
      <c r="A73" s="21" t="s">
        <v>150</v>
      </c>
      <c r="B73" s="7" t="s">
        <v>277</v>
      </c>
      <c r="C73" s="39">
        <v>139</v>
      </c>
      <c r="D73" s="26">
        <v>20</v>
      </c>
      <c r="E73" s="19">
        <v>0.10256410256410256</v>
      </c>
      <c r="F73" s="26">
        <v>16</v>
      </c>
      <c r="G73" s="19">
        <v>0.26666666666666666</v>
      </c>
      <c r="H73" s="20">
        <v>10</v>
      </c>
      <c r="I73" s="20"/>
      <c r="J73" s="19"/>
      <c r="K73" s="38" t="s">
        <v>505</v>
      </c>
      <c r="L73" s="41">
        <v>60</v>
      </c>
    </row>
    <row r="74" spans="1:12" hidden="1" x14ac:dyDescent="0.35">
      <c r="A74" s="21" t="s">
        <v>133</v>
      </c>
      <c r="B74" s="7" t="s">
        <v>237</v>
      </c>
      <c r="C74" s="57">
        <v>265</v>
      </c>
      <c r="D74" s="26"/>
      <c r="E74" s="19"/>
      <c r="F74" s="26"/>
      <c r="G74" s="19"/>
      <c r="H74" s="20">
        <v>10</v>
      </c>
      <c r="I74" s="20"/>
      <c r="J74" s="19"/>
      <c r="K74" s="38" t="s">
        <v>505</v>
      </c>
      <c r="L74" s="41">
        <v>60</v>
      </c>
    </row>
    <row r="75" spans="1:12" hidden="1" x14ac:dyDescent="0.35">
      <c r="A75" s="21" t="s">
        <v>465</v>
      </c>
      <c r="B75" s="7" t="s">
        <v>471</v>
      </c>
      <c r="C75" s="39">
        <v>91</v>
      </c>
      <c r="D75" s="26"/>
      <c r="E75" s="19"/>
      <c r="F75" s="26"/>
      <c r="G75" s="19"/>
      <c r="H75" s="20">
        <v>10</v>
      </c>
      <c r="I75" s="20"/>
      <c r="J75" s="19"/>
      <c r="K75" s="38" t="s">
        <v>505</v>
      </c>
      <c r="L75" s="41">
        <v>60</v>
      </c>
    </row>
    <row r="76" spans="1:12" x14ac:dyDescent="0.35">
      <c r="A76" s="21" t="s">
        <v>466</v>
      </c>
      <c r="B76" s="7" t="s">
        <v>469</v>
      </c>
      <c r="C76" s="57">
        <v>4</v>
      </c>
      <c r="D76" s="26">
        <v>3</v>
      </c>
      <c r="E76" s="19">
        <v>3.614457831325301E-2</v>
      </c>
      <c r="F76" s="26">
        <v>25</v>
      </c>
      <c r="G76" s="19">
        <v>0.41666666666666669</v>
      </c>
      <c r="H76" s="20">
        <v>10</v>
      </c>
      <c r="I76" s="20"/>
      <c r="J76" s="19"/>
      <c r="K76" s="38" t="s">
        <v>505</v>
      </c>
      <c r="L76" s="41">
        <v>60</v>
      </c>
    </row>
    <row r="77" spans="1:12" hidden="1" x14ac:dyDescent="0.35">
      <c r="A77" s="21"/>
      <c r="B77" s="7"/>
      <c r="C77" s="57"/>
      <c r="D77" s="26"/>
      <c r="E77" s="19"/>
      <c r="F77" s="26"/>
      <c r="G77" s="19"/>
      <c r="H77" s="20"/>
      <c r="I77" s="20"/>
      <c r="J77" s="19"/>
      <c r="K77" s="38"/>
      <c r="L77" s="41"/>
    </row>
    <row r="78" spans="1:12" hidden="1" x14ac:dyDescent="0.35">
      <c r="A78" s="21"/>
      <c r="B78" s="7"/>
      <c r="C78" s="57"/>
      <c r="D78" s="26"/>
      <c r="E78" s="19"/>
      <c r="F78" s="26"/>
      <c r="G78" s="19"/>
      <c r="H78" s="20"/>
      <c r="I78" s="20"/>
      <c r="J78" s="19"/>
      <c r="K78" s="38"/>
      <c r="L78" s="41"/>
    </row>
    <row r="79" spans="1:12" hidden="1" x14ac:dyDescent="0.35">
      <c r="A79" s="21"/>
      <c r="B79" s="7"/>
      <c r="C79" s="57"/>
      <c r="D79" s="26"/>
      <c r="E79" s="19"/>
      <c r="F79" s="26"/>
      <c r="G79" s="19"/>
      <c r="H79" s="20"/>
      <c r="I79" s="20"/>
      <c r="J79" s="19"/>
      <c r="K79" s="38"/>
      <c r="L79" s="41"/>
    </row>
    <row r="80" spans="1:12" hidden="1" x14ac:dyDescent="0.35">
      <c r="A80" s="21"/>
      <c r="B80" s="7"/>
      <c r="C80" s="57"/>
      <c r="D80" s="26"/>
      <c r="E80" s="19"/>
      <c r="F80" s="26"/>
      <c r="G80" s="19"/>
      <c r="H80" s="20"/>
      <c r="I80" s="20"/>
      <c r="J80" s="19"/>
      <c r="K80" s="38"/>
      <c r="L80" s="41"/>
    </row>
    <row r="81" spans="1:12" hidden="1" x14ac:dyDescent="0.35">
      <c r="A81" s="21"/>
      <c r="B81" s="7"/>
      <c r="C81" s="39"/>
      <c r="D81" s="26"/>
      <c r="E81" s="19"/>
      <c r="F81" s="26"/>
      <c r="G81" s="19"/>
      <c r="H81" s="20"/>
      <c r="I81" s="20"/>
      <c r="J81" s="19"/>
      <c r="K81" s="38"/>
      <c r="L81" s="41"/>
    </row>
    <row r="82" spans="1:12" hidden="1" x14ac:dyDescent="0.35">
      <c r="A82" s="21"/>
      <c r="B82" s="7"/>
      <c r="C82" s="57"/>
      <c r="D82" s="26"/>
      <c r="E82" s="19"/>
      <c r="F82" s="26"/>
      <c r="G82" s="19"/>
      <c r="H82" s="20"/>
      <c r="I82" s="20"/>
      <c r="J82" s="19"/>
      <c r="K82" s="38"/>
      <c r="L82" s="41"/>
    </row>
    <row r="83" spans="1:12" hidden="1" x14ac:dyDescent="0.35">
      <c r="A83" s="21"/>
      <c r="B83" s="7"/>
      <c r="C83" s="57"/>
      <c r="D83" s="39"/>
      <c r="E83" s="117"/>
      <c r="F83" s="38"/>
      <c r="G83" s="117"/>
      <c r="H83" s="38"/>
      <c r="I83" s="38"/>
      <c r="J83" s="117"/>
      <c r="K83" s="38"/>
      <c r="L83" s="41"/>
    </row>
    <row r="84" spans="1:12" hidden="1" x14ac:dyDescent="0.35">
      <c r="A84" s="21"/>
      <c r="B84" s="7"/>
      <c r="C84" s="57"/>
      <c r="D84" s="39"/>
      <c r="E84" s="117"/>
      <c r="F84" s="38"/>
      <c r="G84" s="117"/>
      <c r="H84" s="38"/>
      <c r="I84" s="38"/>
      <c r="J84" s="117"/>
      <c r="K84" s="38"/>
      <c r="L84" s="41"/>
    </row>
  </sheetData>
  <autoFilter ref="M1:U22" xr:uid="{1801B691-8F3C-42AF-8D06-E916B4917602}">
    <sortState xmlns:xlrd2="http://schemas.microsoft.com/office/spreadsheetml/2017/richdata2" ref="M2:U22">
      <sortCondition ref="N1:N22"/>
    </sortState>
  </autoFilter>
  <dataValidations count="2">
    <dataValidation type="list" allowBlank="1" showInputMessage="1" showErrorMessage="1" sqref="M4" xr:uid="{1019389B-D409-4F29-944F-8378F8C14EAE}">
      <formula1>$M$2:$M$17</formula1>
    </dataValidation>
    <dataValidation type="list" allowBlank="1" showInputMessage="1" showErrorMessage="1" sqref="B48 M8 B10 B31" xr:uid="{D88F4910-1B68-4290-AA08-AAC4A418136E}">
      <formula1>$M$2:$M$94</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350B2-ED12-47EE-9D63-2EEFAFCEDB3B}">
  <dimension ref="A1:M42"/>
  <sheetViews>
    <sheetView zoomScaleNormal="100" workbookViewId="0">
      <pane ySplit="5" topLeftCell="A6" activePane="bottomLeft" state="frozen"/>
      <selection pane="bottomLeft" activeCell="H2" sqref="H2:I2"/>
    </sheetView>
  </sheetViews>
  <sheetFormatPr baseColWidth="10" defaultRowHeight="14.5" x14ac:dyDescent="0.35"/>
  <cols>
    <col min="1" max="1" width="4.26953125" customWidth="1"/>
    <col min="2" max="2" width="13.54296875" customWidth="1"/>
    <col min="3" max="3" width="4.08984375" customWidth="1"/>
    <col min="4" max="4" width="13.90625" customWidth="1"/>
    <col min="5" max="5" width="6.81640625" customWidth="1"/>
    <col min="6" max="6" width="7.36328125" customWidth="1"/>
    <col min="7" max="7" width="13.54296875" customWidth="1"/>
    <col min="8" max="8" width="13.26953125" customWidth="1"/>
    <col min="9" max="9" width="29.26953125" customWidth="1"/>
  </cols>
  <sheetData>
    <row r="1" spans="1:13" ht="15" thickBot="1" x14ac:dyDescent="0.4">
      <c r="A1" s="193" t="e" vm="1">
        <v>#VALUE!</v>
      </c>
      <c r="B1" s="194"/>
      <c r="C1" s="194"/>
      <c r="D1" s="300" t="s">
        <v>501</v>
      </c>
      <c r="E1" s="229"/>
      <c r="F1" s="229"/>
      <c r="G1" s="229"/>
      <c r="H1" s="229"/>
      <c r="I1" s="230"/>
    </row>
    <row r="2" spans="1:13" x14ac:dyDescent="0.35">
      <c r="A2" s="195"/>
      <c r="B2" s="297"/>
      <c r="C2" s="297"/>
      <c r="D2" s="301" t="s">
        <v>434</v>
      </c>
      <c r="E2" s="219"/>
      <c r="F2" s="219"/>
      <c r="G2" s="2" t="s">
        <v>5</v>
      </c>
      <c r="H2" s="219" t="s">
        <v>263</v>
      </c>
      <c r="I2" s="220"/>
    </row>
    <row r="3" spans="1:13" x14ac:dyDescent="0.35">
      <c r="A3" s="195"/>
      <c r="B3" s="297"/>
      <c r="C3" s="297"/>
      <c r="D3" s="302" t="s">
        <v>435</v>
      </c>
      <c r="E3" s="298"/>
      <c r="F3" s="298"/>
      <c r="G3" s="299" t="s">
        <v>4</v>
      </c>
      <c r="H3" s="298" t="str">
        <f>VLOOKUP(H2,'Tabla dinam gestion comercial'!M:O,3,0)</f>
        <v>RC GALAGRO VALLE DE ABURRA</v>
      </c>
      <c r="I3" s="221"/>
    </row>
    <row r="4" spans="1:13" x14ac:dyDescent="0.35">
      <c r="A4" s="195"/>
      <c r="B4" s="297"/>
      <c r="C4" s="297"/>
      <c r="D4" s="302" t="s">
        <v>436</v>
      </c>
      <c r="E4" s="298"/>
      <c r="F4" s="298"/>
      <c r="G4" s="299" t="s">
        <v>901</v>
      </c>
      <c r="H4" s="298" t="str">
        <f>VLOOKUP(H2,'Tabla dinam gestion comercial'!M:N,2,0)</f>
        <v>GALAGRO VALLE DE ABURRA ANT.</v>
      </c>
      <c r="I4" s="221"/>
    </row>
    <row r="5" spans="1:13" ht="15" thickBot="1" x14ac:dyDescent="0.4">
      <c r="A5" s="197"/>
      <c r="B5" s="198"/>
      <c r="C5" s="198"/>
      <c r="D5" s="303" t="s">
        <v>502</v>
      </c>
      <c r="E5" s="218"/>
      <c r="F5" s="218"/>
      <c r="G5" s="4" t="s">
        <v>52</v>
      </c>
      <c r="H5" s="222" t="str">
        <f>VLOOKUP(H2,'Tabla dinam gestion comercial'!M:P,4,0)</f>
        <v>GALAGRO</v>
      </c>
      <c r="I5" s="223"/>
    </row>
    <row r="6" spans="1:13" ht="22" customHeight="1" thickBot="1" x14ac:dyDescent="0.4">
      <c r="A6" s="171" t="s">
        <v>437</v>
      </c>
      <c r="B6" s="172"/>
      <c r="C6" s="172"/>
      <c r="D6" s="173"/>
      <c r="E6" s="174"/>
      <c r="F6" s="175"/>
      <c r="G6" s="175"/>
      <c r="H6" s="175"/>
      <c r="I6" s="224"/>
      <c r="J6" s="13"/>
    </row>
    <row r="7" spans="1:13" ht="13" customHeight="1" x14ac:dyDescent="0.35">
      <c r="A7" s="235">
        <f>SUMPRODUCT($D$14:$D$25, $F$14:$F$25)</f>
        <v>0.2409059648421808</v>
      </c>
      <c r="B7" s="236"/>
      <c r="C7" s="236"/>
      <c r="D7" s="237"/>
      <c r="E7" s="225"/>
      <c r="F7" s="176"/>
      <c r="G7" s="176"/>
      <c r="H7" s="176"/>
      <c r="I7" s="226"/>
    </row>
    <row r="8" spans="1:13" ht="16.5" customHeight="1" x14ac:dyDescent="0.35">
      <c r="A8" s="238"/>
      <c r="B8" s="239"/>
      <c r="C8" s="239"/>
      <c r="D8" s="240"/>
      <c r="E8" s="225"/>
      <c r="F8" s="176"/>
      <c r="G8" s="176"/>
      <c r="H8" s="176"/>
      <c r="I8" s="226"/>
      <c r="K8" s="72" t="s">
        <v>63</v>
      </c>
      <c r="L8" s="72">
        <f>A7*100</f>
        <v>24.090596484218079</v>
      </c>
      <c r="M8" s="73" t="str">
        <f>ROUND(L8,0)&amp;"%"</f>
        <v>24%</v>
      </c>
    </row>
    <row r="9" spans="1:13" ht="16.5" customHeight="1" x14ac:dyDescent="0.35">
      <c r="A9" s="238"/>
      <c r="B9" s="239"/>
      <c r="C9" s="239"/>
      <c r="D9" s="240"/>
      <c r="E9" s="225"/>
      <c r="F9" s="176"/>
      <c r="G9" s="176"/>
      <c r="H9" s="176"/>
      <c r="I9" s="226"/>
      <c r="K9" s="72" t="s">
        <v>64</v>
      </c>
      <c r="L9" s="72">
        <f>100-L8</f>
        <v>75.909403515781918</v>
      </c>
      <c r="M9" s="72"/>
    </row>
    <row r="10" spans="1:13" ht="8.5" customHeight="1" x14ac:dyDescent="0.35">
      <c r="A10" s="238"/>
      <c r="B10" s="239"/>
      <c r="C10" s="239"/>
      <c r="D10" s="240"/>
      <c r="E10" s="225"/>
      <c r="F10" s="176"/>
      <c r="G10" s="176"/>
      <c r="H10" s="176"/>
      <c r="I10" s="226"/>
      <c r="K10" s="72" t="s">
        <v>65</v>
      </c>
      <c r="L10" s="72">
        <v>100</v>
      </c>
      <c r="M10" s="72"/>
    </row>
    <row r="11" spans="1:13" ht="20" customHeight="1" thickBot="1" x14ac:dyDescent="0.4">
      <c r="A11" s="241" t="str">
        <f>IF(A7&gt;=90%,"Excelente",IF(A7&gt;=75%,"Destacado",IF(A7&gt;=59%,"En desarrollo","Crítico")))</f>
        <v>Crítico</v>
      </c>
      <c r="B11" s="242"/>
      <c r="C11" s="242"/>
      <c r="D11" s="242"/>
      <c r="E11" s="227"/>
      <c r="F11" s="177"/>
      <c r="G11" s="177"/>
      <c r="H11" s="177"/>
      <c r="I11" s="228"/>
    </row>
    <row r="12" spans="1:13" ht="17.5" customHeight="1" thickBot="1" x14ac:dyDescent="0.5">
      <c r="A12" s="232" t="s">
        <v>15</v>
      </c>
      <c r="B12" s="233"/>
      <c r="C12" s="233"/>
      <c r="D12" s="233"/>
      <c r="E12" s="233"/>
      <c r="F12" s="233"/>
      <c r="G12" s="233"/>
      <c r="H12" s="233"/>
      <c r="I12" s="234"/>
    </row>
    <row r="13" spans="1:13" ht="45.5" customHeight="1" thickBot="1" x14ac:dyDescent="0.4">
      <c r="A13" s="215" t="s">
        <v>9</v>
      </c>
      <c r="B13" s="216"/>
      <c r="C13" s="216"/>
      <c r="D13" s="147" t="s">
        <v>14</v>
      </c>
      <c r="E13" s="95" t="s">
        <v>13</v>
      </c>
      <c r="F13" s="95" t="s">
        <v>92</v>
      </c>
      <c r="G13" s="119" t="s">
        <v>440</v>
      </c>
      <c r="H13" s="119" t="s">
        <v>441</v>
      </c>
      <c r="I13" s="97" t="s">
        <v>397</v>
      </c>
    </row>
    <row r="14" spans="1:13" ht="100" customHeight="1" thickBot="1" x14ac:dyDescent="0.4">
      <c r="A14" s="77" t="e" vm="2">
        <v>#VALUE!</v>
      </c>
      <c r="B14" s="80" t="s">
        <v>905</v>
      </c>
      <c r="C14" s="62" t="str">
        <f>IF(D14&gt;=90%,"⬤",IF(D14&gt;=75%,"⬤",IF(D14&gt;=60%,"⬤","⬤")))</f>
        <v>⬤</v>
      </c>
      <c r="D14" s="81">
        <f>IFERROR(MIN(100%,G14/H14),0)</f>
        <v>0.30496453900709219</v>
      </c>
      <c r="E14" s="82">
        <v>0.9</v>
      </c>
      <c r="F14" s="82">
        <v>0.1</v>
      </c>
      <c r="G14" s="83">
        <f>SUMIFS('Tabla dinam gestion comercial'!$F:$F,'Tabla dinam gestion comercial'!$A:$A,$H$4)</f>
        <v>129</v>
      </c>
      <c r="H14" s="89">
        <f>SUMIFS('Tabla dinam gestion comercial'!$L:$L,'Tabla dinam gestion comercial'!$A:$A,$H$4,'Tabla dinam gestion comercial'!$K:$K,"Abril")+SUMIFS('Tabla dinam gestion comercial'!$L:$L,'Tabla dinam gestion comercial'!$A:$A,$H$4,'Tabla dinam gestion comercial'!$K:$K,"Mayo")+SUMIFS('Tabla dinam gestion comercial'!$L:$L,'Tabla dinam gestion comercial'!$A:$A,$H$4,'Tabla dinam gestion comercial'!$K:$K,"Junio")</f>
        <v>423</v>
      </c>
      <c r="I14" s="71" t="s">
        <v>415</v>
      </c>
    </row>
    <row r="15" spans="1:13" ht="119.5" customHeight="1" thickBot="1" x14ac:dyDescent="0.4">
      <c r="A15" s="77" t="e" vm="3">
        <v>#VALUE!</v>
      </c>
      <c r="B15" s="80" t="s">
        <v>442</v>
      </c>
      <c r="C15" s="62" t="str">
        <f t="shared" ref="C15:C26" si="0">IF(D15&gt;=90%,"⬤",IF(D15&gt;=75%,"⬤",IF(D15&gt;=60%,"⬤","⬤")))</f>
        <v>⬤</v>
      </c>
      <c r="D15" s="81">
        <f>IFERROR(MIN(100%,G15/H15),0)</f>
        <v>0.76470588235294112</v>
      </c>
      <c r="E15" s="82">
        <v>0.9</v>
      </c>
      <c r="F15" s="82">
        <v>0.1</v>
      </c>
      <c r="G15" s="83">
        <f>SUMIFS('Tabla dinam gestion comercial'!$D:$D,'Tabla dinam gestion comercial'!$A:$A,$H$4,'Tabla dinam gestion comercial'!$K:$K,"Abril")+SUMIFS('Tabla dinam gestion comercial'!$D:$D,'Tabla dinam gestion comercial'!$A:$A,$H$4,'Tabla dinam gestion comercial'!$K:$K,"Mayo")+SUMIFS('Tabla dinam gestion comercial'!$D:$D,'Tabla dinam gestion comercial'!$A:$A,$H$4,'Tabla dinam gestion comercial'!$K:$K,"Junio")</f>
        <v>65</v>
      </c>
      <c r="H15" s="89">
        <f>(SUMIFS('Tabla dinam gestion comercial'!$C:$C,'Tabla dinam gestion comercial'!$A:$A,$H$4,'Tabla dinam gestion comercial'!$K:$K,"Abril")+SUMIFS('Tabla dinam gestion comercial'!$C:$C,'Tabla dinam gestion comercial'!$A:$A,$H$4,'Tabla dinam gestion comercial'!$K:$K,"Mayo")+SUMIFS('Tabla dinam gestion comercial'!$C:$C,'Tabla dinam gestion comercial'!$A:$A,$H$4,'Tabla dinam gestion comercial'!$K:$K,"Junio"))/3</f>
        <v>85</v>
      </c>
      <c r="I15" s="70" t="s">
        <v>416</v>
      </c>
    </row>
    <row r="16" spans="1:13" ht="90" customHeight="1" thickBot="1" x14ac:dyDescent="0.4">
      <c r="A16" s="61" t="e" vm="4">
        <v>#VALUE!</v>
      </c>
      <c r="B16" s="79" t="s">
        <v>443</v>
      </c>
      <c r="C16" s="60" t="str">
        <f t="shared" si="0"/>
        <v>⬤</v>
      </c>
      <c r="D16" s="50">
        <f>IFERROR(G16/H16,0)</f>
        <v>0.15</v>
      </c>
      <c r="E16" s="11">
        <v>0.9</v>
      </c>
      <c r="F16" s="11">
        <v>0.1</v>
      </c>
      <c r="G16" s="12">
        <f>SUMIFS('Tabla dinam gestion comercial'!$I:$I,'Tabla dinam gestion comercial'!$A:$A,$H$4,'Tabla dinam gestion comercial'!$K:$K,"Junio")</f>
        <v>3</v>
      </c>
      <c r="H16" s="51">
        <f>ROUNDUP((SUMIFS('Tabla dinam gestion comercial'!$H:$H,'Tabla dinam gestion comercial'!$A:$A,$H$4,'Tabla dinam gestion comercial'!$K:$K,"Abril")+SUMIFS('Tabla dinam gestion comercial'!$H:$H,'Tabla dinam gestion comercial'!$A:$A,$H$4,'Tabla dinam gestion comercial'!$K:$K,"mayo")+SUMIFS('Tabla dinam gestion comercial'!$H:$H,'Tabla dinam gestion comercial'!$A:$A,$H$4,'Tabla dinam gestion comercial'!$K:$K,"Junio"))/12,0)</f>
        <v>20</v>
      </c>
      <c r="I16" s="91" t="s">
        <v>417</v>
      </c>
    </row>
    <row r="17" spans="1:13" ht="37" customHeight="1" thickBot="1" x14ac:dyDescent="0.4">
      <c r="A17" s="157" t="s">
        <v>9</v>
      </c>
      <c r="B17" s="158"/>
      <c r="C17" s="231"/>
      <c r="D17" s="120" t="s">
        <v>14</v>
      </c>
      <c r="E17" s="119" t="s">
        <v>13</v>
      </c>
      <c r="F17" s="119" t="s">
        <v>92</v>
      </c>
      <c r="G17" s="119" t="s">
        <v>444</v>
      </c>
      <c r="H17" s="119" t="s">
        <v>395</v>
      </c>
      <c r="I17" s="119" t="s">
        <v>397</v>
      </c>
    </row>
    <row r="18" spans="1:13" ht="71" customHeight="1" thickBot="1" x14ac:dyDescent="0.4">
      <c r="A18" s="77" t="e" vm="5">
        <v>#VALUE!</v>
      </c>
      <c r="B18" s="123" t="s">
        <v>11</v>
      </c>
      <c r="C18" s="62" t="str">
        <f t="shared" si="0"/>
        <v>⬤</v>
      </c>
      <c r="D18" s="316">
        <f>IFERROR((G18/H18),"0")</f>
        <v>0.25857710201015005</v>
      </c>
      <c r="E18" s="82">
        <v>0.9</v>
      </c>
      <c r="F18" s="82">
        <v>0.2</v>
      </c>
      <c r="G18" s="87">
        <f>SUMIFS(Tecnico!$D:$D,Tecnico!$A:$A,$H$4)</f>
        <v>233603100</v>
      </c>
      <c r="H18" s="88">
        <f>SUMIFS(Tecnico!$C:$C,Tecnico!$A:$A,$H$4)</f>
        <v>903417581</v>
      </c>
      <c r="I18" s="66" t="s">
        <v>418</v>
      </c>
    </row>
    <row r="19" spans="1:13" ht="83" customHeight="1" thickBot="1" x14ac:dyDescent="0.4">
      <c r="A19" s="77" t="e" vm="6">
        <v>#VALUE!</v>
      </c>
      <c r="B19" s="80" t="s">
        <v>12</v>
      </c>
      <c r="C19" s="62" t="str">
        <f t="shared" si="0"/>
        <v>⬤</v>
      </c>
      <c r="D19" s="82">
        <f>IF(AND(G19=0, H19=0), 100%, IF(G19=0, 0%, G19/H19))</f>
        <v>0.10080645161290322</v>
      </c>
      <c r="E19" s="82">
        <v>0.9</v>
      </c>
      <c r="F19" s="82">
        <v>0.1</v>
      </c>
      <c r="G19" s="83">
        <f>SUMIFS(Tecnico!$J:$J,Tecnico!$A:$A,$H$4)</f>
        <v>25</v>
      </c>
      <c r="H19" s="84">
        <f>SUMIFS(Tecnico!$H:$H,Tecnico!$A:$A,$H$4)/3</f>
        <v>248</v>
      </c>
      <c r="I19" s="67" t="s">
        <v>419</v>
      </c>
    </row>
    <row r="20" spans="1:13" ht="37" customHeight="1" thickBot="1" x14ac:dyDescent="0.4">
      <c r="A20" s="157" t="s">
        <v>9</v>
      </c>
      <c r="B20" s="158"/>
      <c r="C20" s="231"/>
      <c r="D20" s="120" t="s">
        <v>14</v>
      </c>
      <c r="E20" s="119" t="s">
        <v>13</v>
      </c>
      <c r="F20" s="119" t="s">
        <v>92</v>
      </c>
      <c r="G20" s="119" t="s">
        <v>444</v>
      </c>
      <c r="H20" s="119" t="s">
        <v>395</v>
      </c>
      <c r="I20" s="119" t="s">
        <v>397</v>
      </c>
    </row>
    <row r="21" spans="1:13" ht="103" customHeight="1" thickBot="1" x14ac:dyDescent="0.4">
      <c r="A21" s="77" t="e" vm="7">
        <v>#VALUE!</v>
      </c>
      <c r="B21" s="80" t="s">
        <v>445</v>
      </c>
      <c r="C21" s="62" t="str">
        <f t="shared" si="0"/>
        <v>⬤</v>
      </c>
      <c r="D21" s="82">
        <f>IF(H21=0,0,IFERROR(G21/H21,0))</f>
        <v>0</v>
      </c>
      <c r="E21" s="82">
        <v>0.9</v>
      </c>
      <c r="F21" s="82">
        <v>0.1</v>
      </c>
      <c r="G21" s="83">
        <f>SUMIFS(Leads!$P:$P,Leads!$L:$L,$H$4)</f>
        <v>0</v>
      </c>
      <c r="H21" s="84" cm="1">
        <f t="array" ref="H21">IFERROR(COUNTA(_xlfn.UNIQUE(_xlfn._xlws.FILTER('Tabla dinam gestion comercial'!$M:$M,(TRIM('Tabla dinam gestion comercial'!$N:$N)=TRIM($H$4))*('Tabla dinam gestion comercial'!$M:$M&lt;&gt;""))))*3,0)</f>
        <v>6</v>
      </c>
      <c r="I21" s="67" t="s">
        <v>420</v>
      </c>
    </row>
    <row r="22" spans="1:13" ht="98.5" customHeight="1" thickBot="1" x14ac:dyDescent="0.4">
      <c r="A22" s="77" t="e" vm="7">
        <v>#VALUE!</v>
      </c>
      <c r="B22" s="80" t="s">
        <v>427</v>
      </c>
      <c r="C22" s="62" t="str">
        <f t="shared" si="0"/>
        <v>⬤</v>
      </c>
      <c r="D22" s="82">
        <f>IF(H22=0,0,IFERROR(G22/H22,0))</f>
        <v>0</v>
      </c>
      <c r="E22" s="82">
        <v>0.9</v>
      </c>
      <c r="F22" s="82">
        <v>0.1</v>
      </c>
      <c r="G22" s="83">
        <f>SUMIFS(Leads!$P:$P,Leads!$L:$L,$H$4)</f>
        <v>0</v>
      </c>
      <c r="H22" s="84" cm="1">
        <f t="array" ref="H22">IFERROR(COUNTA(_xlfn.UNIQUE(_xlfn._xlws.FILTER('Tabla dinam gestion comercial'!$M:$M,(TRIM('Tabla dinam gestion comercial'!$N:$N)=TRIM($H$4))*('Tabla dinam gestion comercial'!$M:$M&lt;&gt;""))))*3,0)</f>
        <v>6</v>
      </c>
      <c r="I22" s="68" t="s">
        <v>421</v>
      </c>
    </row>
    <row r="23" spans="1:13" ht="97" customHeight="1" thickBot="1" x14ac:dyDescent="0.4">
      <c r="A23" s="77" t="e" vm="8">
        <v>#VALUE!</v>
      </c>
      <c r="B23" s="80" t="s">
        <v>446</v>
      </c>
      <c r="C23" s="62" t="str">
        <f t="shared" si="0"/>
        <v>⬤</v>
      </c>
      <c r="D23" s="82">
        <f>MIN(G23/H23,150%)</f>
        <v>0.5714285714285714</v>
      </c>
      <c r="E23" s="82">
        <v>0.9</v>
      </c>
      <c r="F23" s="82">
        <v>0.1</v>
      </c>
      <c r="G23" s="83">
        <f>IFERROR(COUNTIF('Act Campo'!$Q$2:$Q$974,$H$4),0)</f>
        <v>2</v>
      </c>
      <c r="H23" s="85">
        <f>VLOOKUP(H4,'Tabla dinam gestion comercial'!N:S,6,0)</f>
        <v>3.5</v>
      </c>
      <c r="I23" s="69" t="s">
        <v>422</v>
      </c>
    </row>
    <row r="24" spans="1:13" ht="99" customHeight="1" thickBot="1" x14ac:dyDescent="0.4">
      <c r="A24" s="77" t="e" vm="8">
        <v>#VALUE!</v>
      </c>
      <c r="B24" s="80" t="s">
        <v>429</v>
      </c>
      <c r="C24" s="62" t="str">
        <f t="shared" si="0"/>
        <v>⬤</v>
      </c>
      <c r="D24" s="81">
        <f>IFERROR(MIN(G24/H24,150%),0)</f>
        <v>0</v>
      </c>
      <c r="E24" s="82">
        <v>0.9</v>
      </c>
      <c r="F24" s="82">
        <v>0.05</v>
      </c>
      <c r="G24" s="83">
        <f>SUMIF(Fincas!$B:$B, $H$4, Fincas!$F:$F)</f>
        <v>0</v>
      </c>
      <c r="H24" s="84">
        <f>ROUNDUP(SUMIFS('Tabla dinam gestion comercial'!$T:$T,'Tabla dinam gestion comercial'!$N:$N,$H$4,'Tabla dinam gestion comercial'!$O:$O,"*Promotor*")*3,0)</f>
        <v>90</v>
      </c>
      <c r="I24" s="67" t="s">
        <v>406</v>
      </c>
    </row>
    <row r="25" spans="1:13" ht="79" customHeight="1" thickBot="1" x14ac:dyDescent="0.4">
      <c r="A25" s="77" t="e" vm="8">
        <v>#VALUE!</v>
      </c>
      <c r="B25" s="80" t="s">
        <v>24</v>
      </c>
      <c r="C25" s="62" t="str">
        <f t="shared" si="0"/>
        <v>⬤</v>
      </c>
      <c r="D25" s="81">
        <f>IFERROR(MIN(G25/H25, 1.5), 0)</f>
        <v>0</v>
      </c>
      <c r="E25" s="82">
        <v>0.9</v>
      </c>
      <c r="F25" s="82">
        <v>0.05</v>
      </c>
      <c r="G25" s="83">
        <f>COUNTIFS(Fincas!$B:$B, $H$4, Fincas!$D:$D, "&lt;&gt;")</f>
        <v>0</v>
      </c>
      <c r="H25" s="84">
        <f>IFERROR(ROUNDUP(SUMIFS('Tabla dinam gestion comercial'!$U:$U,'Tabla dinam gestion comercial'!$N:$N,$H$4,'Tabla dinam gestion comercial'!$O:$O,"*PROMOTOR*"),0),0)</f>
        <v>3</v>
      </c>
      <c r="I25" s="67" t="s">
        <v>407</v>
      </c>
    </row>
    <row r="26" spans="1:13" ht="19" hidden="1" thickBot="1" x14ac:dyDescent="0.4">
      <c r="A26" s="25" t="e" vm="8">
        <v>#VALUE!</v>
      </c>
      <c r="B26" t="s">
        <v>232</v>
      </c>
      <c r="C26" s="10" t="str">
        <f t="shared" si="0"/>
        <v>⬤</v>
      </c>
      <c r="D26" s="31">
        <f>(D24+D25)/2</f>
        <v>0</v>
      </c>
      <c r="E26" s="11">
        <v>0.9</v>
      </c>
      <c r="F26" s="11">
        <f>F24+F25</f>
        <v>0.1</v>
      </c>
      <c r="G26" s="12"/>
      <c r="H26" s="23"/>
      <c r="I26" s="14"/>
    </row>
    <row r="27" spans="1:13" ht="14.5" customHeight="1" x14ac:dyDescent="0.35">
      <c r="A27" s="243" t="e" vm="9">
        <v>#VALUE!</v>
      </c>
      <c r="B27" s="154" t="s">
        <v>430</v>
      </c>
      <c r="C27" s="154"/>
      <c r="D27" s="154"/>
      <c r="E27" s="152" t="s">
        <v>21</v>
      </c>
      <c r="F27" s="152"/>
      <c r="G27" s="152" t="s">
        <v>447</v>
      </c>
      <c r="H27" s="151" t="s">
        <v>19</v>
      </c>
      <c r="I27" s="202" t="s">
        <v>18</v>
      </c>
    </row>
    <row r="28" spans="1:13" ht="14.5" customHeight="1" x14ac:dyDescent="0.35">
      <c r="A28" s="244"/>
      <c r="B28" s="155"/>
      <c r="C28" s="155"/>
      <c r="D28" s="155"/>
      <c r="E28" s="152"/>
      <c r="F28" s="152"/>
      <c r="G28" s="152"/>
      <c r="H28" s="152"/>
      <c r="I28" s="203"/>
    </row>
    <row r="29" spans="1:13" ht="15" thickBot="1" x14ac:dyDescent="0.4">
      <c r="A29" s="245"/>
      <c r="B29" s="156"/>
      <c r="C29" s="156"/>
      <c r="D29" s="156"/>
      <c r="E29" s="153"/>
      <c r="F29" s="153"/>
      <c r="G29" s="153"/>
      <c r="H29" s="153"/>
      <c r="I29" s="204"/>
    </row>
    <row r="30" spans="1:13" ht="17.5" customHeight="1" thickBot="1" x14ac:dyDescent="0.4">
      <c r="A30" s="163" t="s">
        <v>8</v>
      </c>
      <c r="B30" s="164"/>
      <c r="C30" s="165"/>
      <c r="D30" s="163" t="s">
        <v>7</v>
      </c>
      <c r="E30" s="164"/>
      <c r="F30" s="165"/>
      <c r="G30" s="163" t="s">
        <v>906</v>
      </c>
      <c r="H30" s="165"/>
      <c r="I30" s="149" t="s">
        <v>408</v>
      </c>
      <c r="L30" s="148"/>
      <c r="M30" s="148"/>
    </row>
    <row r="31" spans="1:13" ht="14.5" customHeight="1" x14ac:dyDescent="0.35">
      <c r="A31" s="304" t="str">
        <f>IF($N$9&gt;=90,"El territorio tiene el reto de sostener la excelencia alcanzada. Mantener el foco, anticipar desviaciones y compartir las buenas prácticas permitirá conservar este nivel de desempeño.",IF($N$9&gt;=75,"El territorio está cerca del nivel excelente. La oportunidad está en cerrar las brechas pendientes y fortalecer los indicadores que pueden impulsar el resultado global.",IF($N$9&gt;=59,"El territorio cuenta con oportunidades claras de mejora. Enfocar los esfuerzos en los indicadores de menor cumplimiento permitirá avanzar con mayor fuerza en el siguiente período.","El territorio tiene una oportunidad importante de recuperación. Priorizar los indicadores críticos, definir acciones concretas y mantener el acompañamiento permitirá retomar el camino hacia la meta.")))</f>
        <v>El territorio tiene una oportunidad importante de recuperación. Priorizar los indicadores críticos, definir acciones concretas y mantener el acompañamiento permitirá retomar el camino hacia la meta.</v>
      </c>
      <c r="B31" s="305"/>
      <c r="C31" s="306"/>
      <c r="D31" s="304" t="str">
        <f>IF($N$9&gt;=90,"Durante el segundo trimestre, el territorio consolida una ejecución sobresaliente. Se destacan la estabilidad de los resultados, la continuidad en la gestión y la capacidad para mantener indicadores clave por encima de la meta al cierre del semestre.",IF($N$9&gt;=75,"El cierre del segundo trimestre muestra una gestión favorable del territorio. Se destacan avances sostenidos en indicadores principales y una base de ejecución que permite proyectar mejoras para el tercer trimestre.",IF($N$9&gt;=59,"En el segundo trimestre se identifican puntos de avance que pueden servir como base para la recuperación. Algunos indicadores muestran capacidad de respuesta del territorio y permiten enfocar mejor las acciones del siguiente período.","Aunque el resultado general del segundo trimestre es bajo, se identifican señales puntuales de gestión que deben conservarse. Estos avances permiten reconocer dónde existe capacidad de reacción y desde allí orientar la recuperación del territorio.")))</f>
        <v>Aunque el resultado general del segundo trimestre es bajo, se identifican señales puntuales de gestión que deben conservarse. Estos avances permiten reconocer dónde existe capacidad de reacción y desde allí orientar la recuperación del territorio.</v>
      </c>
      <c r="E31" s="305"/>
      <c r="F31" s="306"/>
      <c r="G31" s="304" t="str">
        <f>IF($N$9&gt;=90,"El territorio cierra el trimestre con un desempeño sobresaliente frente a los objetivos definidos. La gestión refleja enfoque, consistencia y capacidad de ejecución. El reto será sostener este nivel y seguir fortaleciendo los indicadores clave.",IF($N$9&gt;=75,"El territorio presenta un resultado positivo y cercano al nivel esperado. Hay avances importantes que deben mantenerse, junto con el fortalecimiento de los indicadores pendientes para avanzar hacia un desempeño excelente.",IF($N$9&gt;=59,"El trimestre muestra avances parciales y oportunidades claras de mejora. Con mayor foco en los indicadores de mayor impacto, el territorio puede fortalecer su resultado en el siguiente período.","El trimestre representa una oportunidad importante para ajustar la gestión del territorio. Priorizar los indicadores críticos y ejecutar acciones concretas permitirá avanzar hacia una mejor recuperación del desempeño.")))</f>
        <v>El trimestre representa una oportunidad importante para ajustar la gestión del territorio. Priorizar los indicadores críticos y ejecutar acciones concretas permitirá avanzar hacia una mejor recuperación del desempeño.</v>
      </c>
      <c r="H31" s="306"/>
      <c r="I31" s="313" t="str">
        <f>IF($N$9&gt;=90,"Estandarizar las buenas prácticas del territorio y replicarlas en los indicadores con mayor impacto. Mantener seguimiento preventivo mensual, revisar alertas tempranas y asegurar continuidad en la ejecución comercial.",IF($N$9&gt;=75,"Construir un plan de cierre de brechas para los indicadores que aún no alcanzan el nivel excelente. Definir responsables, acciones puntuales por indicador y fechas de revisión para mejorar el resultado del siguiente período.",IF($N$9&gt;=59,"Implementar un plan de refuerzo para el territorio. Priorizar los indicadores con menor cumplimiento, organizar una agenda semanal de gestión y hacer seguimiento a los avances con responsables definidos.","Activar un plan de recuperación del territorio con seguimiento semanal. Concentrar la gestión en los indicadores críticos, definir responsables por frente de trabajo, revisar causas del bajo resultado y establecer compromisos de mejora medibles.")))</f>
        <v>Activar un plan de recuperación del territorio con seguimiento semanal. Concentrar la gestión en los indicadores críticos, definir responsables por frente de trabajo, revisar causas del bajo resultado y establecer compromisos de mejora medibles.</v>
      </c>
    </row>
    <row r="32" spans="1:13" ht="31" hidden="1" customHeight="1" x14ac:dyDescent="0.35">
      <c r="A32" s="307"/>
      <c r="B32" s="308"/>
      <c r="C32" s="309"/>
      <c r="D32" s="307"/>
      <c r="E32" s="308"/>
      <c r="F32" s="309"/>
      <c r="G32" s="307"/>
      <c r="H32" s="309"/>
      <c r="I32" s="314"/>
    </row>
    <row r="33" spans="1:9" ht="31" hidden="1" customHeight="1" x14ac:dyDescent="0.35">
      <c r="A33" s="307"/>
      <c r="B33" s="308"/>
      <c r="C33" s="309"/>
      <c r="D33" s="307"/>
      <c r="E33" s="308"/>
      <c r="F33" s="309"/>
      <c r="G33" s="307"/>
      <c r="H33" s="309"/>
      <c r="I33" s="314"/>
    </row>
    <row r="34" spans="1:9" ht="31" hidden="1" customHeight="1" x14ac:dyDescent="0.35">
      <c r="A34" s="307"/>
      <c r="B34" s="308"/>
      <c r="C34" s="309"/>
      <c r="D34" s="307"/>
      <c r="E34" s="308"/>
      <c r="F34" s="309"/>
      <c r="G34" s="307"/>
      <c r="H34" s="309"/>
      <c r="I34" s="314"/>
    </row>
    <row r="35" spans="1:9" ht="26" hidden="1" customHeight="1" x14ac:dyDescent="0.35">
      <c r="A35" s="307"/>
      <c r="B35" s="308"/>
      <c r="C35" s="309"/>
      <c r="D35" s="307"/>
      <c r="E35" s="308"/>
      <c r="F35" s="309"/>
      <c r="G35" s="307"/>
      <c r="H35" s="309"/>
      <c r="I35" s="314"/>
    </row>
    <row r="36" spans="1:9" x14ac:dyDescent="0.35">
      <c r="A36" s="307"/>
      <c r="B36" s="308"/>
      <c r="C36" s="309"/>
      <c r="D36" s="307"/>
      <c r="E36" s="308"/>
      <c r="F36" s="309"/>
      <c r="G36" s="307"/>
      <c r="H36" s="309"/>
      <c r="I36" s="314"/>
    </row>
    <row r="37" spans="1:9" x14ac:dyDescent="0.35">
      <c r="A37" s="307"/>
      <c r="B37" s="308"/>
      <c r="C37" s="309"/>
      <c r="D37" s="307"/>
      <c r="E37" s="308"/>
      <c r="F37" s="309"/>
      <c r="G37" s="307"/>
      <c r="H37" s="309"/>
      <c r="I37" s="314"/>
    </row>
    <row r="38" spans="1:9" x14ac:dyDescent="0.35">
      <c r="A38" s="307"/>
      <c r="B38" s="308"/>
      <c r="C38" s="309"/>
      <c r="D38" s="307"/>
      <c r="E38" s="308"/>
      <c r="F38" s="309"/>
      <c r="G38" s="307"/>
      <c r="H38" s="309"/>
      <c r="I38" s="314"/>
    </row>
    <row r="39" spans="1:9" x14ac:dyDescent="0.35">
      <c r="A39" s="307"/>
      <c r="B39" s="308"/>
      <c r="C39" s="309"/>
      <c r="D39" s="307"/>
      <c r="E39" s="308"/>
      <c r="F39" s="309"/>
      <c r="G39" s="307"/>
      <c r="H39" s="309"/>
      <c r="I39" s="314"/>
    </row>
    <row r="40" spans="1:9" x14ac:dyDescent="0.35">
      <c r="A40" s="307"/>
      <c r="B40" s="308"/>
      <c r="C40" s="309"/>
      <c r="D40" s="307"/>
      <c r="E40" s="308"/>
      <c r="F40" s="309"/>
      <c r="G40" s="307"/>
      <c r="H40" s="309"/>
      <c r="I40" s="314"/>
    </row>
    <row r="41" spans="1:9" x14ac:dyDescent="0.35">
      <c r="A41" s="307"/>
      <c r="B41" s="308"/>
      <c r="C41" s="309"/>
      <c r="D41" s="307"/>
      <c r="E41" s="308"/>
      <c r="F41" s="309"/>
      <c r="G41" s="307"/>
      <c r="H41" s="309"/>
      <c r="I41" s="314"/>
    </row>
    <row r="42" spans="1:9" ht="15" thickBot="1" x14ac:dyDescent="0.4">
      <c r="A42" s="310"/>
      <c r="B42" s="311"/>
      <c r="C42" s="312"/>
      <c r="D42" s="310"/>
      <c r="E42" s="311"/>
      <c r="F42" s="312"/>
      <c r="G42" s="310"/>
      <c r="H42" s="312"/>
      <c r="I42" s="315"/>
    </row>
  </sheetData>
  <mergeCells count="31">
    <mergeCell ref="D1:I1"/>
    <mergeCell ref="A1:C5"/>
    <mergeCell ref="A20:C20"/>
    <mergeCell ref="G30:H30"/>
    <mergeCell ref="I27:I29"/>
    <mergeCell ref="A17:C17"/>
    <mergeCell ref="A12:I12"/>
    <mergeCell ref="A13:C13"/>
    <mergeCell ref="A6:D6"/>
    <mergeCell ref="A7:D10"/>
    <mergeCell ref="A11:D11"/>
    <mergeCell ref="D2:F2"/>
    <mergeCell ref="D3:F3"/>
    <mergeCell ref="E27:F29"/>
    <mergeCell ref="A27:A29"/>
    <mergeCell ref="B27:D29"/>
    <mergeCell ref="G27:G29"/>
    <mergeCell ref="H27:H29"/>
    <mergeCell ref="E6:I11"/>
    <mergeCell ref="A31:C42"/>
    <mergeCell ref="D31:F42"/>
    <mergeCell ref="G31:H42"/>
    <mergeCell ref="I31:I42"/>
    <mergeCell ref="D30:F30"/>
    <mergeCell ref="A30:C30"/>
    <mergeCell ref="D4:F4"/>
    <mergeCell ref="D5:F5"/>
    <mergeCell ref="H2:I2"/>
    <mergeCell ref="H3:I3"/>
    <mergeCell ref="H4:I4"/>
    <mergeCell ref="H5:I5"/>
  </mergeCells>
  <conditionalFormatting sqref="A11">
    <cfRule type="expression" dxfId="47" priority="6">
      <formula>A7&lt;59%</formula>
    </cfRule>
    <cfRule type="expression" dxfId="46" priority="7">
      <formula>AND(A7&gt;=59%,A7&lt;75%)</formula>
    </cfRule>
    <cfRule type="expression" dxfId="45" priority="8">
      <formula>AND(A7+$E$625&gt;=75%,A7&lt;90%)</formula>
    </cfRule>
    <cfRule type="expression" dxfId="44" priority="9">
      <formula>A7&gt;=90%</formula>
    </cfRule>
  </conditionalFormatting>
  <conditionalFormatting sqref="A7:D10">
    <cfRule type="expression" dxfId="43" priority="10">
      <formula>A7&gt;=90%</formula>
    </cfRule>
    <cfRule type="expression" dxfId="42" priority="11">
      <formula>AND(A7&gt;=75%,A7&lt;90%)</formula>
    </cfRule>
    <cfRule type="expression" dxfId="41" priority="12">
      <formula>AND(A7&gt;=59%,A7&lt;75%)</formula>
    </cfRule>
    <cfRule type="expression" dxfId="40" priority="13">
      <formula>A7&lt;59%</formula>
    </cfRule>
  </conditionalFormatting>
  <conditionalFormatting sqref="C14:C16 C18:C19 C21:C26">
    <cfRule type="expression" dxfId="39" priority="1">
      <formula>$D14&lt;60%</formula>
    </cfRule>
    <cfRule type="expression" dxfId="38" priority="2">
      <formula>AND($D14&gt;=60%,$D14&lt;75%)</formula>
    </cfRule>
    <cfRule type="expression" dxfId="37" priority="3">
      <formula>AND($D14&gt;=75%,$D14&lt;90%)</formula>
    </cfRule>
    <cfRule type="expression" dxfId="36" priority="4">
      <formula>$D14&gt;=90%</formula>
    </cfRule>
  </conditionalFormatting>
  <pageMargins left="0.11811023622047245" right="0.11811023622047245" top="0.15748031496062992" bottom="0.15748031496062992" header="0.11811023622047245" footer="0.11811023622047245"/>
  <pageSetup scale="95"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EF465AE-2925-43D9-87BB-37FAC41307FA}">
          <x14:formula1>
            <xm:f>'Tabla dinam gestion comercial'!$M$2:$M$94</xm:f>
          </x14:formula1>
          <xm:sqref>H2:I2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C6D98-4FB8-40D3-8BD4-84F36BE7BC6B}">
  <dimension ref="A1:O32"/>
  <sheetViews>
    <sheetView tabSelected="1" zoomScale="85" zoomScaleNormal="85" workbookViewId="0">
      <pane ySplit="5" topLeftCell="A7" activePane="bottomLeft" state="frozen"/>
      <selection pane="bottomLeft" activeCell="J2" sqref="J2:K2"/>
    </sheetView>
  </sheetViews>
  <sheetFormatPr baseColWidth="10" defaultRowHeight="14.5" x14ac:dyDescent="0.35"/>
  <cols>
    <col min="1" max="1" width="4" customWidth="1"/>
    <col min="2" max="2" width="16.54296875" customWidth="1"/>
    <col min="3" max="3" width="3.54296875" customWidth="1"/>
    <col min="4" max="4" width="10.08984375" customWidth="1"/>
    <col min="5" max="5" width="9.54296875" hidden="1" customWidth="1"/>
    <col min="6" max="6" width="6.08984375" customWidth="1"/>
    <col min="7" max="9" width="14.6328125" customWidth="1"/>
    <col min="10" max="10" width="15.6328125" customWidth="1"/>
    <col min="11" max="11" width="23.7265625" customWidth="1"/>
  </cols>
  <sheetData>
    <row r="1" spans="1:15" ht="16.5" thickBot="1" x14ac:dyDescent="0.4">
      <c r="A1" s="193" t="e" vm="10">
        <v>#VALUE!</v>
      </c>
      <c r="B1" s="194"/>
      <c r="C1" s="191" t="s">
        <v>500</v>
      </c>
      <c r="D1" s="191"/>
      <c r="E1" s="191"/>
      <c r="F1" s="191"/>
      <c r="G1" s="191"/>
      <c r="H1" s="191"/>
      <c r="I1" s="191"/>
      <c r="J1" s="191"/>
      <c r="K1" s="192"/>
    </row>
    <row r="2" spans="1:15" ht="15" customHeight="1" x14ac:dyDescent="0.4">
      <c r="A2" s="195"/>
      <c r="B2" s="196"/>
      <c r="C2" s="93" t="s">
        <v>438</v>
      </c>
      <c r="D2" s="94"/>
      <c r="E2" s="94"/>
      <c r="F2" s="94"/>
      <c r="G2" s="94"/>
      <c r="H2" s="209" t="s">
        <v>388</v>
      </c>
      <c r="I2" s="209"/>
      <c r="J2" s="209" t="s">
        <v>469</v>
      </c>
      <c r="K2" s="210"/>
    </row>
    <row r="3" spans="1:15" ht="15" customHeight="1" x14ac:dyDescent="0.4">
      <c r="A3" s="195"/>
      <c r="B3" s="196"/>
      <c r="C3" s="184" t="s">
        <v>435</v>
      </c>
      <c r="D3" s="185"/>
      <c r="E3" s="185"/>
      <c r="F3" s="185"/>
      <c r="G3" s="185"/>
      <c r="H3" s="185" t="s">
        <v>4</v>
      </c>
      <c r="I3" s="185"/>
      <c r="J3" s="211" t="str">
        <f>VLOOKUP(J2,'Tabla dinam gestion comercial'!M:O,3,0)</f>
        <v>PROMOTOR GALAGRO VALLE DE ABURRA</v>
      </c>
      <c r="K3" s="212"/>
    </row>
    <row r="4" spans="1:15" ht="15" customHeight="1" x14ac:dyDescent="0.4">
      <c r="A4" s="195"/>
      <c r="B4" s="196"/>
      <c r="C4" s="184" t="s">
        <v>503</v>
      </c>
      <c r="D4" s="185"/>
      <c r="E4" s="185"/>
      <c r="F4" s="185"/>
      <c r="G4" s="185"/>
      <c r="H4" s="185" t="s">
        <v>901</v>
      </c>
      <c r="I4" s="185"/>
      <c r="J4" s="185" t="str">
        <f>VLOOKUP(J2,'Tabla dinam gestion comercial'!M:N,2,0)</f>
        <v>GALAGRO VALLE DE ABURRA ANT.</v>
      </c>
      <c r="K4" s="213"/>
    </row>
    <row r="5" spans="1:15" ht="15" customHeight="1" thickBot="1" x14ac:dyDescent="0.45">
      <c r="A5" s="197"/>
      <c r="B5" s="198"/>
      <c r="C5" s="186" t="s">
        <v>502</v>
      </c>
      <c r="D5" s="187"/>
      <c r="E5" s="187"/>
      <c r="F5" s="187"/>
      <c r="G5" s="187"/>
      <c r="H5" s="208" t="s">
        <v>52</v>
      </c>
      <c r="I5" s="208"/>
      <c r="J5" s="208" t="str">
        <f>VLOOKUP(J2,'Tabla dinam gestion comercial'!M:P,4,0)</f>
        <v>GALAGRO</v>
      </c>
      <c r="K5" s="214"/>
    </row>
    <row r="6" spans="1:15" ht="15" hidden="1" customHeight="1" thickBot="1" x14ac:dyDescent="0.45">
      <c r="A6" s="137"/>
      <c r="B6" s="138"/>
      <c r="C6" s="121"/>
      <c r="D6" s="121"/>
      <c r="E6" s="121"/>
      <c r="F6" s="121"/>
      <c r="G6" s="121"/>
      <c r="H6" s="121"/>
      <c r="I6" s="121"/>
      <c r="J6" s="121"/>
      <c r="K6" s="122"/>
    </row>
    <row r="7" spans="1:15" ht="22.5" customHeight="1" thickBot="1" x14ac:dyDescent="0.4">
      <c r="A7" s="171" t="s">
        <v>437</v>
      </c>
      <c r="B7" s="172"/>
      <c r="C7" s="172"/>
      <c r="D7" s="173"/>
      <c r="E7" s="174"/>
      <c r="F7" s="175"/>
      <c r="G7" s="175"/>
      <c r="H7" s="175"/>
      <c r="I7" s="175"/>
      <c r="J7" s="175"/>
      <c r="K7" s="59"/>
      <c r="L7" s="13"/>
    </row>
    <row r="8" spans="1:15" ht="10" customHeight="1" x14ac:dyDescent="0.35">
      <c r="A8" s="178">
        <f>SUMPRODUCT($D$15:$D$26, $F$15:$F$26)</f>
        <v>0.27782781159506637</v>
      </c>
      <c r="B8" s="179"/>
      <c r="C8" s="179"/>
      <c r="D8" s="180"/>
      <c r="E8" s="176"/>
      <c r="F8" s="176"/>
      <c r="G8" s="176"/>
      <c r="H8" s="176"/>
      <c r="I8" s="176"/>
      <c r="J8" s="176"/>
      <c r="K8" s="8"/>
    </row>
    <row r="9" spans="1:15" ht="16.5" customHeight="1" x14ac:dyDescent="0.35">
      <c r="A9" s="181"/>
      <c r="B9" s="182"/>
      <c r="C9" s="182"/>
      <c r="D9" s="183"/>
      <c r="E9" s="176"/>
      <c r="F9" s="176"/>
      <c r="G9" s="176"/>
      <c r="H9" s="176"/>
      <c r="I9" s="176"/>
      <c r="J9" s="176"/>
      <c r="K9" s="8"/>
      <c r="M9" s="72" t="s">
        <v>63</v>
      </c>
      <c r="N9" s="72">
        <f>A8*100</f>
        <v>27.782781159506637</v>
      </c>
      <c r="O9" s="73" t="str">
        <f>ROUND(N9,0)&amp;"%"</f>
        <v>28%</v>
      </c>
    </row>
    <row r="10" spans="1:15" ht="12.5" customHeight="1" x14ac:dyDescent="0.35">
      <c r="A10" s="181"/>
      <c r="B10" s="182"/>
      <c r="C10" s="182"/>
      <c r="D10" s="183"/>
      <c r="E10" s="176"/>
      <c r="F10" s="176"/>
      <c r="G10" s="176"/>
      <c r="H10" s="176"/>
      <c r="I10" s="176"/>
      <c r="J10" s="176"/>
      <c r="K10" s="8"/>
      <c r="M10" s="72" t="s">
        <v>64</v>
      </c>
      <c r="N10" s="72">
        <f>100-N9</f>
        <v>72.217218840493359</v>
      </c>
      <c r="O10" s="72"/>
    </row>
    <row r="11" spans="1:15" ht="11.5" customHeight="1" x14ac:dyDescent="0.35">
      <c r="A11" s="181"/>
      <c r="B11" s="182"/>
      <c r="C11" s="182"/>
      <c r="D11" s="183"/>
      <c r="E11" s="176"/>
      <c r="F11" s="176"/>
      <c r="G11" s="176"/>
      <c r="H11" s="176"/>
      <c r="I11" s="176"/>
      <c r="J11" s="176"/>
      <c r="K11" s="8"/>
      <c r="M11" s="72" t="s">
        <v>65</v>
      </c>
      <c r="N11" s="72">
        <v>100</v>
      </c>
      <c r="O11" s="72"/>
    </row>
    <row r="12" spans="1:15" ht="21.5" customHeight="1" thickBot="1" x14ac:dyDescent="0.4">
      <c r="A12" s="188" t="str">
        <f>IF(A8&gt;=90%,"Excelente",IF(A8&gt;=75%,"Destacado",IF(A8&gt;=59%,"En desarrollo","Crítico")))</f>
        <v>Crítico</v>
      </c>
      <c r="B12" s="189"/>
      <c r="C12" s="189"/>
      <c r="D12" s="190"/>
      <c r="E12" s="177"/>
      <c r="F12" s="177"/>
      <c r="G12" s="177"/>
      <c r="H12" s="177"/>
      <c r="I12" s="177"/>
      <c r="J12" s="177"/>
      <c r="K12" s="74"/>
    </row>
    <row r="13" spans="1:15" ht="16.5" customHeight="1" thickBot="1" x14ac:dyDescent="0.4">
      <c r="A13" s="199" t="s">
        <v>439</v>
      </c>
      <c r="B13" s="200"/>
      <c r="C13" s="200"/>
      <c r="D13" s="200"/>
      <c r="E13" s="200"/>
      <c r="F13" s="200"/>
      <c r="G13" s="200"/>
      <c r="H13" s="200"/>
      <c r="I13" s="200"/>
      <c r="J13" s="200"/>
      <c r="K13" s="201"/>
    </row>
    <row r="14" spans="1:15" ht="29.5" customHeight="1" thickBot="1" x14ac:dyDescent="0.4">
      <c r="A14" s="215" t="s">
        <v>9</v>
      </c>
      <c r="B14" s="216"/>
      <c r="C14" s="216"/>
      <c r="D14" s="95" t="s">
        <v>424</v>
      </c>
      <c r="E14" s="96" t="s">
        <v>13</v>
      </c>
      <c r="F14" s="96" t="s">
        <v>92</v>
      </c>
      <c r="G14" s="95" t="s">
        <v>902</v>
      </c>
      <c r="H14" s="95" t="s">
        <v>903</v>
      </c>
      <c r="I14" s="95" t="s">
        <v>904</v>
      </c>
      <c r="J14" s="95" t="s">
        <v>908</v>
      </c>
      <c r="K14" s="97" t="s">
        <v>397</v>
      </c>
    </row>
    <row r="15" spans="1:15" ht="90" customHeight="1" thickBot="1" x14ac:dyDescent="0.4">
      <c r="A15" s="98" t="e" vm="11">
        <v>#VALUE!</v>
      </c>
      <c r="B15" s="99" t="s">
        <v>905</v>
      </c>
      <c r="C15" s="100" t="str">
        <f>IF(D15&gt;=90%,"⬤",IF(D15&gt;=75%,"⬤",IF(D15&gt;=60%,"⬤","⬤")))</f>
        <v>⬤</v>
      </c>
      <c r="D15" s="101">
        <f>IFERROR(MIN(100%,SUM(G15:I15)/($J15*3)),0)</f>
        <v>0.58888888888888891</v>
      </c>
      <c r="E15" s="102">
        <v>0.9</v>
      </c>
      <c r="F15" s="102">
        <v>0.1</v>
      </c>
      <c r="G15" s="103">
        <f>SUMIFS(
'Tabla dinam gestion comercial'!$F:$F,
'Tabla dinam gestion comercial'!$B:$B,$J$2,
'Tabla dinam gestion comercial'!$K:$K,"Abril"
)</f>
        <v>32</v>
      </c>
      <c r="H15" s="103">
        <f>SUMIFS(
'Tabla dinam gestion comercial'!$F:$F,
'Tabla dinam gestion comercial'!$B:$B,$J$2,
'Tabla dinam gestion comercial'!$K:$K,"Mayo"
)</f>
        <v>33</v>
      </c>
      <c r="I15" s="103">
        <f>SUMIFS(
'Tabla dinam gestion comercial'!$F:$F,
'Tabla dinam gestion comercial'!$B:$B,$J$2,
'Tabla dinam gestion comercial'!$K:$K,"Junio"
)</f>
        <v>41</v>
      </c>
      <c r="J15" s="104">
        <f>MIN(2000,SUMIFS('Tabla dinam gestion comercial'!$L:$L,'Tabla dinam gestion comercial'!$B:$B,$J$2)/3)</f>
        <v>60</v>
      </c>
      <c r="K15" s="70" t="s">
        <v>451</v>
      </c>
      <c r="M15" s="118"/>
      <c r="N15" s="24"/>
      <c r="O15" s="24"/>
    </row>
    <row r="16" spans="1:15" ht="117.5" thickBot="1" x14ac:dyDescent="0.4">
      <c r="A16" s="98" t="e" vm="12">
        <v>#VALUE!</v>
      </c>
      <c r="B16" s="99" t="s">
        <v>442</v>
      </c>
      <c r="C16" s="100" t="str">
        <f t="shared" ref="C16:C27" si="0">IF(D16&gt;=90%,"⬤",IF(D16&gt;=75%,"⬤",IF(D16&gt;=60%,"⬤","⬤")))</f>
        <v>⬤</v>
      </c>
      <c r="D16" s="101">
        <f>IFERROR(MIN(100%,SUM(G16:I16)/($J16*3)),0)</f>
        <v>1</v>
      </c>
      <c r="E16" s="102">
        <v>0.9</v>
      </c>
      <c r="F16" s="102">
        <v>0.1</v>
      </c>
      <c r="G16" s="103">
        <f>SUMIFS('Tabla dinam gestion comercial'!$D:$D,'Tabla dinam gestion comercial'!$B:$B,$J$2,'Tabla dinam gestion comercial'!$K:$K,"Abril")</f>
        <v>2</v>
      </c>
      <c r="H16" s="103">
        <f>SUMIFS('Tabla dinam gestion comercial'!$D:$D,'Tabla dinam gestion comercial'!$B:$B,$J$2,'Tabla dinam gestion comercial'!$K:$K,"Mayo")</f>
        <v>4</v>
      </c>
      <c r="I16" s="103">
        <f>SUMIFS('Tabla dinam gestion comercial'!$D:$D,'Tabla dinam gestion comercial'!$B:$B,$J$2,'Tabla dinam gestion comercial'!$K:$K,"Junio")</f>
        <v>4</v>
      </c>
      <c r="J16" s="89">
        <f>IFERROR(SUMIFS('Tabla dinam gestion comercial'!$C$2:$C$84,'Tabla dinam gestion comercial'!$B$2:$B$84,$J$2)/3,0)/3</f>
        <v>2.6666666666666665</v>
      </c>
      <c r="K16" s="70" t="s">
        <v>448</v>
      </c>
    </row>
    <row r="17" spans="1:15" ht="96.5" customHeight="1" thickBot="1" x14ac:dyDescent="0.4">
      <c r="A17" s="98" t="e" vm="13">
        <v>#VALUE!</v>
      </c>
      <c r="B17" s="99" t="s">
        <v>443</v>
      </c>
      <c r="C17" s="100" t="str">
        <f t="shared" si="0"/>
        <v>⬤</v>
      </c>
      <c r="D17" s="101">
        <f t="shared" ref="D17" si="1">IFERROR(AVERAGE(G17/J17,H17/J17,I17/J17),0)</f>
        <v>0</v>
      </c>
      <c r="E17" s="102">
        <v>0.9</v>
      </c>
      <c r="F17" s="102">
        <v>0.1</v>
      </c>
      <c r="G17" s="103">
        <f>SUMIFS('Tabla dinam gestion comercial'!$I:$I,'Tabla dinam gestion comercial'!$B:$B,$J$2,'Tabla dinam gestion comercial'!$K:$K,"*Abril*")</f>
        <v>0</v>
      </c>
      <c r="H17" s="103">
        <f>SUMIFS('Tabla dinam gestion comercial'!$I:$I,'Tabla dinam gestion comercial'!$B:$B,$J$2,'Tabla dinam gestion comercial'!$K:$K,"*Mayo*")</f>
        <v>0</v>
      </c>
      <c r="I17" s="103">
        <f>SUMIFS('Tabla dinam gestion comercial'!$I:$I,'Tabla dinam gestion comercial'!$B:$B,$J$2,'Tabla dinam gestion comercial'!$K:$K,"*Junio*")</f>
        <v>0</v>
      </c>
      <c r="J17" s="104">
        <f>ROUNDUP(SUMIFS('Tabla dinam gestion comercial'!$H:$H,'Tabla dinam gestion comercial'!$B:$B,$J$2)/12,0)</f>
        <v>5</v>
      </c>
      <c r="K17" s="70" t="s">
        <v>452</v>
      </c>
      <c r="M17" s="24"/>
      <c r="N17" s="24"/>
      <c r="O17" s="24"/>
    </row>
    <row r="18" spans="1:15" ht="30.5" customHeight="1" thickBot="1" x14ac:dyDescent="0.4">
      <c r="A18" s="157" t="s">
        <v>9</v>
      </c>
      <c r="B18" s="158"/>
      <c r="C18" s="159"/>
      <c r="D18" s="95" t="s">
        <v>424</v>
      </c>
      <c r="E18" s="96" t="s">
        <v>13</v>
      </c>
      <c r="F18" s="96" t="s">
        <v>92</v>
      </c>
      <c r="G18" s="95" t="s">
        <v>902</v>
      </c>
      <c r="H18" s="95" t="s">
        <v>903</v>
      </c>
      <c r="I18" s="95" t="s">
        <v>904</v>
      </c>
      <c r="J18" s="97" t="s">
        <v>395</v>
      </c>
      <c r="K18" s="105" t="s">
        <v>397</v>
      </c>
    </row>
    <row r="19" spans="1:15" ht="104.5" thickBot="1" x14ac:dyDescent="0.4">
      <c r="A19" s="98" t="e" vm="14">
        <v>#VALUE!</v>
      </c>
      <c r="B19" s="123" t="s">
        <v>22</v>
      </c>
      <c r="C19" s="100" t="str">
        <f t="shared" si="0"/>
        <v>⬤</v>
      </c>
      <c r="D19" s="101">
        <f>IFERROR(MIN(150%,SUM(G19:I19)/J19),0)</f>
        <v>0.25857710201015005</v>
      </c>
      <c r="E19" s="102">
        <v>0.9</v>
      </c>
      <c r="F19" s="102">
        <v>0.2</v>
      </c>
      <c r="G19" s="124">
        <f>SUMIFS(Tecnico!$D:$D,Tecnico!$A:$A,$J$4,Tecnico!$K:$K,"Abril")</f>
        <v>0</v>
      </c>
      <c r="H19" s="124">
        <f>SUMIFS(Tecnico!$D:$D,Tecnico!$A:$A,$J$4,Tecnico!$K:$K,"Mayo")</f>
        <v>0</v>
      </c>
      <c r="I19" s="124">
        <f>SUMIFS(Tecnico!$D:$D,Tecnico!$A:$A,$J$4,Tecnico!$K:$K,"Junio")</f>
        <v>233603100</v>
      </c>
      <c r="J19" s="125">
        <f>SUMIFS(Tecnico!$C:$C,Tecnico!$A:$A,$J$4)</f>
        <v>903417581</v>
      </c>
      <c r="K19" s="66" t="s">
        <v>449</v>
      </c>
    </row>
    <row r="20" spans="1:15" ht="130.5" thickBot="1" x14ac:dyDescent="0.4">
      <c r="A20" s="98" t="e" vm="15">
        <v>#VALUE!</v>
      </c>
      <c r="B20" s="99" t="s">
        <v>12</v>
      </c>
      <c r="C20" s="100" t="str">
        <f t="shared" si="0"/>
        <v>⬤</v>
      </c>
      <c r="D20" s="101">
        <f>IFERROR(((G20+H20+I20)/J20),"0")</f>
        <v>0.10080645161290322</v>
      </c>
      <c r="E20" s="102">
        <v>0.9</v>
      </c>
      <c r="F20" s="102">
        <v>0.1</v>
      </c>
      <c r="G20" s="103">
        <f>SUMIFS(Tecnico!$J:$J,Tecnico!$A:$A,$J$4,Tecnico!$K:$K,"Abril")</f>
        <v>0</v>
      </c>
      <c r="H20" s="103">
        <f>SUMIFS(Tecnico!$J:$J,Tecnico!$A:$A,$J$4,Tecnico!$K:$K,"Mayo")</f>
        <v>0</v>
      </c>
      <c r="I20" s="103">
        <f>SUMIFS(Tecnico!$J:$J,Tecnico!$A:$A,$J$4,Tecnico!$K:$K,"Junio")</f>
        <v>25</v>
      </c>
      <c r="J20" s="106">
        <f>SUMIFS(Tecnico!$H:$H,Tecnico!$A:$A,$J$4)/3</f>
        <v>248</v>
      </c>
      <c r="K20" s="67" t="s">
        <v>453</v>
      </c>
    </row>
    <row r="21" spans="1:15" ht="31" customHeight="1" thickBot="1" x14ac:dyDescent="0.4">
      <c r="A21" s="157" t="s">
        <v>9</v>
      </c>
      <c r="B21" s="158"/>
      <c r="C21" s="159"/>
      <c r="D21" s="95" t="s">
        <v>424</v>
      </c>
      <c r="E21" s="96" t="s">
        <v>13</v>
      </c>
      <c r="F21" s="96" t="s">
        <v>92</v>
      </c>
      <c r="G21" s="95" t="s">
        <v>902</v>
      </c>
      <c r="H21" s="95" t="s">
        <v>903</v>
      </c>
      <c r="I21" s="95" t="s">
        <v>904</v>
      </c>
      <c r="J21" s="97" t="s">
        <v>395</v>
      </c>
      <c r="K21" s="105" t="s">
        <v>397</v>
      </c>
    </row>
    <row r="22" spans="1:15" ht="120.5" customHeight="1" thickBot="1" x14ac:dyDescent="0.4">
      <c r="A22" s="98" t="e" vm="16">
        <v>#VALUE!</v>
      </c>
      <c r="B22" s="99" t="s">
        <v>86</v>
      </c>
      <c r="C22" s="100" t="str">
        <f t="shared" si="0"/>
        <v>⬤</v>
      </c>
      <c r="D22" s="102">
        <f>IFERROR(SUM(G22:I22)/J22,0%)</f>
        <v>0</v>
      </c>
      <c r="E22" s="102">
        <v>0.9</v>
      </c>
      <c r="F22" s="102">
        <v>0.1</v>
      </c>
      <c r="G22" s="103">
        <f>IFERROR(SUMIFS(Leads!$D:$D,Leads!$C:$C,$J$2,Leads!$I:$I,"Abril"),0)</f>
        <v>0</v>
      </c>
      <c r="H22" s="103">
        <f>IFERROR(SUMIFS(Leads!$D:$D,Leads!$C:$C,$J$2,Leads!$I:$I,"Mayo"),0)</f>
        <v>0</v>
      </c>
      <c r="I22" s="103">
        <f>IFERROR(SUMIFS(Leads!$D:$D,Leads!$C:$C,$J$2,Leads!$I:$I,"Junio"),0)</f>
        <v>0</v>
      </c>
      <c r="J22" s="106">
        <f>MAX(1,IFERROR(SUMIFS(Leads!$D:$D,Leads!$C:$C,$J$2,Leads!$I:$I,"Enero"),0))+MAX(1,IFERROR(SUMIFS(Leads!$D:$D,Leads!$C:$C,$J$2,Leads!$I:$I,"Febrero"),0))+MAX(1,IFERROR(SUMIFS(Leads!$D:$D,Leads!$C:$C,$J$2,Leads!$I:$I,"Marzo"),0))</f>
        <v>3</v>
      </c>
      <c r="K22" s="67" t="s">
        <v>450</v>
      </c>
    </row>
    <row r="23" spans="1:15" ht="117.5" thickBot="1" x14ac:dyDescent="0.4">
      <c r="A23" s="98" t="e" vm="17">
        <v>#VALUE!</v>
      </c>
      <c r="B23" s="99" t="s">
        <v>428</v>
      </c>
      <c r="C23" s="100" t="str">
        <f t="shared" si="0"/>
        <v>⬤</v>
      </c>
      <c r="D23" s="102">
        <f>IFERROR(SUM(G23:I23)/J23,0%)</f>
        <v>0</v>
      </c>
      <c r="E23" s="102">
        <v>0.9</v>
      </c>
      <c r="F23" s="102">
        <v>0.1</v>
      </c>
      <c r="G23" s="103">
        <f>IFERROR(SUMIFS(Leads!$E:$E,Leads!$C:$C,$J$2,Leads!$I:$I,"Abril"),0)</f>
        <v>0</v>
      </c>
      <c r="H23" s="103">
        <f>IFERROR(SUMIFS(Leads!$E:$E,Leads!$C:$C,$J$2,Leads!$I:$I,"Mayo"),0)</f>
        <v>0</v>
      </c>
      <c r="I23" s="103">
        <f>IFERROR(SUMIFS(Leads!$E:$E,Leads!$C:$C,$J$2,Leads!$I:$I,"Junio"),0)</f>
        <v>0</v>
      </c>
      <c r="J23" s="104">
        <f>MAX(1,IFERROR(SUMIFS(Leads!$D:$D,Leads!$C:$C,$J$2,Leads!$I:$I,"Enero"),0))+MAX(1,IFERROR(SUMIFS(Leads!$D:$D,Leads!$C:$C,$J$2,Leads!$I:$I,"Febrero"),0))+MAX(1,IFERROR(SUMIFS(Leads!$D:$D,Leads!$C:$C,$J$2,Leads!$I:$I,"Marzo"),0))</f>
        <v>3</v>
      </c>
      <c r="K23" s="68" t="s">
        <v>907</v>
      </c>
    </row>
    <row r="24" spans="1:15" ht="91.5" thickBot="1" x14ac:dyDescent="0.4">
      <c r="A24" s="98" t="e" vm="8">
        <v>#VALUE!</v>
      </c>
      <c r="B24" s="99" t="s">
        <v>396</v>
      </c>
      <c r="C24" s="100" t="str">
        <f t="shared" si="0"/>
        <v>⬤</v>
      </c>
      <c r="D24" s="102">
        <f>MIN(IFERROR(SUM(G24:I24)/J24,0%),150%)</f>
        <v>0.5714285714285714</v>
      </c>
      <c r="E24" s="102">
        <v>0.9</v>
      </c>
      <c r="F24" s="102">
        <v>0.1</v>
      </c>
      <c r="G24" s="103" cm="1">
        <f t="array" ref="G24">SUMPRODUCT((TRIM(CLEAN('Act Campo'!$Q$2:$Q$974))=TRIM(CLEAN($J$4)))*(LOWER(TRIM(CLEAN('Act Campo'!$AF$2:$AF$974)))="abril"))</f>
        <v>2</v>
      </c>
      <c r="H24" s="103">
        <f>COUNTIFS('Act Campo'!$Q$2:$Q$974,$J$4,'Act Campo'!$AF$2:$AF$974,"Mayo")</f>
        <v>0</v>
      </c>
      <c r="I24" s="103">
        <f>COUNTIFS('Act Campo'!$Q$2:$Q$974,$J$4,'Act Campo'!$AF$2:$AF$974,"Junio")</f>
        <v>0</v>
      </c>
      <c r="J24" s="106">
        <f>IFERROR(VLOOKUP(J2,'Tabla dinam gestion comercial'!$M:$S,7,0),0)</f>
        <v>3.5</v>
      </c>
      <c r="K24" s="69" t="s">
        <v>432</v>
      </c>
    </row>
    <row r="25" spans="1:15" ht="120" customHeight="1" thickBot="1" x14ac:dyDescent="0.4">
      <c r="A25" s="98" t="e" vm="8">
        <v>#VALUE!</v>
      </c>
      <c r="B25" s="99" t="s">
        <v>429</v>
      </c>
      <c r="C25" s="100" t="str">
        <f t="shared" si="0"/>
        <v>⬤</v>
      </c>
      <c r="D25" s="102">
        <f>MIN(IFERROR(SUM(G25:I25)/J25,0%),150%)</f>
        <v>0</v>
      </c>
      <c r="E25" s="102">
        <v>0.9</v>
      </c>
      <c r="F25" s="102">
        <v>0.05</v>
      </c>
      <c r="G25" s="103">
        <f>SUMIFS(Fincas!$F:$F,Fincas!$B:$B,$J$4,Fincas!$G:$G,"Abril")</f>
        <v>0</v>
      </c>
      <c r="H25" s="103">
        <f>SUMIFS(Fincas!$F:$F,Fincas!$B:$B,$J$4,Fincas!$G:$G,"Mayo")</f>
        <v>0</v>
      </c>
      <c r="I25" s="103">
        <f>SUMIFS(Fincas!$F:$F,Fincas!$B:$B,$J$4,Fincas!$G:$G,"Junio")</f>
        <v>0</v>
      </c>
      <c r="J25" s="106">
        <f>ROUNDUP(_xlfn.MAXIFS('Tabla dinam gestion comercial'!$T:$T,'Tabla dinam gestion comercial'!$M:$M,$J$2)*3,0)</f>
        <v>90</v>
      </c>
      <c r="K25" s="67" t="s">
        <v>406</v>
      </c>
    </row>
    <row r="26" spans="1:15" ht="106" customHeight="1" thickBot="1" x14ac:dyDescent="0.4">
      <c r="A26" s="98" t="e" vm="8">
        <v>#VALUE!</v>
      </c>
      <c r="B26" s="99" t="s">
        <v>24</v>
      </c>
      <c r="C26" s="100" t="str">
        <f t="shared" si="0"/>
        <v>⬤</v>
      </c>
      <c r="D26" s="102">
        <f>MIN(IFERROR(SUM(G26:I26)/J26,0%),150%)</f>
        <v>0</v>
      </c>
      <c r="E26" s="102">
        <v>0.9</v>
      </c>
      <c r="F26" s="102">
        <v>0.05</v>
      </c>
      <c r="G26" s="103">
        <f>COUNTIFS(Fincas!$B:$B,$J$4,Fincas!$D:$D,"&lt;&gt;",Fincas!$G:$G,"Abril")</f>
        <v>0</v>
      </c>
      <c r="H26" s="103">
        <f>COUNTIFS(Fincas!$B:$B,$J$4,Fincas!$D:$D,"&lt;&gt;",Fincas!$G:$G,"Mayo")</f>
        <v>0</v>
      </c>
      <c r="I26" s="103">
        <f>COUNTIFS(Fincas!$B:$B,$J$4,Fincas!$D:$D,"&lt;&gt;",Fincas!$G:$G,"Junio")</f>
        <v>0</v>
      </c>
      <c r="J26" s="106">
        <f>ROUNDUP(SUMIFS('Tabla dinam gestion comercial'!$U:$U,'Tabla dinam gestion comercial'!$M:$M,$J$2),0)</f>
        <v>3</v>
      </c>
      <c r="K26" s="67" t="s">
        <v>407</v>
      </c>
    </row>
    <row r="27" spans="1:15" ht="29.5" hidden="1" customHeight="1" thickBot="1" x14ac:dyDescent="0.45">
      <c r="A27" s="107" t="e" vm="8">
        <v>#VALUE!</v>
      </c>
      <c r="B27" s="108" t="s">
        <v>232</v>
      </c>
      <c r="C27" s="109" t="str">
        <f t="shared" si="0"/>
        <v>⬤</v>
      </c>
      <c r="D27" s="110">
        <f>(D25+D26)/2</f>
        <v>0</v>
      </c>
      <c r="E27" s="111">
        <v>0.9</v>
      </c>
      <c r="F27" s="111"/>
      <c r="G27" s="112"/>
      <c r="H27" s="112"/>
      <c r="I27" s="112"/>
      <c r="J27" s="113"/>
      <c r="K27" s="114"/>
    </row>
    <row r="28" spans="1:15" ht="14.5" customHeight="1" x14ac:dyDescent="0.35">
      <c r="A28" s="205" t="e" vm="9">
        <v>#VALUE!</v>
      </c>
      <c r="B28" s="154" t="s">
        <v>430</v>
      </c>
      <c r="C28" s="154"/>
      <c r="D28" s="154"/>
      <c r="E28" s="154"/>
      <c r="F28" s="154"/>
      <c r="G28" s="151" t="s">
        <v>21</v>
      </c>
      <c r="H28" s="151" t="s">
        <v>431</v>
      </c>
      <c r="I28" s="151"/>
      <c r="J28" s="151" t="s">
        <v>19</v>
      </c>
      <c r="K28" s="202" t="s">
        <v>18</v>
      </c>
    </row>
    <row r="29" spans="1:15" x14ac:dyDescent="0.35">
      <c r="A29" s="206"/>
      <c r="B29" s="155"/>
      <c r="C29" s="155"/>
      <c r="D29" s="155"/>
      <c r="E29" s="155"/>
      <c r="F29" s="155"/>
      <c r="G29" s="169"/>
      <c r="H29" s="152"/>
      <c r="I29" s="152"/>
      <c r="J29" s="169"/>
      <c r="K29" s="203"/>
    </row>
    <row r="30" spans="1:15" ht="21" customHeight="1" thickBot="1" x14ac:dyDescent="0.4">
      <c r="A30" s="207"/>
      <c r="B30" s="156"/>
      <c r="C30" s="156"/>
      <c r="D30" s="156"/>
      <c r="E30" s="156"/>
      <c r="F30" s="156"/>
      <c r="G30" s="170"/>
      <c r="H30" s="153"/>
      <c r="I30" s="153"/>
      <c r="J30" s="170"/>
      <c r="K30" s="204"/>
    </row>
    <row r="31" spans="1:15" ht="17.5" customHeight="1" thickBot="1" x14ac:dyDescent="0.4">
      <c r="A31" s="163" t="s">
        <v>8</v>
      </c>
      <c r="B31" s="164"/>
      <c r="C31" s="165"/>
      <c r="D31" s="163" t="s">
        <v>7</v>
      </c>
      <c r="E31" s="164"/>
      <c r="F31" s="164"/>
      <c r="G31" s="165"/>
      <c r="H31" s="163" t="s">
        <v>906</v>
      </c>
      <c r="I31" s="164"/>
      <c r="J31" s="165"/>
      <c r="K31" s="115" t="s">
        <v>408</v>
      </c>
      <c r="L31" s="76"/>
    </row>
    <row r="32" spans="1:15" ht="124" customHeight="1" thickBot="1" x14ac:dyDescent="0.4">
      <c r="A32" s="166" t="str">
        <f>IF($N$9&gt;=90,"El reto para el siguiente período es sostener el nivel alcanzado y evitar desviaciones. Se recomienda revisar los indicadores cercanos al límite y mantener seguimiento sobre los frentes de mayor impacto.",IF($N$9&gt;=75,"La principal oportunidad está en cerrar las brechas que impiden llegar al nivel excelente. Para el tercer trimestre, será clave reforzar la ejecución y dar seguimiento a los indicadores pendientes.",IF($N$9&gt;=59,"El cierre del semestre evidencia brechas que deben atenderse con prioridad. Se recomienda concentrar la gestión en los indicadores de menor cumplimiento y ajustar la planificación del siguiente trimestre.","El resultado exige una recuperación enfocada para el tercer trimestre. Es necesario priorizar los indicadores críticos, definir responsables y realizar seguimiento frecuente a las acciones de mejora.")))</f>
        <v>El resultado exige una recuperación enfocada para el tercer trimestre. Es necesario priorizar los indicadores críticos, definir responsables y realizar seguimiento frecuente a las acciones de mejora.</v>
      </c>
      <c r="B32" s="167"/>
      <c r="C32" s="168"/>
      <c r="D32" s="160" t="str">
        <f>IF($N$9&gt;=90,"Se consolidan fortalezas importantes en la gestión del territorio. El resultado refleja disciplina, continuidad en la ejecución y buen desempeño en los indicadores de mayor impacto durante el cierre del semestre.",IF($N$9&gt;=75,"El trimestre muestra una base de gestión positiva. Se evidencian avances en indicadores clave y una ejecución que permite proyectar un mejor desempeño para el siguiente período.",IF($N$9&gt;=59,"Aunque persisten oportunidades de mejora, se identifican avances que pueden servir como punto de apoyo para el cierre de brechas. La gestión debe concentrarse en replicar los indicadores con mejor comportamiento.","A pesar del resultado bajo, algunos indicadores muestran señales de avance. Estos puntos deben tomarse como base para orientar la recuperación y enfocar mejor la gestión del siguiente trimestre.")))</f>
        <v>A pesar del resultado bajo, algunos indicadores muestran señales de avance. Estos puntos deben tomarse como base para orientar la recuperación y enfocar mejor la gestión del siguiente trimestre.</v>
      </c>
      <c r="E32" s="161"/>
      <c r="F32" s="161"/>
      <c r="G32" s="162"/>
      <c r="H32" s="166" t="str">
        <f>IF($N$9&gt;=90,"El segundo trimestre cierra con un resultado destacado y una gestión consistente frente a los objetivos. El foco para el siguiente período será conservar la disciplina, proteger los indicadores de mayor impacto y sostener el desempeño alcanzado.",IF($N$9&gt;=75,"El trimestre muestra un avance favorable y una gestión cercana al nivel esperado. Para el siguiente período, será clave cerrar las brechas pendientes, reforzar la ejecución comercial y mantener mayor regularidad en los indicadores.",IF($N$9&gt;=59,"El resultado evidencia avances parciales, pero aún requiere mayor consistencia en la gestión. El cierre del semestre debe servir para ajustar prioridades, fortalecer el seguimiento y enfocar los esfuerzos en los indicadores con menor cumplimiento.","El cierre del segundo trimestre muestra desviaciones relevantes frente a la meta. Se requiere revisar la gestión del período, identificar las causas principales y activar acciones concretas para recuperar el desempeño en el siguiente trimestre.")))</f>
        <v>El cierre del segundo trimestre muestra desviaciones relevantes frente a la meta. Se requiere revisar la gestión del período, identificar las causas principales y activar acciones concretas para recuperar el desempeño en el siguiente trimestre.</v>
      </c>
      <c r="I32" s="167"/>
      <c r="J32" s="168"/>
      <c r="K32" s="116" t="str">
        <f>IF($N$9&gt;=90,"Mantener el nivel alcanzado durante el cierre del semestre. Revisar indicadores sensibles, asegurar continuidad en las buenas prácticas y preparar acciones preventivas para el tercer trimestre.",IF($N$9&gt;=75,"Cerrar las brechas que aún limitan el paso al nivel excelente. Definir acciones concretas, responsables y fechas de seguimiento para fortalecer el desempeño del tercer trimestre.",IF($N$9&gt;=59,"Reajustar el plan de trabajo para el siguiente trimestre. Priorizar los indicadores con menor avance, fortalecer la planificación semanal y hacer seguimiento a los compromisos definidos.","Activar un plan de recuperación para el tercer trimestre. Priorizar los indicadores críticos, definir responsables, solicitar acompañamiento y realizar seguimiento semanal.")))</f>
        <v>Activar un plan de recuperación para el tercer trimestre. Priorizar los indicadores críticos, definir responsables, solicitar acompañamiento y realizar seguimiento semanal.</v>
      </c>
      <c r="L32" s="75"/>
      <c r="M32" s="75"/>
    </row>
  </sheetData>
  <mergeCells count="33">
    <mergeCell ref="C1:K1"/>
    <mergeCell ref="A1:B5"/>
    <mergeCell ref="A21:C21"/>
    <mergeCell ref="A13:K13"/>
    <mergeCell ref="K28:K30"/>
    <mergeCell ref="A28:A30"/>
    <mergeCell ref="H5:I5"/>
    <mergeCell ref="H2:I2"/>
    <mergeCell ref="H3:I3"/>
    <mergeCell ref="H4:I4"/>
    <mergeCell ref="J2:K2"/>
    <mergeCell ref="J3:K3"/>
    <mergeCell ref="J4:K4"/>
    <mergeCell ref="J5:K5"/>
    <mergeCell ref="A14:C14"/>
    <mergeCell ref="J28:J30"/>
    <mergeCell ref="A7:D7"/>
    <mergeCell ref="E7:J12"/>
    <mergeCell ref="A8:D11"/>
    <mergeCell ref="C3:G3"/>
    <mergeCell ref="C4:G4"/>
    <mergeCell ref="C5:G5"/>
    <mergeCell ref="A12:D12"/>
    <mergeCell ref="H28:I30"/>
    <mergeCell ref="B28:F30"/>
    <mergeCell ref="A18:C18"/>
    <mergeCell ref="D32:G32"/>
    <mergeCell ref="D31:G31"/>
    <mergeCell ref="A31:C31"/>
    <mergeCell ref="H32:J32"/>
    <mergeCell ref="A32:C32"/>
    <mergeCell ref="H31:J31"/>
    <mergeCell ref="G28:G30"/>
  </mergeCells>
  <conditionalFormatting sqref="A12">
    <cfRule type="expression" dxfId="35" priority="6">
      <formula>A8&lt;59%</formula>
    </cfRule>
    <cfRule type="expression" dxfId="34" priority="7">
      <formula>AND(A8&gt;=59%,A8&lt;75%)</formula>
    </cfRule>
    <cfRule type="expression" dxfId="33" priority="8">
      <formula>AND(A8+$E$618&gt;=75%,A8&lt;90%)</formula>
    </cfRule>
    <cfRule type="expression" dxfId="32" priority="9">
      <formula>A8&gt;=90%</formula>
    </cfRule>
  </conditionalFormatting>
  <conditionalFormatting sqref="A8:D11">
    <cfRule type="expression" dxfId="31" priority="10">
      <formula>A8&gt;=90%</formula>
    </cfRule>
    <cfRule type="expression" dxfId="30" priority="11">
      <formula>AND(A8&gt;=75%,A8&lt;90%)</formula>
    </cfRule>
    <cfRule type="expression" dxfId="29" priority="12">
      <formula>AND(A8&gt;=59%,A8&lt;75%)</formula>
    </cfRule>
    <cfRule type="expression" dxfId="28" priority="13">
      <formula>A8&lt;59%</formula>
    </cfRule>
  </conditionalFormatting>
  <conditionalFormatting sqref="C15:C17 C19:C20 C22:C27">
    <cfRule type="expression" dxfId="27" priority="1">
      <formula>$D15&lt;60%</formula>
    </cfRule>
    <cfRule type="expression" dxfId="26" priority="2">
      <formula>AND($D15&gt;=60%,$D15&lt;75%)</formula>
    </cfRule>
    <cfRule type="expression" dxfId="25" priority="3">
      <formula>AND($D15&gt;=75%,$D15&lt;90%)</formula>
    </cfRule>
    <cfRule type="expression" dxfId="24" priority="4">
      <formula>$D15&gt;=90%</formula>
    </cfRule>
  </conditionalFormatting>
  <pageMargins left="0.11811023622047245" right="0.11811023622047245" top="0.47244094488188981" bottom="7.874015748031496E-2" header="0.23622047244094491" footer="0"/>
  <pageSetup scale="82" orientation="portrait" r:id="rId1"/>
  <rowBreaks count="1" manualBreakCount="1">
    <brk id="20" max="10" man="1"/>
  </rowBreaks>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CC08DA9E-2988-4788-85F1-F48268489772}">
          <x14:formula1>
            <xm:f>'Tabla dinam gestion comercial'!$M$2:$M$24</xm:f>
          </x14:formula1>
          <xm:sqref>J2:K2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B65DF-9ED1-4E86-83A2-E60B4CE66662}">
  <dimension ref="A1:M33"/>
  <sheetViews>
    <sheetView zoomScaleNormal="100" workbookViewId="0">
      <pane ySplit="5" topLeftCell="A6" activePane="bottomLeft" state="frozen"/>
      <selection pane="bottomLeft" activeCell="D14" sqref="D14"/>
    </sheetView>
  </sheetViews>
  <sheetFormatPr baseColWidth="10" defaultRowHeight="14.5" x14ac:dyDescent="0.35"/>
  <cols>
    <col min="1" max="1" width="5.36328125" customWidth="1"/>
    <col min="2" max="2" width="16.6328125" customWidth="1"/>
    <col min="3" max="3" width="5.26953125" customWidth="1"/>
    <col min="4" max="4" width="16.36328125" customWidth="1"/>
    <col min="5" max="5" width="8.36328125" customWidth="1"/>
    <col min="6" max="6" width="6.08984375" bestFit="1" customWidth="1"/>
    <col min="7" max="7" width="14.81640625" bestFit="1" customWidth="1"/>
    <col min="8" max="8" width="13.81640625" customWidth="1"/>
    <col min="9" max="9" width="25.453125" customWidth="1"/>
  </cols>
  <sheetData>
    <row r="1" spans="1:13" ht="15" thickBot="1" x14ac:dyDescent="0.4">
      <c r="A1" s="193" t="e" vm="18">
        <v>#VALUE!</v>
      </c>
      <c r="B1" s="194"/>
      <c r="C1" s="194"/>
      <c r="D1" s="229" t="s">
        <v>501</v>
      </c>
      <c r="E1" s="229"/>
      <c r="F1" s="229"/>
      <c r="G1" s="229"/>
      <c r="H1" s="229"/>
      <c r="I1" s="230"/>
    </row>
    <row r="2" spans="1:13" x14ac:dyDescent="0.35">
      <c r="A2" s="195"/>
      <c r="B2" s="196"/>
      <c r="C2" s="196"/>
      <c r="D2" s="219" t="s">
        <v>0</v>
      </c>
      <c r="E2" s="219"/>
      <c r="F2" s="219"/>
      <c r="G2" s="2" t="s">
        <v>5</v>
      </c>
      <c r="H2" s="219" t="s">
        <v>277</v>
      </c>
      <c r="I2" s="220"/>
    </row>
    <row r="3" spans="1:13" x14ac:dyDescent="0.35">
      <c r="A3" s="195"/>
      <c r="B3" s="196"/>
      <c r="C3" s="196"/>
      <c r="D3" s="217" t="s">
        <v>1</v>
      </c>
      <c r="E3" s="217"/>
      <c r="F3" s="217"/>
      <c r="G3" s="3" t="s">
        <v>4</v>
      </c>
      <c r="H3" s="217" t="str">
        <f>VLOOKUP(H2,'Tabla dinam gestion comercial'!M:O,3,0)</f>
        <v>PROMOTOR GALAGRO ORIENTE B ANT</v>
      </c>
      <c r="I3" s="221"/>
    </row>
    <row r="4" spans="1:13" x14ac:dyDescent="0.35">
      <c r="A4" s="195"/>
      <c r="B4" s="196"/>
      <c r="C4" s="196"/>
      <c r="D4" s="217" t="s">
        <v>2</v>
      </c>
      <c r="E4" s="217"/>
      <c r="F4" s="217"/>
      <c r="G4" s="3" t="s">
        <v>3</v>
      </c>
      <c r="H4" s="217" t="str">
        <f>VLOOKUP(H2,'Tabla dinam gestion comercial'!M:N,2,0)</f>
        <v>GALAGRO ORIENTE B ANT.</v>
      </c>
      <c r="I4" s="221"/>
      <c r="J4" s="78"/>
      <c r="K4" s="78"/>
      <c r="L4" s="78"/>
      <c r="M4" s="78"/>
    </row>
    <row r="5" spans="1:13" ht="15" thickBot="1" x14ac:dyDescent="0.4">
      <c r="A5" s="197"/>
      <c r="B5" s="198"/>
      <c r="C5" s="198"/>
      <c r="D5" s="218" t="s">
        <v>502</v>
      </c>
      <c r="E5" s="218"/>
      <c r="F5" s="218"/>
      <c r="G5" s="4" t="s">
        <v>52</v>
      </c>
      <c r="H5" s="222" t="str">
        <f>VLOOKUP(H2,'Tabla dinam gestion comercial'!M:P,4,0)</f>
        <v>GALAGRO</v>
      </c>
      <c r="I5" s="223"/>
      <c r="J5" s="78"/>
      <c r="K5" s="78"/>
      <c r="L5" s="78"/>
      <c r="M5" s="78"/>
    </row>
    <row r="6" spans="1:13" ht="14.5" customHeight="1" thickBot="1" x14ac:dyDescent="0.4">
      <c r="A6" s="171" t="s">
        <v>17</v>
      </c>
      <c r="B6" s="172"/>
      <c r="C6" s="172"/>
      <c r="D6" s="173"/>
      <c r="E6" s="174"/>
      <c r="F6" s="175"/>
      <c r="G6" s="175"/>
      <c r="H6" s="175"/>
      <c r="I6" s="224"/>
      <c r="J6" s="78"/>
      <c r="K6" s="78"/>
      <c r="L6" s="78"/>
      <c r="M6" s="78"/>
    </row>
    <row r="7" spans="1:13" ht="14.5" customHeight="1" x14ac:dyDescent="0.35">
      <c r="A7" s="235">
        <f>SUMPRODUCT($D$14:$D$24, $F$14:$F$24)</f>
        <v>0.25570163712432642</v>
      </c>
      <c r="B7" s="236"/>
      <c r="C7" s="236"/>
      <c r="D7" s="237"/>
      <c r="E7" s="225"/>
      <c r="F7" s="176"/>
      <c r="G7" s="176"/>
      <c r="H7" s="176"/>
      <c r="I7" s="226"/>
      <c r="J7" s="78"/>
      <c r="K7" s="78"/>
      <c r="L7" s="78"/>
      <c r="M7" s="78"/>
    </row>
    <row r="8" spans="1:13" ht="20" customHeight="1" x14ac:dyDescent="0.35">
      <c r="A8" s="238"/>
      <c r="B8" s="239"/>
      <c r="C8" s="239"/>
      <c r="D8" s="240"/>
      <c r="E8" s="225"/>
      <c r="F8" s="176"/>
      <c r="G8" s="176"/>
      <c r="H8" s="176"/>
      <c r="I8" s="226"/>
      <c r="J8" s="72" t="s">
        <v>63</v>
      </c>
      <c r="K8" s="129">
        <f>A7*100</f>
        <v>25.570163712432642</v>
      </c>
      <c r="L8" s="73" t="str">
        <f>ROUND(K8,0)&amp;"%"</f>
        <v>26%</v>
      </c>
      <c r="M8" s="78"/>
    </row>
    <row r="9" spans="1:13" ht="20" customHeight="1" x14ac:dyDescent="0.35">
      <c r="A9" s="238"/>
      <c r="B9" s="239"/>
      <c r="C9" s="239"/>
      <c r="D9" s="240"/>
      <c r="E9" s="225"/>
      <c r="F9" s="176"/>
      <c r="G9" s="176"/>
      <c r="H9" s="176"/>
      <c r="I9" s="226"/>
      <c r="J9" s="72" t="s">
        <v>64</v>
      </c>
      <c r="K9" s="129">
        <f>100-K8</f>
        <v>74.429836287567355</v>
      </c>
      <c r="L9" s="72"/>
      <c r="M9" s="78"/>
    </row>
    <row r="10" spans="1:13" ht="20" customHeight="1" thickBot="1" x14ac:dyDescent="0.4">
      <c r="A10" s="276"/>
      <c r="B10" s="277"/>
      <c r="C10" s="277"/>
      <c r="D10" s="278"/>
      <c r="E10" s="225"/>
      <c r="F10" s="176"/>
      <c r="G10" s="176"/>
      <c r="H10" s="176"/>
      <c r="I10" s="226"/>
      <c r="J10" s="72" t="s">
        <v>65</v>
      </c>
      <c r="K10" s="129">
        <v>100</v>
      </c>
      <c r="L10" s="72"/>
      <c r="M10" s="78"/>
    </row>
    <row r="11" spans="1:13" ht="20" customHeight="1" thickBot="1" x14ac:dyDescent="0.4">
      <c r="A11" s="279" t="str">
        <f>IF(A7&gt;=90%,"Excelente",IF(A7&gt;=75%,"Destacado",IF(A7&gt;=59%,"En desarrollo","Crítico")))</f>
        <v>Crítico</v>
      </c>
      <c r="B11" s="280"/>
      <c r="C11" s="280"/>
      <c r="D11" s="281"/>
      <c r="E11" s="227"/>
      <c r="F11" s="177"/>
      <c r="G11" s="177"/>
      <c r="H11" s="177"/>
      <c r="I11" s="228"/>
      <c r="J11" s="78"/>
      <c r="K11" s="78"/>
      <c r="L11" s="78"/>
      <c r="M11" s="78"/>
    </row>
    <row r="12" spans="1:13" ht="20" customHeight="1" thickBot="1" x14ac:dyDescent="0.5">
      <c r="A12" s="258" t="s">
        <v>15</v>
      </c>
      <c r="B12" s="259"/>
      <c r="C12" s="259"/>
      <c r="D12" s="259"/>
      <c r="E12" s="259"/>
      <c r="F12" s="259"/>
      <c r="G12" s="259"/>
      <c r="H12" s="259"/>
      <c r="I12" s="260"/>
      <c r="J12" s="78"/>
      <c r="K12" s="78"/>
      <c r="L12" s="78"/>
      <c r="M12" s="78"/>
    </row>
    <row r="13" spans="1:13" ht="51.5" customHeight="1" thickBot="1" x14ac:dyDescent="0.4">
      <c r="A13" s="261" t="s">
        <v>9</v>
      </c>
      <c r="B13" s="262"/>
      <c r="C13" s="263"/>
      <c r="D13" s="65" t="s">
        <v>14</v>
      </c>
      <c r="E13" s="65" t="s">
        <v>13</v>
      </c>
      <c r="F13" s="65" t="s">
        <v>92</v>
      </c>
      <c r="G13" s="65" t="s">
        <v>499</v>
      </c>
      <c r="H13" s="65" t="s">
        <v>410</v>
      </c>
      <c r="I13" s="65" t="s">
        <v>397</v>
      </c>
      <c r="J13" s="78"/>
      <c r="K13" s="78"/>
      <c r="L13" s="78"/>
      <c r="M13" s="78"/>
    </row>
    <row r="14" spans="1:13" ht="110" customHeight="1" thickBot="1" x14ac:dyDescent="0.4">
      <c r="A14" s="64" t="e" vm="2">
        <v>#VALUE!</v>
      </c>
      <c r="B14" s="80" t="s">
        <v>54</v>
      </c>
      <c r="C14" s="63" t="str">
        <f>IF(D14&gt;=90%,"⬤",IF(D14&gt;=75%,"⬤",IF(D14&gt;=60%,"⬤","⬤")))</f>
        <v>⬤</v>
      </c>
      <c r="D14" s="81">
        <f>IFERROR(MIN(100%,G14/H14),0)</f>
        <v>0.4</v>
      </c>
      <c r="E14" s="82">
        <v>0.9</v>
      </c>
      <c r="F14" s="82">
        <v>0.1</v>
      </c>
      <c r="G14" s="83">
        <f>IFERROR(SUMIFS('Tabla dinam gestion comercial'!$F:$F,'Tabla dinam gestion comercial'!$B:$B,$H$2)/3,0)</f>
        <v>24</v>
      </c>
      <c r="H14" s="89">
        <f>MIN(2000,SUMIFS('Tabla dinam gestion comercial'!$L:$L,'Tabla dinam gestion comercial'!$B:$B,$H$2)/3)</f>
        <v>60</v>
      </c>
      <c r="I14" s="70" t="s">
        <v>398</v>
      </c>
    </row>
    <row r="15" spans="1:13" ht="110" customHeight="1" thickBot="1" x14ac:dyDescent="0.4">
      <c r="A15" s="64" t="e" vm="3">
        <v>#VALUE!</v>
      </c>
      <c r="B15" s="80" t="s">
        <v>29</v>
      </c>
      <c r="C15" s="63" t="str">
        <f t="shared" ref="C15:C24" si="0">IF(D15&gt;=90%,"⬤",IF(D15&gt;=75%,"⬤",IF(D15&gt;=60%,"⬤","⬤")))</f>
        <v>⬤</v>
      </c>
      <c r="D15" s="81">
        <f>IFERROR(MIN(100%,G15/H15),0)</f>
        <v>0.62589928057553956</v>
      </c>
      <c r="E15" s="82">
        <v>0.9</v>
      </c>
      <c r="F15" s="82">
        <v>0.1</v>
      </c>
      <c r="G15" s="83">
        <f>IFERROR(SUMIFS('Tabla dinam gestion comercial'!$D:$D,'Tabla dinam gestion comercial'!$B:$B,$H$2)/3,0)</f>
        <v>29</v>
      </c>
      <c r="H15" s="89">
        <f>IFERROR(SUMIFS('Tabla dinam gestion comercial'!$C$2:$C$84,'Tabla dinam gestion comercial'!$B$2:$B$84,$H$2)/3,0)/3</f>
        <v>46.333333333333336</v>
      </c>
      <c r="I15" s="70" t="s">
        <v>399</v>
      </c>
    </row>
    <row r="16" spans="1:13" ht="110" customHeight="1" thickBot="1" x14ac:dyDescent="0.4">
      <c r="A16" s="64" t="e" vm="4">
        <v>#VALUE!</v>
      </c>
      <c r="B16" s="80" t="s">
        <v>10</v>
      </c>
      <c r="C16" s="63" t="str">
        <f t="shared" si="0"/>
        <v>⬤</v>
      </c>
      <c r="D16" s="81">
        <f>G16/H16</f>
        <v>0</v>
      </c>
      <c r="E16" s="82">
        <v>0.9</v>
      </c>
      <c r="F16" s="82">
        <v>0.1</v>
      </c>
      <c r="G16" s="83">
        <f>SUMIFS('Tabla dinam gestion comercial'!$I:$I,'Tabla dinam gestion comercial'!$B:$B,$H$2)/3</f>
        <v>0</v>
      </c>
      <c r="H16" s="89">
        <f>ROUNDUP(SUMIFS('Tabla dinam gestion comercial'!$H:$H,'Tabla dinam gestion comercial'!$B:$B,$H$2)/12,0)</f>
        <v>3</v>
      </c>
      <c r="I16" s="70" t="s">
        <v>400</v>
      </c>
    </row>
    <row r="17" spans="1:11" ht="45.5" customHeight="1" thickBot="1" x14ac:dyDescent="0.4">
      <c r="A17" s="285" t="s">
        <v>9</v>
      </c>
      <c r="B17" s="286"/>
      <c r="C17" s="287"/>
      <c r="D17" s="92" t="s">
        <v>14</v>
      </c>
      <c r="E17" s="92" t="s">
        <v>13</v>
      </c>
      <c r="F17" s="92" t="s">
        <v>92</v>
      </c>
      <c r="G17" s="92" t="s">
        <v>90</v>
      </c>
      <c r="H17" s="65" t="s">
        <v>395</v>
      </c>
      <c r="I17" s="65" t="s">
        <v>397</v>
      </c>
      <c r="J17" s="90"/>
      <c r="K17" s="90"/>
    </row>
    <row r="18" spans="1:11" ht="110" customHeight="1" thickBot="1" x14ac:dyDescent="0.4">
      <c r="A18" s="64" t="e" vm="5">
        <v>#VALUE!</v>
      </c>
      <c r="B18" s="80" t="s">
        <v>11</v>
      </c>
      <c r="C18" s="63" t="str">
        <f t="shared" si="0"/>
        <v>⬤</v>
      </c>
      <c r="D18" s="81">
        <f>IFERROR((G18/H18),"0")</f>
        <v>3.1917001384162475E-4</v>
      </c>
      <c r="E18" s="82">
        <v>0.9</v>
      </c>
      <c r="F18" s="82">
        <v>0.2</v>
      </c>
      <c r="G18" s="87">
        <f>SUMIFS(Tecnico!$D:$D,Tecnico!$A:$A,$H$4)</f>
        <v>936500</v>
      </c>
      <c r="H18" s="88">
        <f>SUMIFS(Tecnico!$C:$C,Tecnico!$A:$A,$H$4)</f>
        <v>2934172884</v>
      </c>
      <c r="I18" s="66" t="s">
        <v>401</v>
      </c>
    </row>
    <row r="19" spans="1:11" ht="110" customHeight="1" thickBot="1" x14ac:dyDescent="0.4">
      <c r="A19" s="64" t="e" vm="6">
        <v>#VALUE!</v>
      </c>
      <c r="B19" s="80" t="s">
        <v>12</v>
      </c>
      <c r="C19" s="63" t="str">
        <f t="shared" si="0"/>
        <v>⬤</v>
      </c>
      <c r="D19" s="82">
        <f>IF(AND(G19=0, H19=0), 100%, IF(G19=0, 0%, G19/H19))</f>
        <v>2.0161290322580645E-2</v>
      </c>
      <c r="E19" s="82">
        <v>0.9</v>
      </c>
      <c r="F19" s="82">
        <v>0.1</v>
      </c>
      <c r="G19" s="83">
        <f>SUMIFS(Tecnico!$J:$J,Tecnico!$A:$A,$H$4)</f>
        <v>5</v>
      </c>
      <c r="H19" s="84">
        <f>SUMIFS(Tecnico!$H:$H,Tecnico!$A:$A,$H$4)/3</f>
        <v>248</v>
      </c>
      <c r="I19" s="67" t="s">
        <v>402</v>
      </c>
    </row>
    <row r="20" spans="1:11" ht="110" customHeight="1" thickBot="1" x14ac:dyDescent="0.4">
      <c r="A20" s="64" t="e" vm="7">
        <v>#VALUE!</v>
      </c>
      <c r="B20" s="80" t="s">
        <v>88</v>
      </c>
      <c r="C20" s="63" t="str">
        <f t="shared" si="0"/>
        <v>⬤</v>
      </c>
      <c r="D20" s="82">
        <f>IF(H20=0,0,IFERROR(G20/H20,0))</f>
        <v>0</v>
      </c>
      <c r="E20" s="82">
        <v>0.9</v>
      </c>
      <c r="F20" s="82">
        <v>0.1</v>
      </c>
      <c r="G20" s="83" t="str">
        <f>IFERROR(VLOOKUP(H2,Leads!C:H,2,0),"0")</f>
        <v>0</v>
      </c>
      <c r="H20" s="84">
        <f>MAX(1,IFERROR(SUMIFS(Leads!$D:$D,Leads!$C:$C,$H$2,Leads!$I:$I,"Enero"),0))+MAX(1,IFERROR(SUMIFS(Leads!$D:$D,Leads!$C:$C,$H$2,Leads!$I:$I,"Febrero"),0))+MAX(1,IFERROR(SUMIFS(Leads!$D:$D,Leads!$C:$C,$H$2,Leads!$I:$I,"Marzo"),0))</f>
        <v>3</v>
      </c>
      <c r="I20" s="67" t="s">
        <v>403</v>
      </c>
    </row>
    <row r="21" spans="1:11" ht="110" customHeight="1" thickBot="1" x14ac:dyDescent="0.4">
      <c r="A21" s="64" t="e" vm="7">
        <v>#VALUE!</v>
      </c>
      <c r="B21" s="80" t="s">
        <v>89</v>
      </c>
      <c r="C21" s="63" t="str">
        <f t="shared" si="0"/>
        <v>⬤</v>
      </c>
      <c r="D21" s="86">
        <f>IF(H21=0,0,IFERROR(G21/H21,0))</f>
        <v>0</v>
      </c>
      <c r="E21" s="82">
        <v>0.9</v>
      </c>
      <c r="F21" s="82">
        <v>0.1</v>
      </c>
      <c r="G21" s="83">
        <f>IFERROR(VLOOKUP(H2,Leads!$K:$P,6,0),0)</f>
        <v>0</v>
      </c>
      <c r="H21" s="84">
        <f>MAX(1,IFERROR(SUMIFS(Leads!$D:$D,Leads!$C:$C,$H$2,Leads!$I:$I,"Enero"),0))+MAX(1,IFERROR(SUMIFS(Leads!$D:$D,Leads!$C:$C,$H$2,Leads!$I:$I,"Febrero"),0))+MAX(1,IFERROR(SUMIFS(Leads!$D:$D,Leads!$C:$C,$H$2,Leads!$I:$I,"Marzo"),0))</f>
        <v>3</v>
      </c>
      <c r="I21" s="68" t="s">
        <v>404</v>
      </c>
    </row>
    <row r="22" spans="1:11" ht="110" customHeight="1" thickBot="1" x14ac:dyDescent="0.4">
      <c r="A22" s="64" t="e" vm="8">
        <v>#VALUE!</v>
      </c>
      <c r="B22" s="80" t="s">
        <v>97</v>
      </c>
      <c r="C22" s="63" t="str">
        <f t="shared" si="0"/>
        <v>⬤</v>
      </c>
      <c r="D22" s="82">
        <f>MIN(G22/H22,150%)</f>
        <v>0.5714285714285714</v>
      </c>
      <c r="E22" s="82">
        <v>0.9</v>
      </c>
      <c r="F22" s="82">
        <v>0.1</v>
      </c>
      <c r="G22" s="83">
        <f>COUNTIFS('Act Campo'!$Q$2:$Q$974,$H$4,'Act Campo'!$AF$2:$AF$974,"Abril")
+COUNTIFS('Act Campo'!$Q$2:$Q$974,$H$4,'Act Campo'!$AF$2:$AF$974,"Mayo")
+COUNTIFS('Act Campo'!$Q$2:$Q$974,$H$4,'Act Campo'!$AF$2:$AF$974,"Junio")</f>
        <v>2</v>
      </c>
      <c r="H22" s="85">
        <f>VLOOKUP(H4,'Tabla dinam gestion comercial'!N:S,6,0)</f>
        <v>3.5</v>
      </c>
      <c r="I22" s="69" t="s">
        <v>409</v>
      </c>
    </row>
    <row r="23" spans="1:11" ht="110" customHeight="1" thickBot="1" x14ac:dyDescent="0.4">
      <c r="A23" s="64" t="e" vm="8">
        <v>#VALUE!</v>
      </c>
      <c r="B23" s="80" t="s">
        <v>93</v>
      </c>
      <c r="C23" s="63" t="str">
        <f t="shared" si="0"/>
        <v>⬤</v>
      </c>
      <c r="D23" s="81">
        <f>MIN(G23/H23,150%)</f>
        <v>0.37777777777777777</v>
      </c>
      <c r="E23" s="82">
        <v>0.9</v>
      </c>
      <c r="F23" s="82">
        <v>0.05</v>
      </c>
      <c r="G23" s="83">
        <f>SUMIF(Fincas!$B:$B, $H$4, Fincas!$F:$F)</f>
        <v>34</v>
      </c>
      <c r="H23" s="84">
        <f>ROUNDUP(_xlfn.MAXIFS('Tabla dinam gestion comercial'!$T:$T,'Tabla dinam gestion comercial'!$M:$M,$H$2)*3,0)</f>
        <v>90</v>
      </c>
      <c r="I23" s="67" t="s">
        <v>406</v>
      </c>
    </row>
    <row r="24" spans="1:11" ht="110" customHeight="1" thickBot="1" x14ac:dyDescent="0.4">
      <c r="A24" s="64" t="e" vm="8">
        <v>#VALUE!</v>
      </c>
      <c r="B24" s="80" t="s">
        <v>24</v>
      </c>
      <c r="C24" s="63" t="str">
        <f t="shared" si="0"/>
        <v>⬤</v>
      </c>
      <c r="D24" s="81">
        <f>IFERROR(MIN(G24/H24, 1.5), 0)</f>
        <v>1.5</v>
      </c>
      <c r="E24" s="82">
        <v>0.9</v>
      </c>
      <c r="F24" s="82">
        <v>0.05</v>
      </c>
      <c r="G24" s="83">
        <f>COUNTIFS(Fincas!$B:$B, $H$4, Fincas!$D:$D, "&lt;&gt;")</f>
        <v>7</v>
      </c>
      <c r="H24" s="84">
        <f>ROUNDUP(SUMIFS('Tabla dinam gestion comercial'!$U:$U,'Tabla dinam gestion comercial'!$M:$M,$H$2),0)</f>
        <v>3</v>
      </c>
      <c r="I24" s="67" t="s">
        <v>407</v>
      </c>
    </row>
    <row r="25" spans="1:11" ht="14.5" customHeight="1" x14ac:dyDescent="0.35">
      <c r="A25" s="282" t="e" vm="9">
        <v>#VALUE!</v>
      </c>
      <c r="B25" s="264" t="s">
        <v>62</v>
      </c>
      <c r="C25" s="264"/>
      <c r="D25" s="265"/>
      <c r="E25" s="273" t="s">
        <v>21</v>
      </c>
      <c r="F25" s="154"/>
      <c r="G25" s="154" t="s">
        <v>20</v>
      </c>
      <c r="H25" s="154" t="s">
        <v>19</v>
      </c>
      <c r="I25" s="288" t="s">
        <v>18</v>
      </c>
    </row>
    <row r="26" spans="1:11" ht="14.5" customHeight="1" x14ac:dyDescent="0.35">
      <c r="A26" s="283"/>
      <c r="B26" s="266"/>
      <c r="C26" s="266"/>
      <c r="D26" s="267"/>
      <c r="E26" s="274"/>
      <c r="F26" s="155"/>
      <c r="G26" s="155"/>
      <c r="H26" s="155"/>
      <c r="I26" s="289"/>
    </row>
    <row r="27" spans="1:11" ht="15" customHeight="1" thickBot="1" x14ac:dyDescent="0.4">
      <c r="A27" s="284"/>
      <c r="B27" s="268"/>
      <c r="C27" s="268"/>
      <c r="D27" s="269"/>
      <c r="E27" s="275"/>
      <c r="F27" s="156"/>
      <c r="G27" s="156"/>
      <c r="H27" s="156"/>
      <c r="I27" s="290"/>
    </row>
    <row r="28" spans="1:11" ht="19" customHeight="1" thickBot="1" x14ac:dyDescent="0.4">
      <c r="A28" s="255" t="s">
        <v>8</v>
      </c>
      <c r="B28" s="256"/>
      <c r="C28" s="257"/>
      <c r="D28" s="255" t="s">
        <v>7</v>
      </c>
      <c r="E28" s="256"/>
      <c r="F28" s="257"/>
      <c r="G28" s="255" t="s">
        <v>6</v>
      </c>
      <c r="H28" s="257"/>
      <c r="I28" s="139" t="s">
        <v>408</v>
      </c>
    </row>
    <row r="29" spans="1:11" ht="14.5" customHeight="1" x14ac:dyDescent="0.35">
      <c r="A29" s="246" t="str">
        <f>IF($L$8&gt;=90,"El reto del territorio es sostener el nivel alcanzado y anticipar posibles desviaciones. Se recomienda revisar los indicadores cercanos al límite y mantener control sobre los frentes de mayor impacto.",IF($L$8&gt;=75,"La principal oportunidad está en cerrar las brechas que impiden llegar al nivel excelente. Es clave ajustar la ejecución del territorio y priorizar los indicadores pendientes.",IF($L$8&gt;=59,"El territorio debe concentrarse en los indicadores con menor cumplimiento. Reforzar la planificación, priorizar acciones de impacto y hacer seguimiento a los compromisos permitirá mejorar el resultado general.", "La prioridad del territorio es recuperar los indicadores críticos. Se requiere definir acciones concretas, responsables y seguimiento frecuente para mejorar el cumplimiento.")))</f>
        <v>El reto del territorio es sostener el nivel alcanzado y anticipar posibles desviaciones. Se recomienda revisar los indicadores cercanos al límite y mantener control sobre los frentes de mayor impacto.</v>
      </c>
      <c r="B29" s="247"/>
      <c r="C29" s="248"/>
      <c r="D29" s="246" t="str">
        <f>IF($N$9&gt;=90,"Se consolidan fortalezas importantes en la gestión del territorio. El resultado refleja disciplina, continuidad en la ejecución y buen desempeño en los indicadores de mayor impacto durante el cierre del semestre.",IF($N$9&gt;=75,"El trimestre muestra una base de gestión positiva. Se evidencian avances en indicadores clave y una ejecución que permite proyectar un mejor desempeño para el siguiente período.",IF($N$9&gt;=59,"Aunque persisten oportunidades de mejora, se identifican avances que pueden servir como punto de apoyo para el cierre de brechas. La gestión debe concentrarse en replicar los indicadores con mejor comportamiento.","A pesar del resultado bajo, algunos indicadores muestran señales de avance. Estos puntos deben tomarse como base para orientar la recuperación y enfocar mejor la gestión del siguiente trimestre.")))</f>
        <v>A pesar del resultado bajo, algunos indicadores muestran señales de avance. Estos puntos deben tomarse como base para orientar la recuperación y enfocar mejor la gestión del siguiente trimestre.</v>
      </c>
      <c r="E29" s="247"/>
      <c r="F29" s="248"/>
      <c r="G29" s="246" t="str">
        <f>IF($N$9&gt;=90,"El segundo trimestre cierra con un resultado destacado y una gestión consistente frente a los objetivos. El foco para el siguiente período será conservar la disciplina, proteger los indicadores de mayor impacto y sostener el desempeño alcanzado.",IF($N$9&gt;=75,"El trimestre muestra un avance favorable y una gestión cercana al nivel esperado. Para el siguiente período, será clave cerrar las brechas pendientes, reforzar la ejecución comercial y mantener mayor regularidad en los indicadores.",IF($N$9&gt;=59,"El resultado evidencia avances parciales, pero aún requiere mayor consistencia en la gestión. El cierre del semestre debe servir para ajustar prioridades, fortalecer el seguimiento y enfocar los esfuerzos en los indicadores con menor cumplimiento.","El cierre del segundo trimestre muestra desviaciones relevantes frente a la meta. Se requiere revisar la gestión del período, identificar las causas principales y activar acciones concretas para recuperar el desempeño en el siguiente trimestre.")))</f>
        <v>El cierre del segundo trimestre muestra desviaciones relevantes frente a la meta. Se requiere revisar la gestión del período, identificar las causas principales y activar acciones concretas para recuperar el desempeño en el siguiente trimestre.</v>
      </c>
      <c r="H29" s="248"/>
      <c r="I29" s="270" t="str">
        <f>IF($N$9&gt;=90,"Mantener el nivel alcanzado durante el cierre del semestre. Revisar indicadores sensibles, asegurar continuidad en las buenas prácticas y preparar acciones preventivas para el tercer trimestre.",IF($N$9&gt;=75,"Cerrar las brechas que aún limitan el paso al nivel excelente. Definir acciones concretas, responsables y fechas de seguimiento para fortalecer el desempeño del tercer trimestre.",IF($N$9&gt;=59,"Reajustar el plan de trabajo para el siguiente trimestre. Priorizar los indicadores con menor avance, fortalecer la planificación semanal y hacer seguimiento a los compromisos definidos.","Activar un plan de recuperación para el tercer trimestre. Priorizar los indicadores críticos, definir responsables, solicitar acompañamiento y realizar seguimiento semanal.")))</f>
        <v>Activar un plan de recuperación para el tercer trimestre. Priorizar los indicadores críticos, definir responsables, solicitar acompañamiento y realizar seguimiento semanal.</v>
      </c>
    </row>
    <row r="30" spans="1:11" x14ac:dyDescent="0.35">
      <c r="A30" s="249"/>
      <c r="B30" s="250"/>
      <c r="C30" s="251"/>
      <c r="D30" s="249"/>
      <c r="E30" s="250"/>
      <c r="F30" s="251"/>
      <c r="G30" s="249"/>
      <c r="H30" s="251"/>
      <c r="I30" s="271"/>
    </row>
    <row r="31" spans="1:11" x14ac:dyDescent="0.35">
      <c r="A31" s="249"/>
      <c r="B31" s="250"/>
      <c r="C31" s="251"/>
      <c r="D31" s="249"/>
      <c r="E31" s="250"/>
      <c r="F31" s="251"/>
      <c r="G31" s="249"/>
      <c r="H31" s="251"/>
      <c r="I31" s="271"/>
    </row>
    <row r="32" spans="1:11" ht="12" customHeight="1" x14ac:dyDescent="0.35">
      <c r="A32" s="249"/>
      <c r="B32" s="250"/>
      <c r="C32" s="251"/>
      <c r="D32" s="249"/>
      <c r="E32" s="250"/>
      <c r="F32" s="251"/>
      <c r="G32" s="249"/>
      <c r="H32" s="251"/>
      <c r="I32" s="271"/>
    </row>
    <row r="33" spans="1:9" ht="68" customHeight="1" thickBot="1" x14ac:dyDescent="0.4">
      <c r="A33" s="252"/>
      <c r="B33" s="253"/>
      <c r="C33" s="254"/>
      <c r="D33" s="252"/>
      <c r="E33" s="253"/>
      <c r="F33" s="254"/>
      <c r="G33" s="252"/>
      <c r="H33" s="254"/>
      <c r="I33" s="272"/>
    </row>
  </sheetData>
  <mergeCells count="30">
    <mergeCell ref="D1:I1"/>
    <mergeCell ref="A1:C5"/>
    <mergeCell ref="A25:A27"/>
    <mergeCell ref="H25:H27"/>
    <mergeCell ref="A6:D6"/>
    <mergeCell ref="A17:C17"/>
    <mergeCell ref="D2:F2"/>
    <mergeCell ref="D3:F3"/>
    <mergeCell ref="D4:F4"/>
    <mergeCell ref="D5:F5"/>
    <mergeCell ref="H2:I2"/>
    <mergeCell ref="H3:I3"/>
    <mergeCell ref="H4:I4"/>
    <mergeCell ref="H5:I5"/>
    <mergeCell ref="I25:I27"/>
    <mergeCell ref="D29:F33"/>
    <mergeCell ref="A28:C28"/>
    <mergeCell ref="A29:C33"/>
    <mergeCell ref="A12:I12"/>
    <mergeCell ref="E6:I11"/>
    <mergeCell ref="A13:C13"/>
    <mergeCell ref="G29:H33"/>
    <mergeCell ref="B25:D27"/>
    <mergeCell ref="G28:H28"/>
    <mergeCell ref="D28:F28"/>
    <mergeCell ref="I29:I33"/>
    <mergeCell ref="G25:G27"/>
    <mergeCell ref="E25:F27"/>
    <mergeCell ref="A7:D10"/>
    <mergeCell ref="A11:D11"/>
  </mergeCells>
  <conditionalFormatting sqref="A11">
    <cfRule type="expression" dxfId="23" priority="7">
      <formula>A7&lt;59%</formula>
    </cfRule>
    <cfRule type="expression" dxfId="22" priority="8">
      <formula>AND(A7&gt;=59%,A7&lt;75%)</formula>
    </cfRule>
    <cfRule type="expression" dxfId="21" priority="9">
      <formula>AND(A7+$E$190&gt;=75%,A7&lt;90%)</formula>
    </cfRule>
    <cfRule type="expression" dxfId="20" priority="10">
      <formula>A7&gt;=90%</formula>
    </cfRule>
  </conditionalFormatting>
  <conditionalFormatting sqref="A7:D10">
    <cfRule type="expression" dxfId="19" priority="11">
      <formula>A7&gt;=90%</formula>
    </cfRule>
    <cfRule type="expression" dxfId="18" priority="12">
      <formula>AND(A7&gt;=75%,A7&lt;90%)</formula>
    </cfRule>
    <cfRule type="expression" dxfId="17" priority="13">
      <formula>AND(A7&gt;=59%,A7&lt;75%)</formula>
    </cfRule>
    <cfRule type="expression" dxfId="16" priority="14">
      <formula>A7&lt;59%</formula>
    </cfRule>
  </conditionalFormatting>
  <conditionalFormatting sqref="C14:C16 C18:C24">
    <cfRule type="expression" dxfId="15" priority="1">
      <formula>$D14&lt;60%</formula>
    </cfRule>
    <cfRule type="expression" dxfId="14" priority="2">
      <formula>AND($D14&gt;=60%,$D14&lt;75%)</formula>
    </cfRule>
    <cfRule type="expression" dxfId="13" priority="3">
      <formula>AND($D14&gt;=75%,$D14&lt;90%)</formula>
    </cfRule>
    <cfRule type="expression" dxfId="12" priority="4">
      <formula>$D14&gt;=90%</formula>
    </cfRule>
  </conditionalFormatting>
  <pageMargins left="0.51181102362204722" right="0.11811023622047245" top="0.15748031496062992" bottom="0.15748031496062992" header="0.11811023622047245" footer="0.11811023622047245"/>
  <pageSetup scale="83"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8FFF1932-680D-4C29-AE59-0C59E27C2BF8}">
          <x14:formula1>
            <xm:f>'Tabla dinam gestion comercial'!$M$2:$M$26</xm:f>
          </x14:formula1>
          <xm:sqref>H2:I2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0A782-1F0D-4768-BC70-2348D22F1388}">
  <dimension ref="A1:K34"/>
  <sheetViews>
    <sheetView workbookViewId="0">
      <selection activeCell="B2" sqref="B2"/>
    </sheetView>
  </sheetViews>
  <sheetFormatPr baseColWidth="10" defaultRowHeight="14.5" x14ac:dyDescent="0.35"/>
  <cols>
    <col min="1" max="1" width="19.08984375" bestFit="1" customWidth="1"/>
    <col min="2" max="2" width="25.90625" bestFit="1" customWidth="1"/>
    <col min="3" max="3" width="37.1796875" bestFit="1" customWidth="1"/>
    <col min="4" max="4" width="10" bestFit="1" customWidth="1"/>
    <col min="5" max="5" width="11.54296875" bestFit="1" customWidth="1"/>
    <col min="9" max="9" width="34.7265625" bestFit="1" customWidth="1"/>
    <col min="10" max="10" width="21.36328125" bestFit="1" customWidth="1"/>
    <col min="11" max="11" width="15.08984375" bestFit="1" customWidth="1"/>
  </cols>
  <sheetData>
    <row r="1" spans="1:11" x14ac:dyDescent="0.35">
      <c r="A1" s="22" t="s">
        <v>82</v>
      </c>
      <c r="B1" s="22" t="s">
        <v>94</v>
      </c>
      <c r="C1" s="22" t="s">
        <v>213</v>
      </c>
      <c r="D1" s="22" t="s">
        <v>222</v>
      </c>
      <c r="E1" s="22" t="s">
        <v>95</v>
      </c>
      <c r="F1" s="22" t="s">
        <v>96</v>
      </c>
      <c r="G1" s="22" t="s">
        <v>186</v>
      </c>
      <c r="J1" s="27" t="s">
        <v>230</v>
      </c>
    </row>
    <row r="2" spans="1:11" x14ac:dyDescent="0.35">
      <c r="A2" s="21" t="s">
        <v>475</v>
      </c>
      <c r="B2" s="21" t="s">
        <v>464</v>
      </c>
      <c r="C2" s="21" t="s">
        <v>459</v>
      </c>
      <c r="D2" s="15" t="s">
        <v>478</v>
      </c>
      <c r="E2" s="26">
        <v>1</v>
      </c>
      <c r="F2" s="26">
        <v>1</v>
      </c>
      <c r="G2" t="s">
        <v>411</v>
      </c>
      <c r="I2" s="27" t="s">
        <v>3</v>
      </c>
      <c r="J2" t="s">
        <v>229</v>
      </c>
      <c r="K2" t="s">
        <v>231</v>
      </c>
    </row>
    <row r="3" spans="1:11" x14ac:dyDescent="0.35">
      <c r="A3" s="21" t="s">
        <v>475</v>
      </c>
      <c r="B3" s="21" t="s">
        <v>464</v>
      </c>
      <c r="C3" s="21" t="s">
        <v>459</v>
      </c>
      <c r="D3" s="15" t="s">
        <v>218</v>
      </c>
      <c r="E3" s="26">
        <v>3</v>
      </c>
      <c r="F3" s="26">
        <v>6</v>
      </c>
      <c r="G3" t="s">
        <v>411</v>
      </c>
      <c r="I3" t="s">
        <v>228</v>
      </c>
    </row>
    <row r="4" spans="1:11" x14ac:dyDescent="0.35">
      <c r="A4" s="21" t="s">
        <v>475</v>
      </c>
      <c r="B4" s="21" t="s">
        <v>464</v>
      </c>
      <c r="C4" s="21" t="s">
        <v>459</v>
      </c>
      <c r="D4" s="15" t="s">
        <v>506</v>
      </c>
      <c r="E4" s="26">
        <v>1</v>
      </c>
      <c r="F4" s="26">
        <v>1</v>
      </c>
      <c r="G4" t="s">
        <v>411</v>
      </c>
      <c r="I4" t="s">
        <v>467</v>
      </c>
      <c r="J4">
        <v>840</v>
      </c>
      <c r="K4">
        <v>84</v>
      </c>
    </row>
    <row r="5" spans="1:11" x14ac:dyDescent="0.35">
      <c r="A5" s="21" t="s">
        <v>475</v>
      </c>
      <c r="B5" s="21" t="s">
        <v>464</v>
      </c>
      <c r="C5" s="21" t="s">
        <v>459</v>
      </c>
      <c r="D5" s="15" t="s">
        <v>479</v>
      </c>
      <c r="E5" s="26">
        <v>1</v>
      </c>
      <c r="F5" s="26">
        <v>3</v>
      </c>
      <c r="G5" t="s">
        <v>411</v>
      </c>
      <c r="I5" t="s">
        <v>280</v>
      </c>
      <c r="J5">
        <v>30</v>
      </c>
      <c r="K5">
        <v>3</v>
      </c>
    </row>
    <row r="6" spans="1:11" x14ac:dyDescent="0.35">
      <c r="A6" s="21" t="s">
        <v>475</v>
      </c>
      <c r="B6" s="21" t="s">
        <v>464</v>
      </c>
      <c r="C6" s="21" t="s">
        <v>459</v>
      </c>
      <c r="D6" s="15" t="s">
        <v>219</v>
      </c>
      <c r="E6" s="26">
        <v>3</v>
      </c>
      <c r="F6" s="26">
        <v>10</v>
      </c>
      <c r="G6" t="s">
        <v>411</v>
      </c>
      <c r="I6" t="s">
        <v>462</v>
      </c>
      <c r="J6">
        <v>60</v>
      </c>
      <c r="K6">
        <v>6</v>
      </c>
    </row>
    <row r="7" spans="1:11" x14ac:dyDescent="0.35">
      <c r="A7" s="21" t="s">
        <v>475</v>
      </c>
      <c r="B7" s="21" t="s">
        <v>464</v>
      </c>
      <c r="C7" s="21" t="s">
        <v>459</v>
      </c>
      <c r="D7" s="15" t="s">
        <v>507</v>
      </c>
      <c r="E7" s="26">
        <v>1</v>
      </c>
      <c r="F7" s="26">
        <v>4</v>
      </c>
      <c r="G7" t="s">
        <v>411</v>
      </c>
      <c r="I7" t="s">
        <v>465</v>
      </c>
      <c r="J7">
        <v>120</v>
      </c>
      <c r="K7">
        <v>12</v>
      </c>
    </row>
    <row r="8" spans="1:11" x14ac:dyDescent="0.35">
      <c r="A8" s="21" t="s">
        <v>475</v>
      </c>
      <c r="B8" s="21" t="s">
        <v>464</v>
      </c>
      <c r="C8" s="21" t="s">
        <v>459</v>
      </c>
      <c r="D8" s="15" t="s">
        <v>481</v>
      </c>
      <c r="E8" s="26">
        <v>1</v>
      </c>
      <c r="F8" s="26">
        <v>1</v>
      </c>
      <c r="G8" t="s">
        <v>411</v>
      </c>
      <c r="I8" t="s">
        <v>463</v>
      </c>
      <c r="J8">
        <v>30</v>
      </c>
      <c r="K8">
        <v>3</v>
      </c>
    </row>
    <row r="9" spans="1:11" x14ac:dyDescent="0.35">
      <c r="A9" s="21" t="s">
        <v>475</v>
      </c>
      <c r="B9" s="21" t="s">
        <v>150</v>
      </c>
      <c r="C9" s="21" t="s">
        <v>458</v>
      </c>
      <c r="D9" s="15" t="s">
        <v>508</v>
      </c>
      <c r="E9" s="26">
        <v>1</v>
      </c>
      <c r="F9" s="26">
        <v>2</v>
      </c>
      <c r="G9" t="s">
        <v>411</v>
      </c>
      <c r="I9" t="s">
        <v>148</v>
      </c>
      <c r="J9">
        <v>120</v>
      </c>
      <c r="K9">
        <v>12</v>
      </c>
    </row>
    <row r="10" spans="1:11" x14ac:dyDescent="0.35">
      <c r="A10" s="21" t="s">
        <v>475</v>
      </c>
      <c r="B10" s="21" t="s">
        <v>150</v>
      </c>
      <c r="C10" s="21" t="s">
        <v>458</v>
      </c>
      <c r="D10" s="15" t="s">
        <v>509</v>
      </c>
      <c r="E10" s="26">
        <v>1</v>
      </c>
      <c r="F10" s="26">
        <v>1</v>
      </c>
      <c r="G10" t="s">
        <v>411</v>
      </c>
      <c r="I10" t="s">
        <v>150</v>
      </c>
      <c r="J10">
        <v>120</v>
      </c>
      <c r="K10">
        <v>12</v>
      </c>
    </row>
    <row r="11" spans="1:11" x14ac:dyDescent="0.35">
      <c r="A11" s="21" t="s">
        <v>475</v>
      </c>
      <c r="B11" s="21" t="s">
        <v>150</v>
      </c>
      <c r="C11" s="21" t="s">
        <v>458</v>
      </c>
      <c r="D11" s="15" t="s">
        <v>480</v>
      </c>
      <c r="E11" s="26">
        <v>1</v>
      </c>
      <c r="F11" s="26">
        <v>1</v>
      </c>
      <c r="G11" t="s">
        <v>411</v>
      </c>
      <c r="I11" t="s">
        <v>466</v>
      </c>
      <c r="J11">
        <v>90</v>
      </c>
      <c r="K11">
        <v>9</v>
      </c>
    </row>
    <row r="12" spans="1:11" x14ac:dyDescent="0.35">
      <c r="A12" s="21" t="s">
        <v>475</v>
      </c>
      <c r="B12" s="21" t="s">
        <v>150</v>
      </c>
      <c r="C12" s="21" t="s">
        <v>458</v>
      </c>
      <c r="D12" s="15" t="s">
        <v>510</v>
      </c>
      <c r="E12" s="26">
        <v>2</v>
      </c>
      <c r="F12" s="26">
        <v>16</v>
      </c>
      <c r="G12" t="s">
        <v>411</v>
      </c>
      <c r="I12" t="s">
        <v>464</v>
      </c>
      <c r="J12">
        <v>120</v>
      </c>
      <c r="K12">
        <v>12</v>
      </c>
    </row>
    <row r="13" spans="1:11" x14ac:dyDescent="0.35">
      <c r="A13" s="21" t="s">
        <v>475</v>
      </c>
      <c r="B13" s="21" t="s">
        <v>150</v>
      </c>
      <c r="C13" s="21" t="s">
        <v>458</v>
      </c>
      <c r="D13" s="15" t="s">
        <v>221</v>
      </c>
      <c r="E13" s="26">
        <v>1</v>
      </c>
      <c r="F13" s="26">
        <v>5</v>
      </c>
      <c r="G13" t="s">
        <v>411</v>
      </c>
      <c r="I13" t="s">
        <v>133</v>
      </c>
      <c r="J13">
        <v>120</v>
      </c>
      <c r="K13">
        <v>12</v>
      </c>
    </row>
    <row r="14" spans="1:11" x14ac:dyDescent="0.35">
      <c r="A14" s="21" t="s">
        <v>475</v>
      </c>
      <c r="B14" s="21" t="s">
        <v>148</v>
      </c>
      <c r="C14" s="21" t="s">
        <v>254</v>
      </c>
      <c r="D14" s="15" t="s">
        <v>220</v>
      </c>
      <c r="E14" s="26">
        <v>4</v>
      </c>
      <c r="F14" s="26">
        <v>174</v>
      </c>
      <c r="G14" t="s">
        <v>504</v>
      </c>
      <c r="I14" t="s">
        <v>264</v>
      </c>
      <c r="J14">
        <v>30</v>
      </c>
      <c r="K14">
        <v>3</v>
      </c>
    </row>
    <row r="15" spans="1:11" x14ac:dyDescent="0.35">
      <c r="A15" s="21" t="s">
        <v>475</v>
      </c>
      <c r="B15" s="21" t="s">
        <v>464</v>
      </c>
      <c r="C15" s="21" t="s">
        <v>459</v>
      </c>
      <c r="D15" s="15" t="s">
        <v>476</v>
      </c>
      <c r="E15" s="26">
        <v>1</v>
      </c>
      <c r="F15" s="26">
        <v>1</v>
      </c>
      <c r="G15" t="s">
        <v>504</v>
      </c>
      <c r="I15" t="s">
        <v>48</v>
      </c>
      <c r="J15">
        <v>1680</v>
      </c>
      <c r="K15">
        <v>168</v>
      </c>
    </row>
    <row r="16" spans="1:11" x14ac:dyDescent="0.35">
      <c r="A16" s="21" t="s">
        <v>475</v>
      </c>
      <c r="B16" s="21" t="s">
        <v>464</v>
      </c>
      <c r="C16" s="21" t="s">
        <v>459</v>
      </c>
      <c r="D16" s="15" t="s">
        <v>477</v>
      </c>
      <c r="E16" s="26">
        <v>1</v>
      </c>
      <c r="F16" s="26">
        <v>3</v>
      </c>
      <c r="G16" t="s">
        <v>504</v>
      </c>
    </row>
    <row r="17" spans="1:10" x14ac:dyDescent="0.35">
      <c r="A17" s="21" t="s">
        <v>475</v>
      </c>
      <c r="B17" s="21" t="s">
        <v>464</v>
      </c>
      <c r="C17" s="21" t="s">
        <v>459</v>
      </c>
      <c r="D17" s="15" t="s">
        <v>218</v>
      </c>
      <c r="E17" s="26">
        <v>2</v>
      </c>
      <c r="F17" s="26">
        <v>5</v>
      </c>
      <c r="G17" t="s">
        <v>504</v>
      </c>
      <c r="I17" s="133" t="s">
        <v>467</v>
      </c>
      <c r="J17" s="132" t="s">
        <v>461</v>
      </c>
    </row>
    <row r="18" spans="1:10" x14ac:dyDescent="0.35">
      <c r="A18" s="21" t="s">
        <v>475</v>
      </c>
      <c r="B18" s="21" t="s">
        <v>464</v>
      </c>
      <c r="C18" s="21" t="s">
        <v>459</v>
      </c>
      <c r="D18" s="15" t="s">
        <v>479</v>
      </c>
      <c r="E18" s="26">
        <v>1</v>
      </c>
      <c r="F18" s="26">
        <v>3</v>
      </c>
      <c r="G18" t="s">
        <v>504</v>
      </c>
      <c r="I18" s="135" t="s">
        <v>280</v>
      </c>
      <c r="J18" s="134" t="s">
        <v>279</v>
      </c>
    </row>
    <row r="19" spans="1:10" x14ac:dyDescent="0.35">
      <c r="A19" s="21" t="s">
        <v>475</v>
      </c>
      <c r="B19" s="21" t="s">
        <v>464</v>
      </c>
      <c r="C19" s="21" t="s">
        <v>459</v>
      </c>
      <c r="D19" s="15" t="s">
        <v>219</v>
      </c>
      <c r="E19" s="26">
        <v>5</v>
      </c>
      <c r="F19" s="26">
        <v>13</v>
      </c>
      <c r="G19" t="s">
        <v>504</v>
      </c>
      <c r="I19" s="142" t="s">
        <v>462</v>
      </c>
      <c r="J19" s="141" t="s">
        <v>455</v>
      </c>
    </row>
    <row r="20" spans="1:10" x14ac:dyDescent="0.35">
      <c r="A20" s="21" t="s">
        <v>475</v>
      </c>
      <c r="B20" s="21" t="s">
        <v>150</v>
      </c>
      <c r="C20" s="21" t="s">
        <v>458</v>
      </c>
      <c r="D20" s="15" t="s">
        <v>511</v>
      </c>
      <c r="E20" s="26">
        <v>1</v>
      </c>
      <c r="F20" s="26">
        <v>3</v>
      </c>
      <c r="G20" t="s">
        <v>504</v>
      </c>
      <c r="I20" s="143" t="s">
        <v>462</v>
      </c>
      <c r="J20" s="142" t="s">
        <v>468</v>
      </c>
    </row>
    <row r="21" spans="1:10" x14ac:dyDescent="0.35">
      <c r="A21" s="21" t="s">
        <v>475</v>
      </c>
      <c r="B21" s="21" t="s">
        <v>148</v>
      </c>
      <c r="C21" s="21" t="s">
        <v>254</v>
      </c>
      <c r="D21" s="15" t="s">
        <v>223</v>
      </c>
      <c r="E21" s="26">
        <v>1</v>
      </c>
      <c r="F21" s="26">
        <v>30</v>
      </c>
      <c r="G21" t="s">
        <v>505</v>
      </c>
      <c r="I21" s="135" t="s">
        <v>463</v>
      </c>
      <c r="J21" s="134" t="s">
        <v>457</v>
      </c>
    </row>
    <row r="22" spans="1:10" x14ac:dyDescent="0.35">
      <c r="A22" s="21" t="s">
        <v>475</v>
      </c>
      <c r="B22" s="21" t="s">
        <v>464</v>
      </c>
      <c r="C22" s="21" t="s">
        <v>459</v>
      </c>
      <c r="D22" s="15" t="s">
        <v>217</v>
      </c>
      <c r="E22" s="26">
        <v>2</v>
      </c>
      <c r="F22" s="26">
        <v>42</v>
      </c>
      <c r="G22" t="s">
        <v>505</v>
      </c>
      <c r="I22" s="128" t="s">
        <v>148</v>
      </c>
      <c r="J22" s="140" t="s">
        <v>267</v>
      </c>
    </row>
    <row r="23" spans="1:10" x14ac:dyDescent="0.35">
      <c r="A23" s="21" t="s">
        <v>475</v>
      </c>
      <c r="B23" s="21" t="s">
        <v>464</v>
      </c>
      <c r="C23" s="21" t="s">
        <v>459</v>
      </c>
      <c r="D23" s="15" t="s">
        <v>477</v>
      </c>
      <c r="E23" s="26">
        <v>1</v>
      </c>
      <c r="F23" s="26">
        <v>5</v>
      </c>
      <c r="G23" t="s">
        <v>505</v>
      </c>
      <c r="I23" s="136" t="s">
        <v>148</v>
      </c>
      <c r="J23" s="128" t="s">
        <v>254</v>
      </c>
    </row>
    <row r="24" spans="1:10" x14ac:dyDescent="0.35">
      <c r="A24" s="21" t="s">
        <v>475</v>
      </c>
      <c r="B24" s="21" t="s">
        <v>464</v>
      </c>
      <c r="C24" s="21" t="s">
        <v>459</v>
      </c>
      <c r="D24" s="15" t="s">
        <v>218</v>
      </c>
      <c r="E24" s="26">
        <v>3</v>
      </c>
      <c r="F24" s="26">
        <v>6</v>
      </c>
      <c r="G24" t="s">
        <v>505</v>
      </c>
      <c r="I24" s="128" t="s">
        <v>464</v>
      </c>
      <c r="J24" s="140" t="s">
        <v>459</v>
      </c>
    </row>
    <row r="25" spans="1:10" x14ac:dyDescent="0.35">
      <c r="A25" s="21" t="s">
        <v>475</v>
      </c>
      <c r="B25" s="21" t="s">
        <v>464</v>
      </c>
      <c r="C25" s="21" t="s">
        <v>459</v>
      </c>
      <c r="D25" s="15" t="s">
        <v>219</v>
      </c>
      <c r="E25" s="26">
        <v>6</v>
      </c>
      <c r="F25" s="26">
        <v>13</v>
      </c>
      <c r="G25" t="s">
        <v>505</v>
      </c>
      <c r="I25" s="136" t="s">
        <v>464</v>
      </c>
      <c r="J25" s="128" t="s">
        <v>470</v>
      </c>
    </row>
    <row r="26" spans="1:10" x14ac:dyDescent="0.35">
      <c r="A26" s="21" t="s">
        <v>475</v>
      </c>
      <c r="B26" s="21" t="s">
        <v>464</v>
      </c>
      <c r="C26" s="21" t="s">
        <v>459</v>
      </c>
      <c r="D26" s="15" t="s">
        <v>481</v>
      </c>
      <c r="E26" s="26">
        <v>1</v>
      </c>
      <c r="F26" s="26">
        <v>8</v>
      </c>
      <c r="G26" t="s">
        <v>505</v>
      </c>
      <c r="I26" s="128" t="s">
        <v>150</v>
      </c>
      <c r="J26" s="140" t="s">
        <v>458</v>
      </c>
    </row>
    <row r="27" spans="1:10" x14ac:dyDescent="0.35">
      <c r="A27" s="21" t="s">
        <v>475</v>
      </c>
      <c r="B27" s="21" t="s">
        <v>150</v>
      </c>
      <c r="C27" s="21" t="s">
        <v>458</v>
      </c>
      <c r="D27" s="15" t="s">
        <v>511</v>
      </c>
      <c r="E27" s="26">
        <v>2</v>
      </c>
      <c r="F27" s="26">
        <v>6</v>
      </c>
      <c r="G27" t="s">
        <v>505</v>
      </c>
      <c r="I27" s="136" t="s">
        <v>150</v>
      </c>
      <c r="J27" s="128" t="s">
        <v>277</v>
      </c>
    </row>
    <row r="28" spans="1:10" x14ac:dyDescent="0.35">
      <c r="A28" s="21" t="s">
        <v>475</v>
      </c>
      <c r="B28" s="21" t="s">
        <v>133</v>
      </c>
      <c r="C28" s="128" t="s">
        <v>237</v>
      </c>
      <c r="D28" s="15" t="s">
        <v>217</v>
      </c>
      <c r="E28" s="26">
        <v>1</v>
      </c>
      <c r="F28" s="26">
        <v>700</v>
      </c>
      <c r="G28" t="s">
        <v>505</v>
      </c>
      <c r="I28" s="128" t="s">
        <v>133</v>
      </c>
      <c r="J28" s="140" t="s">
        <v>460</v>
      </c>
    </row>
    <row r="29" spans="1:10" x14ac:dyDescent="0.35">
      <c r="A29" s="21"/>
      <c r="B29" s="21"/>
      <c r="C29" s="21"/>
      <c r="D29" s="15"/>
      <c r="E29" s="26"/>
      <c r="F29" s="26"/>
      <c r="I29" s="136" t="s">
        <v>133</v>
      </c>
      <c r="J29" s="128" t="s">
        <v>237</v>
      </c>
    </row>
    <row r="30" spans="1:10" x14ac:dyDescent="0.35">
      <c r="A30" s="21"/>
      <c r="B30" s="21"/>
      <c r="C30" s="21"/>
      <c r="D30" s="15"/>
      <c r="E30" s="26"/>
      <c r="F30" s="26"/>
      <c r="I30" s="145" t="s">
        <v>465</v>
      </c>
      <c r="J30" s="144" t="s">
        <v>456</v>
      </c>
    </row>
    <row r="31" spans="1:10" x14ac:dyDescent="0.35">
      <c r="A31" s="21"/>
      <c r="B31" s="21"/>
      <c r="C31" s="21"/>
      <c r="D31" s="15"/>
      <c r="E31" s="26"/>
      <c r="F31" s="26"/>
      <c r="I31" s="146" t="s">
        <v>465</v>
      </c>
      <c r="J31" s="145" t="s">
        <v>471</v>
      </c>
    </row>
    <row r="32" spans="1:10" x14ac:dyDescent="0.35">
      <c r="A32" s="21"/>
      <c r="B32" s="21"/>
      <c r="C32" s="21"/>
      <c r="D32" s="15"/>
      <c r="E32" s="26"/>
      <c r="F32" s="26"/>
      <c r="I32" s="128" t="s">
        <v>466</v>
      </c>
      <c r="J32" s="140" t="s">
        <v>263</v>
      </c>
    </row>
    <row r="33" spans="1:10" x14ac:dyDescent="0.35">
      <c r="A33" s="21"/>
      <c r="B33" s="21"/>
      <c r="C33" s="21"/>
      <c r="D33" s="15"/>
      <c r="E33" s="26"/>
      <c r="F33" s="26"/>
      <c r="I33" s="136" t="s">
        <v>466</v>
      </c>
      <c r="J33" s="128" t="s">
        <v>469</v>
      </c>
    </row>
    <row r="34" spans="1:10" x14ac:dyDescent="0.35">
      <c r="A34" s="21"/>
      <c r="B34" s="21"/>
      <c r="C34" s="21"/>
      <c r="D34" s="15"/>
      <c r="E34" s="26"/>
      <c r="F34" s="26"/>
    </row>
  </sheetData>
  <dataValidations count="2">
    <dataValidation type="list" allowBlank="1" showInputMessage="1" showErrorMessage="1" sqref="J23" xr:uid="{F53CFE73-7686-422C-9A61-6F34DF2BDF9E}">
      <formula1>$M$2:$M$94</formula1>
    </dataValidation>
    <dataValidation type="list" allowBlank="1" showInputMessage="1" showErrorMessage="1" sqref="J19" xr:uid="{6B01CFBC-B59D-4FA6-AF78-FD0030871B1A}">
      <formula1>$M$2:$M$17</formula1>
    </dataValidation>
  </dataValidations>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0E721-3193-4C07-8E65-43A7B8CB2938}">
  <dimension ref="A1:AL234"/>
  <sheetViews>
    <sheetView topLeftCell="L1" workbookViewId="0">
      <selection activeCell="Q1" sqref="Q1"/>
    </sheetView>
  </sheetViews>
  <sheetFormatPr baseColWidth="10" defaultRowHeight="14.5" x14ac:dyDescent="0.35"/>
  <cols>
    <col min="11" max="15" width="16.54296875" bestFit="1" customWidth="1"/>
    <col min="34" max="34" width="40.1796875" bestFit="1" customWidth="1"/>
    <col min="35" max="35" width="11.36328125" customWidth="1"/>
    <col min="36" max="36" width="37.1796875" bestFit="1" customWidth="1"/>
    <col min="37" max="37" width="14" bestFit="1" customWidth="1"/>
    <col min="38" max="38" width="4.90625" bestFit="1" customWidth="1"/>
  </cols>
  <sheetData>
    <row r="1" spans="1:38" ht="34.5" x14ac:dyDescent="0.35">
      <c r="A1" s="44" t="s">
        <v>98</v>
      </c>
      <c r="B1" s="44" t="s">
        <v>99</v>
      </c>
      <c r="C1" s="44" t="s">
        <v>100</v>
      </c>
      <c r="D1" s="44" t="s">
        <v>101</v>
      </c>
      <c r="E1" s="44" t="s">
        <v>26</v>
      </c>
      <c r="F1" s="44" t="s">
        <v>102</v>
      </c>
      <c r="G1" s="44" t="s">
        <v>103</v>
      </c>
      <c r="H1" s="44" t="s">
        <v>104</v>
      </c>
      <c r="I1" s="44" t="s">
        <v>105</v>
      </c>
      <c r="J1" s="44" t="s">
        <v>106</v>
      </c>
      <c r="K1" s="44" t="s">
        <v>107</v>
      </c>
      <c r="L1" s="44" t="s">
        <v>108</v>
      </c>
      <c r="M1" s="44" t="s">
        <v>109</v>
      </c>
      <c r="N1" s="44" t="s">
        <v>110</v>
      </c>
      <c r="O1" s="44" t="s">
        <v>111</v>
      </c>
      <c r="P1" s="44" t="s">
        <v>112</v>
      </c>
      <c r="Q1" s="44" t="s">
        <v>113</v>
      </c>
      <c r="R1" s="44" t="s">
        <v>114</v>
      </c>
      <c r="S1" s="44" t="s">
        <v>115</v>
      </c>
      <c r="T1" s="44" t="s">
        <v>116</v>
      </c>
      <c r="U1" s="44" t="s">
        <v>117</v>
      </c>
      <c r="V1" s="44" t="s">
        <v>118</v>
      </c>
      <c r="W1" s="44" t="s">
        <v>22</v>
      </c>
      <c r="X1" s="44" t="s">
        <v>119</v>
      </c>
      <c r="Y1" s="44" t="s">
        <v>120</v>
      </c>
      <c r="Z1" s="44" t="s">
        <v>121</v>
      </c>
      <c r="AA1" s="44" t="s">
        <v>122</v>
      </c>
      <c r="AB1" s="44" t="s">
        <v>123</v>
      </c>
      <c r="AC1" s="44" t="s">
        <v>124</v>
      </c>
      <c r="AD1" s="44" t="s">
        <v>125</v>
      </c>
      <c r="AE1" s="44" t="s">
        <v>126</v>
      </c>
      <c r="AF1" s="1" t="s">
        <v>384</v>
      </c>
      <c r="AH1" s="27" t="s">
        <v>215</v>
      </c>
    </row>
    <row r="2" spans="1:38" ht="103.5" hidden="1" x14ac:dyDescent="0.35">
      <c r="A2" s="28" t="s">
        <v>512</v>
      </c>
      <c r="B2" s="28" t="s">
        <v>127</v>
      </c>
      <c r="C2" s="28" t="s">
        <v>513</v>
      </c>
      <c r="D2" s="28" t="s">
        <v>514</v>
      </c>
      <c r="E2" s="28" t="s">
        <v>515</v>
      </c>
      <c r="F2" s="28" t="s">
        <v>192</v>
      </c>
      <c r="G2" s="28" t="s">
        <v>516</v>
      </c>
      <c r="H2" s="28"/>
      <c r="I2" s="28" t="s">
        <v>517</v>
      </c>
      <c r="J2" s="28" t="s">
        <v>259</v>
      </c>
      <c r="K2" s="29">
        <v>46141.759351851855</v>
      </c>
      <c r="L2" s="29">
        <v>46144.333333333336</v>
      </c>
      <c r="M2" s="29">
        <v>46144.625</v>
      </c>
      <c r="N2" s="29">
        <v>46144.374664351853</v>
      </c>
      <c r="O2" s="29">
        <v>46144.584363425929</v>
      </c>
      <c r="P2" s="28"/>
      <c r="Q2" s="28" t="s">
        <v>518</v>
      </c>
      <c r="R2" s="28" t="s">
        <v>239</v>
      </c>
      <c r="S2" s="28" t="s">
        <v>516</v>
      </c>
      <c r="T2" s="28" t="s">
        <v>519</v>
      </c>
      <c r="U2" s="28"/>
      <c r="V2" s="28"/>
      <c r="W2" s="28"/>
      <c r="X2" s="28"/>
      <c r="Y2" s="30">
        <v>0</v>
      </c>
      <c r="Z2" s="28"/>
      <c r="AA2" s="28"/>
      <c r="AB2" s="28" t="s">
        <v>520</v>
      </c>
      <c r="AC2" s="28" t="s">
        <v>259</v>
      </c>
      <c r="AD2" s="28" t="s">
        <v>259</v>
      </c>
      <c r="AE2" s="28"/>
      <c r="AF2" s="28" t="str">
        <f t="shared" ref="AF2:AF33" si="0">TEXT(L2,"mmmm")</f>
        <v>mayo</v>
      </c>
      <c r="AH2" s="27" t="s">
        <v>113</v>
      </c>
      <c r="AI2" s="27" t="s">
        <v>384</v>
      </c>
      <c r="AJ2" s="27" t="s">
        <v>103</v>
      </c>
      <c r="AK2" s="27" t="s">
        <v>102</v>
      </c>
      <c r="AL2" t="s">
        <v>166</v>
      </c>
    </row>
    <row r="3" spans="1:38" ht="80.5" hidden="1" x14ac:dyDescent="0.35">
      <c r="A3" s="28" t="s">
        <v>521</v>
      </c>
      <c r="B3" s="28" t="s">
        <v>127</v>
      </c>
      <c r="C3" s="28" t="s">
        <v>522</v>
      </c>
      <c r="D3" s="28" t="s">
        <v>523</v>
      </c>
      <c r="E3" s="28" t="s">
        <v>524</v>
      </c>
      <c r="F3" s="28" t="s">
        <v>192</v>
      </c>
      <c r="G3" s="28" t="s">
        <v>306</v>
      </c>
      <c r="H3" s="28"/>
      <c r="I3" s="28" t="s">
        <v>525</v>
      </c>
      <c r="J3" s="28" t="s">
        <v>302</v>
      </c>
      <c r="K3" s="29">
        <v>46146.233807870369</v>
      </c>
      <c r="L3" s="29">
        <v>46146.375</v>
      </c>
      <c r="M3" s="29">
        <v>46146.708333333336</v>
      </c>
      <c r="N3" s="29">
        <v>46146.384016203701</v>
      </c>
      <c r="O3" s="29">
        <v>46146.716099537036</v>
      </c>
      <c r="P3" s="28"/>
      <c r="Q3" s="28" t="s">
        <v>224</v>
      </c>
      <c r="R3" s="28" t="s">
        <v>239</v>
      </c>
      <c r="S3" s="28" t="s">
        <v>306</v>
      </c>
      <c r="T3" s="28" t="s">
        <v>526</v>
      </c>
      <c r="U3" s="28"/>
      <c r="V3" s="28"/>
      <c r="W3" s="28"/>
      <c r="X3" s="28"/>
      <c r="Y3" s="30">
        <v>0</v>
      </c>
      <c r="Z3" s="28"/>
      <c r="AA3" s="28"/>
      <c r="AB3" s="28" t="s">
        <v>527</v>
      </c>
      <c r="AC3" s="28" t="s">
        <v>302</v>
      </c>
      <c r="AD3" s="28"/>
      <c r="AE3" s="28"/>
      <c r="AF3" s="28" t="str">
        <f t="shared" si="0"/>
        <v>mayo</v>
      </c>
      <c r="AH3" t="s">
        <v>37</v>
      </c>
      <c r="AI3" t="s">
        <v>386</v>
      </c>
      <c r="AJ3" t="s">
        <v>188</v>
      </c>
      <c r="AK3" s="32" t="s">
        <v>131</v>
      </c>
      <c r="AL3">
        <v>1</v>
      </c>
    </row>
    <row r="4" spans="1:38" ht="276" hidden="1" x14ac:dyDescent="0.35">
      <c r="A4" s="28" t="s">
        <v>528</v>
      </c>
      <c r="B4" s="28" t="s">
        <v>127</v>
      </c>
      <c r="C4" s="28" t="s">
        <v>529</v>
      </c>
      <c r="D4" s="28" t="s">
        <v>523</v>
      </c>
      <c r="E4" s="28" t="s">
        <v>524</v>
      </c>
      <c r="F4" s="28" t="s">
        <v>192</v>
      </c>
      <c r="G4" s="28" t="s">
        <v>301</v>
      </c>
      <c r="H4" s="28"/>
      <c r="I4" s="28" t="s">
        <v>525</v>
      </c>
      <c r="J4" s="28" t="s">
        <v>302</v>
      </c>
      <c r="K4" s="29">
        <v>46146.339571759258</v>
      </c>
      <c r="L4" s="29">
        <v>46146.375</v>
      </c>
      <c r="M4" s="29">
        <v>46146.5</v>
      </c>
      <c r="N4" s="29">
        <v>46146.443657407406</v>
      </c>
      <c r="O4" s="29">
        <v>46146.754756944443</v>
      </c>
      <c r="P4" s="28" t="s">
        <v>530</v>
      </c>
      <c r="Q4" s="28" t="s">
        <v>224</v>
      </c>
      <c r="R4" s="28" t="s">
        <v>239</v>
      </c>
      <c r="S4" s="28" t="s">
        <v>301</v>
      </c>
      <c r="T4" s="28" t="s">
        <v>526</v>
      </c>
      <c r="U4" s="28"/>
      <c r="V4" s="28"/>
      <c r="W4" s="28" t="s">
        <v>531</v>
      </c>
      <c r="X4" s="28"/>
      <c r="Y4" s="30">
        <v>0</v>
      </c>
      <c r="Z4" s="28"/>
      <c r="AA4" s="28"/>
      <c r="AB4" s="28" t="s">
        <v>527</v>
      </c>
      <c r="AC4" s="28" t="s">
        <v>302</v>
      </c>
      <c r="AD4" s="28"/>
      <c r="AE4" s="28"/>
      <c r="AF4" s="28" t="str">
        <f t="shared" si="0"/>
        <v>mayo</v>
      </c>
      <c r="AH4" t="s">
        <v>37</v>
      </c>
      <c r="AI4" t="s">
        <v>387</v>
      </c>
      <c r="AJ4" t="s">
        <v>188</v>
      </c>
      <c r="AK4" s="32" t="s">
        <v>131</v>
      </c>
      <c r="AL4">
        <v>14</v>
      </c>
    </row>
    <row r="5" spans="1:38" ht="34.5" hidden="1" x14ac:dyDescent="0.35">
      <c r="A5" s="28" t="s">
        <v>532</v>
      </c>
      <c r="B5" s="28" t="s">
        <v>127</v>
      </c>
      <c r="C5" s="28" t="s">
        <v>533</v>
      </c>
      <c r="D5" s="28" t="s">
        <v>534</v>
      </c>
      <c r="E5" s="28" t="s">
        <v>535</v>
      </c>
      <c r="F5" s="28" t="s">
        <v>192</v>
      </c>
      <c r="G5" s="28" t="s">
        <v>272</v>
      </c>
      <c r="H5" s="28"/>
      <c r="I5" s="28" t="s">
        <v>128</v>
      </c>
      <c r="J5" s="28"/>
      <c r="K5" s="29">
        <v>46140.903344907405</v>
      </c>
      <c r="L5" s="29">
        <v>46145.3125</v>
      </c>
      <c r="M5" s="29">
        <v>46145.520833333336</v>
      </c>
      <c r="N5" s="29">
        <v>46145.354988425926</v>
      </c>
      <c r="O5" s="29">
        <v>46147.868738425925</v>
      </c>
      <c r="P5" s="28"/>
      <c r="Q5" s="28" t="s">
        <v>163</v>
      </c>
      <c r="R5" s="28" t="s">
        <v>239</v>
      </c>
      <c r="S5" s="28" t="s">
        <v>272</v>
      </c>
      <c r="T5" s="28" t="s">
        <v>536</v>
      </c>
      <c r="U5" s="28"/>
      <c r="V5" s="28"/>
      <c r="W5" s="28"/>
      <c r="X5" s="28"/>
      <c r="Y5" s="30">
        <v>0</v>
      </c>
      <c r="Z5" s="28"/>
      <c r="AA5" s="28"/>
      <c r="AB5" s="28" t="s">
        <v>128</v>
      </c>
      <c r="AC5" s="28"/>
      <c r="AD5" s="28"/>
      <c r="AE5" s="28"/>
      <c r="AF5" s="28" t="str">
        <f t="shared" si="0"/>
        <v>mayo</v>
      </c>
      <c r="AH5" t="s">
        <v>37</v>
      </c>
      <c r="AI5" t="s">
        <v>387</v>
      </c>
      <c r="AJ5" t="s">
        <v>38</v>
      </c>
      <c r="AK5" s="32" t="s">
        <v>192</v>
      </c>
      <c r="AL5">
        <v>1</v>
      </c>
    </row>
    <row r="6" spans="1:38" ht="34.5" hidden="1" x14ac:dyDescent="0.35">
      <c r="A6" s="28" t="s">
        <v>537</v>
      </c>
      <c r="B6" s="28" t="s">
        <v>127</v>
      </c>
      <c r="C6" s="28" t="s">
        <v>533</v>
      </c>
      <c r="D6" s="28" t="s">
        <v>534</v>
      </c>
      <c r="E6" s="28" t="s">
        <v>535</v>
      </c>
      <c r="F6" s="28" t="s">
        <v>192</v>
      </c>
      <c r="G6" s="28" t="s">
        <v>272</v>
      </c>
      <c r="H6" s="28"/>
      <c r="I6" s="28" t="s">
        <v>128</v>
      </c>
      <c r="J6" s="28"/>
      <c r="K6" s="29">
        <v>46140.90215277778</v>
      </c>
      <c r="L6" s="29">
        <v>46144.3125</v>
      </c>
      <c r="M6" s="29">
        <v>46144.5625</v>
      </c>
      <c r="N6" s="29">
        <v>46144.316944444443</v>
      </c>
      <c r="O6" s="29">
        <v>46147.86891203704</v>
      </c>
      <c r="P6" s="28"/>
      <c r="Q6" s="28" t="s">
        <v>163</v>
      </c>
      <c r="R6" s="28" t="s">
        <v>239</v>
      </c>
      <c r="S6" s="28" t="s">
        <v>272</v>
      </c>
      <c r="T6" s="28" t="s">
        <v>536</v>
      </c>
      <c r="U6" s="28"/>
      <c r="V6" s="28"/>
      <c r="W6" s="28"/>
      <c r="X6" s="28"/>
      <c r="Y6" s="30">
        <v>0</v>
      </c>
      <c r="Z6" s="28"/>
      <c r="AA6" s="28"/>
      <c r="AB6" s="28" t="s">
        <v>128</v>
      </c>
      <c r="AC6" s="28"/>
      <c r="AD6" s="28"/>
      <c r="AE6" s="28"/>
      <c r="AF6" s="28" t="str">
        <f t="shared" si="0"/>
        <v>mayo</v>
      </c>
      <c r="AH6" t="s">
        <v>39</v>
      </c>
      <c r="AI6" t="s">
        <v>387</v>
      </c>
      <c r="AJ6" t="s">
        <v>36</v>
      </c>
      <c r="AK6" s="32" t="s">
        <v>192</v>
      </c>
      <c r="AL6">
        <v>1</v>
      </c>
    </row>
    <row r="7" spans="1:38" ht="92" hidden="1" x14ac:dyDescent="0.35">
      <c r="A7" s="28" t="s">
        <v>538</v>
      </c>
      <c r="B7" s="28" t="s">
        <v>127</v>
      </c>
      <c r="C7" s="28" t="s">
        <v>539</v>
      </c>
      <c r="D7" s="28" t="s">
        <v>540</v>
      </c>
      <c r="E7" s="28" t="s">
        <v>541</v>
      </c>
      <c r="F7" s="28" t="s">
        <v>192</v>
      </c>
      <c r="G7" s="28" t="s">
        <v>70</v>
      </c>
      <c r="H7" s="28"/>
      <c r="I7" s="28" t="s">
        <v>542</v>
      </c>
      <c r="J7" s="28" t="s">
        <v>132</v>
      </c>
      <c r="K7" s="29">
        <v>46145.916655092595</v>
      </c>
      <c r="L7" s="29">
        <v>46148.375</v>
      </c>
      <c r="M7" s="29">
        <v>46148.583333333336</v>
      </c>
      <c r="N7" s="29">
        <v>46149.395358796297</v>
      </c>
      <c r="O7" s="29">
        <v>46150.311400462961</v>
      </c>
      <c r="P7" s="28"/>
      <c r="Q7" s="28" t="s">
        <v>42</v>
      </c>
      <c r="R7" s="28" t="s">
        <v>129</v>
      </c>
      <c r="S7" s="28" t="s">
        <v>70</v>
      </c>
      <c r="T7" s="28" t="s">
        <v>543</v>
      </c>
      <c r="U7" s="28"/>
      <c r="V7" s="28"/>
      <c r="W7" s="28"/>
      <c r="X7" s="28"/>
      <c r="Y7" s="30">
        <v>0</v>
      </c>
      <c r="Z7" s="28"/>
      <c r="AA7" s="28"/>
      <c r="AB7" s="28" t="s">
        <v>544</v>
      </c>
      <c r="AC7" s="28" t="s">
        <v>132</v>
      </c>
      <c r="AD7" s="28" t="s">
        <v>208</v>
      </c>
      <c r="AE7" s="28"/>
      <c r="AF7" s="28" t="str">
        <f t="shared" si="0"/>
        <v>mayo</v>
      </c>
      <c r="AH7" t="s">
        <v>39</v>
      </c>
      <c r="AI7" t="s">
        <v>387</v>
      </c>
      <c r="AJ7" t="s">
        <v>66</v>
      </c>
      <c r="AK7" s="32" t="s">
        <v>192</v>
      </c>
      <c r="AL7">
        <v>1</v>
      </c>
    </row>
    <row r="8" spans="1:38" ht="299" hidden="1" x14ac:dyDescent="0.35">
      <c r="A8" s="28" t="s">
        <v>545</v>
      </c>
      <c r="B8" s="28" t="s">
        <v>127</v>
      </c>
      <c r="C8" s="28" t="s">
        <v>546</v>
      </c>
      <c r="D8" s="28" t="s">
        <v>547</v>
      </c>
      <c r="E8" s="28" t="s">
        <v>548</v>
      </c>
      <c r="F8" s="28" t="s">
        <v>192</v>
      </c>
      <c r="G8" s="28" t="s">
        <v>301</v>
      </c>
      <c r="H8" s="28"/>
      <c r="I8" s="28" t="s">
        <v>549</v>
      </c>
      <c r="J8" s="28" t="s">
        <v>302</v>
      </c>
      <c r="K8" s="29">
        <v>46146.79420138889</v>
      </c>
      <c r="L8" s="29">
        <v>46150.583333333336</v>
      </c>
      <c r="M8" s="29">
        <v>46150.708333333336</v>
      </c>
      <c r="N8" s="29">
        <v>46150.627453703702</v>
      </c>
      <c r="O8" s="29">
        <v>46150.76939814815</v>
      </c>
      <c r="P8" s="28" t="s">
        <v>550</v>
      </c>
      <c r="Q8" s="28" t="s">
        <v>224</v>
      </c>
      <c r="R8" s="28" t="s">
        <v>239</v>
      </c>
      <c r="S8" s="28" t="s">
        <v>301</v>
      </c>
      <c r="T8" s="28" t="s">
        <v>551</v>
      </c>
      <c r="U8" s="28"/>
      <c r="V8" s="28"/>
      <c r="W8" s="28"/>
      <c r="X8" s="28"/>
      <c r="Y8" s="30">
        <v>0</v>
      </c>
      <c r="Z8" s="28"/>
      <c r="AA8" s="28"/>
      <c r="AB8" s="28" t="s">
        <v>552</v>
      </c>
      <c r="AC8" s="28" t="s">
        <v>302</v>
      </c>
      <c r="AD8" s="28" t="s">
        <v>553</v>
      </c>
      <c r="AE8" s="28"/>
      <c r="AF8" s="28" t="str">
        <f t="shared" si="0"/>
        <v>mayo</v>
      </c>
      <c r="AH8" t="s">
        <v>40</v>
      </c>
      <c r="AI8" t="s">
        <v>385</v>
      </c>
      <c r="AJ8" t="s">
        <v>69</v>
      </c>
      <c r="AK8" s="32" t="s">
        <v>192</v>
      </c>
      <c r="AL8">
        <v>1</v>
      </c>
    </row>
    <row r="9" spans="1:38" ht="69" hidden="1" x14ac:dyDescent="0.35">
      <c r="A9" s="28" t="s">
        <v>554</v>
      </c>
      <c r="B9" s="28" t="s">
        <v>555</v>
      </c>
      <c r="C9" s="28" t="s">
        <v>533</v>
      </c>
      <c r="D9" s="28" t="s">
        <v>556</v>
      </c>
      <c r="E9" s="28" t="s">
        <v>557</v>
      </c>
      <c r="F9" s="28" t="s">
        <v>192</v>
      </c>
      <c r="G9" s="28" t="s">
        <v>272</v>
      </c>
      <c r="H9" s="28"/>
      <c r="I9" s="28" t="s">
        <v>558</v>
      </c>
      <c r="J9" s="28" t="s">
        <v>244</v>
      </c>
      <c r="K9" s="29">
        <v>46147.866608796299</v>
      </c>
      <c r="L9" s="29">
        <v>46151.333333333336</v>
      </c>
      <c r="M9" s="29">
        <v>46151.583333333336</v>
      </c>
      <c r="N9" s="29">
        <v>46151.319722222222</v>
      </c>
      <c r="O9" s="29"/>
      <c r="P9" s="28"/>
      <c r="Q9" s="28" t="s">
        <v>163</v>
      </c>
      <c r="R9" s="28" t="s">
        <v>239</v>
      </c>
      <c r="S9" s="28" t="s">
        <v>272</v>
      </c>
      <c r="T9" s="28" t="s">
        <v>559</v>
      </c>
      <c r="U9" s="28"/>
      <c r="V9" s="28"/>
      <c r="W9" s="28"/>
      <c r="X9" s="28"/>
      <c r="Y9" s="30">
        <v>0</v>
      </c>
      <c r="Z9" s="28"/>
      <c r="AA9" s="28"/>
      <c r="AB9" s="28" t="s">
        <v>560</v>
      </c>
      <c r="AC9" s="28" t="s">
        <v>244</v>
      </c>
      <c r="AD9" s="28" t="s">
        <v>561</v>
      </c>
      <c r="AE9" s="28"/>
      <c r="AF9" s="28" t="str">
        <f t="shared" si="0"/>
        <v>mayo</v>
      </c>
      <c r="AH9" t="s">
        <v>42</v>
      </c>
      <c r="AI9" t="s">
        <v>386</v>
      </c>
      <c r="AJ9" t="s">
        <v>70</v>
      </c>
      <c r="AK9" s="32" t="s">
        <v>192</v>
      </c>
      <c r="AL9">
        <v>2</v>
      </c>
    </row>
    <row r="10" spans="1:38" ht="69" hidden="1" x14ac:dyDescent="0.35">
      <c r="A10" s="28" t="s">
        <v>562</v>
      </c>
      <c r="B10" s="28" t="s">
        <v>555</v>
      </c>
      <c r="C10" s="28" t="s">
        <v>533</v>
      </c>
      <c r="D10" s="28" t="s">
        <v>556</v>
      </c>
      <c r="E10" s="28" t="s">
        <v>557</v>
      </c>
      <c r="F10" s="28" t="s">
        <v>192</v>
      </c>
      <c r="G10" s="28" t="s">
        <v>272</v>
      </c>
      <c r="H10" s="28"/>
      <c r="I10" s="28" t="s">
        <v>558</v>
      </c>
      <c r="J10" s="28" t="s">
        <v>244</v>
      </c>
      <c r="K10" s="29">
        <v>46147.867245370369</v>
      </c>
      <c r="L10" s="29">
        <v>46152.3125</v>
      </c>
      <c r="M10" s="29">
        <v>46152.5</v>
      </c>
      <c r="N10" s="29">
        <v>46152.340057870373</v>
      </c>
      <c r="O10" s="29"/>
      <c r="P10" s="28"/>
      <c r="Q10" s="28" t="s">
        <v>163</v>
      </c>
      <c r="R10" s="28" t="s">
        <v>239</v>
      </c>
      <c r="S10" s="28" t="s">
        <v>272</v>
      </c>
      <c r="T10" s="28" t="s">
        <v>559</v>
      </c>
      <c r="U10" s="28"/>
      <c r="V10" s="28"/>
      <c r="W10" s="28"/>
      <c r="X10" s="28"/>
      <c r="Y10" s="30">
        <v>0</v>
      </c>
      <c r="Z10" s="28"/>
      <c r="AA10" s="28"/>
      <c r="AB10" s="28" t="s">
        <v>560</v>
      </c>
      <c r="AC10" s="28" t="s">
        <v>244</v>
      </c>
      <c r="AD10" s="28" t="s">
        <v>561</v>
      </c>
      <c r="AE10" s="28"/>
      <c r="AF10" s="28" t="str">
        <f t="shared" si="0"/>
        <v>mayo</v>
      </c>
      <c r="AH10" t="s">
        <v>42</v>
      </c>
      <c r="AI10" t="s">
        <v>387</v>
      </c>
      <c r="AJ10" t="s">
        <v>43</v>
      </c>
      <c r="AK10" s="32" t="s">
        <v>192</v>
      </c>
      <c r="AL10">
        <v>1</v>
      </c>
    </row>
    <row r="11" spans="1:38" ht="126.5" hidden="1" x14ac:dyDescent="0.35">
      <c r="A11" s="28" t="s">
        <v>563</v>
      </c>
      <c r="B11" s="28" t="s">
        <v>127</v>
      </c>
      <c r="C11" s="28" t="s">
        <v>564</v>
      </c>
      <c r="D11" s="28" t="s">
        <v>565</v>
      </c>
      <c r="E11" s="28" t="s">
        <v>566</v>
      </c>
      <c r="F11" s="28" t="s">
        <v>131</v>
      </c>
      <c r="G11" s="28" t="s">
        <v>567</v>
      </c>
      <c r="H11" s="28"/>
      <c r="I11" s="28" t="s">
        <v>568</v>
      </c>
      <c r="J11" s="28" t="s">
        <v>225</v>
      </c>
      <c r="K11" s="29">
        <v>46154.387789351851</v>
      </c>
      <c r="L11" s="29">
        <v>46154.291666666664</v>
      </c>
      <c r="M11" s="29">
        <v>46154.708333333336</v>
      </c>
      <c r="N11" s="29">
        <v>46154.387870370374</v>
      </c>
      <c r="O11" s="29">
        <v>46154.732592592591</v>
      </c>
      <c r="P11" s="28" t="s">
        <v>569</v>
      </c>
      <c r="Q11" s="28" t="s">
        <v>305</v>
      </c>
      <c r="R11" s="28" t="s">
        <v>239</v>
      </c>
      <c r="S11" s="28" t="s">
        <v>567</v>
      </c>
      <c r="T11" s="28" t="s">
        <v>570</v>
      </c>
      <c r="U11" s="28"/>
      <c r="V11" s="28"/>
      <c r="W11" s="28"/>
      <c r="X11" s="28"/>
      <c r="Y11" s="30">
        <v>0</v>
      </c>
      <c r="Z11" s="28"/>
      <c r="AA11" s="28"/>
      <c r="AB11" s="28" t="s">
        <v>571</v>
      </c>
      <c r="AC11" s="28" t="s">
        <v>225</v>
      </c>
      <c r="AD11" s="28" t="s">
        <v>572</v>
      </c>
      <c r="AE11" s="28"/>
      <c r="AF11" s="28" t="str">
        <f t="shared" si="0"/>
        <v>mayo</v>
      </c>
      <c r="AH11" t="s">
        <v>44</v>
      </c>
      <c r="AI11" t="s">
        <v>385</v>
      </c>
      <c r="AJ11" t="s">
        <v>71</v>
      </c>
      <c r="AK11" s="32" t="s">
        <v>192</v>
      </c>
      <c r="AL11">
        <v>1</v>
      </c>
    </row>
    <row r="12" spans="1:38" ht="126.5" hidden="1" x14ac:dyDescent="0.35">
      <c r="A12" s="28" t="s">
        <v>573</v>
      </c>
      <c r="B12" s="28" t="s">
        <v>127</v>
      </c>
      <c r="C12" s="28" t="s">
        <v>574</v>
      </c>
      <c r="D12" s="28" t="s">
        <v>575</v>
      </c>
      <c r="E12" s="28" t="s">
        <v>576</v>
      </c>
      <c r="F12" s="28" t="s">
        <v>192</v>
      </c>
      <c r="G12" s="28" t="s">
        <v>36</v>
      </c>
      <c r="H12" s="28"/>
      <c r="I12" s="28" t="s">
        <v>577</v>
      </c>
      <c r="J12" s="28" t="s">
        <v>132</v>
      </c>
      <c r="K12" s="29">
        <v>46155.695127314815</v>
      </c>
      <c r="L12" s="29">
        <v>46155.333333333336</v>
      </c>
      <c r="M12" s="29">
        <v>46155.708333333336</v>
      </c>
      <c r="N12" s="29">
        <v>46155.695185185185</v>
      </c>
      <c r="O12" s="29">
        <v>46155.695243055554</v>
      </c>
      <c r="P12" s="28"/>
      <c r="Q12" s="28" t="s">
        <v>39</v>
      </c>
      <c r="R12" s="28" t="s">
        <v>129</v>
      </c>
      <c r="S12" s="28" t="s">
        <v>36</v>
      </c>
      <c r="T12" s="28" t="s">
        <v>578</v>
      </c>
      <c r="U12" s="28"/>
      <c r="V12" s="28"/>
      <c r="W12" s="28"/>
      <c r="X12" s="28"/>
      <c r="Y12" s="30">
        <v>0</v>
      </c>
      <c r="Z12" s="28"/>
      <c r="AA12" s="28"/>
      <c r="AB12" s="28" t="s">
        <v>579</v>
      </c>
      <c r="AC12" s="28" t="s">
        <v>132</v>
      </c>
      <c r="AD12" s="28" t="s">
        <v>372</v>
      </c>
      <c r="AE12" s="28"/>
      <c r="AF12" s="28" t="str">
        <f t="shared" si="0"/>
        <v>mayo</v>
      </c>
      <c r="AH12" t="s">
        <v>44</v>
      </c>
      <c r="AI12" t="s">
        <v>386</v>
      </c>
      <c r="AJ12" t="s">
        <v>71</v>
      </c>
      <c r="AK12" s="32" t="s">
        <v>192</v>
      </c>
      <c r="AL12">
        <v>1</v>
      </c>
    </row>
    <row r="13" spans="1:38" ht="92" hidden="1" x14ac:dyDescent="0.35">
      <c r="A13" s="28" t="s">
        <v>580</v>
      </c>
      <c r="B13" s="28" t="s">
        <v>127</v>
      </c>
      <c r="C13" s="28" t="s">
        <v>581</v>
      </c>
      <c r="D13" s="28" t="s">
        <v>140</v>
      </c>
      <c r="E13" s="28" t="s">
        <v>141</v>
      </c>
      <c r="F13" s="28" t="s">
        <v>192</v>
      </c>
      <c r="G13" s="28" t="s">
        <v>413</v>
      </c>
      <c r="H13" s="28"/>
      <c r="I13" s="28" t="s">
        <v>142</v>
      </c>
      <c r="J13" s="28" t="s">
        <v>132</v>
      </c>
      <c r="K13" s="29">
        <v>46155.504664351851</v>
      </c>
      <c r="L13" s="29">
        <v>46155.333333333336</v>
      </c>
      <c r="M13" s="29">
        <v>46155.625</v>
      </c>
      <c r="N13" s="29">
        <v>46155.504710648151</v>
      </c>
      <c r="O13" s="29">
        <v>46155.789050925923</v>
      </c>
      <c r="P13" s="28"/>
      <c r="Q13" s="28" t="s">
        <v>39</v>
      </c>
      <c r="R13" s="28" t="s">
        <v>129</v>
      </c>
      <c r="S13" s="28" t="s">
        <v>413</v>
      </c>
      <c r="T13" s="28" t="s">
        <v>143</v>
      </c>
      <c r="U13" s="28"/>
      <c r="V13" s="28"/>
      <c r="W13" s="28"/>
      <c r="X13" s="28"/>
      <c r="Y13" s="30">
        <v>0</v>
      </c>
      <c r="Z13" s="28"/>
      <c r="AA13" s="28"/>
      <c r="AB13" s="28" t="s">
        <v>144</v>
      </c>
      <c r="AC13" s="28" t="s">
        <v>132</v>
      </c>
      <c r="AD13" s="28" t="s">
        <v>145</v>
      </c>
      <c r="AE13" s="28"/>
      <c r="AF13" s="28" t="str">
        <f t="shared" si="0"/>
        <v>mayo</v>
      </c>
      <c r="AH13" t="s">
        <v>44</v>
      </c>
      <c r="AI13" t="s">
        <v>386</v>
      </c>
      <c r="AJ13" t="s">
        <v>72</v>
      </c>
      <c r="AK13" s="32" t="s">
        <v>192</v>
      </c>
      <c r="AL13">
        <v>1</v>
      </c>
    </row>
    <row r="14" spans="1:38" ht="126.5" hidden="1" x14ac:dyDescent="0.35">
      <c r="A14" s="28" t="s">
        <v>582</v>
      </c>
      <c r="B14" s="28" t="s">
        <v>127</v>
      </c>
      <c r="C14" s="28" t="s">
        <v>583</v>
      </c>
      <c r="D14" s="28" t="s">
        <v>584</v>
      </c>
      <c r="E14" s="28" t="s">
        <v>585</v>
      </c>
      <c r="F14" s="28" t="s">
        <v>131</v>
      </c>
      <c r="G14" s="28" t="s">
        <v>36</v>
      </c>
      <c r="H14" s="28"/>
      <c r="I14" s="28" t="s">
        <v>586</v>
      </c>
      <c r="J14" s="28" t="s">
        <v>132</v>
      </c>
      <c r="K14" s="29">
        <v>46156.563055555554</v>
      </c>
      <c r="L14" s="29">
        <v>46156.354166666664</v>
      </c>
      <c r="M14" s="29">
        <v>46156.583333333336</v>
      </c>
      <c r="N14" s="29">
        <v>46156.563125000001</v>
      </c>
      <c r="O14" s="29">
        <v>46156.563171296293</v>
      </c>
      <c r="P14" s="28"/>
      <c r="Q14" s="28" t="s">
        <v>39</v>
      </c>
      <c r="R14" s="28" t="s">
        <v>129</v>
      </c>
      <c r="S14" s="28" t="s">
        <v>36</v>
      </c>
      <c r="T14" s="28" t="s">
        <v>587</v>
      </c>
      <c r="U14" s="28"/>
      <c r="V14" s="28"/>
      <c r="W14" s="28"/>
      <c r="X14" s="28"/>
      <c r="Y14" s="30">
        <v>0</v>
      </c>
      <c r="Z14" s="28"/>
      <c r="AA14" s="28"/>
      <c r="AB14" s="28" t="s">
        <v>588</v>
      </c>
      <c r="AC14" s="28" t="s">
        <v>132</v>
      </c>
      <c r="AD14" s="28" t="s">
        <v>372</v>
      </c>
      <c r="AE14" s="28"/>
      <c r="AF14" s="28" t="str">
        <f t="shared" si="0"/>
        <v>mayo</v>
      </c>
      <c r="AH14" t="s">
        <v>44</v>
      </c>
      <c r="AI14" t="s">
        <v>386</v>
      </c>
      <c r="AJ14" t="s">
        <v>45</v>
      </c>
      <c r="AK14" s="32" t="s">
        <v>192</v>
      </c>
      <c r="AL14">
        <v>2</v>
      </c>
    </row>
    <row r="15" spans="1:38" ht="80.5" hidden="1" x14ac:dyDescent="0.35">
      <c r="A15" s="28" t="s">
        <v>589</v>
      </c>
      <c r="B15" s="28" t="s">
        <v>127</v>
      </c>
      <c r="C15" s="28" t="s">
        <v>131</v>
      </c>
      <c r="D15" s="28" t="s">
        <v>590</v>
      </c>
      <c r="E15" s="28" t="s">
        <v>591</v>
      </c>
      <c r="F15" s="28" t="s">
        <v>131</v>
      </c>
      <c r="G15" s="28" t="s">
        <v>592</v>
      </c>
      <c r="H15" s="28"/>
      <c r="I15" s="28" t="s">
        <v>128</v>
      </c>
      <c r="J15" s="28"/>
      <c r="K15" s="29">
        <v>46156.413854166669</v>
      </c>
      <c r="L15" s="29">
        <v>46156.416666666664</v>
      </c>
      <c r="M15" s="29">
        <v>46156.5</v>
      </c>
      <c r="N15" s="29">
        <v>46156.414027777777</v>
      </c>
      <c r="O15" s="29">
        <v>46156.581875000003</v>
      </c>
      <c r="P15" s="28"/>
      <c r="Q15" s="28" t="s">
        <v>518</v>
      </c>
      <c r="R15" s="28" t="s">
        <v>239</v>
      </c>
      <c r="S15" s="28" t="s">
        <v>592</v>
      </c>
      <c r="T15" s="28" t="s">
        <v>593</v>
      </c>
      <c r="U15" s="28"/>
      <c r="V15" s="28"/>
      <c r="W15" s="28"/>
      <c r="X15" s="28"/>
      <c r="Y15" s="30">
        <v>0</v>
      </c>
      <c r="Z15" s="28"/>
      <c r="AA15" s="28"/>
      <c r="AB15" s="28" t="s">
        <v>128</v>
      </c>
      <c r="AC15" s="28"/>
      <c r="AD15" s="28"/>
      <c r="AE15" s="28"/>
      <c r="AF15" s="28" t="str">
        <f t="shared" si="0"/>
        <v>mayo</v>
      </c>
      <c r="AH15" t="s">
        <v>44</v>
      </c>
      <c r="AI15" t="s">
        <v>387</v>
      </c>
      <c r="AJ15" t="s">
        <v>71</v>
      </c>
      <c r="AK15" s="32" t="s">
        <v>131</v>
      </c>
      <c r="AL15">
        <v>1</v>
      </c>
    </row>
    <row r="16" spans="1:38" ht="138" hidden="1" x14ac:dyDescent="0.35">
      <c r="A16" s="28" t="s">
        <v>594</v>
      </c>
      <c r="B16" s="28" t="s">
        <v>127</v>
      </c>
      <c r="C16" s="28" t="s">
        <v>595</v>
      </c>
      <c r="D16" s="28" t="s">
        <v>596</v>
      </c>
      <c r="E16" s="28" t="s">
        <v>597</v>
      </c>
      <c r="F16" s="28" t="s">
        <v>192</v>
      </c>
      <c r="G16" s="28" t="s">
        <v>598</v>
      </c>
      <c r="H16" s="28"/>
      <c r="I16" s="28" t="s">
        <v>128</v>
      </c>
      <c r="J16" s="28"/>
      <c r="K16" s="29">
        <v>46157.396898148145</v>
      </c>
      <c r="L16" s="29">
        <v>46157.395833333336</v>
      </c>
      <c r="M16" s="29">
        <v>46157.479166666664</v>
      </c>
      <c r="N16" s="29">
        <v>46157.39707175926</v>
      </c>
      <c r="O16" s="29">
        <v>46157.475081018521</v>
      </c>
      <c r="P16" s="28" t="s">
        <v>599</v>
      </c>
      <c r="Q16" s="28" t="s">
        <v>600</v>
      </c>
      <c r="R16" s="28" t="s">
        <v>129</v>
      </c>
      <c r="S16" s="28" t="s">
        <v>598</v>
      </c>
      <c r="T16" s="28" t="s">
        <v>601</v>
      </c>
      <c r="U16" s="28"/>
      <c r="V16" s="28"/>
      <c r="W16" s="28"/>
      <c r="X16" s="28"/>
      <c r="Y16" s="30">
        <v>0</v>
      </c>
      <c r="Z16" s="28"/>
      <c r="AA16" s="28"/>
      <c r="AB16" s="28" t="s">
        <v>128</v>
      </c>
      <c r="AC16" s="28"/>
      <c r="AD16" s="28"/>
      <c r="AE16" s="28"/>
      <c r="AF16" s="28" t="str">
        <f t="shared" si="0"/>
        <v>mayo</v>
      </c>
      <c r="AH16" t="s">
        <v>44</v>
      </c>
      <c r="AI16" t="s">
        <v>387</v>
      </c>
      <c r="AJ16" t="s">
        <v>71</v>
      </c>
      <c r="AK16" s="32" t="s">
        <v>192</v>
      </c>
      <c r="AL16">
        <v>3</v>
      </c>
    </row>
    <row r="17" spans="1:38" ht="69" hidden="1" x14ac:dyDescent="0.35">
      <c r="A17" s="28" t="s">
        <v>602</v>
      </c>
      <c r="B17" s="28" t="s">
        <v>127</v>
      </c>
      <c r="C17" s="28" t="s">
        <v>533</v>
      </c>
      <c r="D17" s="28" t="s">
        <v>603</v>
      </c>
      <c r="E17" s="28" t="s">
        <v>604</v>
      </c>
      <c r="F17" s="28" t="s">
        <v>192</v>
      </c>
      <c r="G17" s="28" t="s">
        <v>272</v>
      </c>
      <c r="H17" s="28"/>
      <c r="I17" s="28" t="s">
        <v>605</v>
      </c>
      <c r="J17" s="28" t="s">
        <v>244</v>
      </c>
      <c r="K17" s="29">
        <v>46158.315405092595</v>
      </c>
      <c r="L17" s="29">
        <v>46158.3125</v>
      </c>
      <c r="M17" s="29">
        <v>46158.5</v>
      </c>
      <c r="N17" s="29">
        <v>46158.315532407411</v>
      </c>
      <c r="O17" s="29">
        <v>46158.531793981485</v>
      </c>
      <c r="P17" s="28"/>
      <c r="Q17" s="28" t="s">
        <v>163</v>
      </c>
      <c r="R17" s="28" t="s">
        <v>239</v>
      </c>
      <c r="S17" s="28" t="s">
        <v>272</v>
      </c>
      <c r="T17" s="28" t="s">
        <v>606</v>
      </c>
      <c r="U17" s="28"/>
      <c r="V17" s="28"/>
      <c r="W17" s="28"/>
      <c r="X17" s="28"/>
      <c r="Y17" s="30">
        <v>0</v>
      </c>
      <c r="Z17" s="28"/>
      <c r="AA17" s="28"/>
      <c r="AB17" s="28" t="s">
        <v>607</v>
      </c>
      <c r="AC17" s="28" t="s">
        <v>244</v>
      </c>
      <c r="AD17" s="28"/>
      <c r="AE17" s="28"/>
      <c r="AF17" s="28" t="str">
        <f t="shared" si="0"/>
        <v>mayo</v>
      </c>
      <c r="AH17" t="s">
        <v>44</v>
      </c>
      <c r="AI17" t="s">
        <v>387</v>
      </c>
      <c r="AJ17" t="s">
        <v>45</v>
      </c>
      <c r="AK17" s="32" t="s">
        <v>192</v>
      </c>
      <c r="AL17">
        <v>2</v>
      </c>
    </row>
    <row r="18" spans="1:38" ht="115" hidden="1" x14ac:dyDescent="0.35">
      <c r="A18" s="28" t="s">
        <v>608</v>
      </c>
      <c r="B18" s="28" t="s">
        <v>127</v>
      </c>
      <c r="C18" s="28" t="s">
        <v>522</v>
      </c>
      <c r="D18" s="28" t="s">
        <v>609</v>
      </c>
      <c r="E18" s="28" t="s">
        <v>610</v>
      </c>
      <c r="F18" s="28" t="s">
        <v>192</v>
      </c>
      <c r="G18" s="28" t="s">
        <v>306</v>
      </c>
      <c r="H18" s="28"/>
      <c r="I18" s="28" t="s">
        <v>611</v>
      </c>
      <c r="J18" s="28" t="s">
        <v>302</v>
      </c>
      <c r="K18" s="29">
        <v>46153.348576388889</v>
      </c>
      <c r="L18" s="29">
        <v>46155.375</v>
      </c>
      <c r="M18" s="29">
        <v>46155.708333333336</v>
      </c>
      <c r="N18" s="29">
        <v>46155.396354166667</v>
      </c>
      <c r="O18" s="29">
        <v>46155.71334490741</v>
      </c>
      <c r="P18" s="28"/>
      <c r="Q18" s="28" t="s">
        <v>224</v>
      </c>
      <c r="R18" s="28" t="s">
        <v>239</v>
      </c>
      <c r="S18" s="28" t="s">
        <v>306</v>
      </c>
      <c r="T18" s="28" t="s">
        <v>612</v>
      </c>
      <c r="U18" s="28"/>
      <c r="V18" s="28"/>
      <c r="W18" s="28"/>
      <c r="X18" s="28"/>
      <c r="Y18" s="30">
        <v>0</v>
      </c>
      <c r="Z18" s="28"/>
      <c r="AA18" s="28"/>
      <c r="AB18" s="28" t="s">
        <v>613</v>
      </c>
      <c r="AC18" s="28" t="s">
        <v>302</v>
      </c>
      <c r="AD18" s="28" t="s">
        <v>614</v>
      </c>
      <c r="AE18" s="28"/>
      <c r="AF18" s="28" t="str">
        <f t="shared" si="0"/>
        <v>mayo</v>
      </c>
      <c r="AH18" t="s">
        <v>46</v>
      </c>
      <c r="AI18" t="s">
        <v>386</v>
      </c>
      <c r="AJ18" t="s">
        <v>67</v>
      </c>
      <c r="AK18" s="32" t="s">
        <v>131</v>
      </c>
      <c r="AL18">
        <v>1</v>
      </c>
    </row>
    <row r="19" spans="1:38" ht="69" hidden="1" x14ac:dyDescent="0.35">
      <c r="A19" s="28" t="s">
        <v>615</v>
      </c>
      <c r="B19" s="28" t="s">
        <v>127</v>
      </c>
      <c r="C19" s="28" t="s">
        <v>616</v>
      </c>
      <c r="D19" s="28" t="s">
        <v>603</v>
      </c>
      <c r="E19" s="28" t="s">
        <v>604</v>
      </c>
      <c r="F19" s="28" t="s">
        <v>192</v>
      </c>
      <c r="G19" s="28" t="s">
        <v>272</v>
      </c>
      <c r="H19" s="28"/>
      <c r="I19" s="28" t="s">
        <v>605</v>
      </c>
      <c r="J19" s="28" t="s">
        <v>244</v>
      </c>
      <c r="K19" s="29">
        <v>46157.286932870367</v>
      </c>
      <c r="L19" s="29">
        <v>46157.354166666664</v>
      </c>
      <c r="M19" s="29">
        <v>46157.708333333336</v>
      </c>
      <c r="N19" s="29">
        <v>46157.357372685183</v>
      </c>
      <c r="O19" s="29">
        <v>46164.331273148149</v>
      </c>
      <c r="P19" s="28"/>
      <c r="Q19" s="28" t="s">
        <v>163</v>
      </c>
      <c r="R19" s="28" t="s">
        <v>239</v>
      </c>
      <c r="S19" s="28" t="s">
        <v>272</v>
      </c>
      <c r="T19" s="28" t="s">
        <v>606</v>
      </c>
      <c r="U19" s="28"/>
      <c r="V19" s="28"/>
      <c r="W19" s="28"/>
      <c r="X19" s="28"/>
      <c r="Y19" s="30">
        <v>0</v>
      </c>
      <c r="Z19" s="28"/>
      <c r="AA19" s="28"/>
      <c r="AB19" s="28" t="s">
        <v>607</v>
      </c>
      <c r="AC19" s="28" t="s">
        <v>244</v>
      </c>
      <c r="AD19" s="28"/>
      <c r="AE19" s="28"/>
      <c r="AF19" s="28" t="str">
        <f t="shared" si="0"/>
        <v>mayo</v>
      </c>
      <c r="AH19" t="s">
        <v>46</v>
      </c>
      <c r="AI19" t="s">
        <v>387</v>
      </c>
      <c r="AJ19" t="s">
        <v>67</v>
      </c>
      <c r="AK19" s="32" t="s">
        <v>192</v>
      </c>
      <c r="AL19">
        <v>1</v>
      </c>
    </row>
    <row r="20" spans="1:38" ht="356.5" hidden="1" x14ac:dyDescent="0.35">
      <c r="A20" s="28" t="s">
        <v>617</v>
      </c>
      <c r="B20" s="28" t="s">
        <v>127</v>
      </c>
      <c r="C20" s="28" t="s">
        <v>618</v>
      </c>
      <c r="D20" s="28" t="s">
        <v>619</v>
      </c>
      <c r="E20" s="28" t="s">
        <v>620</v>
      </c>
      <c r="F20" s="28" t="s">
        <v>192</v>
      </c>
      <c r="G20" s="28" t="s">
        <v>621</v>
      </c>
      <c r="H20" s="28"/>
      <c r="I20" s="28" t="s">
        <v>622</v>
      </c>
      <c r="J20" s="28" t="s">
        <v>302</v>
      </c>
      <c r="K20" s="29">
        <v>46170.302129629628</v>
      </c>
      <c r="L20" s="29">
        <v>46170.354166666664</v>
      </c>
      <c r="M20" s="29">
        <v>46170.583333333336</v>
      </c>
      <c r="N20" s="29">
        <v>46170.361354166664</v>
      </c>
      <c r="O20" s="29">
        <v>46170.577615740738</v>
      </c>
      <c r="P20" s="28"/>
      <c r="Q20" s="28" t="s">
        <v>224</v>
      </c>
      <c r="R20" s="28" t="s">
        <v>239</v>
      </c>
      <c r="S20" s="28" t="s">
        <v>621</v>
      </c>
      <c r="T20" s="28" t="s">
        <v>623</v>
      </c>
      <c r="U20" s="28"/>
      <c r="V20" s="28"/>
      <c r="W20" s="28" t="s">
        <v>624</v>
      </c>
      <c r="X20" s="28"/>
      <c r="Y20" s="30">
        <v>0</v>
      </c>
      <c r="Z20" s="28"/>
      <c r="AA20" s="28"/>
      <c r="AB20" s="28" t="s">
        <v>625</v>
      </c>
      <c r="AC20" s="28" t="s">
        <v>302</v>
      </c>
      <c r="AD20" s="28" t="s">
        <v>626</v>
      </c>
      <c r="AE20" s="28"/>
      <c r="AF20" s="28" t="str">
        <f t="shared" si="0"/>
        <v>mayo</v>
      </c>
      <c r="AH20" t="s">
        <v>234</v>
      </c>
      <c r="AI20" t="s">
        <v>385</v>
      </c>
      <c r="AJ20" t="s">
        <v>233</v>
      </c>
      <c r="AK20" s="32" t="s">
        <v>192</v>
      </c>
      <c r="AL20">
        <v>1</v>
      </c>
    </row>
    <row r="21" spans="1:38" ht="92" hidden="1" x14ac:dyDescent="0.35">
      <c r="A21" s="28" t="s">
        <v>627</v>
      </c>
      <c r="B21" s="28" t="s">
        <v>127</v>
      </c>
      <c r="C21" s="28" t="s">
        <v>628</v>
      </c>
      <c r="D21" s="28" t="s">
        <v>248</v>
      </c>
      <c r="E21" s="28" t="s">
        <v>134</v>
      </c>
      <c r="F21" s="28" t="s">
        <v>131</v>
      </c>
      <c r="G21" s="28" t="s">
        <v>249</v>
      </c>
      <c r="H21" s="28"/>
      <c r="I21" s="28" t="s">
        <v>250</v>
      </c>
      <c r="J21" s="28" t="s">
        <v>251</v>
      </c>
      <c r="K21" s="29">
        <v>46170.303900462961</v>
      </c>
      <c r="L21" s="29">
        <v>46170.375</v>
      </c>
      <c r="M21" s="29">
        <v>46170.666666666664</v>
      </c>
      <c r="N21" s="29">
        <v>46170.494421296295</v>
      </c>
      <c r="O21" s="29">
        <v>46170.727789351855</v>
      </c>
      <c r="P21" s="28"/>
      <c r="Q21" s="28" t="s">
        <v>135</v>
      </c>
      <c r="R21" s="28" t="s">
        <v>239</v>
      </c>
      <c r="S21" s="28" t="s">
        <v>249</v>
      </c>
      <c r="T21" s="28" t="s">
        <v>350</v>
      </c>
      <c r="U21" s="28"/>
      <c r="V21" s="28"/>
      <c r="W21" s="28"/>
      <c r="X21" s="28"/>
      <c r="Y21" s="30">
        <v>0</v>
      </c>
      <c r="Z21" s="28"/>
      <c r="AA21" s="28"/>
      <c r="AB21" s="28" t="s">
        <v>351</v>
      </c>
      <c r="AC21" s="28" t="s">
        <v>251</v>
      </c>
      <c r="AD21" s="28" t="s">
        <v>252</v>
      </c>
      <c r="AE21" s="28"/>
      <c r="AF21" s="28" t="str">
        <f t="shared" si="0"/>
        <v>mayo</v>
      </c>
      <c r="AH21" t="s">
        <v>234</v>
      </c>
      <c r="AI21" t="s">
        <v>386</v>
      </c>
      <c r="AJ21" t="s">
        <v>233</v>
      </c>
      <c r="AK21" s="32" t="s">
        <v>192</v>
      </c>
      <c r="AL21">
        <v>1</v>
      </c>
    </row>
    <row r="22" spans="1:38" ht="195.5" hidden="1" x14ac:dyDescent="0.35">
      <c r="A22" s="28" t="s">
        <v>629</v>
      </c>
      <c r="B22" s="28" t="s">
        <v>127</v>
      </c>
      <c r="C22" s="28" t="s">
        <v>630</v>
      </c>
      <c r="D22" s="28" t="s">
        <v>631</v>
      </c>
      <c r="E22" s="28" t="s">
        <v>632</v>
      </c>
      <c r="F22" s="28" t="s">
        <v>131</v>
      </c>
      <c r="G22" s="28" t="s">
        <v>621</v>
      </c>
      <c r="H22" s="28"/>
      <c r="I22" s="28" t="s">
        <v>633</v>
      </c>
      <c r="J22" s="28" t="s">
        <v>302</v>
      </c>
      <c r="K22" s="29">
        <v>46172.351238425923</v>
      </c>
      <c r="L22" s="29">
        <v>46172.375</v>
      </c>
      <c r="M22" s="29">
        <v>46172.583333333336</v>
      </c>
      <c r="N22" s="29">
        <v>46172.37394675926</v>
      </c>
      <c r="O22" s="29">
        <v>46172.606226851851</v>
      </c>
      <c r="P22" s="28"/>
      <c r="Q22" s="28" t="s">
        <v>224</v>
      </c>
      <c r="R22" s="28" t="s">
        <v>239</v>
      </c>
      <c r="S22" s="28" t="s">
        <v>621</v>
      </c>
      <c r="T22" s="28" t="s">
        <v>634</v>
      </c>
      <c r="U22" s="28"/>
      <c r="V22" s="28"/>
      <c r="W22" s="28" t="s">
        <v>635</v>
      </c>
      <c r="X22" s="28"/>
      <c r="Y22" s="30">
        <v>0</v>
      </c>
      <c r="Z22" s="28"/>
      <c r="AA22" s="28"/>
      <c r="AB22" s="28" t="s">
        <v>636</v>
      </c>
      <c r="AC22" s="28" t="s">
        <v>302</v>
      </c>
      <c r="AD22" s="28" t="s">
        <v>637</v>
      </c>
      <c r="AE22" s="28"/>
      <c r="AF22" s="28" t="str">
        <f t="shared" si="0"/>
        <v>mayo</v>
      </c>
      <c r="AH22" t="s">
        <v>133</v>
      </c>
      <c r="AI22" t="s">
        <v>386</v>
      </c>
      <c r="AJ22" t="s">
        <v>237</v>
      </c>
      <c r="AK22" s="32" t="s">
        <v>131</v>
      </c>
      <c r="AL22">
        <v>1</v>
      </c>
    </row>
    <row r="23" spans="1:38" ht="80.5" hidden="1" x14ac:dyDescent="0.35">
      <c r="A23" s="28" t="s">
        <v>638</v>
      </c>
      <c r="B23" s="28" t="s">
        <v>127</v>
      </c>
      <c r="C23" s="28" t="s">
        <v>193</v>
      </c>
      <c r="D23" s="28" t="s">
        <v>639</v>
      </c>
      <c r="E23" s="28" t="s">
        <v>640</v>
      </c>
      <c r="F23" s="28" t="s">
        <v>131</v>
      </c>
      <c r="G23" s="28" t="s">
        <v>70</v>
      </c>
      <c r="H23" s="28"/>
      <c r="I23" s="28" t="s">
        <v>641</v>
      </c>
      <c r="J23" s="28" t="s">
        <v>132</v>
      </c>
      <c r="K23" s="29">
        <v>46172.860601851855</v>
      </c>
      <c r="L23" s="29">
        <v>46162.479166666664</v>
      </c>
      <c r="M23" s="29">
        <v>46162.625</v>
      </c>
      <c r="N23" s="29">
        <v>46172.860659722224</v>
      </c>
      <c r="O23" s="29">
        <v>46172.860706018517</v>
      </c>
      <c r="P23" s="28"/>
      <c r="Q23" s="28" t="s">
        <v>42</v>
      </c>
      <c r="R23" s="28" t="s">
        <v>129</v>
      </c>
      <c r="S23" s="28" t="s">
        <v>70</v>
      </c>
      <c r="T23" s="28" t="s">
        <v>642</v>
      </c>
      <c r="U23" s="28"/>
      <c r="V23" s="28"/>
      <c r="W23" s="28"/>
      <c r="X23" s="28"/>
      <c r="Y23" s="30">
        <v>0</v>
      </c>
      <c r="Z23" s="28"/>
      <c r="AA23" s="28"/>
      <c r="AB23" s="28" t="s">
        <v>643</v>
      </c>
      <c r="AC23" s="28" t="s">
        <v>132</v>
      </c>
      <c r="AD23" s="28" t="s">
        <v>208</v>
      </c>
      <c r="AE23" s="28"/>
      <c r="AF23" s="28" t="str">
        <f t="shared" si="0"/>
        <v>mayo</v>
      </c>
      <c r="AH23" t="s">
        <v>245</v>
      </c>
      <c r="AI23" t="s">
        <v>386</v>
      </c>
      <c r="AJ23" t="s">
        <v>242</v>
      </c>
      <c r="AK23" s="32" t="s">
        <v>192</v>
      </c>
      <c r="AL23">
        <v>4</v>
      </c>
    </row>
    <row r="24" spans="1:38" ht="115" hidden="1" x14ac:dyDescent="0.35">
      <c r="A24" s="28" t="s">
        <v>644</v>
      </c>
      <c r="B24" s="28" t="s">
        <v>127</v>
      </c>
      <c r="C24" s="28" t="s">
        <v>202</v>
      </c>
      <c r="D24" s="28" t="s">
        <v>645</v>
      </c>
      <c r="E24" s="28" t="s">
        <v>646</v>
      </c>
      <c r="F24" s="28" t="s">
        <v>192</v>
      </c>
      <c r="G24" s="28" t="s">
        <v>70</v>
      </c>
      <c r="H24" s="28"/>
      <c r="I24" s="28" t="s">
        <v>647</v>
      </c>
      <c r="J24" s="28" t="s">
        <v>132</v>
      </c>
      <c r="K24" s="29">
        <v>46172.811759259261</v>
      </c>
      <c r="L24" s="29">
        <v>46151.875</v>
      </c>
      <c r="M24" s="29">
        <v>46151.958333333336</v>
      </c>
      <c r="N24" s="29">
        <v>46172.811851851853</v>
      </c>
      <c r="O24" s="29">
        <v>46173.76834490741</v>
      </c>
      <c r="P24" s="28"/>
      <c r="Q24" s="28" t="s">
        <v>42</v>
      </c>
      <c r="R24" s="28" t="s">
        <v>129</v>
      </c>
      <c r="S24" s="28" t="s">
        <v>70</v>
      </c>
      <c r="T24" s="28" t="s">
        <v>648</v>
      </c>
      <c r="U24" s="28"/>
      <c r="V24" s="28"/>
      <c r="W24" s="28"/>
      <c r="X24" s="28"/>
      <c r="Y24" s="30">
        <v>0</v>
      </c>
      <c r="Z24" s="28"/>
      <c r="AA24" s="28"/>
      <c r="AB24" s="28" t="s">
        <v>649</v>
      </c>
      <c r="AC24" s="28" t="s">
        <v>132</v>
      </c>
      <c r="AD24" s="28" t="s">
        <v>278</v>
      </c>
      <c r="AE24" s="28"/>
      <c r="AF24" s="28" t="str">
        <f t="shared" si="0"/>
        <v>mayo</v>
      </c>
      <c r="AH24" t="s">
        <v>245</v>
      </c>
      <c r="AI24" t="s">
        <v>387</v>
      </c>
      <c r="AJ24" t="s">
        <v>242</v>
      </c>
      <c r="AK24" s="32" t="s">
        <v>192</v>
      </c>
      <c r="AL24">
        <v>1</v>
      </c>
    </row>
    <row r="25" spans="1:38" ht="92" hidden="1" x14ac:dyDescent="0.35">
      <c r="A25" s="28" t="s">
        <v>650</v>
      </c>
      <c r="B25" s="28" t="s">
        <v>127</v>
      </c>
      <c r="C25" s="28" t="s">
        <v>193</v>
      </c>
      <c r="D25" s="28" t="s">
        <v>203</v>
      </c>
      <c r="E25" s="28" t="s">
        <v>204</v>
      </c>
      <c r="F25" s="28" t="s">
        <v>192</v>
      </c>
      <c r="G25" s="28" t="s">
        <v>70</v>
      </c>
      <c r="H25" s="28"/>
      <c r="I25" s="28" t="s">
        <v>205</v>
      </c>
      <c r="J25" s="28" t="s">
        <v>132</v>
      </c>
      <c r="K25" s="29">
        <v>46162.386620370373</v>
      </c>
      <c r="L25" s="29">
        <v>46162.6875</v>
      </c>
      <c r="M25" s="29">
        <v>46162.75</v>
      </c>
      <c r="N25" s="29">
        <v>46172.852789351855</v>
      </c>
      <c r="O25" s="29">
        <v>46173.829224537039</v>
      </c>
      <c r="P25" s="28"/>
      <c r="Q25" s="28" t="s">
        <v>42</v>
      </c>
      <c r="R25" s="28" t="s">
        <v>129</v>
      </c>
      <c r="S25" s="28" t="s">
        <v>70</v>
      </c>
      <c r="T25" s="28" t="s">
        <v>206</v>
      </c>
      <c r="U25" s="28"/>
      <c r="V25" s="28"/>
      <c r="W25" s="28"/>
      <c r="X25" s="28"/>
      <c r="Y25" s="30">
        <v>0</v>
      </c>
      <c r="Z25" s="28"/>
      <c r="AA25" s="28"/>
      <c r="AB25" s="28" t="s">
        <v>207</v>
      </c>
      <c r="AC25" s="28" t="s">
        <v>132</v>
      </c>
      <c r="AD25" s="28" t="s">
        <v>208</v>
      </c>
      <c r="AE25" s="28"/>
      <c r="AF25" s="28" t="str">
        <f t="shared" si="0"/>
        <v>mayo</v>
      </c>
      <c r="AH25" t="s">
        <v>135</v>
      </c>
      <c r="AI25" t="s">
        <v>386</v>
      </c>
      <c r="AJ25" t="s">
        <v>249</v>
      </c>
      <c r="AK25" s="32" t="s">
        <v>131</v>
      </c>
      <c r="AL25">
        <v>1</v>
      </c>
    </row>
    <row r="26" spans="1:38" ht="80.5" hidden="1" x14ac:dyDescent="0.35">
      <c r="A26" s="28" t="s">
        <v>651</v>
      </c>
      <c r="B26" s="28" t="s">
        <v>127</v>
      </c>
      <c r="C26" s="28" t="s">
        <v>522</v>
      </c>
      <c r="D26" s="28" t="s">
        <v>631</v>
      </c>
      <c r="E26" s="28" t="s">
        <v>632</v>
      </c>
      <c r="F26" s="28" t="s">
        <v>131</v>
      </c>
      <c r="G26" s="28" t="s">
        <v>306</v>
      </c>
      <c r="H26" s="28"/>
      <c r="I26" s="28" t="s">
        <v>633</v>
      </c>
      <c r="J26" s="28" t="s">
        <v>302</v>
      </c>
      <c r="K26" s="29">
        <v>46167.294525462959</v>
      </c>
      <c r="L26" s="29">
        <v>46172.333333333336</v>
      </c>
      <c r="M26" s="29">
        <v>46172.541666666664</v>
      </c>
      <c r="N26" s="29">
        <v>46172.377789351849</v>
      </c>
      <c r="O26" s="29">
        <v>46172.555173611108</v>
      </c>
      <c r="P26" s="28"/>
      <c r="Q26" s="28" t="s">
        <v>224</v>
      </c>
      <c r="R26" s="28" t="s">
        <v>239</v>
      </c>
      <c r="S26" s="28" t="s">
        <v>306</v>
      </c>
      <c r="T26" s="28" t="s">
        <v>634</v>
      </c>
      <c r="U26" s="28"/>
      <c r="V26" s="28"/>
      <c r="W26" s="28"/>
      <c r="X26" s="28"/>
      <c r="Y26" s="30">
        <v>0</v>
      </c>
      <c r="Z26" s="28"/>
      <c r="AA26" s="28"/>
      <c r="AB26" s="28" t="s">
        <v>636</v>
      </c>
      <c r="AC26" s="28" t="s">
        <v>302</v>
      </c>
      <c r="AD26" s="28" t="s">
        <v>637</v>
      </c>
      <c r="AE26" s="28"/>
      <c r="AF26" s="28" t="str">
        <f t="shared" si="0"/>
        <v>mayo</v>
      </c>
      <c r="AH26" t="s">
        <v>135</v>
      </c>
      <c r="AI26" t="s">
        <v>386</v>
      </c>
      <c r="AJ26" t="s">
        <v>249</v>
      </c>
      <c r="AK26" s="32" t="s">
        <v>192</v>
      </c>
      <c r="AL26">
        <v>3</v>
      </c>
    </row>
    <row r="27" spans="1:38" ht="115" hidden="1" x14ac:dyDescent="0.35">
      <c r="A27" s="28" t="s">
        <v>652</v>
      </c>
      <c r="B27" s="28" t="s">
        <v>127</v>
      </c>
      <c r="C27" s="28" t="s">
        <v>653</v>
      </c>
      <c r="D27" s="28" t="s">
        <v>654</v>
      </c>
      <c r="E27" s="28" t="s">
        <v>655</v>
      </c>
      <c r="F27" s="28" t="s">
        <v>131</v>
      </c>
      <c r="G27" s="28" t="s">
        <v>36</v>
      </c>
      <c r="H27" s="28"/>
      <c r="I27" s="28" t="s">
        <v>656</v>
      </c>
      <c r="J27" s="28" t="s">
        <v>132</v>
      </c>
      <c r="K27" s="29">
        <v>46175.569155092591</v>
      </c>
      <c r="L27" s="29">
        <v>46175.375</v>
      </c>
      <c r="M27" s="29">
        <v>46175.583333333336</v>
      </c>
      <c r="N27" s="29">
        <v>46175.569282407407</v>
      </c>
      <c r="O27" s="29">
        <v>46175.707627314812</v>
      </c>
      <c r="P27" s="28"/>
      <c r="Q27" s="28" t="s">
        <v>39</v>
      </c>
      <c r="R27" s="28" t="s">
        <v>129</v>
      </c>
      <c r="S27" s="28" t="s">
        <v>36</v>
      </c>
      <c r="T27" s="28" t="s">
        <v>657</v>
      </c>
      <c r="U27" s="28"/>
      <c r="V27" s="28"/>
      <c r="W27" s="28"/>
      <c r="X27" s="28"/>
      <c r="Y27" s="30">
        <v>0</v>
      </c>
      <c r="Z27" s="28"/>
      <c r="AA27" s="28"/>
      <c r="AB27" s="28" t="s">
        <v>658</v>
      </c>
      <c r="AC27" s="28" t="s">
        <v>132</v>
      </c>
      <c r="AD27" s="28" t="s">
        <v>318</v>
      </c>
      <c r="AE27" s="28"/>
      <c r="AF27" s="28" t="str">
        <f t="shared" si="0"/>
        <v>junio</v>
      </c>
      <c r="AH27" t="s">
        <v>135</v>
      </c>
      <c r="AI27" t="s">
        <v>387</v>
      </c>
      <c r="AJ27" t="s">
        <v>249</v>
      </c>
      <c r="AK27" s="32" t="s">
        <v>192</v>
      </c>
      <c r="AL27">
        <v>1</v>
      </c>
    </row>
    <row r="28" spans="1:38" ht="115" hidden="1" x14ac:dyDescent="0.35">
      <c r="A28" s="28" t="s">
        <v>659</v>
      </c>
      <c r="B28" s="28" t="s">
        <v>127</v>
      </c>
      <c r="C28" s="28" t="s">
        <v>660</v>
      </c>
      <c r="D28" s="28" t="s">
        <v>661</v>
      </c>
      <c r="E28" s="28" t="s">
        <v>662</v>
      </c>
      <c r="F28" s="28" t="s">
        <v>192</v>
      </c>
      <c r="G28" s="28" t="s">
        <v>663</v>
      </c>
      <c r="H28" s="28"/>
      <c r="I28" s="28" t="s">
        <v>664</v>
      </c>
      <c r="J28" s="28" t="s">
        <v>132</v>
      </c>
      <c r="K28" s="29">
        <v>46162.692858796298</v>
      </c>
      <c r="L28" s="29">
        <v>46170.75</v>
      </c>
      <c r="M28" s="29">
        <v>46170.8125</v>
      </c>
      <c r="N28" s="29">
        <v>46176.356782407405</v>
      </c>
      <c r="O28" s="29">
        <v>46176.356851851851</v>
      </c>
      <c r="P28" s="28"/>
      <c r="Q28" s="28" t="s">
        <v>44</v>
      </c>
      <c r="R28" s="28" t="s">
        <v>129</v>
      </c>
      <c r="S28" s="28" t="s">
        <v>663</v>
      </c>
      <c r="T28" s="28" t="s">
        <v>665</v>
      </c>
      <c r="U28" s="28"/>
      <c r="V28" s="28"/>
      <c r="W28" s="28"/>
      <c r="X28" s="28"/>
      <c r="Y28" s="30">
        <v>0</v>
      </c>
      <c r="Z28" s="28"/>
      <c r="AA28" s="28"/>
      <c r="AB28" s="28" t="s">
        <v>666</v>
      </c>
      <c r="AC28" s="28" t="s">
        <v>132</v>
      </c>
      <c r="AD28" s="28" t="s">
        <v>342</v>
      </c>
      <c r="AE28" s="28"/>
      <c r="AF28" s="28" t="str">
        <f t="shared" si="0"/>
        <v>mayo</v>
      </c>
      <c r="AH28" t="s">
        <v>137</v>
      </c>
      <c r="AI28" t="s">
        <v>386</v>
      </c>
      <c r="AJ28" t="s">
        <v>253</v>
      </c>
      <c r="AK28" s="32" t="s">
        <v>192</v>
      </c>
      <c r="AL28">
        <v>2</v>
      </c>
    </row>
    <row r="29" spans="1:38" ht="69" hidden="1" x14ac:dyDescent="0.35">
      <c r="A29" s="28" t="s">
        <v>667</v>
      </c>
      <c r="B29" s="28" t="s">
        <v>127</v>
      </c>
      <c r="C29" s="28" t="s">
        <v>668</v>
      </c>
      <c r="D29" s="28" t="s">
        <v>282</v>
      </c>
      <c r="E29" s="28" t="s">
        <v>283</v>
      </c>
      <c r="F29" s="28" t="s">
        <v>192</v>
      </c>
      <c r="G29" s="28" t="s">
        <v>233</v>
      </c>
      <c r="H29" s="28"/>
      <c r="I29" s="28" t="s">
        <v>285</v>
      </c>
      <c r="J29" s="28" t="s">
        <v>132</v>
      </c>
      <c r="K29" s="29">
        <v>46178.728368055556</v>
      </c>
      <c r="L29" s="29">
        <v>46178.541666666664</v>
      </c>
      <c r="M29" s="29">
        <v>46178.708333333336</v>
      </c>
      <c r="N29" s="29">
        <v>46178.728449074071</v>
      </c>
      <c r="O29" s="29">
        <v>46178.728935185187</v>
      </c>
      <c r="P29" s="28"/>
      <c r="Q29" s="28" t="s">
        <v>234</v>
      </c>
      <c r="R29" s="28" t="s">
        <v>129</v>
      </c>
      <c r="S29" s="28" t="s">
        <v>233</v>
      </c>
      <c r="T29" s="28" t="s">
        <v>287</v>
      </c>
      <c r="U29" s="28"/>
      <c r="V29" s="28"/>
      <c r="W29" s="28"/>
      <c r="X29" s="28"/>
      <c r="Y29" s="30">
        <v>0</v>
      </c>
      <c r="Z29" s="28"/>
      <c r="AA29" s="28"/>
      <c r="AB29" s="28" t="s">
        <v>288</v>
      </c>
      <c r="AC29" s="28" t="s">
        <v>132</v>
      </c>
      <c r="AD29" s="28" t="s">
        <v>289</v>
      </c>
      <c r="AE29" s="28"/>
      <c r="AF29" s="28" t="str">
        <f t="shared" si="0"/>
        <v>junio</v>
      </c>
      <c r="AH29" t="s">
        <v>137</v>
      </c>
      <c r="AI29" t="s">
        <v>386</v>
      </c>
      <c r="AJ29" t="s">
        <v>257</v>
      </c>
      <c r="AK29" s="32" t="s">
        <v>131</v>
      </c>
      <c r="AL29">
        <v>2</v>
      </c>
    </row>
    <row r="30" spans="1:38" ht="126.5" hidden="1" x14ac:dyDescent="0.35">
      <c r="A30" s="28" t="s">
        <v>669</v>
      </c>
      <c r="B30" s="28" t="s">
        <v>414</v>
      </c>
      <c r="C30" s="28" t="s">
        <v>670</v>
      </c>
      <c r="D30" s="28" t="s">
        <v>241</v>
      </c>
      <c r="E30" s="28" t="s">
        <v>165</v>
      </c>
      <c r="F30" s="28" t="s">
        <v>192</v>
      </c>
      <c r="G30" s="28" t="s">
        <v>301</v>
      </c>
      <c r="H30" s="28"/>
      <c r="I30" s="28" t="s">
        <v>243</v>
      </c>
      <c r="J30" s="28" t="s">
        <v>244</v>
      </c>
      <c r="K30" s="29">
        <v>46175.448113425926</v>
      </c>
      <c r="L30" s="29">
        <v>46178.4375</v>
      </c>
      <c r="M30" s="29">
        <v>46178.520833333336</v>
      </c>
      <c r="N30" s="29"/>
      <c r="O30" s="29"/>
      <c r="P30" s="28"/>
      <c r="Q30" s="28" t="s">
        <v>224</v>
      </c>
      <c r="R30" s="28" t="s">
        <v>239</v>
      </c>
      <c r="S30" s="28" t="s">
        <v>301</v>
      </c>
      <c r="T30" s="28" t="s">
        <v>303</v>
      </c>
      <c r="U30" s="28"/>
      <c r="V30" s="28"/>
      <c r="W30" s="28"/>
      <c r="X30" s="28"/>
      <c r="Y30" s="30">
        <v>0</v>
      </c>
      <c r="Z30" s="28"/>
      <c r="AA30" s="28"/>
      <c r="AB30" s="28" t="s">
        <v>304</v>
      </c>
      <c r="AC30" s="28" t="s">
        <v>244</v>
      </c>
      <c r="AD30" s="28" t="s">
        <v>246</v>
      </c>
      <c r="AE30" s="28"/>
      <c r="AF30" s="28" t="str">
        <f t="shared" si="0"/>
        <v>junio</v>
      </c>
      <c r="AH30" t="s">
        <v>137</v>
      </c>
      <c r="AI30" t="s">
        <v>386</v>
      </c>
      <c r="AJ30" t="s">
        <v>307</v>
      </c>
      <c r="AK30" s="32" t="s">
        <v>192</v>
      </c>
      <c r="AL30">
        <v>1</v>
      </c>
    </row>
    <row r="31" spans="1:38" ht="149.5" hidden="1" x14ac:dyDescent="0.35">
      <c r="A31" s="28" t="s">
        <v>671</v>
      </c>
      <c r="B31" s="28" t="s">
        <v>127</v>
      </c>
      <c r="C31" s="28" t="s">
        <v>672</v>
      </c>
      <c r="D31" s="28" t="s">
        <v>673</v>
      </c>
      <c r="E31" s="28" t="s">
        <v>674</v>
      </c>
      <c r="F31" s="28" t="s">
        <v>192</v>
      </c>
      <c r="G31" s="28" t="s">
        <v>301</v>
      </c>
      <c r="H31" s="28"/>
      <c r="I31" s="28" t="s">
        <v>675</v>
      </c>
      <c r="J31" s="28" t="s">
        <v>302</v>
      </c>
      <c r="K31" s="29">
        <v>46178.370671296296</v>
      </c>
      <c r="L31" s="29">
        <v>46178.375</v>
      </c>
      <c r="M31" s="29">
        <v>46178.5625</v>
      </c>
      <c r="N31" s="29">
        <v>46178.40761574074</v>
      </c>
      <c r="O31" s="29">
        <v>46178.578217592592</v>
      </c>
      <c r="P31" s="28" t="s">
        <v>676</v>
      </c>
      <c r="Q31" s="28" t="s">
        <v>224</v>
      </c>
      <c r="R31" s="28" t="s">
        <v>239</v>
      </c>
      <c r="S31" s="28" t="s">
        <v>301</v>
      </c>
      <c r="T31" s="28" t="s">
        <v>677</v>
      </c>
      <c r="U31" s="28"/>
      <c r="V31" s="28"/>
      <c r="W31" s="28"/>
      <c r="X31" s="28"/>
      <c r="Y31" s="30">
        <v>0</v>
      </c>
      <c r="Z31" s="28"/>
      <c r="AA31" s="28"/>
      <c r="AB31" s="28" t="s">
        <v>678</v>
      </c>
      <c r="AC31" s="28" t="s">
        <v>302</v>
      </c>
      <c r="AD31" s="28" t="s">
        <v>679</v>
      </c>
      <c r="AE31" s="28"/>
      <c r="AF31" s="28" t="str">
        <f t="shared" si="0"/>
        <v>junio</v>
      </c>
      <c r="AH31" t="s">
        <v>137</v>
      </c>
      <c r="AI31" t="s">
        <v>386</v>
      </c>
      <c r="AJ31" t="s">
        <v>308</v>
      </c>
      <c r="AK31" s="32" t="s">
        <v>131</v>
      </c>
      <c r="AL31">
        <v>1</v>
      </c>
    </row>
    <row r="32" spans="1:38" ht="92" hidden="1" x14ac:dyDescent="0.35">
      <c r="A32" s="28" t="s">
        <v>680</v>
      </c>
      <c r="B32" s="28" t="s">
        <v>681</v>
      </c>
      <c r="C32" s="28" t="s">
        <v>682</v>
      </c>
      <c r="D32" s="28" t="s">
        <v>683</v>
      </c>
      <c r="E32" s="28" t="s">
        <v>684</v>
      </c>
      <c r="F32" s="28" t="s">
        <v>192</v>
      </c>
      <c r="G32" s="28" t="s">
        <v>253</v>
      </c>
      <c r="H32" s="28"/>
      <c r="I32" s="28" t="s">
        <v>685</v>
      </c>
      <c r="J32" s="28" t="s">
        <v>686</v>
      </c>
      <c r="K32" s="29">
        <v>46183.436261574076</v>
      </c>
      <c r="L32" s="29">
        <v>46183.645833333336</v>
      </c>
      <c r="M32" s="29">
        <v>46183.708333333336</v>
      </c>
      <c r="N32" s="29"/>
      <c r="O32" s="29"/>
      <c r="P32" s="28"/>
      <c r="Q32" s="28" t="s">
        <v>137</v>
      </c>
      <c r="R32" s="28" t="s">
        <v>239</v>
      </c>
      <c r="S32" s="28" t="s">
        <v>253</v>
      </c>
      <c r="T32" s="28" t="s">
        <v>687</v>
      </c>
      <c r="U32" s="28"/>
      <c r="V32" s="28"/>
      <c r="W32" s="28"/>
      <c r="X32" s="28"/>
      <c r="Y32" s="30">
        <v>0</v>
      </c>
      <c r="Z32" s="28"/>
      <c r="AA32" s="28"/>
      <c r="AB32" s="28" t="s">
        <v>688</v>
      </c>
      <c r="AC32" s="28" t="s">
        <v>686</v>
      </c>
      <c r="AD32" s="28" t="s">
        <v>689</v>
      </c>
      <c r="AE32" s="28"/>
      <c r="AF32" s="28" t="str">
        <f t="shared" si="0"/>
        <v>junio</v>
      </c>
      <c r="AH32" t="s">
        <v>137</v>
      </c>
      <c r="AI32" t="s">
        <v>386</v>
      </c>
      <c r="AJ32" t="s">
        <v>308</v>
      </c>
      <c r="AK32" s="32" t="s">
        <v>192</v>
      </c>
      <c r="AL32">
        <v>1</v>
      </c>
    </row>
    <row r="33" spans="1:38" ht="138" hidden="1" x14ac:dyDescent="0.35">
      <c r="A33" s="28" t="s">
        <v>690</v>
      </c>
      <c r="B33" s="28" t="s">
        <v>127</v>
      </c>
      <c r="C33" s="28" t="s">
        <v>691</v>
      </c>
      <c r="D33" s="28" t="s">
        <v>692</v>
      </c>
      <c r="E33" s="28" t="s">
        <v>693</v>
      </c>
      <c r="F33" s="28" t="s">
        <v>131</v>
      </c>
      <c r="G33" s="28" t="s">
        <v>621</v>
      </c>
      <c r="H33" s="28"/>
      <c r="I33" s="28" t="s">
        <v>128</v>
      </c>
      <c r="J33" s="28"/>
      <c r="K33" s="29">
        <v>46182.833182870374</v>
      </c>
      <c r="L33" s="29">
        <v>46183.354166666664</v>
      </c>
      <c r="M33" s="29">
        <v>46183.6875</v>
      </c>
      <c r="N33" s="29">
        <v>46183.363877314812</v>
      </c>
      <c r="O33" s="29">
        <v>46183.631921296299</v>
      </c>
      <c r="P33" s="28"/>
      <c r="Q33" s="28" t="s">
        <v>224</v>
      </c>
      <c r="R33" s="28" t="s">
        <v>239</v>
      </c>
      <c r="S33" s="28" t="s">
        <v>621</v>
      </c>
      <c r="T33" s="28" t="s">
        <v>694</v>
      </c>
      <c r="U33" s="28"/>
      <c r="V33" s="28"/>
      <c r="W33" s="28" t="s">
        <v>695</v>
      </c>
      <c r="X33" s="28"/>
      <c r="Y33" s="30">
        <v>0</v>
      </c>
      <c r="Z33" s="28"/>
      <c r="AA33" s="28"/>
      <c r="AB33" s="28" t="s">
        <v>128</v>
      </c>
      <c r="AC33" s="28"/>
      <c r="AD33" s="28"/>
      <c r="AE33" s="28"/>
      <c r="AF33" s="28" t="str">
        <f t="shared" si="0"/>
        <v>junio</v>
      </c>
      <c r="AH33" t="s">
        <v>148</v>
      </c>
      <c r="AI33" t="s">
        <v>385</v>
      </c>
      <c r="AJ33" t="s">
        <v>254</v>
      </c>
      <c r="AK33" s="32" t="s">
        <v>192</v>
      </c>
      <c r="AL33">
        <v>1</v>
      </c>
    </row>
    <row r="34" spans="1:38" ht="34.5" hidden="1" x14ac:dyDescent="0.35">
      <c r="A34" s="28" t="s">
        <v>696</v>
      </c>
      <c r="B34" s="28" t="s">
        <v>127</v>
      </c>
      <c r="C34" s="28" t="s">
        <v>697</v>
      </c>
      <c r="D34" s="28" t="s">
        <v>698</v>
      </c>
      <c r="E34" s="28" t="s">
        <v>699</v>
      </c>
      <c r="F34" s="28" t="s">
        <v>192</v>
      </c>
      <c r="G34" s="28" t="s">
        <v>598</v>
      </c>
      <c r="H34" s="28"/>
      <c r="I34" s="28" t="s">
        <v>128</v>
      </c>
      <c r="J34" s="28"/>
      <c r="K34" s="29">
        <v>46183.457453703704</v>
      </c>
      <c r="L34" s="29">
        <v>46183.458333333336</v>
      </c>
      <c r="M34" s="29">
        <v>46183.6875</v>
      </c>
      <c r="N34" s="29">
        <v>46183.487592592595</v>
      </c>
      <c r="O34" s="29">
        <v>46183.686331018522</v>
      </c>
      <c r="P34" s="28"/>
      <c r="Q34" s="28" t="s">
        <v>600</v>
      </c>
      <c r="R34" s="28" t="s">
        <v>129</v>
      </c>
      <c r="S34" s="28" t="s">
        <v>598</v>
      </c>
      <c r="T34" s="28" t="s">
        <v>700</v>
      </c>
      <c r="U34" s="28"/>
      <c r="V34" s="28"/>
      <c r="W34" s="28"/>
      <c r="X34" s="28"/>
      <c r="Y34" s="30">
        <v>0</v>
      </c>
      <c r="Z34" s="28"/>
      <c r="AA34" s="28"/>
      <c r="AB34" s="28" t="s">
        <v>128</v>
      </c>
      <c r="AC34" s="28"/>
      <c r="AD34" s="28"/>
      <c r="AE34" s="28"/>
      <c r="AF34" s="28" t="str">
        <f t="shared" ref="AF34:AF65" si="1">TEXT(L34,"mmmm")</f>
        <v>junio</v>
      </c>
      <c r="AH34" t="s">
        <v>148</v>
      </c>
      <c r="AI34" t="s">
        <v>386</v>
      </c>
      <c r="AJ34" t="s">
        <v>267</v>
      </c>
      <c r="AK34" s="32" t="s">
        <v>131</v>
      </c>
      <c r="AL34">
        <v>1</v>
      </c>
    </row>
    <row r="35" spans="1:38" ht="103.5" hidden="1" x14ac:dyDescent="0.35">
      <c r="A35" s="28" t="s">
        <v>701</v>
      </c>
      <c r="B35" s="28" t="s">
        <v>127</v>
      </c>
      <c r="C35" s="28" t="s">
        <v>702</v>
      </c>
      <c r="D35" s="28" t="s">
        <v>256</v>
      </c>
      <c r="E35" s="28" t="s">
        <v>136</v>
      </c>
      <c r="F35" s="28" t="s">
        <v>192</v>
      </c>
      <c r="G35" s="28" t="s">
        <v>266</v>
      </c>
      <c r="H35" s="28"/>
      <c r="I35" s="28" t="s">
        <v>258</v>
      </c>
      <c r="J35" s="28" t="s">
        <v>259</v>
      </c>
      <c r="K35" s="29">
        <v>46167.546597222223</v>
      </c>
      <c r="L35" s="29">
        <v>46167.270833333336</v>
      </c>
      <c r="M35" s="29">
        <v>46167.541666666664</v>
      </c>
      <c r="N35" s="29">
        <v>46167.546736111108</v>
      </c>
      <c r="O35" s="29">
        <v>46184.693043981482</v>
      </c>
      <c r="P35" s="28"/>
      <c r="Q35" s="28" t="s">
        <v>147</v>
      </c>
      <c r="R35" s="28" t="s">
        <v>239</v>
      </c>
      <c r="S35" s="28" t="s">
        <v>266</v>
      </c>
      <c r="T35" s="28" t="s">
        <v>260</v>
      </c>
      <c r="U35" s="28"/>
      <c r="V35" s="28"/>
      <c r="W35" s="28"/>
      <c r="X35" s="28"/>
      <c r="Y35" s="30">
        <v>0</v>
      </c>
      <c r="Z35" s="28"/>
      <c r="AA35" s="28"/>
      <c r="AB35" s="28" t="s">
        <v>261</v>
      </c>
      <c r="AC35" s="28" t="s">
        <v>259</v>
      </c>
      <c r="AD35" s="28" t="s">
        <v>262</v>
      </c>
      <c r="AE35" s="28"/>
      <c r="AF35" s="28" t="str">
        <f t="shared" si="1"/>
        <v>mayo</v>
      </c>
      <c r="AH35" t="s">
        <v>264</v>
      </c>
      <c r="AI35" t="s">
        <v>386</v>
      </c>
      <c r="AJ35" t="s">
        <v>263</v>
      </c>
      <c r="AK35" s="32" t="s">
        <v>192</v>
      </c>
      <c r="AL35">
        <v>1</v>
      </c>
    </row>
    <row r="36" spans="1:38" ht="115" hidden="1" x14ac:dyDescent="0.35">
      <c r="A36" s="28" t="s">
        <v>703</v>
      </c>
      <c r="B36" s="28" t="s">
        <v>127</v>
      </c>
      <c r="C36" s="28" t="s">
        <v>704</v>
      </c>
      <c r="D36" s="28" t="s">
        <v>271</v>
      </c>
      <c r="E36" s="28" t="s">
        <v>162</v>
      </c>
      <c r="F36" s="28" t="s">
        <v>131</v>
      </c>
      <c r="G36" s="28" t="s">
        <v>272</v>
      </c>
      <c r="H36" s="28"/>
      <c r="I36" s="28" t="s">
        <v>273</v>
      </c>
      <c r="J36" s="28" t="s">
        <v>244</v>
      </c>
      <c r="K36" s="29">
        <v>46179.658564814818</v>
      </c>
      <c r="L36" s="29">
        <v>46183.333333333336</v>
      </c>
      <c r="M36" s="29">
        <v>46183.541666666664</v>
      </c>
      <c r="N36" s="29">
        <v>46183.399756944447</v>
      </c>
      <c r="O36" s="29">
        <v>46183.908356481479</v>
      </c>
      <c r="P36" s="28"/>
      <c r="Q36" s="28" t="s">
        <v>163</v>
      </c>
      <c r="R36" s="28" t="s">
        <v>239</v>
      </c>
      <c r="S36" s="28" t="s">
        <v>272</v>
      </c>
      <c r="T36" s="28" t="s">
        <v>274</v>
      </c>
      <c r="U36" s="28"/>
      <c r="V36" s="28"/>
      <c r="W36" s="28"/>
      <c r="X36" s="28"/>
      <c r="Y36" s="30">
        <v>0</v>
      </c>
      <c r="Z36" s="28"/>
      <c r="AA36" s="28"/>
      <c r="AB36" s="28" t="s">
        <v>275</v>
      </c>
      <c r="AC36" s="28" t="s">
        <v>244</v>
      </c>
      <c r="AD36" s="28" t="s">
        <v>276</v>
      </c>
      <c r="AE36" s="28"/>
      <c r="AF36" s="28" t="str">
        <f t="shared" si="1"/>
        <v>junio</v>
      </c>
      <c r="AH36" t="s">
        <v>265</v>
      </c>
      <c r="AI36" t="s">
        <v>386</v>
      </c>
      <c r="AJ36" t="s">
        <v>242</v>
      </c>
      <c r="AK36" s="32" t="s">
        <v>192</v>
      </c>
      <c r="AL36">
        <v>4</v>
      </c>
    </row>
    <row r="37" spans="1:38" ht="92" hidden="1" x14ac:dyDescent="0.35">
      <c r="A37" s="28" t="s">
        <v>705</v>
      </c>
      <c r="B37" s="28" t="s">
        <v>127</v>
      </c>
      <c r="C37" s="28" t="s">
        <v>706</v>
      </c>
      <c r="D37" s="28" t="s">
        <v>140</v>
      </c>
      <c r="E37" s="28" t="s">
        <v>141</v>
      </c>
      <c r="F37" s="28" t="s">
        <v>192</v>
      </c>
      <c r="G37" s="28" t="s">
        <v>38</v>
      </c>
      <c r="H37" s="28"/>
      <c r="I37" s="28" t="s">
        <v>142</v>
      </c>
      <c r="J37" s="28" t="s">
        <v>132</v>
      </c>
      <c r="K37" s="29">
        <v>46183.460509259261</v>
      </c>
      <c r="L37" s="29">
        <v>46183.708333333336</v>
      </c>
      <c r="M37" s="29">
        <v>46183.833333333336</v>
      </c>
      <c r="N37" s="29">
        <v>46183.460578703707</v>
      </c>
      <c r="O37" s="29">
        <v>46184.316145833334</v>
      </c>
      <c r="P37" s="28"/>
      <c r="Q37" s="28" t="s">
        <v>37</v>
      </c>
      <c r="R37" s="28" t="s">
        <v>129</v>
      </c>
      <c r="S37" s="28" t="s">
        <v>38</v>
      </c>
      <c r="T37" s="28" t="s">
        <v>143</v>
      </c>
      <c r="U37" s="28"/>
      <c r="V37" s="28"/>
      <c r="W37" s="28"/>
      <c r="X37" s="28"/>
      <c r="Y37" s="30">
        <v>0</v>
      </c>
      <c r="Z37" s="28"/>
      <c r="AA37" s="28"/>
      <c r="AB37" s="28" t="s">
        <v>144</v>
      </c>
      <c r="AC37" s="28" t="s">
        <v>132</v>
      </c>
      <c r="AD37" s="28" t="s">
        <v>145</v>
      </c>
      <c r="AE37" s="28"/>
      <c r="AF37" s="28" t="str">
        <f t="shared" si="1"/>
        <v>junio</v>
      </c>
      <c r="AH37" t="s">
        <v>147</v>
      </c>
      <c r="AI37" t="s">
        <v>386</v>
      </c>
      <c r="AJ37" t="s">
        <v>266</v>
      </c>
      <c r="AK37" s="32" t="s">
        <v>131</v>
      </c>
      <c r="AL37">
        <v>1</v>
      </c>
    </row>
    <row r="38" spans="1:38" ht="92" hidden="1" x14ac:dyDescent="0.35">
      <c r="A38" s="28" t="s">
        <v>707</v>
      </c>
      <c r="B38" s="28" t="s">
        <v>127</v>
      </c>
      <c r="C38" s="28" t="s">
        <v>708</v>
      </c>
      <c r="D38" s="28" t="s">
        <v>140</v>
      </c>
      <c r="E38" s="28" t="s">
        <v>141</v>
      </c>
      <c r="F38" s="28" t="s">
        <v>192</v>
      </c>
      <c r="G38" s="28" t="s">
        <v>187</v>
      </c>
      <c r="H38" s="28"/>
      <c r="I38" s="28" t="s">
        <v>142</v>
      </c>
      <c r="J38" s="28" t="s">
        <v>132</v>
      </c>
      <c r="K38" s="29">
        <v>46183.457546296297</v>
      </c>
      <c r="L38" s="29">
        <v>46183.708333333336</v>
      </c>
      <c r="M38" s="29">
        <v>46183.833333333336</v>
      </c>
      <c r="N38" s="29">
        <v>46184.349270833336</v>
      </c>
      <c r="O38" s="29">
        <v>46184.34952546296</v>
      </c>
      <c r="P38" s="28" t="s">
        <v>708</v>
      </c>
      <c r="Q38" s="28" t="s">
        <v>709</v>
      </c>
      <c r="R38" s="28" t="s">
        <v>129</v>
      </c>
      <c r="S38" s="28" t="s">
        <v>187</v>
      </c>
      <c r="T38" s="28" t="s">
        <v>143</v>
      </c>
      <c r="U38" s="28"/>
      <c r="V38" s="28"/>
      <c r="W38" s="28"/>
      <c r="X38" s="28"/>
      <c r="Y38" s="30">
        <v>0</v>
      </c>
      <c r="Z38" s="28"/>
      <c r="AA38" s="28"/>
      <c r="AB38" s="28" t="s">
        <v>144</v>
      </c>
      <c r="AC38" s="28" t="s">
        <v>132</v>
      </c>
      <c r="AD38" s="28" t="s">
        <v>145</v>
      </c>
      <c r="AE38" s="28"/>
      <c r="AF38" s="28" t="str">
        <f t="shared" si="1"/>
        <v>junio</v>
      </c>
      <c r="AH38" t="s">
        <v>147</v>
      </c>
      <c r="AI38" t="s">
        <v>386</v>
      </c>
      <c r="AJ38" t="s">
        <v>266</v>
      </c>
      <c r="AK38" s="32" t="s">
        <v>192</v>
      </c>
      <c r="AL38">
        <v>1</v>
      </c>
    </row>
    <row r="39" spans="1:38" ht="69" hidden="1" x14ac:dyDescent="0.35">
      <c r="A39" s="28" t="s">
        <v>710</v>
      </c>
      <c r="B39" s="28" t="s">
        <v>127</v>
      </c>
      <c r="C39" s="28" t="s">
        <v>711</v>
      </c>
      <c r="D39" s="28" t="s">
        <v>241</v>
      </c>
      <c r="E39" s="28" t="s">
        <v>165</v>
      </c>
      <c r="F39" s="28" t="s">
        <v>131</v>
      </c>
      <c r="G39" s="28" t="s">
        <v>272</v>
      </c>
      <c r="H39" s="28"/>
      <c r="I39" s="28" t="s">
        <v>243</v>
      </c>
      <c r="J39" s="28" t="s">
        <v>244</v>
      </c>
      <c r="K39" s="29">
        <v>46179.659814814811</v>
      </c>
      <c r="L39" s="29">
        <v>46184.333333333336</v>
      </c>
      <c r="M39" s="29">
        <v>46184.5625</v>
      </c>
      <c r="N39" s="29">
        <v>46184.404004629629</v>
      </c>
      <c r="O39" s="29">
        <v>46184.721863425926</v>
      </c>
      <c r="P39" s="28"/>
      <c r="Q39" s="28" t="s">
        <v>163</v>
      </c>
      <c r="R39" s="28" t="s">
        <v>239</v>
      </c>
      <c r="S39" s="28" t="s">
        <v>272</v>
      </c>
      <c r="T39" s="28" t="s">
        <v>303</v>
      </c>
      <c r="U39" s="28"/>
      <c r="V39" s="28"/>
      <c r="W39" s="28"/>
      <c r="X39" s="28"/>
      <c r="Y39" s="30">
        <v>0</v>
      </c>
      <c r="Z39" s="28"/>
      <c r="AA39" s="28"/>
      <c r="AB39" s="28" t="s">
        <v>304</v>
      </c>
      <c r="AC39" s="28" t="s">
        <v>244</v>
      </c>
      <c r="AD39" s="28" t="s">
        <v>246</v>
      </c>
      <c r="AE39" s="28"/>
      <c r="AF39" s="28" t="str">
        <f t="shared" si="1"/>
        <v>junio</v>
      </c>
      <c r="AH39" t="s">
        <v>269</v>
      </c>
      <c r="AI39" t="s">
        <v>386</v>
      </c>
      <c r="AJ39" t="s">
        <v>268</v>
      </c>
      <c r="AK39" s="32" t="s">
        <v>192</v>
      </c>
      <c r="AL39">
        <v>2</v>
      </c>
    </row>
    <row r="40" spans="1:38" ht="115" hidden="1" x14ac:dyDescent="0.35">
      <c r="A40" s="28" t="s">
        <v>712</v>
      </c>
      <c r="B40" s="28" t="s">
        <v>127</v>
      </c>
      <c r="C40" s="28" t="s">
        <v>713</v>
      </c>
      <c r="D40" s="28" t="s">
        <v>271</v>
      </c>
      <c r="E40" s="28" t="s">
        <v>162</v>
      </c>
      <c r="F40" s="28" t="s">
        <v>192</v>
      </c>
      <c r="G40" s="28" t="s">
        <v>272</v>
      </c>
      <c r="H40" s="28"/>
      <c r="I40" s="28" t="s">
        <v>273</v>
      </c>
      <c r="J40" s="28" t="s">
        <v>244</v>
      </c>
      <c r="K40" s="29">
        <v>46179.664606481485</v>
      </c>
      <c r="L40" s="29">
        <v>46180.354166666664</v>
      </c>
      <c r="M40" s="29">
        <v>46180.5</v>
      </c>
      <c r="N40" s="29">
        <v>46180.347372685188</v>
      </c>
      <c r="O40" s="29">
        <v>46184.729930555557</v>
      </c>
      <c r="P40" s="28"/>
      <c r="Q40" s="28" t="s">
        <v>163</v>
      </c>
      <c r="R40" s="28" t="s">
        <v>239</v>
      </c>
      <c r="S40" s="28" t="s">
        <v>272</v>
      </c>
      <c r="T40" s="28" t="s">
        <v>274</v>
      </c>
      <c r="U40" s="28"/>
      <c r="V40" s="28"/>
      <c r="W40" s="28"/>
      <c r="X40" s="28"/>
      <c r="Y40" s="30">
        <v>0</v>
      </c>
      <c r="Z40" s="28"/>
      <c r="AA40" s="28"/>
      <c r="AB40" s="28" t="s">
        <v>275</v>
      </c>
      <c r="AC40" s="28" t="s">
        <v>244</v>
      </c>
      <c r="AD40" s="28" t="s">
        <v>276</v>
      </c>
      <c r="AE40" s="28"/>
      <c r="AF40" s="28" t="str">
        <f t="shared" si="1"/>
        <v>junio</v>
      </c>
      <c r="AH40" t="s">
        <v>269</v>
      </c>
      <c r="AI40" t="s">
        <v>386</v>
      </c>
      <c r="AJ40" t="s">
        <v>292</v>
      </c>
      <c r="AK40" s="32" t="s">
        <v>192</v>
      </c>
      <c r="AL40">
        <v>2</v>
      </c>
    </row>
    <row r="41" spans="1:38" ht="92" hidden="1" x14ac:dyDescent="0.35">
      <c r="A41" s="28" t="s">
        <v>714</v>
      </c>
      <c r="B41" s="28" t="s">
        <v>127</v>
      </c>
      <c r="C41" s="28" t="s">
        <v>715</v>
      </c>
      <c r="D41" s="28" t="s">
        <v>241</v>
      </c>
      <c r="E41" s="28" t="s">
        <v>165</v>
      </c>
      <c r="F41" s="28" t="s">
        <v>192</v>
      </c>
      <c r="G41" s="28" t="s">
        <v>516</v>
      </c>
      <c r="H41" s="28"/>
      <c r="I41" s="28" t="s">
        <v>243</v>
      </c>
      <c r="J41" s="28" t="s">
        <v>244</v>
      </c>
      <c r="K41" s="29">
        <v>46182.400787037041</v>
      </c>
      <c r="L41" s="29">
        <v>46184.333333333336</v>
      </c>
      <c r="M41" s="29">
        <v>46184.666666666664</v>
      </c>
      <c r="N41" s="29">
        <v>46184.383553240739</v>
      </c>
      <c r="O41" s="29">
        <v>46184.781388888892</v>
      </c>
      <c r="P41" s="28" t="s">
        <v>716</v>
      </c>
      <c r="Q41" s="28" t="s">
        <v>518</v>
      </c>
      <c r="R41" s="28" t="s">
        <v>239</v>
      </c>
      <c r="S41" s="28" t="s">
        <v>516</v>
      </c>
      <c r="T41" s="28" t="s">
        <v>303</v>
      </c>
      <c r="U41" s="28"/>
      <c r="V41" s="28"/>
      <c r="W41" s="28"/>
      <c r="X41" s="28"/>
      <c r="Y41" s="30">
        <v>0</v>
      </c>
      <c r="Z41" s="28"/>
      <c r="AA41" s="28"/>
      <c r="AB41" s="28" t="s">
        <v>304</v>
      </c>
      <c r="AC41" s="28" t="s">
        <v>244</v>
      </c>
      <c r="AD41" s="28" t="s">
        <v>246</v>
      </c>
      <c r="AE41" s="28"/>
      <c r="AF41" s="28" t="str">
        <f t="shared" si="1"/>
        <v>junio</v>
      </c>
      <c r="AH41" t="s">
        <v>269</v>
      </c>
      <c r="AI41" t="s">
        <v>387</v>
      </c>
      <c r="AJ41" t="s">
        <v>292</v>
      </c>
      <c r="AK41" s="32" t="s">
        <v>192</v>
      </c>
      <c r="AL41">
        <v>1</v>
      </c>
    </row>
    <row r="42" spans="1:38" ht="80.5" hidden="1" x14ac:dyDescent="0.35">
      <c r="A42" s="28" t="s">
        <v>717</v>
      </c>
      <c r="B42" s="28" t="s">
        <v>127</v>
      </c>
      <c r="C42" s="28" t="s">
        <v>718</v>
      </c>
      <c r="D42" s="28" t="s">
        <v>719</v>
      </c>
      <c r="E42" s="28" t="s">
        <v>720</v>
      </c>
      <c r="F42" s="28" t="s">
        <v>192</v>
      </c>
      <c r="G42" s="28" t="s">
        <v>45</v>
      </c>
      <c r="H42" s="28"/>
      <c r="I42" s="28" t="s">
        <v>721</v>
      </c>
      <c r="J42" s="28" t="s">
        <v>132</v>
      </c>
      <c r="K42" s="29">
        <v>46168.770092592589</v>
      </c>
      <c r="L42" s="29">
        <v>46183.708333333336</v>
      </c>
      <c r="M42" s="29">
        <v>46183.833333333336</v>
      </c>
      <c r="N42" s="29">
        <v>46185.336875000001</v>
      </c>
      <c r="O42" s="29">
        <v>46185.337141203701</v>
      </c>
      <c r="P42" s="28" t="s">
        <v>722</v>
      </c>
      <c r="Q42" s="28" t="s">
        <v>44</v>
      </c>
      <c r="R42" s="28" t="s">
        <v>129</v>
      </c>
      <c r="S42" s="28" t="s">
        <v>45</v>
      </c>
      <c r="T42" s="28" t="s">
        <v>723</v>
      </c>
      <c r="U42" s="28"/>
      <c r="V42" s="28"/>
      <c r="W42" s="28"/>
      <c r="X42" s="28"/>
      <c r="Y42" s="30">
        <v>0</v>
      </c>
      <c r="Z42" s="28"/>
      <c r="AA42" s="28"/>
      <c r="AB42" s="28" t="s">
        <v>724</v>
      </c>
      <c r="AC42" s="28" t="s">
        <v>132</v>
      </c>
      <c r="AD42" s="28" t="s">
        <v>139</v>
      </c>
      <c r="AE42" s="28"/>
      <c r="AF42" s="28" t="str">
        <f t="shared" si="1"/>
        <v>junio</v>
      </c>
      <c r="AH42" t="s">
        <v>163</v>
      </c>
      <c r="AI42" t="s">
        <v>386</v>
      </c>
      <c r="AJ42" t="s">
        <v>272</v>
      </c>
      <c r="AK42" s="32" t="s">
        <v>192</v>
      </c>
      <c r="AL42">
        <v>1</v>
      </c>
    </row>
    <row r="43" spans="1:38" ht="92" hidden="1" x14ac:dyDescent="0.35">
      <c r="A43" s="28" t="s">
        <v>725</v>
      </c>
      <c r="B43" s="28" t="s">
        <v>555</v>
      </c>
      <c r="C43" s="28" t="s">
        <v>726</v>
      </c>
      <c r="D43" s="28" t="s">
        <v>727</v>
      </c>
      <c r="E43" s="28" t="s">
        <v>728</v>
      </c>
      <c r="F43" s="28" t="s">
        <v>192</v>
      </c>
      <c r="G43" s="28" t="s">
        <v>413</v>
      </c>
      <c r="H43" s="28"/>
      <c r="I43" s="28" t="s">
        <v>729</v>
      </c>
      <c r="J43" s="28" t="s">
        <v>132</v>
      </c>
      <c r="K43" s="29">
        <v>46185.338842592595</v>
      </c>
      <c r="L43" s="29">
        <v>46185.3125</v>
      </c>
      <c r="M43" s="29">
        <v>46185.666666666664</v>
      </c>
      <c r="N43" s="29">
        <v>46185.339108796295</v>
      </c>
      <c r="O43" s="29"/>
      <c r="P43" s="28"/>
      <c r="Q43" s="28" t="s">
        <v>39</v>
      </c>
      <c r="R43" s="28" t="s">
        <v>129</v>
      </c>
      <c r="S43" s="28" t="s">
        <v>413</v>
      </c>
      <c r="T43" s="28" t="s">
        <v>730</v>
      </c>
      <c r="U43" s="28"/>
      <c r="V43" s="28"/>
      <c r="W43" s="28"/>
      <c r="X43" s="28"/>
      <c r="Y43" s="30">
        <v>0</v>
      </c>
      <c r="Z43" s="28"/>
      <c r="AA43" s="28"/>
      <c r="AB43" s="28" t="s">
        <v>731</v>
      </c>
      <c r="AC43" s="28" t="s">
        <v>132</v>
      </c>
      <c r="AD43" s="28" t="s">
        <v>320</v>
      </c>
      <c r="AE43" s="28"/>
      <c r="AF43" s="28" t="str">
        <f t="shared" si="1"/>
        <v>junio</v>
      </c>
      <c r="AH43" t="s">
        <v>163</v>
      </c>
      <c r="AI43" t="s">
        <v>387</v>
      </c>
      <c r="AJ43" t="s">
        <v>272</v>
      </c>
      <c r="AK43" s="32" t="s">
        <v>131</v>
      </c>
      <c r="AL43">
        <v>1</v>
      </c>
    </row>
    <row r="44" spans="1:38" ht="92" hidden="1" x14ac:dyDescent="0.35">
      <c r="A44" s="28" t="s">
        <v>732</v>
      </c>
      <c r="B44" s="28" t="s">
        <v>127</v>
      </c>
      <c r="C44" s="28" t="s">
        <v>708</v>
      </c>
      <c r="D44" s="28" t="s">
        <v>140</v>
      </c>
      <c r="E44" s="28" t="s">
        <v>141</v>
      </c>
      <c r="F44" s="28" t="s">
        <v>192</v>
      </c>
      <c r="G44" s="28" t="s">
        <v>187</v>
      </c>
      <c r="H44" s="28"/>
      <c r="I44" s="28" t="s">
        <v>142</v>
      </c>
      <c r="J44" s="28" t="s">
        <v>132</v>
      </c>
      <c r="K44" s="29">
        <v>46185.442037037035</v>
      </c>
      <c r="L44" s="29">
        <v>46184.666666666664</v>
      </c>
      <c r="M44" s="29">
        <v>46184.791666666664</v>
      </c>
      <c r="N44" s="29">
        <v>46185.442141203705</v>
      </c>
      <c r="O44" s="29">
        <v>46185.44253472222</v>
      </c>
      <c r="P44" s="28" t="s">
        <v>708</v>
      </c>
      <c r="Q44" s="28" t="s">
        <v>709</v>
      </c>
      <c r="R44" s="28" t="s">
        <v>129</v>
      </c>
      <c r="S44" s="28" t="s">
        <v>187</v>
      </c>
      <c r="T44" s="28" t="s">
        <v>143</v>
      </c>
      <c r="U44" s="28"/>
      <c r="V44" s="28"/>
      <c r="W44" s="28"/>
      <c r="X44" s="28"/>
      <c r="Y44" s="30">
        <v>0</v>
      </c>
      <c r="Z44" s="28"/>
      <c r="AA44" s="28"/>
      <c r="AB44" s="28" t="s">
        <v>144</v>
      </c>
      <c r="AC44" s="28" t="s">
        <v>132</v>
      </c>
      <c r="AD44" s="28" t="s">
        <v>145</v>
      </c>
      <c r="AE44" s="28"/>
      <c r="AF44" s="28" t="str">
        <f t="shared" si="1"/>
        <v>junio</v>
      </c>
      <c r="AH44" t="s">
        <v>163</v>
      </c>
      <c r="AI44" t="s">
        <v>387</v>
      </c>
      <c r="AJ44" t="s">
        <v>272</v>
      </c>
      <c r="AK44" s="32" t="s">
        <v>192</v>
      </c>
      <c r="AL44">
        <v>1</v>
      </c>
    </row>
    <row r="45" spans="1:38" ht="57.5" x14ac:dyDescent="0.35">
      <c r="A45" s="28" t="s">
        <v>733</v>
      </c>
      <c r="B45" s="28" t="s">
        <v>555</v>
      </c>
      <c r="C45" s="28" t="s">
        <v>734</v>
      </c>
      <c r="D45" s="28" t="s">
        <v>236</v>
      </c>
      <c r="E45" s="28" t="s">
        <v>130</v>
      </c>
      <c r="F45" s="28" t="s">
        <v>131</v>
      </c>
      <c r="G45" s="28" t="s">
        <v>254</v>
      </c>
      <c r="H45" s="28"/>
      <c r="I45" s="28" t="s">
        <v>238</v>
      </c>
      <c r="J45" s="28" t="s">
        <v>132</v>
      </c>
      <c r="K45" s="29">
        <v>46185.645474537036</v>
      </c>
      <c r="L45" s="29">
        <v>46185.333333333336</v>
      </c>
      <c r="M45" s="29">
        <v>46185.708333333336</v>
      </c>
      <c r="N45" s="29">
        <v>46185.64565972222</v>
      </c>
      <c r="O45" s="29"/>
      <c r="P45" s="28"/>
      <c r="Q45" s="28" t="s">
        <v>148</v>
      </c>
      <c r="R45" s="28" t="s">
        <v>239</v>
      </c>
      <c r="S45" s="28" t="s">
        <v>254</v>
      </c>
      <c r="T45" s="28" t="s">
        <v>309</v>
      </c>
      <c r="U45" s="28"/>
      <c r="V45" s="28"/>
      <c r="W45" s="28"/>
      <c r="X45" s="28"/>
      <c r="Y45" s="30">
        <v>0</v>
      </c>
      <c r="Z45" s="28"/>
      <c r="AA45" s="28"/>
      <c r="AB45" s="28" t="s">
        <v>310</v>
      </c>
      <c r="AC45" s="28" t="s">
        <v>132</v>
      </c>
      <c r="AD45" s="28" t="s">
        <v>240</v>
      </c>
      <c r="AE45" s="28"/>
      <c r="AF45" s="28" t="str">
        <f t="shared" si="1"/>
        <v>junio</v>
      </c>
      <c r="AH45" t="s">
        <v>150</v>
      </c>
      <c r="AI45" t="s">
        <v>386</v>
      </c>
      <c r="AJ45" t="s">
        <v>277</v>
      </c>
      <c r="AK45" s="32" t="s">
        <v>131</v>
      </c>
      <c r="AL45">
        <v>1</v>
      </c>
    </row>
    <row r="46" spans="1:38" ht="126.5" x14ac:dyDescent="0.35">
      <c r="A46" s="28" t="s">
        <v>735</v>
      </c>
      <c r="B46" s="28" t="s">
        <v>127</v>
      </c>
      <c r="C46" s="28" t="s">
        <v>736</v>
      </c>
      <c r="D46" s="28" t="s">
        <v>737</v>
      </c>
      <c r="E46" s="28" t="s">
        <v>738</v>
      </c>
      <c r="F46" s="28" t="s">
        <v>192</v>
      </c>
      <c r="G46" s="28" t="s">
        <v>242</v>
      </c>
      <c r="H46" s="28"/>
      <c r="I46" s="28" t="s">
        <v>739</v>
      </c>
      <c r="J46" s="28" t="s">
        <v>132</v>
      </c>
      <c r="K46" s="29">
        <v>46184.71166666667</v>
      </c>
      <c r="L46" s="29">
        <v>46185.375</v>
      </c>
      <c r="M46" s="29">
        <v>46185.583333333336</v>
      </c>
      <c r="N46" s="29">
        <v>46185.415937500002</v>
      </c>
      <c r="O46" s="29">
        <v>46185.882777777777</v>
      </c>
      <c r="P46" s="28"/>
      <c r="Q46" s="28" t="s">
        <v>148</v>
      </c>
      <c r="R46" s="28" t="s">
        <v>239</v>
      </c>
      <c r="S46" s="28" t="s">
        <v>242</v>
      </c>
      <c r="T46" s="28" t="s">
        <v>740</v>
      </c>
      <c r="U46" s="28"/>
      <c r="V46" s="28"/>
      <c r="W46" s="28"/>
      <c r="X46" s="28"/>
      <c r="Y46" s="30">
        <v>0</v>
      </c>
      <c r="Z46" s="28"/>
      <c r="AA46" s="28"/>
      <c r="AB46" s="28" t="s">
        <v>741</v>
      </c>
      <c r="AC46" s="28" t="s">
        <v>132</v>
      </c>
      <c r="AD46" s="28" t="s">
        <v>255</v>
      </c>
      <c r="AE46" s="28"/>
      <c r="AF46" s="28" t="str">
        <f t="shared" si="1"/>
        <v>junio</v>
      </c>
      <c r="AH46" t="s">
        <v>280</v>
      </c>
      <c r="AI46" t="s">
        <v>386</v>
      </c>
      <c r="AJ46" t="s">
        <v>279</v>
      </c>
      <c r="AK46" s="32" t="s">
        <v>192</v>
      </c>
      <c r="AL46">
        <v>1</v>
      </c>
    </row>
    <row r="47" spans="1:38" ht="138" hidden="1" x14ac:dyDescent="0.35">
      <c r="A47" s="28" t="s">
        <v>742</v>
      </c>
      <c r="B47" s="28" t="s">
        <v>127</v>
      </c>
      <c r="C47" s="28" t="s">
        <v>743</v>
      </c>
      <c r="D47" s="28" t="s">
        <v>282</v>
      </c>
      <c r="E47" s="28" t="s">
        <v>283</v>
      </c>
      <c r="F47" s="28" t="s">
        <v>192</v>
      </c>
      <c r="G47" s="28" t="s">
        <v>744</v>
      </c>
      <c r="H47" s="28"/>
      <c r="I47" s="28" t="s">
        <v>285</v>
      </c>
      <c r="J47" s="28" t="s">
        <v>132</v>
      </c>
      <c r="K47" s="29">
        <v>46186.410729166666</v>
      </c>
      <c r="L47" s="29">
        <v>46186.375</v>
      </c>
      <c r="M47" s="29">
        <v>46186.583333333336</v>
      </c>
      <c r="N47" s="29">
        <v>46186.410856481481</v>
      </c>
      <c r="O47" s="29">
        <v>46186.656481481485</v>
      </c>
      <c r="P47" s="28" t="s">
        <v>745</v>
      </c>
      <c r="Q47" s="28" t="s">
        <v>746</v>
      </c>
      <c r="R47" s="28" t="s">
        <v>129</v>
      </c>
      <c r="S47" s="28" t="s">
        <v>744</v>
      </c>
      <c r="T47" s="28" t="s">
        <v>287</v>
      </c>
      <c r="U47" s="28"/>
      <c r="V47" s="28"/>
      <c r="W47" s="28"/>
      <c r="X47" s="28"/>
      <c r="Y47" s="30">
        <v>0</v>
      </c>
      <c r="Z47" s="28"/>
      <c r="AA47" s="28"/>
      <c r="AB47" s="28" t="s">
        <v>288</v>
      </c>
      <c r="AC47" s="28" t="s">
        <v>132</v>
      </c>
      <c r="AD47" s="28" t="s">
        <v>289</v>
      </c>
      <c r="AE47" s="28"/>
      <c r="AF47" s="28" t="str">
        <f t="shared" si="1"/>
        <v>junio</v>
      </c>
      <c r="AH47" t="s">
        <v>286</v>
      </c>
      <c r="AI47" t="s">
        <v>386</v>
      </c>
      <c r="AJ47" t="s">
        <v>284</v>
      </c>
      <c r="AK47" s="32" t="s">
        <v>192</v>
      </c>
      <c r="AL47">
        <v>1</v>
      </c>
    </row>
    <row r="48" spans="1:38" ht="115" hidden="1" x14ac:dyDescent="0.35">
      <c r="A48" s="28" t="s">
        <v>747</v>
      </c>
      <c r="B48" s="28" t="s">
        <v>127</v>
      </c>
      <c r="C48" s="28" t="s">
        <v>743</v>
      </c>
      <c r="D48" s="28" t="s">
        <v>748</v>
      </c>
      <c r="E48" s="28" t="s">
        <v>749</v>
      </c>
      <c r="F48" s="28" t="s">
        <v>192</v>
      </c>
      <c r="G48" s="28" t="s">
        <v>663</v>
      </c>
      <c r="H48" s="28"/>
      <c r="I48" s="28" t="s">
        <v>750</v>
      </c>
      <c r="J48" s="28" t="s">
        <v>132</v>
      </c>
      <c r="K48" s="29">
        <v>46189.419131944444</v>
      </c>
      <c r="L48" s="29">
        <v>46189.625</v>
      </c>
      <c r="M48" s="29">
        <v>46189.708333333336</v>
      </c>
      <c r="N48" s="29">
        <v>46189.662418981483</v>
      </c>
      <c r="O48" s="29">
        <v>46190.414201388892</v>
      </c>
      <c r="P48" s="28" t="s">
        <v>751</v>
      </c>
      <c r="Q48" s="28" t="s">
        <v>44</v>
      </c>
      <c r="R48" s="28" t="s">
        <v>129</v>
      </c>
      <c r="S48" s="28" t="s">
        <v>663</v>
      </c>
      <c r="T48" s="28" t="s">
        <v>752</v>
      </c>
      <c r="U48" s="28"/>
      <c r="V48" s="28"/>
      <c r="W48" s="28"/>
      <c r="X48" s="28"/>
      <c r="Y48" s="30">
        <v>0</v>
      </c>
      <c r="Z48" s="28"/>
      <c r="AA48" s="28"/>
      <c r="AB48" s="28" t="s">
        <v>753</v>
      </c>
      <c r="AC48" s="28" t="s">
        <v>132</v>
      </c>
      <c r="AD48" s="28" t="s">
        <v>211</v>
      </c>
      <c r="AE48" s="28"/>
      <c r="AF48" s="28" t="str">
        <f t="shared" si="1"/>
        <v>junio</v>
      </c>
      <c r="AH48" t="s">
        <v>291</v>
      </c>
      <c r="AI48" t="s">
        <v>386</v>
      </c>
      <c r="AJ48" t="s">
        <v>290</v>
      </c>
      <c r="AK48" s="32" t="s">
        <v>192</v>
      </c>
      <c r="AL48">
        <v>2</v>
      </c>
    </row>
    <row r="49" spans="1:38" ht="115" hidden="1" x14ac:dyDescent="0.35">
      <c r="A49" s="28" t="s">
        <v>754</v>
      </c>
      <c r="B49" s="28" t="s">
        <v>127</v>
      </c>
      <c r="C49" s="28" t="s">
        <v>755</v>
      </c>
      <c r="D49" s="28" t="s">
        <v>756</v>
      </c>
      <c r="E49" s="28" t="s">
        <v>757</v>
      </c>
      <c r="F49" s="28" t="s">
        <v>131</v>
      </c>
      <c r="G49" s="28" t="s">
        <v>36</v>
      </c>
      <c r="H49" s="28"/>
      <c r="I49" s="28" t="s">
        <v>758</v>
      </c>
      <c r="J49" s="28" t="s">
        <v>132</v>
      </c>
      <c r="K49" s="29">
        <v>46191.428229166668</v>
      </c>
      <c r="L49" s="29">
        <v>46191.333333333336</v>
      </c>
      <c r="M49" s="29">
        <v>46191.5</v>
      </c>
      <c r="N49" s="29">
        <v>46191.428437499999</v>
      </c>
      <c r="O49" s="29">
        <v>46192.356400462966</v>
      </c>
      <c r="P49" s="28"/>
      <c r="Q49" s="28" t="s">
        <v>39</v>
      </c>
      <c r="R49" s="28" t="s">
        <v>129</v>
      </c>
      <c r="S49" s="28" t="s">
        <v>36</v>
      </c>
      <c r="T49" s="28" t="s">
        <v>759</v>
      </c>
      <c r="U49" s="28"/>
      <c r="V49" s="28"/>
      <c r="W49" s="28"/>
      <c r="X49" s="28"/>
      <c r="Y49" s="30">
        <v>0</v>
      </c>
      <c r="Z49" s="28"/>
      <c r="AA49" s="28"/>
      <c r="AB49" s="28" t="s">
        <v>760</v>
      </c>
      <c r="AC49" s="28" t="s">
        <v>132</v>
      </c>
      <c r="AD49" s="28" t="s">
        <v>255</v>
      </c>
      <c r="AE49" s="28"/>
      <c r="AF49" s="28" t="str">
        <f t="shared" si="1"/>
        <v>junio</v>
      </c>
      <c r="AH49" t="s">
        <v>300</v>
      </c>
      <c r="AI49" t="s">
        <v>386</v>
      </c>
      <c r="AJ49" t="s">
        <v>299</v>
      </c>
      <c r="AK49" s="32" t="s">
        <v>192</v>
      </c>
      <c r="AL49">
        <v>1</v>
      </c>
    </row>
    <row r="50" spans="1:38" ht="92" hidden="1" x14ac:dyDescent="0.35">
      <c r="A50" s="28" t="s">
        <v>761</v>
      </c>
      <c r="B50" s="28" t="s">
        <v>127</v>
      </c>
      <c r="C50" s="28" t="s">
        <v>762</v>
      </c>
      <c r="D50" s="28" t="s">
        <v>596</v>
      </c>
      <c r="E50" s="28" t="s">
        <v>597</v>
      </c>
      <c r="F50" s="28" t="s">
        <v>192</v>
      </c>
      <c r="G50" s="28" t="s">
        <v>598</v>
      </c>
      <c r="H50" s="28"/>
      <c r="I50" s="28" t="s">
        <v>128</v>
      </c>
      <c r="J50" s="28"/>
      <c r="K50" s="29">
        <v>46192.342291666668</v>
      </c>
      <c r="L50" s="29">
        <v>46192.354166666664</v>
      </c>
      <c r="M50" s="29">
        <v>46192.458333333336</v>
      </c>
      <c r="N50" s="29">
        <v>46192.358611111114</v>
      </c>
      <c r="O50" s="29">
        <v>46192.480729166666</v>
      </c>
      <c r="P50" s="28"/>
      <c r="Q50" s="28" t="s">
        <v>600</v>
      </c>
      <c r="R50" s="28" t="s">
        <v>129</v>
      </c>
      <c r="S50" s="28" t="s">
        <v>598</v>
      </c>
      <c r="T50" s="28" t="s">
        <v>601</v>
      </c>
      <c r="U50" s="28"/>
      <c r="V50" s="28"/>
      <c r="W50" s="28"/>
      <c r="X50" s="28"/>
      <c r="Y50" s="30">
        <v>0</v>
      </c>
      <c r="Z50" s="28"/>
      <c r="AA50" s="28"/>
      <c r="AB50" s="28" t="s">
        <v>128</v>
      </c>
      <c r="AC50" s="28"/>
      <c r="AD50" s="28"/>
      <c r="AE50" s="28"/>
      <c r="AF50" s="28" t="str">
        <f t="shared" si="1"/>
        <v>junio</v>
      </c>
      <c r="AH50" t="s">
        <v>224</v>
      </c>
      <c r="AI50" t="s">
        <v>387</v>
      </c>
      <c r="AJ50" t="s">
        <v>301</v>
      </c>
      <c r="AK50" s="32" t="s">
        <v>192</v>
      </c>
      <c r="AL50">
        <v>1</v>
      </c>
    </row>
    <row r="51" spans="1:38" ht="138" hidden="1" x14ac:dyDescent="0.35">
      <c r="A51" s="28" t="s">
        <v>763</v>
      </c>
      <c r="B51" s="28" t="s">
        <v>127</v>
      </c>
      <c r="C51" s="28" t="s">
        <v>764</v>
      </c>
      <c r="D51" s="28" t="s">
        <v>765</v>
      </c>
      <c r="E51" s="28" t="s">
        <v>766</v>
      </c>
      <c r="F51" s="28" t="s">
        <v>131</v>
      </c>
      <c r="G51" s="28" t="s">
        <v>306</v>
      </c>
      <c r="H51" s="28"/>
      <c r="I51" s="28" t="s">
        <v>767</v>
      </c>
      <c r="J51" s="28" t="s">
        <v>302</v>
      </c>
      <c r="K51" s="29">
        <v>46195.327268518522</v>
      </c>
      <c r="L51" s="29">
        <v>46196</v>
      </c>
      <c r="M51" s="29">
        <v>46196.020833333336</v>
      </c>
      <c r="N51" s="29">
        <v>46196.420694444445</v>
      </c>
      <c r="O51" s="29">
        <v>46196.62877314815</v>
      </c>
      <c r="P51" s="28" t="s">
        <v>768</v>
      </c>
      <c r="Q51" s="28" t="s">
        <v>224</v>
      </c>
      <c r="R51" s="28" t="s">
        <v>239</v>
      </c>
      <c r="S51" s="28" t="s">
        <v>306</v>
      </c>
      <c r="T51" s="28" t="s">
        <v>769</v>
      </c>
      <c r="U51" s="28"/>
      <c r="V51" s="28"/>
      <c r="W51" s="28"/>
      <c r="X51" s="28"/>
      <c r="Y51" s="30">
        <v>0</v>
      </c>
      <c r="Z51" s="28"/>
      <c r="AA51" s="28"/>
      <c r="AB51" s="28" t="s">
        <v>770</v>
      </c>
      <c r="AC51" s="28" t="s">
        <v>302</v>
      </c>
      <c r="AD51" s="28" t="s">
        <v>771</v>
      </c>
      <c r="AE51" s="28"/>
      <c r="AF51" s="28" t="str">
        <f t="shared" si="1"/>
        <v>junio</v>
      </c>
      <c r="AH51" t="s">
        <v>224</v>
      </c>
      <c r="AI51" t="s">
        <v>387</v>
      </c>
      <c r="AJ51" t="s">
        <v>306</v>
      </c>
      <c r="AK51" s="32" t="s">
        <v>192</v>
      </c>
      <c r="AL51">
        <v>1</v>
      </c>
    </row>
    <row r="52" spans="1:38" ht="69" hidden="1" x14ac:dyDescent="0.35">
      <c r="A52" s="28" t="s">
        <v>772</v>
      </c>
      <c r="B52" s="28" t="s">
        <v>127</v>
      </c>
      <c r="C52" s="28" t="s">
        <v>743</v>
      </c>
      <c r="D52" s="28" t="s">
        <v>282</v>
      </c>
      <c r="E52" s="28" t="s">
        <v>283</v>
      </c>
      <c r="F52" s="28" t="s">
        <v>192</v>
      </c>
      <c r="G52" s="28" t="s">
        <v>744</v>
      </c>
      <c r="H52" s="28"/>
      <c r="I52" s="28" t="s">
        <v>285</v>
      </c>
      <c r="J52" s="28" t="s">
        <v>132</v>
      </c>
      <c r="K52" s="29">
        <v>46196.565868055557</v>
      </c>
      <c r="L52" s="29">
        <v>46196.583333333336</v>
      </c>
      <c r="M52" s="29">
        <v>46196.666666666664</v>
      </c>
      <c r="N52" s="29">
        <v>46196.565949074073</v>
      </c>
      <c r="O52" s="29">
        <v>46196.711111111108</v>
      </c>
      <c r="P52" s="28" t="s">
        <v>773</v>
      </c>
      <c r="Q52" s="28" t="s">
        <v>746</v>
      </c>
      <c r="R52" s="28" t="s">
        <v>129</v>
      </c>
      <c r="S52" s="28" t="s">
        <v>744</v>
      </c>
      <c r="T52" s="28" t="s">
        <v>287</v>
      </c>
      <c r="U52" s="28"/>
      <c r="V52" s="28"/>
      <c r="W52" s="28"/>
      <c r="X52" s="28"/>
      <c r="Y52" s="30">
        <v>0</v>
      </c>
      <c r="Z52" s="28"/>
      <c r="AA52" s="28"/>
      <c r="AB52" s="28" t="s">
        <v>288</v>
      </c>
      <c r="AC52" s="28" t="s">
        <v>132</v>
      </c>
      <c r="AD52" s="28" t="s">
        <v>289</v>
      </c>
      <c r="AE52" s="28"/>
      <c r="AF52" s="28" t="str">
        <f t="shared" si="1"/>
        <v>junio</v>
      </c>
      <c r="AH52" t="s">
        <v>305</v>
      </c>
      <c r="AI52" t="s">
        <v>387</v>
      </c>
      <c r="AJ52" t="s">
        <v>242</v>
      </c>
      <c r="AK52" s="32" t="s">
        <v>192</v>
      </c>
      <c r="AL52">
        <v>4</v>
      </c>
    </row>
    <row r="53" spans="1:38" ht="92" hidden="1" x14ac:dyDescent="0.35">
      <c r="A53" s="28" t="s">
        <v>774</v>
      </c>
      <c r="B53" s="28" t="s">
        <v>127</v>
      </c>
      <c r="C53" s="28" t="s">
        <v>775</v>
      </c>
      <c r="D53" s="28" t="s">
        <v>140</v>
      </c>
      <c r="E53" s="28" t="s">
        <v>141</v>
      </c>
      <c r="F53" s="28" t="s">
        <v>131</v>
      </c>
      <c r="G53" s="28" t="s">
        <v>43</v>
      </c>
      <c r="H53" s="28"/>
      <c r="I53" s="28" t="s">
        <v>142</v>
      </c>
      <c r="J53" s="28" t="s">
        <v>132</v>
      </c>
      <c r="K53" s="29">
        <v>46156.865671296298</v>
      </c>
      <c r="L53" s="29">
        <v>46178.333333333336</v>
      </c>
      <c r="M53" s="29">
        <v>46178.708333333336</v>
      </c>
      <c r="N53" s="29">
        <v>46198.825358796297</v>
      </c>
      <c r="O53" s="29">
        <v>46198.82539351852</v>
      </c>
      <c r="P53" s="28"/>
      <c r="Q53" s="28" t="s">
        <v>42</v>
      </c>
      <c r="R53" s="28" t="s">
        <v>129</v>
      </c>
      <c r="S53" s="28" t="s">
        <v>43</v>
      </c>
      <c r="T53" s="28" t="s">
        <v>143</v>
      </c>
      <c r="U53" s="28"/>
      <c r="V53" s="28"/>
      <c r="W53" s="28"/>
      <c r="X53" s="28"/>
      <c r="Y53" s="30">
        <v>0</v>
      </c>
      <c r="Z53" s="28"/>
      <c r="AA53" s="28"/>
      <c r="AB53" s="28" t="s">
        <v>144</v>
      </c>
      <c r="AC53" s="28" t="s">
        <v>132</v>
      </c>
      <c r="AD53" s="28" t="s">
        <v>145</v>
      </c>
      <c r="AE53" s="28"/>
      <c r="AF53" s="28" t="str">
        <f t="shared" si="1"/>
        <v>junio</v>
      </c>
      <c r="AH53" t="s">
        <v>228</v>
      </c>
      <c r="AI53" t="s">
        <v>228</v>
      </c>
      <c r="AJ53" t="s">
        <v>228</v>
      </c>
      <c r="AK53" s="32" t="s">
        <v>228</v>
      </c>
    </row>
    <row r="54" spans="1:38" ht="103.5" hidden="1" x14ac:dyDescent="0.35">
      <c r="A54" s="28" t="s">
        <v>776</v>
      </c>
      <c r="B54" s="28" t="s">
        <v>555</v>
      </c>
      <c r="C54" s="28" t="s">
        <v>777</v>
      </c>
      <c r="D54" s="28" t="s">
        <v>778</v>
      </c>
      <c r="E54" s="28" t="s">
        <v>779</v>
      </c>
      <c r="F54" s="28" t="s">
        <v>192</v>
      </c>
      <c r="G54" s="28" t="s">
        <v>36</v>
      </c>
      <c r="H54" s="28"/>
      <c r="I54" s="28" t="s">
        <v>780</v>
      </c>
      <c r="J54" s="28" t="s">
        <v>132</v>
      </c>
      <c r="K54" s="29">
        <v>46198.833310185182</v>
      </c>
      <c r="L54" s="29">
        <v>46198.625</v>
      </c>
      <c r="M54" s="29">
        <v>46198.875</v>
      </c>
      <c r="N54" s="29">
        <v>46198.833449074074</v>
      </c>
      <c r="O54" s="29"/>
      <c r="P54" s="28"/>
      <c r="Q54" s="28" t="s">
        <v>39</v>
      </c>
      <c r="R54" s="28" t="s">
        <v>129</v>
      </c>
      <c r="S54" s="28" t="s">
        <v>36</v>
      </c>
      <c r="T54" s="28" t="s">
        <v>781</v>
      </c>
      <c r="U54" s="28"/>
      <c r="V54" s="28"/>
      <c r="W54" s="28"/>
      <c r="X54" s="28"/>
      <c r="Y54" s="30">
        <v>0</v>
      </c>
      <c r="Z54" s="28"/>
      <c r="AA54" s="28"/>
      <c r="AB54" s="28" t="s">
        <v>782</v>
      </c>
      <c r="AC54" s="28" t="s">
        <v>132</v>
      </c>
      <c r="AD54" s="28" t="s">
        <v>255</v>
      </c>
      <c r="AE54" s="28"/>
      <c r="AF54" s="28" t="str">
        <f t="shared" si="1"/>
        <v>junio</v>
      </c>
      <c r="AH54" s="32" t="s">
        <v>48</v>
      </c>
      <c r="AI54" s="32"/>
      <c r="AJ54" s="32"/>
      <c r="AK54" s="32"/>
      <c r="AL54">
        <v>84</v>
      </c>
    </row>
    <row r="55" spans="1:38" ht="92" hidden="1" x14ac:dyDescent="0.35">
      <c r="A55" s="28" t="s">
        <v>783</v>
      </c>
      <c r="B55" s="28" t="s">
        <v>127</v>
      </c>
      <c r="C55" s="28" t="s">
        <v>784</v>
      </c>
      <c r="D55" s="28" t="s">
        <v>140</v>
      </c>
      <c r="E55" s="28" t="s">
        <v>141</v>
      </c>
      <c r="F55" s="28" t="s">
        <v>192</v>
      </c>
      <c r="G55" s="28" t="s">
        <v>413</v>
      </c>
      <c r="H55" s="28"/>
      <c r="I55" s="28" t="s">
        <v>142</v>
      </c>
      <c r="J55" s="28" t="s">
        <v>132</v>
      </c>
      <c r="K55" s="29">
        <v>46198.96603009259</v>
      </c>
      <c r="L55" s="29">
        <v>46198.75</v>
      </c>
      <c r="M55" s="29">
        <v>46198.916666666664</v>
      </c>
      <c r="N55" s="29">
        <v>46198.966145833336</v>
      </c>
      <c r="O55" s="29">
        <v>46198.966226851851</v>
      </c>
      <c r="P55" s="28" t="s">
        <v>785</v>
      </c>
      <c r="Q55" s="28" t="s">
        <v>39</v>
      </c>
      <c r="R55" s="28" t="s">
        <v>129</v>
      </c>
      <c r="S55" s="28" t="s">
        <v>413</v>
      </c>
      <c r="T55" s="28" t="s">
        <v>143</v>
      </c>
      <c r="U55" s="28"/>
      <c r="V55" s="28"/>
      <c r="W55" s="28"/>
      <c r="X55" s="28"/>
      <c r="Y55" s="30">
        <v>0</v>
      </c>
      <c r="Z55" s="28"/>
      <c r="AA55" s="28"/>
      <c r="AB55" s="28" t="s">
        <v>144</v>
      </c>
      <c r="AC55" s="28" t="s">
        <v>132</v>
      </c>
      <c r="AD55" s="28" t="s">
        <v>145</v>
      </c>
      <c r="AE55" s="28"/>
      <c r="AF55" s="28" t="str">
        <f t="shared" si="1"/>
        <v>junio</v>
      </c>
    </row>
    <row r="56" spans="1:38" ht="92" hidden="1" x14ac:dyDescent="0.35">
      <c r="A56" s="28" t="s">
        <v>786</v>
      </c>
      <c r="B56" s="28" t="s">
        <v>127</v>
      </c>
      <c r="C56" s="28" t="s">
        <v>787</v>
      </c>
      <c r="D56" s="28" t="s">
        <v>140</v>
      </c>
      <c r="E56" s="28" t="s">
        <v>141</v>
      </c>
      <c r="F56" s="28" t="s">
        <v>192</v>
      </c>
      <c r="G56" s="28" t="s">
        <v>67</v>
      </c>
      <c r="H56" s="28"/>
      <c r="I56" s="28" t="s">
        <v>142</v>
      </c>
      <c r="J56" s="28" t="s">
        <v>132</v>
      </c>
      <c r="K56" s="29">
        <v>46198.831354166665</v>
      </c>
      <c r="L56" s="29">
        <v>46198.708333333336</v>
      </c>
      <c r="M56" s="29">
        <v>46198.875</v>
      </c>
      <c r="N56" s="29">
        <v>46198.832071759258</v>
      </c>
      <c r="O56" s="29">
        <v>46199.277581018519</v>
      </c>
      <c r="P56" s="28"/>
      <c r="Q56" s="28" t="s">
        <v>46</v>
      </c>
      <c r="R56" s="28" t="s">
        <v>129</v>
      </c>
      <c r="S56" s="28" t="s">
        <v>67</v>
      </c>
      <c r="T56" s="28" t="s">
        <v>143</v>
      </c>
      <c r="U56" s="28"/>
      <c r="V56" s="28"/>
      <c r="W56" s="28"/>
      <c r="X56" s="28"/>
      <c r="Y56" s="30">
        <v>0</v>
      </c>
      <c r="Z56" s="28"/>
      <c r="AA56" s="28"/>
      <c r="AB56" s="28" t="s">
        <v>144</v>
      </c>
      <c r="AC56" s="28" t="s">
        <v>132</v>
      </c>
      <c r="AD56" s="28" t="s">
        <v>145</v>
      </c>
      <c r="AE56" s="28"/>
      <c r="AF56" s="28" t="str">
        <f t="shared" si="1"/>
        <v>junio</v>
      </c>
    </row>
    <row r="57" spans="1:38" ht="92" hidden="1" x14ac:dyDescent="0.35">
      <c r="A57" s="28" t="s">
        <v>788</v>
      </c>
      <c r="B57" s="28" t="s">
        <v>127</v>
      </c>
      <c r="C57" s="28" t="s">
        <v>789</v>
      </c>
      <c r="D57" s="28" t="s">
        <v>294</v>
      </c>
      <c r="E57" s="28" t="s">
        <v>162</v>
      </c>
      <c r="F57" s="28" t="s">
        <v>192</v>
      </c>
      <c r="G57" s="28" t="s">
        <v>249</v>
      </c>
      <c r="H57" s="28"/>
      <c r="I57" s="28" t="s">
        <v>295</v>
      </c>
      <c r="J57" s="28" t="s">
        <v>251</v>
      </c>
      <c r="K57" s="29">
        <v>46195.38144675926</v>
      </c>
      <c r="L57" s="29">
        <v>46199.395833333336</v>
      </c>
      <c r="M57" s="29">
        <v>46199.708333333336</v>
      </c>
      <c r="N57" s="29">
        <v>46199.605451388888</v>
      </c>
      <c r="O57" s="29">
        <v>46199.701793981483</v>
      </c>
      <c r="P57" s="28"/>
      <c r="Q57" s="28" t="s">
        <v>135</v>
      </c>
      <c r="R57" s="28" t="s">
        <v>239</v>
      </c>
      <c r="S57" s="28" t="s">
        <v>249</v>
      </c>
      <c r="T57" s="28" t="s">
        <v>296</v>
      </c>
      <c r="U57" s="28"/>
      <c r="V57" s="28"/>
      <c r="W57" s="28"/>
      <c r="X57" s="28"/>
      <c r="Y57" s="30">
        <v>0</v>
      </c>
      <c r="Z57" s="28"/>
      <c r="AA57" s="28"/>
      <c r="AB57" s="28" t="s">
        <v>297</v>
      </c>
      <c r="AC57" s="28" t="s">
        <v>251</v>
      </c>
      <c r="AD57" s="28" t="s">
        <v>298</v>
      </c>
      <c r="AE57" s="28"/>
      <c r="AF57" s="28" t="str">
        <f t="shared" si="1"/>
        <v>junio</v>
      </c>
    </row>
    <row r="58" spans="1:38" ht="92" hidden="1" x14ac:dyDescent="0.35">
      <c r="A58" s="28" t="s">
        <v>790</v>
      </c>
      <c r="B58" s="28" t="s">
        <v>127</v>
      </c>
      <c r="C58" s="28" t="s">
        <v>791</v>
      </c>
      <c r="D58" s="28" t="s">
        <v>294</v>
      </c>
      <c r="E58" s="28" t="s">
        <v>162</v>
      </c>
      <c r="F58" s="28" t="s">
        <v>192</v>
      </c>
      <c r="G58" s="28" t="s">
        <v>249</v>
      </c>
      <c r="H58" s="28"/>
      <c r="I58" s="28" t="s">
        <v>295</v>
      </c>
      <c r="J58" s="28" t="s">
        <v>251</v>
      </c>
      <c r="K58" s="29">
        <v>46200.413645833331</v>
      </c>
      <c r="L58" s="29">
        <v>46200.333333333336</v>
      </c>
      <c r="M58" s="29">
        <v>46200.75</v>
      </c>
      <c r="N58" s="29">
        <v>46200.413773148146</v>
      </c>
      <c r="O58" s="29">
        <v>46200.668206018519</v>
      </c>
      <c r="P58" s="28"/>
      <c r="Q58" s="28" t="s">
        <v>135</v>
      </c>
      <c r="R58" s="28" t="s">
        <v>239</v>
      </c>
      <c r="S58" s="28" t="s">
        <v>249</v>
      </c>
      <c r="T58" s="28" t="s">
        <v>296</v>
      </c>
      <c r="U58" s="28"/>
      <c r="V58" s="28"/>
      <c r="W58" s="28"/>
      <c r="X58" s="28"/>
      <c r="Y58" s="30">
        <v>0</v>
      </c>
      <c r="Z58" s="28"/>
      <c r="AA58" s="28"/>
      <c r="AB58" s="28" t="s">
        <v>297</v>
      </c>
      <c r="AC58" s="28" t="s">
        <v>251</v>
      </c>
      <c r="AD58" s="28" t="s">
        <v>298</v>
      </c>
      <c r="AE58" s="28"/>
      <c r="AF58" s="28" t="str">
        <f t="shared" si="1"/>
        <v>junio</v>
      </c>
    </row>
    <row r="59" spans="1:38" ht="92" hidden="1" x14ac:dyDescent="0.35">
      <c r="A59" s="28" t="s">
        <v>792</v>
      </c>
      <c r="B59" s="28" t="s">
        <v>127</v>
      </c>
      <c r="C59" s="28" t="s">
        <v>793</v>
      </c>
      <c r="D59" s="28" t="s">
        <v>294</v>
      </c>
      <c r="E59" s="28" t="s">
        <v>162</v>
      </c>
      <c r="F59" s="28" t="s">
        <v>192</v>
      </c>
      <c r="G59" s="28" t="s">
        <v>249</v>
      </c>
      <c r="H59" s="28"/>
      <c r="I59" s="28" t="s">
        <v>295</v>
      </c>
      <c r="J59" s="28" t="s">
        <v>251</v>
      </c>
      <c r="K59" s="29">
        <v>46201.258460648147</v>
      </c>
      <c r="L59" s="29">
        <v>46201.333333333336</v>
      </c>
      <c r="M59" s="29">
        <v>46201.666666666664</v>
      </c>
      <c r="N59" s="29">
        <v>46201.372997685183</v>
      </c>
      <c r="O59" s="29">
        <v>46201.524097222224</v>
      </c>
      <c r="P59" s="28"/>
      <c r="Q59" s="28" t="s">
        <v>135</v>
      </c>
      <c r="R59" s="28" t="s">
        <v>239</v>
      </c>
      <c r="S59" s="28" t="s">
        <v>249</v>
      </c>
      <c r="T59" s="28" t="s">
        <v>296</v>
      </c>
      <c r="U59" s="28"/>
      <c r="V59" s="28"/>
      <c r="W59" s="28"/>
      <c r="X59" s="28"/>
      <c r="Y59" s="30">
        <v>0</v>
      </c>
      <c r="Z59" s="28"/>
      <c r="AA59" s="28"/>
      <c r="AB59" s="28" t="s">
        <v>297</v>
      </c>
      <c r="AC59" s="28" t="s">
        <v>251</v>
      </c>
      <c r="AD59" s="28" t="s">
        <v>298</v>
      </c>
      <c r="AE59" s="28"/>
      <c r="AF59" s="28" t="str">
        <f t="shared" si="1"/>
        <v>junio</v>
      </c>
    </row>
    <row r="60" spans="1:38" ht="149.5" hidden="1" x14ac:dyDescent="0.35">
      <c r="A60" s="28" t="s">
        <v>794</v>
      </c>
      <c r="B60" s="28" t="s">
        <v>127</v>
      </c>
      <c r="C60" s="28" t="s">
        <v>795</v>
      </c>
      <c r="D60" s="28" t="s">
        <v>796</v>
      </c>
      <c r="E60" s="28" t="s">
        <v>797</v>
      </c>
      <c r="F60" s="28" t="s">
        <v>192</v>
      </c>
      <c r="G60" s="28" t="s">
        <v>516</v>
      </c>
      <c r="H60" s="28"/>
      <c r="I60" s="28" t="s">
        <v>798</v>
      </c>
      <c r="J60" s="28" t="s">
        <v>259</v>
      </c>
      <c r="K60" s="29">
        <v>46197.379861111112</v>
      </c>
      <c r="L60" s="29">
        <v>46201.375</v>
      </c>
      <c r="M60" s="29">
        <v>46201.625</v>
      </c>
      <c r="N60" s="29">
        <v>46201.381099537037</v>
      </c>
      <c r="O60" s="29">
        <v>46202.285555555558</v>
      </c>
      <c r="P60" s="28"/>
      <c r="Q60" s="28" t="s">
        <v>518</v>
      </c>
      <c r="R60" s="28" t="s">
        <v>239</v>
      </c>
      <c r="S60" s="28" t="s">
        <v>516</v>
      </c>
      <c r="T60" s="28" t="s">
        <v>799</v>
      </c>
      <c r="U60" s="28"/>
      <c r="V60" s="28"/>
      <c r="W60" s="28"/>
      <c r="X60" s="28"/>
      <c r="Y60" s="30">
        <v>0</v>
      </c>
      <c r="Z60" s="28"/>
      <c r="AA60" s="28"/>
      <c r="AB60" s="28" t="s">
        <v>800</v>
      </c>
      <c r="AC60" s="28" t="s">
        <v>259</v>
      </c>
      <c r="AD60" s="28" t="s">
        <v>801</v>
      </c>
      <c r="AE60" s="28"/>
      <c r="AF60" s="28" t="str">
        <f t="shared" si="1"/>
        <v>junio</v>
      </c>
    </row>
    <row r="61" spans="1:38" ht="92" hidden="1" x14ac:dyDescent="0.35">
      <c r="A61" s="28" t="s">
        <v>802</v>
      </c>
      <c r="B61" s="28" t="s">
        <v>127</v>
      </c>
      <c r="C61" s="28" t="s">
        <v>803</v>
      </c>
      <c r="D61" s="28" t="s">
        <v>241</v>
      </c>
      <c r="E61" s="28" t="s">
        <v>165</v>
      </c>
      <c r="F61" s="28" t="s">
        <v>192</v>
      </c>
      <c r="G61" s="28" t="s">
        <v>301</v>
      </c>
      <c r="H61" s="28"/>
      <c r="I61" s="28" t="s">
        <v>243</v>
      </c>
      <c r="J61" s="28" t="s">
        <v>244</v>
      </c>
      <c r="K61" s="29">
        <v>46202.69939814815</v>
      </c>
      <c r="L61" s="29">
        <v>46201.437731481485</v>
      </c>
      <c r="M61" s="29">
        <v>46201.5625</v>
      </c>
      <c r="N61" s="29">
        <v>46201.438622685186</v>
      </c>
      <c r="O61" s="29">
        <v>46201.577962962961</v>
      </c>
      <c r="P61" s="28" t="s">
        <v>804</v>
      </c>
      <c r="Q61" s="28" t="s">
        <v>224</v>
      </c>
      <c r="R61" s="28" t="s">
        <v>239</v>
      </c>
      <c r="S61" s="28" t="s">
        <v>301</v>
      </c>
      <c r="T61" s="28" t="s">
        <v>303</v>
      </c>
      <c r="U61" s="28"/>
      <c r="V61" s="28"/>
      <c r="W61" s="28"/>
      <c r="X61" s="28"/>
      <c r="Y61" s="30">
        <v>0</v>
      </c>
      <c r="Z61" s="28"/>
      <c r="AA61" s="28"/>
      <c r="AB61" s="28" t="s">
        <v>304</v>
      </c>
      <c r="AC61" s="28" t="s">
        <v>244</v>
      </c>
      <c r="AD61" s="28" t="s">
        <v>246</v>
      </c>
      <c r="AE61" s="28"/>
      <c r="AF61" s="28" t="str">
        <f t="shared" si="1"/>
        <v>junio</v>
      </c>
    </row>
    <row r="62" spans="1:38" ht="80.5" hidden="1" x14ac:dyDescent="0.35">
      <c r="A62" s="28" t="s">
        <v>805</v>
      </c>
      <c r="B62" s="28" t="s">
        <v>127</v>
      </c>
      <c r="C62" s="28" t="s">
        <v>806</v>
      </c>
      <c r="D62" s="28" t="s">
        <v>639</v>
      </c>
      <c r="E62" s="28" t="s">
        <v>640</v>
      </c>
      <c r="F62" s="28" t="s">
        <v>131</v>
      </c>
      <c r="G62" s="28" t="s">
        <v>70</v>
      </c>
      <c r="H62" s="28"/>
      <c r="I62" s="28" t="s">
        <v>641</v>
      </c>
      <c r="J62" s="28" t="s">
        <v>132</v>
      </c>
      <c r="K62" s="29">
        <v>46199.981562499997</v>
      </c>
      <c r="L62" s="29">
        <v>46178.333333333336</v>
      </c>
      <c r="M62" s="29">
        <v>46178.6875</v>
      </c>
      <c r="N62" s="29">
        <v>46199.981666666667</v>
      </c>
      <c r="O62" s="29">
        <v>46203.753379629627</v>
      </c>
      <c r="P62" s="28"/>
      <c r="Q62" s="28" t="s">
        <v>42</v>
      </c>
      <c r="R62" s="28" t="s">
        <v>129</v>
      </c>
      <c r="S62" s="28" t="s">
        <v>70</v>
      </c>
      <c r="T62" s="28" t="s">
        <v>642</v>
      </c>
      <c r="U62" s="28"/>
      <c r="V62" s="28"/>
      <c r="W62" s="28"/>
      <c r="X62" s="28"/>
      <c r="Y62" s="30">
        <v>0</v>
      </c>
      <c r="Z62" s="28"/>
      <c r="AA62" s="28"/>
      <c r="AB62" s="28" t="s">
        <v>643</v>
      </c>
      <c r="AC62" s="28" t="s">
        <v>132</v>
      </c>
      <c r="AD62" s="28" t="s">
        <v>208</v>
      </c>
      <c r="AE62" s="28"/>
      <c r="AF62" s="28" t="str">
        <f t="shared" si="1"/>
        <v>junio</v>
      </c>
    </row>
    <row r="63" spans="1:38" ht="218.5" hidden="1" x14ac:dyDescent="0.35">
      <c r="A63" s="28" t="s">
        <v>807</v>
      </c>
      <c r="B63" s="28" t="s">
        <v>127</v>
      </c>
      <c r="C63" s="28" t="s">
        <v>808</v>
      </c>
      <c r="D63" s="28" t="s">
        <v>156</v>
      </c>
      <c r="E63" s="28" t="s">
        <v>157</v>
      </c>
      <c r="F63" s="28" t="s">
        <v>131</v>
      </c>
      <c r="G63" s="28" t="s">
        <v>188</v>
      </c>
      <c r="H63" s="28"/>
      <c r="I63" s="28" t="s">
        <v>128</v>
      </c>
      <c r="J63" s="28"/>
      <c r="K63" s="29">
        <v>46113.358043981483</v>
      </c>
      <c r="L63" s="29">
        <v>46113.3125</v>
      </c>
      <c r="M63" s="29">
        <v>46113.604166666664</v>
      </c>
      <c r="N63" s="29">
        <v>46113.361168981479</v>
      </c>
      <c r="O63" s="29">
        <v>46113.524293981478</v>
      </c>
      <c r="P63" s="28" t="s">
        <v>809</v>
      </c>
      <c r="Q63" s="28" t="s">
        <v>37</v>
      </c>
      <c r="R63" s="28" t="s">
        <v>129</v>
      </c>
      <c r="S63" s="28" t="s">
        <v>188</v>
      </c>
      <c r="T63" s="28" t="s">
        <v>158</v>
      </c>
      <c r="U63" s="28"/>
      <c r="V63" s="28"/>
      <c r="W63" s="28"/>
      <c r="X63" s="28"/>
      <c r="Y63" s="30">
        <v>0</v>
      </c>
      <c r="Z63" s="28"/>
      <c r="AA63" s="28"/>
      <c r="AB63" s="28" t="s">
        <v>128</v>
      </c>
      <c r="AC63" s="28"/>
      <c r="AD63" s="28"/>
      <c r="AE63" s="28"/>
      <c r="AF63" s="28" t="str">
        <f t="shared" si="1"/>
        <v>abril</v>
      </c>
    </row>
    <row r="64" spans="1:38" ht="92" hidden="1" x14ac:dyDescent="0.35">
      <c r="A64" s="28" t="s">
        <v>810</v>
      </c>
      <c r="B64" s="28" t="s">
        <v>127</v>
      </c>
      <c r="C64" s="28" t="s">
        <v>811</v>
      </c>
      <c r="D64" s="28" t="s">
        <v>140</v>
      </c>
      <c r="E64" s="28" t="s">
        <v>141</v>
      </c>
      <c r="F64" s="28" t="s">
        <v>192</v>
      </c>
      <c r="G64" s="28" t="s">
        <v>36</v>
      </c>
      <c r="H64" s="28"/>
      <c r="I64" s="28" t="s">
        <v>142</v>
      </c>
      <c r="J64" s="28" t="s">
        <v>132</v>
      </c>
      <c r="K64" s="29">
        <v>46121.536909722221</v>
      </c>
      <c r="L64" s="29">
        <v>46121.375</v>
      </c>
      <c r="M64" s="29">
        <v>46121.791666666664</v>
      </c>
      <c r="N64" s="29">
        <v>46121.53696759259</v>
      </c>
      <c r="O64" s="29">
        <v>46121.53702546296</v>
      </c>
      <c r="P64" s="28"/>
      <c r="Q64" s="28" t="s">
        <v>39</v>
      </c>
      <c r="R64" s="28" t="s">
        <v>129</v>
      </c>
      <c r="S64" s="28" t="s">
        <v>36</v>
      </c>
      <c r="T64" s="28" t="s">
        <v>143</v>
      </c>
      <c r="U64" s="28"/>
      <c r="V64" s="28"/>
      <c r="W64" s="28"/>
      <c r="X64" s="28"/>
      <c r="Y64" s="30">
        <v>0</v>
      </c>
      <c r="Z64" s="28"/>
      <c r="AA64" s="28"/>
      <c r="AB64" s="28" t="s">
        <v>144</v>
      </c>
      <c r="AC64" s="28" t="s">
        <v>132</v>
      </c>
      <c r="AD64" s="28" t="s">
        <v>145</v>
      </c>
      <c r="AE64" s="28"/>
      <c r="AF64" s="28" t="str">
        <f t="shared" si="1"/>
        <v>abril</v>
      </c>
    </row>
    <row r="65" spans="1:32" ht="92" hidden="1" x14ac:dyDescent="0.35">
      <c r="A65" s="28" t="s">
        <v>812</v>
      </c>
      <c r="B65" s="28" t="s">
        <v>127</v>
      </c>
      <c r="C65" s="28" t="s">
        <v>813</v>
      </c>
      <c r="D65" s="28" t="s">
        <v>814</v>
      </c>
      <c r="E65" s="28" t="s">
        <v>815</v>
      </c>
      <c r="F65" s="28" t="s">
        <v>192</v>
      </c>
      <c r="G65" s="28" t="s">
        <v>469</v>
      </c>
      <c r="H65" s="28"/>
      <c r="I65" s="28" t="s">
        <v>816</v>
      </c>
      <c r="J65" s="28" t="s">
        <v>132</v>
      </c>
      <c r="K65" s="29">
        <v>46121.660208333335</v>
      </c>
      <c r="L65" s="29">
        <v>46121.666666666664</v>
      </c>
      <c r="M65" s="29">
        <v>46121.833333333336</v>
      </c>
      <c r="N65" s="29">
        <v>46121.660393518519</v>
      </c>
      <c r="O65" s="29">
        <v>46121.84165509259</v>
      </c>
      <c r="P65" s="28"/>
      <c r="Q65" s="28" t="s">
        <v>466</v>
      </c>
      <c r="R65" s="28" t="s">
        <v>239</v>
      </c>
      <c r="S65" s="28" t="s">
        <v>469</v>
      </c>
      <c r="T65" s="28" t="s">
        <v>817</v>
      </c>
      <c r="U65" s="28"/>
      <c r="V65" s="28"/>
      <c r="W65" s="28"/>
      <c r="X65" s="28"/>
      <c r="Y65" s="30">
        <v>0</v>
      </c>
      <c r="Z65" s="28"/>
      <c r="AA65" s="28"/>
      <c r="AB65" s="28" t="s">
        <v>818</v>
      </c>
      <c r="AC65" s="28" t="s">
        <v>132</v>
      </c>
      <c r="AD65" s="28" t="s">
        <v>316</v>
      </c>
      <c r="AE65" s="28"/>
      <c r="AF65" s="28" t="str">
        <f t="shared" si="1"/>
        <v>abril</v>
      </c>
    </row>
    <row r="66" spans="1:32" ht="103.5" hidden="1" x14ac:dyDescent="0.35">
      <c r="A66" s="28" t="s">
        <v>819</v>
      </c>
      <c r="B66" s="28" t="s">
        <v>127</v>
      </c>
      <c r="C66" s="28" t="s">
        <v>820</v>
      </c>
      <c r="D66" s="28" t="s">
        <v>778</v>
      </c>
      <c r="E66" s="28" t="s">
        <v>779</v>
      </c>
      <c r="F66" s="28" t="s">
        <v>192</v>
      </c>
      <c r="G66" s="28" t="s">
        <v>413</v>
      </c>
      <c r="H66" s="28"/>
      <c r="I66" s="28" t="s">
        <v>780</v>
      </c>
      <c r="J66" s="28" t="s">
        <v>132</v>
      </c>
      <c r="K66" s="29">
        <v>46097.627118055556</v>
      </c>
      <c r="L66" s="29">
        <v>46121.375</v>
      </c>
      <c r="M66" s="29">
        <v>46121.75</v>
      </c>
      <c r="N66" s="29">
        <v>46121.524756944447</v>
      </c>
      <c r="O66" s="29">
        <v>46121.991319444445</v>
      </c>
      <c r="P66" s="28"/>
      <c r="Q66" s="28" t="s">
        <v>39</v>
      </c>
      <c r="R66" s="28" t="s">
        <v>129</v>
      </c>
      <c r="S66" s="28" t="s">
        <v>413</v>
      </c>
      <c r="T66" s="28" t="s">
        <v>781</v>
      </c>
      <c r="U66" s="28"/>
      <c r="V66" s="28"/>
      <c r="W66" s="28"/>
      <c r="X66" s="28"/>
      <c r="Y66" s="30">
        <v>0</v>
      </c>
      <c r="Z66" s="28"/>
      <c r="AA66" s="28"/>
      <c r="AB66" s="28" t="s">
        <v>782</v>
      </c>
      <c r="AC66" s="28" t="s">
        <v>132</v>
      </c>
      <c r="AD66" s="28" t="s">
        <v>255</v>
      </c>
      <c r="AE66" s="28"/>
      <c r="AF66" s="28" t="str">
        <f t="shared" ref="AF66:AF97" si="2">TEXT(L66,"mmmm")</f>
        <v>abril</v>
      </c>
    </row>
    <row r="67" spans="1:32" ht="57.5" hidden="1" x14ac:dyDescent="0.35">
      <c r="A67" s="28" t="s">
        <v>821</v>
      </c>
      <c r="B67" s="28" t="s">
        <v>127</v>
      </c>
      <c r="C67" s="28" t="s">
        <v>822</v>
      </c>
      <c r="D67" s="28" t="s">
        <v>236</v>
      </c>
      <c r="E67" s="28" t="s">
        <v>130</v>
      </c>
      <c r="F67" s="28" t="s">
        <v>192</v>
      </c>
      <c r="G67" s="28" t="s">
        <v>242</v>
      </c>
      <c r="H67" s="28"/>
      <c r="I67" s="28" t="s">
        <v>238</v>
      </c>
      <c r="J67" s="28" t="s">
        <v>132</v>
      </c>
      <c r="K67" s="29">
        <v>46119.730613425927</v>
      </c>
      <c r="L67" s="29">
        <v>46121.333333333336</v>
      </c>
      <c r="M67" s="29">
        <v>46121.833333333336</v>
      </c>
      <c r="N67" s="29">
        <v>46121.451319444444</v>
      </c>
      <c r="O67" s="29">
        <v>46122.322141203702</v>
      </c>
      <c r="P67" s="28"/>
      <c r="Q67" s="28" t="s">
        <v>265</v>
      </c>
      <c r="R67" s="28" t="s">
        <v>239</v>
      </c>
      <c r="S67" s="28" t="s">
        <v>242</v>
      </c>
      <c r="T67" s="28" t="s">
        <v>309</v>
      </c>
      <c r="U67" s="28"/>
      <c r="V67" s="28"/>
      <c r="W67" s="28"/>
      <c r="X67" s="28"/>
      <c r="Y67" s="30">
        <v>0</v>
      </c>
      <c r="Z67" s="28"/>
      <c r="AA67" s="28"/>
      <c r="AB67" s="28" t="s">
        <v>310</v>
      </c>
      <c r="AC67" s="28" t="s">
        <v>132</v>
      </c>
      <c r="AD67" s="28" t="s">
        <v>240</v>
      </c>
      <c r="AE67" s="28"/>
      <c r="AF67" s="28" t="str">
        <f t="shared" si="2"/>
        <v>abril</v>
      </c>
    </row>
    <row r="68" spans="1:32" ht="103.5" hidden="1" x14ac:dyDescent="0.35">
      <c r="A68" s="28" t="s">
        <v>823</v>
      </c>
      <c r="B68" s="28" t="s">
        <v>127</v>
      </c>
      <c r="C68" s="28" t="s">
        <v>824</v>
      </c>
      <c r="D68" s="28" t="s">
        <v>196</v>
      </c>
      <c r="E68" s="28" t="s">
        <v>197</v>
      </c>
      <c r="F68" s="28" t="s">
        <v>192</v>
      </c>
      <c r="G68" s="28" t="s">
        <v>284</v>
      </c>
      <c r="H68" s="28"/>
      <c r="I68" s="28" t="s">
        <v>198</v>
      </c>
      <c r="J68" s="28" t="s">
        <v>132</v>
      </c>
      <c r="K68" s="29">
        <v>46126.336597222224</v>
      </c>
      <c r="L68" s="29">
        <v>46126.333333333336</v>
      </c>
      <c r="M68" s="29">
        <v>46126.416666666664</v>
      </c>
      <c r="N68" s="29">
        <v>46126.336689814816</v>
      </c>
      <c r="O68" s="29">
        <v>46126.687152777777</v>
      </c>
      <c r="P68" s="28"/>
      <c r="Q68" s="28" t="s">
        <v>269</v>
      </c>
      <c r="R68" s="28" t="s">
        <v>129</v>
      </c>
      <c r="S68" s="28" t="s">
        <v>284</v>
      </c>
      <c r="T68" s="28" t="s">
        <v>199</v>
      </c>
      <c r="U68" s="28"/>
      <c r="V68" s="28"/>
      <c r="W68" s="28"/>
      <c r="X68" s="28"/>
      <c r="Y68" s="30">
        <v>0</v>
      </c>
      <c r="Z68" s="28"/>
      <c r="AA68" s="28"/>
      <c r="AB68" s="28" t="s">
        <v>200</v>
      </c>
      <c r="AC68" s="28" t="s">
        <v>132</v>
      </c>
      <c r="AD68" s="28" t="s">
        <v>201</v>
      </c>
      <c r="AE68" s="28"/>
      <c r="AF68" s="28" t="str">
        <f t="shared" si="2"/>
        <v>abril</v>
      </c>
    </row>
    <row r="69" spans="1:32" ht="161" hidden="1" x14ac:dyDescent="0.35">
      <c r="A69" s="28" t="s">
        <v>825</v>
      </c>
      <c r="B69" s="28" t="s">
        <v>127</v>
      </c>
      <c r="C69" s="28" t="s">
        <v>826</v>
      </c>
      <c r="D69" s="28" t="s">
        <v>282</v>
      </c>
      <c r="E69" s="28" t="s">
        <v>283</v>
      </c>
      <c r="F69" s="28" t="s">
        <v>192</v>
      </c>
      <c r="G69" s="28" t="s">
        <v>233</v>
      </c>
      <c r="H69" s="28"/>
      <c r="I69" s="28" t="s">
        <v>285</v>
      </c>
      <c r="J69" s="28" t="s">
        <v>132</v>
      </c>
      <c r="K69" s="29">
        <v>46127.393680555557</v>
      </c>
      <c r="L69" s="29">
        <v>46127.354166666664</v>
      </c>
      <c r="M69" s="29">
        <v>46127.395833333336</v>
      </c>
      <c r="N69" s="29">
        <v>46127.394143518519</v>
      </c>
      <c r="O69" s="29">
        <v>46127.395243055558</v>
      </c>
      <c r="P69" s="28" t="s">
        <v>827</v>
      </c>
      <c r="Q69" s="28" t="s">
        <v>234</v>
      </c>
      <c r="R69" s="28" t="s">
        <v>129</v>
      </c>
      <c r="S69" s="28" t="s">
        <v>233</v>
      </c>
      <c r="T69" s="28" t="s">
        <v>287</v>
      </c>
      <c r="U69" s="28"/>
      <c r="V69" s="28"/>
      <c r="W69" s="28"/>
      <c r="X69" s="28"/>
      <c r="Y69" s="30">
        <v>0</v>
      </c>
      <c r="Z69" s="28"/>
      <c r="AA69" s="28"/>
      <c r="AB69" s="28" t="s">
        <v>288</v>
      </c>
      <c r="AC69" s="28" t="s">
        <v>132</v>
      </c>
      <c r="AD69" s="28" t="s">
        <v>289</v>
      </c>
      <c r="AE69" s="28"/>
      <c r="AF69" s="28" t="str">
        <f t="shared" si="2"/>
        <v>abril</v>
      </c>
    </row>
    <row r="70" spans="1:32" ht="57.5" hidden="1" x14ac:dyDescent="0.35">
      <c r="A70" s="28" t="s">
        <v>828</v>
      </c>
      <c r="B70" s="28" t="s">
        <v>127</v>
      </c>
      <c r="C70" s="28" t="s">
        <v>829</v>
      </c>
      <c r="D70" s="28" t="s">
        <v>159</v>
      </c>
      <c r="E70" s="28" t="s">
        <v>160</v>
      </c>
      <c r="F70" s="28" t="s">
        <v>131</v>
      </c>
      <c r="G70" s="28" t="s">
        <v>188</v>
      </c>
      <c r="H70" s="28"/>
      <c r="I70" s="28" t="s">
        <v>128</v>
      </c>
      <c r="J70" s="28"/>
      <c r="K70" s="29">
        <v>46129.48541666667</v>
      </c>
      <c r="L70" s="29">
        <v>46129.479166666664</v>
      </c>
      <c r="M70" s="29">
        <v>46129.520833333336</v>
      </c>
      <c r="N70" s="29">
        <v>46129.486550925925</v>
      </c>
      <c r="O70" s="29">
        <v>46129.511678240742</v>
      </c>
      <c r="P70" s="28"/>
      <c r="Q70" s="28" t="s">
        <v>37</v>
      </c>
      <c r="R70" s="28" t="s">
        <v>129</v>
      </c>
      <c r="S70" s="28" t="s">
        <v>188</v>
      </c>
      <c r="T70" s="28" t="s">
        <v>161</v>
      </c>
      <c r="U70" s="28"/>
      <c r="V70" s="28"/>
      <c r="W70" s="28"/>
      <c r="X70" s="28"/>
      <c r="Y70" s="30">
        <v>0</v>
      </c>
      <c r="Z70" s="28"/>
      <c r="AA70" s="28"/>
      <c r="AB70" s="28" t="s">
        <v>128</v>
      </c>
      <c r="AC70" s="28"/>
      <c r="AD70" s="28"/>
      <c r="AE70" s="28"/>
      <c r="AF70" s="28" t="str">
        <f t="shared" si="2"/>
        <v>abril</v>
      </c>
    </row>
    <row r="71" spans="1:32" ht="57.5" hidden="1" x14ac:dyDescent="0.35">
      <c r="A71" s="28" t="s">
        <v>830</v>
      </c>
      <c r="B71" s="28" t="s">
        <v>127</v>
      </c>
      <c r="C71" s="28" t="s">
        <v>831</v>
      </c>
      <c r="D71" s="28" t="s">
        <v>156</v>
      </c>
      <c r="E71" s="28" t="s">
        <v>157</v>
      </c>
      <c r="F71" s="28" t="s">
        <v>131</v>
      </c>
      <c r="G71" s="28" t="s">
        <v>188</v>
      </c>
      <c r="H71" s="28"/>
      <c r="I71" s="28" t="s">
        <v>128</v>
      </c>
      <c r="J71" s="28"/>
      <c r="K71" s="29">
        <v>46130.566388888888</v>
      </c>
      <c r="L71" s="29">
        <v>46130.333333333336</v>
      </c>
      <c r="M71" s="29">
        <v>46130.520833333336</v>
      </c>
      <c r="N71" s="29">
        <v>46130.566643518519</v>
      </c>
      <c r="O71" s="29">
        <v>46130.566736111112</v>
      </c>
      <c r="P71" s="28"/>
      <c r="Q71" s="28" t="s">
        <v>37</v>
      </c>
      <c r="R71" s="28" t="s">
        <v>129</v>
      </c>
      <c r="S71" s="28" t="s">
        <v>188</v>
      </c>
      <c r="T71" s="28" t="s">
        <v>158</v>
      </c>
      <c r="U71" s="28"/>
      <c r="V71" s="28"/>
      <c r="W71" s="28"/>
      <c r="X71" s="28"/>
      <c r="Y71" s="30">
        <v>0</v>
      </c>
      <c r="Z71" s="28"/>
      <c r="AA71" s="28"/>
      <c r="AB71" s="28" t="s">
        <v>128</v>
      </c>
      <c r="AC71" s="28"/>
      <c r="AD71" s="28"/>
      <c r="AE71" s="28"/>
      <c r="AF71" s="28" t="str">
        <f t="shared" si="2"/>
        <v>abril</v>
      </c>
    </row>
    <row r="72" spans="1:32" ht="69" hidden="1" x14ac:dyDescent="0.35">
      <c r="A72" s="28" t="s">
        <v>832</v>
      </c>
      <c r="B72" s="28" t="s">
        <v>127</v>
      </c>
      <c r="C72" s="28" t="s">
        <v>833</v>
      </c>
      <c r="D72" s="28" t="s">
        <v>241</v>
      </c>
      <c r="E72" s="28" t="s">
        <v>165</v>
      </c>
      <c r="F72" s="28" t="s">
        <v>131</v>
      </c>
      <c r="G72" s="28" t="s">
        <v>272</v>
      </c>
      <c r="H72" s="28"/>
      <c r="I72" s="28" t="s">
        <v>243</v>
      </c>
      <c r="J72" s="28" t="s">
        <v>244</v>
      </c>
      <c r="K72" s="29">
        <v>46133.339166666665</v>
      </c>
      <c r="L72" s="29">
        <v>46133.354166666664</v>
      </c>
      <c r="M72" s="29">
        <v>46133.5</v>
      </c>
      <c r="N72" s="29">
        <v>46133.392013888886</v>
      </c>
      <c r="O72" s="29">
        <v>46133.579224537039</v>
      </c>
      <c r="P72" s="28"/>
      <c r="Q72" s="28" t="s">
        <v>163</v>
      </c>
      <c r="R72" s="28" t="s">
        <v>239</v>
      </c>
      <c r="S72" s="28" t="s">
        <v>272</v>
      </c>
      <c r="T72" s="28" t="s">
        <v>303</v>
      </c>
      <c r="U72" s="28"/>
      <c r="V72" s="28"/>
      <c r="W72" s="28"/>
      <c r="X72" s="28"/>
      <c r="Y72" s="30">
        <v>0</v>
      </c>
      <c r="Z72" s="28"/>
      <c r="AA72" s="28"/>
      <c r="AB72" s="28" t="s">
        <v>304</v>
      </c>
      <c r="AC72" s="28" t="s">
        <v>244</v>
      </c>
      <c r="AD72" s="28" t="s">
        <v>246</v>
      </c>
      <c r="AE72" s="28"/>
      <c r="AF72" s="28" t="str">
        <f t="shared" si="2"/>
        <v>abril</v>
      </c>
    </row>
    <row r="73" spans="1:32" ht="57.5" hidden="1" x14ac:dyDescent="0.35">
      <c r="A73" s="28" t="s">
        <v>834</v>
      </c>
      <c r="B73" s="28" t="s">
        <v>127</v>
      </c>
      <c r="C73" s="28" t="s">
        <v>835</v>
      </c>
      <c r="D73" s="28" t="s">
        <v>159</v>
      </c>
      <c r="E73" s="28" t="s">
        <v>160</v>
      </c>
      <c r="F73" s="28" t="s">
        <v>131</v>
      </c>
      <c r="G73" s="28" t="s">
        <v>188</v>
      </c>
      <c r="H73" s="28"/>
      <c r="I73" s="28" t="s">
        <v>128</v>
      </c>
      <c r="J73" s="28"/>
      <c r="K73" s="29">
        <v>46134.290462962963</v>
      </c>
      <c r="L73" s="29">
        <v>46134.291666666664</v>
      </c>
      <c r="M73" s="29">
        <v>46134.416666666664</v>
      </c>
      <c r="N73" s="29">
        <v>46134.311527777776</v>
      </c>
      <c r="O73" s="29">
        <v>46134.408715277779</v>
      </c>
      <c r="P73" s="28"/>
      <c r="Q73" s="28" t="s">
        <v>37</v>
      </c>
      <c r="R73" s="28" t="s">
        <v>129</v>
      </c>
      <c r="S73" s="28" t="s">
        <v>188</v>
      </c>
      <c r="T73" s="28" t="s">
        <v>161</v>
      </c>
      <c r="U73" s="28"/>
      <c r="V73" s="28"/>
      <c r="W73" s="28"/>
      <c r="X73" s="28"/>
      <c r="Y73" s="30">
        <v>0</v>
      </c>
      <c r="Z73" s="28"/>
      <c r="AA73" s="28"/>
      <c r="AB73" s="28" t="s">
        <v>128</v>
      </c>
      <c r="AC73" s="28"/>
      <c r="AD73" s="28"/>
      <c r="AE73" s="28"/>
      <c r="AF73" s="28" t="str">
        <f t="shared" si="2"/>
        <v>abril</v>
      </c>
    </row>
    <row r="74" spans="1:32" ht="103.5" hidden="1" x14ac:dyDescent="0.35">
      <c r="A74" s="28" t="s">
        <v>836</v>
      </c>
      <c r="B74" s="28" t="s">
        <v>127</v>
      </c>
      <c r="C74" s="28" t="s">
        <v>247</v>
      </c>
      <c r="D74" s="28" t="s">
        <v>837</v>
      </c>
      <c r="E74" s="28" t="s">
        <v>838</v>
      </c>
      <c r="F74" s="28" t="s">
        <v>131</v>
      </c>
      <c r="G74" s="28" t="s">
        <v>36</v>
      </c>
      <c r="H74" s="28"/>
      <c r="I74" s="28" t="s">
        <v>839</v>
      </c>
      <c r="J74" s="28" t="s">
        <v>132</v>
      </c>
      <c r="K74" s="29">
        <v>46134.537372685183</v>
      </c>
      <c r="L74" s="29">
        <v>46134.354166666664</v>
      </c>
      <c r="M74" s="29">
        <v>46134.479166666664</v>
      </c>
      <c r="N74" s="29">
        <v>46134.537476851852</v>
      </c>
      <c r="O74" s="29">
        <v>46134.537523148145</v>
      </c>
      <c r="P74" s="28"/>
      <c r="Q74" s="21" t="s">
        <v>39</v>
      </c>
      <c r="R74" s="28" t="s">
        <v>129</v>
      </c>
      <c r="S74" s="28" t="s">
        <v>36</v>
      </c>
      <c r="T74" s="28" t="s">
        <v>840</v>
      </c>
      <c r="U74" s="28"/>
      <c r="V74" s="28"/>
      <c r="W74" s="28"/>
      <c r="X74" s="28"/>
      <c r="Y74" s="30">
        <v>0</v>
      </c>
      <c r="Z74" s="28"/>
      <c r="AA74" s="28"/>
      <c r="AB74" s="28" t="s">
        <v>841</v>
      </c>
      <c r="AC74" s="28" t="s">
        <v>132</v>
      </c>
      <c r="AD74" s="28" t="s">
        <v>255</v>
      </c>
      <c r="AE74" s="28"/>
      <c r="AF74" s="28" t="str">
        <f t="shared" si="2"/>
        <v>abril</v>
      </c>
    </row>
    <row r="75" spans="1:32" ht="184" hidden="1" x14ac:dyDescent="0.35">
      <c r="A75" s="28" t="s">
        <v>842</v>
      </c>
      <c r="B75" s="28" t="s">
        <v>127</v>
      </c>
      <c r="C75" s="28" t="s">
        <v>843</v>
      </c>
      <c r="D75" s="28" t="s">
        <v>523</v>
      </c>
      <c r="E75" s="28" t="s">
        <v>524</v>
      </c>
      <c r="F75" s="28" t="s">
        <v>192</v>
      </c>
      <c r="G75" s="28" t="s">
        <v>301</v>
      </c>
      <c r="H75" s="28"/>
      <c r="I75" s="28" t="s">
        <v>525</v>
      </c>
      <c r="J75" s="28" t="s">
        <v>302</v>
      </c>
      <c r="K75" s="29">
        <v>46125.067812499998</v>
      </c>
      <c r="L75" s="29">
        <v>46134.375</v>
      </c>
      <c r="M75" s="29">
        <v>46134.666666666664</v>
      </c>
      <c r="N75" s="29">
        <v>46134.40483796296</v>
      </c>
      <c r="O75" s="29">
        <v>46134.675416666665</v>
      </c>
      <c r="P75" s="28" t="s">
        <v>844</v>
      </c>
      <c r="Q75" s="28" t="s">
        <v>224</v>
      </c>
      <c r="R75" s="28" t="s">
        <v>239</v>
      </c>
      <c r="S75" s="28" t="s">
        <v>301</v>
      </c>
      <c r="T75" s="28" t="s">
        <v>526</v>
      </c>
      <c r="U75" s="28"/>
      <c r="V75" s="28"/>
      <c r="W75" s="28"/>
      <c r="X75" s="28"/>
      <c r="Y75" s="30">
        <v>0</v>
      </c>
      <c r="Z75" s="28"/>
      <c r="AA75" s="28"/>
      <c r="AB75" s="28" t="s">
        <v>527</v>
      </c>
      <c r="AC75" s="28" t="s">
        <v>302</v>
      </c>
      <c r="AD75" s="28"/>
      <c r="AE75" s="28"/>
      <c r="AF75" s="28" t="str">
        <f t="shared" si="2"/>
        <v>abril</v>
      </c>
    </row>
    <row r="76" spans="1:32" ht="80.5" hidden="1" x14ac:dyDescent="0.35">
      <c r="A76" s="28" t="s">
        <v>845</v>
      </c>
      <c r="B76" s="28" t="s">
        <v>127</v>
      </c>
      <c r="C76" s="28" t="s">
        <v>846</v>
      </c>
      <c r="D76" s="28" t="s">
        <v>523</v>
      </c>
      <c r="E76" s="28" t="s">
        <v>524</v>
      </c>
      <c r="F76" s="28" t="s">
        <v>192</v>
      </c>
      <c r="G76" s="28" t="s">
        <v>301</v>
      </c>
      <c r="H76" s="28"/>
      <c r="I76" s="28" t="s">
        <v>525</v>
      </c>
      <c r="J76" s="28" t="s">
        <v>302</v>
      </c>
      <c r="K76" s="29">
        <v>46134.675844907404</v>
      </c>
      <c r="L76" s="29">
        <v>46134.666666666664</v>
      </c>
      <c r="M76" s="29">
        <v>46134.6875</v>
      </c>
      <c r="N76" s="29">
        <v>46134.675949074073</v>
      </c>
      <c r="O76" s="29">
        <v>46134.676006944443</v>
      </c>
      <c r="P76" s="28"/>
      <c r="Q76" s="28" t="s">
        <v>224</v>
      </c>
      <c r="R76" s="28" t="s">
        <v>239</v>
      </c>
      <c r="S76" s="28" t="s">
        <v>301</v>
      </c>
      <c r="T76" s="28" t="s">
        <v>526</v>
      </c>
      <c r="U76" s="28"/>
      <c r="V76" s="28"/>
      <c r="W76" s="28"/>
      <c r="X76" s="28"/>
      <c r="Y76" s="30">
        <v>0</v>
      </c>
      <c r="Z76" s="28"/>
      <c r="AA76" s="28"/>
      <c r="AB76" s="28" t="s">
        <v>527</v>
      </c>
      <c r="AC76" s="28" t="s">
        <v>302</v>
      </c>
      <c r="AD76" s="28"/>
      <c r="AE76" s="28"/>
      <c r="AF76" s="28" t="str">
        <f t="shared" si="2"/>
        <v>abril</v>
      </c>
    </row>
    <row r="77" spans="1:32" ht="115" hidden="1" x14ac:dyDescent="0.35">
      <c r="A77" s="28" t="s">
        <v>847</v>
      </c>
      <c r="B77" s="28" t="s">
        <v>127</v>
      </c>
      <c r="C77" s="28" t="s">
        <v>202</v>
      </c>
      <c r="D77" s="28" t="s">
        <v>645</v>
      </c>
      <c r="E77" s="28" t="s">
        <v>646</v>
      </c>
      <c r="F77" s="28" t="s">
        <v>192</v>
      </c>
      <c r="G77" s="28" t="s">
        <v>70</v>
      </c>
      <c r="H77" s="28"/>
      <c r="I77" s="28" t="s">
        <v>647</v>
      </c>
      <c r="J77" s="28" t="s">
        <v>132</v>
      </c>
      <c r="K77" s="29">
        <v>46121.526539351849</v>
      </c>
      <c r="L77" s="29">
        <v>46121.604166666664</v>
      </c>
      <c r="M77" s="29">
        <v>46121.666666666664</v>
      </c>
      <c r="N77" s="29">
        <v>46134.955104166664</v>
      </c>
      <c r="O77" s="29">
        <v>46134.95516203704</v>
      </c>
      <c r="P77" s="28"/>
      <c r="Q77" s="28" t="s">
        <v>42</v>
      </c>
      <c r="R77" s="28" t="s">
        <v>129</v>
      </c>
      <c r="S77" s="28" t="s">
        <v>70</v>
      </c>
      <c r="T77" s="28" t="s">
        <v>648</v>
      </c>
      <c r="U77" s="28"/>
      <c r="V77" s="28"/>
      <c r="W77" s="28"/>
      <c r="X77" s="28"/>
      <c r="Y77" s="30">
        <v>0</v>
      </c>
      <c r="Z77" s="28"/>
      <c r="AA77" s="28"/>
      <c r="AB77" s="28" t="s">
        <v>649</v>
      </c>
      <c r="AC77" s="28" t="s">
        <v>132</v>
      </c>
      <c r="AD77" s="28" t="s">
        <v>278</v>
      </c>
      <c r="AE77" s="28"/>
      <c r="AF77" s="28" t="str">
        <f t="shared" si="2"/>
        <v>abril</v>
      </c>
    </row>
    <row r="78" spans="1:32" ht="126.5" hidden="1" x14ac:dyDescent="0.35">
      <c r="A78" s="28" t="s">
        <v>848</v>
      </c>
      <c r="B78" s="28" t="s">
        <v>127</v>
      </c>
      <c r="C78" s="28" t="s">
        <v>849</v>
      </c>
      <c r="D78" s="28" t="s">
        <v>850</v>
      </c>
      <c r="E78" s="28" t="s">
        <v>851</v>
      </c>
      <c r="F78" s="28" t="s">
        <v>192</v>
      </c>
      <c r="G78" s="28" t="s">
        <v>277</v>
      </c>
      <c r="H78" s="28"/>
      <c r="I78" s="28" t="s">
        <v>852</v>
      </c>
      <c r="J78" s="28" t="s">
        <v>132</v>
      </c>
      <c r="K78" s="29">
        <v>46135.395208333335</v>
      </c>
      <c r="L78" s="29">
        <v>46134.791666666664</v>
      </c>
      <c r="M78" s="29">
        <v>46134.895833333336</v>
      </c>
      <c r="N78" s="29">
        <v>46135.395289351851</v>
      </c>
      <c r="O78" s="29">
        <v>46135.395370370374</v>
      </c>
      <c r="P78" s="28"/>
      <c r="Q78" s="28" t="s">
        <v>150</v>
      </c>
      <c r="R78" s="28" t="s">
        <v>239</v>
      </c>
      <c r="S78" s="28" t="s">
        <v>277</v>
      </c>
      <c r="T78" s="28" t="s">
        <v>853</v>
      </c>
      <c r="U78" s="28"/>
      <c r="V78" s="28"/>
      <c r="W78" s="28"/>
      <c r="X78" s="28"/>
      <c r="Y78" s="30">
        <v>0</v>
      </c>
      <c r="Z78" s="28"/>
      <c r="AA78" s="28"/>
      <c r="AB78" s="28" t="s">
        <v>854</v>
      </c>
      <c r="AC78" s="28" t="s">
        <v>132</v>
      </c>
      <c r="AD78" s="28" t="s">
        <v>314</v>
      </c>
      <c r="AE78" s="28"/>
      <c r="AF78" s="28" t="str">
        <f t="shared" si="2"/>
        <v>abril</v>
      </c>
    </row>
    <row r="79" spans="1:32" ht="126.5" hidden="1" x14ac:dyDescent="0.35">
      <c r="A79" s="28" t="s">
        <v>855</v>
      </c>
      <c r="B79" s="28" t="s">
        <v>127</v>
      </c>
      <c r="C79" s="28" t="s">
        <v>856</v>
      </c>
      <c r="D79" s="28" t="s">
        <v>857</v>
      </c>
      <c r="E79" s="28" t="s">
        <v>858</v>
      </c>
      <c r="F79" s="28" t="s">
        <v>131</v>
      </c>
      <c r="G79" s="28" t="s">
        <v>188</v>
      </c>
      <c r="H79" s="28"/>
      <c r="I79" s="28" t="s">
        <v>859</v>
      </c>
      <c r="J79" s="28" t="s">
        <v>151</v>
      </c>
      <c r="K79" s="29">
        <v>46136.449050925927</v>
      </c>
      <c r="L79" s="29">
        <v>46136.395833333336</v>
      </c>
      <c r="M79" s="29">
        <v>46136.458333333336</v>
      </c>
      <c r="N79" s="29">
        <v>46136.449224537035</v>
      </c>
      <c r="O79" s="29">
        <v>46136.459606481483</v>
      </c>
      <c r="P79" s="28" t="s">
        <v>860</v>
      </c>
      <c r="Q79" s="28" t="s">
        <v>37</v>
      </c>
      <c r="R79" s="28" t="s">
        <v>129</v>
      </c>
      <c r="S79" s="28" t="s">
        <v>188</v>
      </c>
      <c r="T79" s="28" t="s">
        <v>861</v>
      </c>
      <c r="U79" s="28"/>
      <c r="V79" s="28"/>
      <c r="W79" s="28"/>
      <c r="X79" s="28"/>
      <c r="Y79" s="30">
        <v>0</v>
      </c>
      <c r="Z79" s="28"/>
      <c r="AA79" s="28"/>
      <c r="AB79" s="28" t="s">
        <v>862</v>
      </c>
      <c r="AC79" s="28" t="s">
        <v>151</v>
      </c>
      <c r="AD79" s="28" t="s">
        <v>356</v>
      </c>
      <c r="AE79" s="28"/>
      <c r="AF79" s="28" t="str">
        <f t="shared" si="2"/>
        <v>abril</v>
      </c>
    </row>
    <row r="80" spans="1:32" ht="92" hidden="1" x14ac:dyDescent="0.35">
      <c r="A80" s="28" t="s">
        <v>863</v>
      </c>
      <c r="B80" s="28" t="s">
        <v>127</v>
      </c>
      <c r="C80" s="28" t="s">
        <v>864</v>
      </c>
      <c r="D80" s="28" t="s">
        <v>865</v>
      </c>
      <c r="E80" s="28" t="s">
        <v>866</v>
      </c>
      <c r="F80" s="28" t="s">
        <v>192</v>
      </c>
      <c r="G80" s="28" t="s">
        <v>67</v>
      </c>
      <c r="H80" s="28"/>
      <c r="I80" s="28" t="s">
        <v>867</v>
      </c>
      <c r="J80" s="28" t="s">
        <v>132</v>
      </c>
      <c r="K80" s="29">
        <v>46135.805914351855</v>
      </c>
      <c r="L80" s="29">
        <v>46136.75</v>
      </c>
      <c r="M80" s="29">
        <v>46136.833333333336</v>
      </c>
      <c r="N80" s="29">
        <v>46136.722638888888</v>
      </c>
      <c r="O80" s="29">
        <v>46136.868483796294</v>
      </c>
      <c r="P80" s="28"/>
      <c r="Q80" s="21" t="s">
        <v>46</v>
      </c>
      <c r="R80" s="28" t="s">
        <v>129</v>
      </c>
      <c r="S80" s="28" t="s">
        <v>67</v>
      </c>
      <c r="T80" s="28" t="s">
        <v>868</v>
      </c>
      <c r="U80" s="28"/>
      <c r="V80" s="28"/>
      <c r="W80" s="28"/>
      <c r="X80" s="28"/>
      <c r="Y80" s="30">
        <v>0</v>
      </c>
      <c r="Z80" s="28"/>
      <c r="AA80" s="28"/>
      <c r="AB80" s="28" t="s">
        <v>869</v>
      </c>
      <c r="AC80" s="28" t="s">
        <v>132</v>
      </c>
      <c r="AD80" s="28" t="s">
        <v>138</v>
      </c>
      <c r="AE80" s="28"/>
      <c r="AF80" s="28" t="str">
        <f t="shared" si="2"/>
        <v>abril</v>
      </c>
    </row>
    <row r="81" spans="1:32" ht="126.5" hidden="1" x14ac:dyDescent="0.35">
      <c r="A81" s="28" t="s">
        <v>870</v>
      </c>
      <c r="B81" s="28" t="s">
        <v>127</v>
      </c>
      <c r="C81" s="28" t="s">
        <v>871</v>
      </c>
      <c r="D81" s="28" t="s">
        <v>872</v>
      </c>
      <c r="E81" s="28" t="s">
        <v>873</v>
      </c>
      <c r="F81" s="28" t="s">
        <v>192</v>
      </c>
      <c r="G81" s="28" t="s">
        <v>266</v>
      </c>
      <c r="H81" s="28"/>
      <c r="I81" s="28" t="s">
        <v>874</v>
      </c>
      <c r="J81" s="28" t="s">
        <v>270</v>
      </c>
      <c r="K81" s="29">
        <v>46136.470983796295</v>
      </c>
      <c r="L81" s="29">
        <v>46136.25</v>
      </c>
      <c r="M81" s="29">
        <v>46136.666666666664</v>
      </c>
      <c r="N81" s="29">
        <v>46136.471122685187</v>
      </c>
      <c r="O81" s="29">
        <v>46137.471261574072</v>
      </c>
      <c r="P81" s="28"/>
      <c r="Q81" s="28" t="s">
        <v>147</v>
      </c>
      <c r="R81" s="28" t="s">
        <v>239</v>
      </c>
      <c r="S81" s="28" t="s">
        <v>266</v>
      </c>
      <c r="T81" s="28" t="s">
        <v>875</v>
      </c>
      <c r="U81" s="28"/>
      <c r="V81" s="28"/>
      <c r="W81" s="28"/>
      <c r="X81" s="28"/>
      <c r="Y81" s="30">
        <v>0</v>
      </c>
      <c r="Z81" s="28"/>
      <c r="AA81" s="28"/>
      <c r="AB81" s="28" t="s">
        <v>876</v>
      </c>
      <c r="AC81" s="28" t="s">
        <v>270</v>
      </c>
      <c r="AD81" s="28" t="s">
        <v>877</v>
      </c>
      <c r="AE81" s="28"/>
      <c r="AF81" s="28" t="str">
        <f t="shared" si="2"/>
        <v>abril</v>
      </c>
    </row>
    <row r="82" spans="1:32" ht="103.5" hidden="1" x14ac:dyDescent="0.35">
      <c r="A82" s="28" t="s">
        <v>878</v>
      </c>
      <c r="B82" s="28" t="s">
        <v>127</v>
      </c>
      <c r="C82" s="28" t="s">
        <v>879</v>
      </c>
      <c r="D82" s="28" t="s">
        <v>880</v>
      </c>
      <c r="E82" s="28" t="s">
        <v>881</v>
      </c>
      <c r="F82" s="28" t="s">
        <v>131</v>
      </c>
      <c r="G82" s="28" t="s">
        <v>188</v>
      </c>
      <c r="H82" s="28"/>
      <c r="I82" s="28" t="s">
        <v>882</v>
      </c>
      <c r="J82" s="28" t="s">
        <v>151</v>
      </c>
      <c r="K82" s="29">
        <v>46137.557905092595</v>
      </c>
      <c r="L82" s="29">
        <v>46137.395833333336</v>
      </c>
      <c r="M82" s="29">
        <v>46137.520833333336</v>
      </c>
      <c r="N82" s="29">
        <v>46137.558067129627</v>
      </c>
      <c r="O82" s="29">
        <v>46137.558229166665</v>
      </c>
      <c r="P82" s="28" t="s">
        <v>883</v>
      </c>
      <c r="Q82" s="28" t="s">
        <v>37</v>
      </c>
      <c r="R82" s="28" t="s">
        <v>129</v>
      </c>
      <c r="S82" s="28" t="s">
        <v>188</v>
      </c>
      <c r="T82" s="28" t="s">
        <v>884</v>
      </c>
      <c r="U82" s="28"/>
      <c r="V82" s="28"/>
      <c r="W82" s="28"/>
      <c r="X82" s="28"/>
      <c r="Y82" s="30">
        <v>0</v>
      </c>
      <c r="Z82" s="28"/>
      <c r="AA82" s="28"/>
      <c r="AB82" s="28" t="s">
        <v>885</v>
      </c>
      <c r="AC82" s="28" t="s">
        <v>151</v>
      </c>
      <c r="AD82" s="28" t="s">
        <v>152</v>
      </c>
      <c r="AE82" s="28"/>
      <c r="AF82" s="28" t="str">
        <f t="shared" si="2"/>
        <v>abril</v>
      </c>
    </row>
    <row r="83" spans="1:32" ht="115" hidden="1" x14ac:dyDescent="0.35">
      <c r="A83" s="28" t="s">
        <v>886</v>
      </c>
      <c r="B83" s="28" t="s">
        <v>127</v>
      </c>
      <c r="C83" s="28" t="s">
        <v>522</v>
      </c>
      <c r="D83" s="28" t="s">
        <v>609</v>
      </c>
      <c r="E83" s="28" t="s">
        <v>610</v>
      </c>
      <c r="F83" s="28" t="s">
        <v>192</v>
      </c>
      <c r="G83" s="28" t="s">
        <v>306</v>
      </c>
      <c r="H83" s="28"/>
      <c r="I83" s="28" t="s">
        <v>611</v>
      </c>
      <c r="J83" s="28" t="s">
        <v>302</v>
      </c>
      <c r="K83" s="29">
        <v>46132.332453703704</v>
      </c>
      <c r="L83" s="29">
        <v>46134</v>
      </c>
      <c r="M83" s="29">
        <v>46134.020833333336</v>
      </c>
      <c r="N83" s="29">
        <v>46134.671041666668</v>
      </c>
      <c r="O83" s="29">
        <v>46134.678101851852</v>
      </c>
      <c r="P83" s="28" t="s">
        <v>887</v>
      </c>
      <c r="Q83" s="28" t="s">
        <v>224</v>
      </c>
      <c r="R83" s="28" t="s">
        <v>239</v>
      </c>
      <c r="S83" s="28" t="s">
        <v>306</v>
      </c>
      <c r="T83" s="28" t="s">
        <v>612</v>
      </c>
      <c r="U83" s="28"/>
      <c r="V83" s="28"/>
      <c r="W83" s="28"/>
      <c r="X83" s="28"/>
      <c r="Y83" s="30">
        <v>0</v>
      </c>
      <c r="Z83" s="28"/>
      <c r="AA83" s="28"/>
      <c r="AB83" s="28" t="s">
        <v>613</v>
      </c>
      <c r="AC83" s="28" t="s">
        <v>302</v>
      </c>
      <c r="AD83" s="28" t="s">
        <v>614</v>
      </c>
      <c r="AE83" s="28"/>
      <c r="AF83" s="28" t="str">
        <f t="shared" si="2"/>
        <v>abril</v>
      </c>
    </row>
    <row r="84" spans="1:32" ht="69" hidden="1" x14ac:dyDescent="0.35">
      <c r="A84" s="28" t="s">
        <v>888</v>
      </c>
      <c r="B84" s="28" t="s">
        <v>127</v>
      </c>
      <c r="C84" s="28" t="s">
        <v>889</v>
      </c>
      <c r="D84" s="28" t="s">
        <v>153</v>
      </c>
      <c r="E84" s="28" t="s">
        <v>154</v>
      </c>
      <c r="F84" s="28" t="s">
        <v>131</v>
      </c>
      <c r="G84" s="28" t="s">
        <v>188</v>
      </c>
      <c r="H84" s="28"/>
      <c r="I84" s="28" t="s">
        <v>128</v>
      </c>
      <c r="J84" s="28"/>
      <c r="K84" s="29">
        <v>46140.255196759259</v>
      </c>
      <c r="L84" s="29">
        <v>46140.270833333336</v>
      </c>
      <c r="M84" s="29">
        <v>46140.520833333336</v>
      </c>
      <c r="N84" s="29">
        <v>46140.287442129629</v>
      </c>
      <c r="O84" s="29">
        <v>46140.598136574074</v>
      </c>
      <c r="P84" s="28"/>
      <c r="Q84" s="28" t="s">
        <v>37</v>
      </c>
      <c r="R84" s="28" t="s">
        <v>129</v>
      </c>
      <c r="S84" s="28" t="s">
        <v>188</v>
      </c>
      <c r="T84" s="28" t="s">
        <v>155</v>
      </c>
      <c r="U84" s="28"/>
      <c r="V84" s="28"/>
      <c r="W84" s="28"/>
      <c r="X84" s="28"/>
      <c r="Y84" s="30">
        <v>0</v>
      </c>
      <c r="Z84" s="28"/>
      <c r="AA84" s="28"/>
      <c r="AB84" s="28" t="s">
        <v>128</v>
      </c>
      <c r="AC84" s="28"/>
      <c r="AD84" s="28"/>
      <c r="AE84" s="28"/>
      <c r="AF84" s="28" t="str">
        <f t="shared" si="2"/>
        <v>abril</v>
      </c>
    </row>
    <row r="85" spans="1:32" ht="57.5" hidden="1" x14ac:dyDescent="0.35">
      <c r="A85" s="28" t="s">
        <v>890</v>
      </c>
      <c r="B85" s="28" t="s">
        <v>127</v>
      </c>
      <c r="C85" s="28" t="s">
        <v>891</v>
      </c>
      <c r="D85" s="28" t="s">
        <v>159</v>
      </c>
      <c r="E85" s="28" t="s">
        <v>160</v>
      </c>
      <c r="F85" s="28" t="s">
        <v>131</v>
      </c>
      <c r="G85" s="28" t="s">
        <v>188</v>
      </c>
      <c r="H85" s="28"/>
      <c r="I85" s="28" t="s">
        <v>128</v>
      </c>
      <c r="J85" s="28"/>
      <c r="K85" s="29">
        <v>46141.340520833335</v>
      </c>
      <c r="L85" s="29">
        <v>46141.333333333336</v>
      </c>
      <c r="M85" s="29">
        <v>46141.5</v>
      </c>
      <c r="N85" s="29">
        <v>46141.341087962966</v>
      </c>
      <c r="O85" s="29">
        <v>46141.540219907409</v>
      </c>
      <c r="P85" s="28" t="s">
        <v>892</v>
      </c>
      <c r="Q85" s="28" t="s">
        <v>37</v>
      </c>
      <c r="R85" s="28" t="s">
        <v>129</v>
      </c>
      <c r="S85" s="28" t="s">
        <v>188</v>
      </c>
      <c r="T85" s="28" t="s">
        <v>161</v>
      </c>
      <c r="U85" s="28"/>
      <c r="V85" s="28"/>
      <c r="W85" s="28"/>
      <c r="X85" s="28"/>
      <c r="Y85" s="30">
        <v>0</v>
      </c>
      <c r="Z85" s="28"/>
      <c r="AA85" s="28"/>
      <c r="AB85" s="28" t="s">
        <v>128</v>
      </c>
      <c r="AC85" s="28"/>
      <c r="AD85" s="28"/>
      <c r="AE85" s="28"/>
      <c r="AF85" s="28" t="str">
        <f t="shared" si="2"/>
        <v>abril</v>
      </c>
    </row>
    <row r="86" spans="1:32" ht="126.5" hidden="1" x14ac:dyDescent="0.35">
      <c r="A86" s="28" t="s">
        <v>893</v>
      </c>
      <c r="B86" s="28" t="s">
        <v>127</v>
      </c>
      <c r="C86" s="28" t="s">
        <v>894</v>
      </c>
      <c r="D86" s="28" t="s">
        <v>895</v>
      </c>
      <c r="E86" s="28" t="s">
        <v>896</v>
      </c>
      <c r="F86" s="28" t="s">
        <v>192</v>
      </c>
      <c r="G86" s="28" t="s">
        <v>301</v>
      </c>
      <c r="H86" s="28"/>
      <c r="I86" s="28" t="s">
        <v>897</v>
      </c>
      <c r="J86" s="28" t="s">
        <v>302</v>
      </c>
      <c r="K86" s="29">
        <v>46132.354074074072</v>
      </c>
      <c r="L86" s="29">
        <v>46136.583333333336</v>
      </c>
      <c r="M86" s="29">
        <v>46136.666666666664</v>
      </c>
      <c r="N86" s="29">
        <v>46136.642800925925</v>
      </c>
      <c r="O86" s="29">
        <v>46141.739201388889</v>
      </c>
      <c r="P86" s="28"/>
      <c r="Q86" s="28" t="s">
        <v>224</v>
      </c>
      <c r="R86" s="28" t="s">
        <v>239</v>
      </c>
      <c r="S86" s="28" t="s">
        <v>301</v>
      </c>
      <c r="T86" s="28" t="s">
        <v>898</v>
      </c>
      <c r="U86" s="28"/>
      <c r="V86" s="28"/>
      <c r="W86" s="28"/>
      <c r="X86" s="28"/>
      <c r="Y86" s="30">
        <v>0</v>
      </c>
      <c r="Z86" s="28"/>
      <c r="AA86" s="28"/>
      <c r="AB86" s="28" t="s">
        <v>899</v>
      </c>
      <c r="AC86" s="28" t="s">
        <v>302</v>
      </c>
      <c r="AD86" s="28" t="s">
        <v>900</v>
      </c>
      <c r="AE86" s="28"/>
      <c r="AF86" s="28" t="str">
        <f t="shared" si="2"/>
        <v>abril</v>
      </c>
    </row>
    <row r="87" spans="1:32" ht="92" hidden="1" x14ac:dyDescent="0.35">
      <c r="A87" s="28" t="s">
        <v>812</v>
      </c>
      <c r="B87" s="28" t="s">
        <v>127</v>
      </c>
      <c r="C87" s="28" t="s">
        <v>813</v>
      </c>
      <c r="D87" s="28" t="s">
        <v>814</v>
      </c>
      <c r="E87" s="28" t="s">
        <v>815</v>
      </c>
      <c r="F87" s="28" t="s">
        <v>192</v>
      </c>
      <c r="G87" s="28" t="s">
        <v>469</v>
      </c>
      <c r="H87" s="28"/>
      <c r="I87" s="28" t="s">
        <v>816</v>
      </c>
      <c r="J87" s="28" t="s">
        <v>132</v>
      </c>
      <c r="K87" s="29">
        <v>46121.660208333335</v>
      </c>
      <c r="L87" s="29">
        <v>46121.666666666664</v>
      </c>
      <c r="M87" s="29">
        <v>46121.833333333336</v>
      </c>
      <c r="N87" s="29">
        <v>46121.660393518519</v>
      </c>
      <c r="O87" s="29">
        <v>46121.84165509259</v>
      </c>
      <c r="P87" s="28"/>
      <c r="Q87" s="28" t="s">
        <v>466</v>
      </c>
      <c r="R87" s="28" t="s">
        <v>239</v>
      </c>
      <c r="S87" s="28" t="s">
        <v>469</v>
      </c>
      <c r="T87" s="28" t="s">
        <v>817</v>
      </c>
      <c r="U87" s="28"/>
      <c r="V87" s="28"/>
      <c r="W87" s="28"/>
      <c r="X87" s="28"/>
      <c r="Y87" s="30">
        <v>0</v>
      </c>
      <c r="Z87" s="28"/>
      <c r="AA87" s="28"/>
      <c r="AB87" s="28" t="s">
        <v>818</v>
      </c>
      <c r="AC87" s="28" t="s">
        <v>132</v>
      </c>
      <c r="AD87" s="28" t="s">
        <v>316</v>
      </c>
      <c r="AE87" s="28"/>
      <c r="AF87" s="28" t="str">
        <f t="shared" si="2"/>
        <v>abril</v>
      </c>
    </row>
    <row r="88" spans="1:32" ht="57.5" hidden="1" x14ac:dyDescent="0.35">
      <c r="A88" s="28" t="s">
        <v>821</v>
      </c>
      <c r="B88" s="28" t="s">
        <v>127</v>
      </c>
      <c r="C88" s="28" t="s">
        <v>822</v>
      </c>
      <c r="D88" s="28" t="s">
        <v>236</v>
      </c>
      <c r="E88" s="28" t="s">
        <v>130</v>
      </c>
      <c r="F88" s="28" t="s">
        <v>192</v>
      </c>
      <c r="G88" s="28" t="s">
        <v>242</v>
      </c>
      <c r="H88" s="28"/>
      <c r="I88" s="28" t="s">
        <v>238</v>
      </c>
      <c r="J88" s="28" t="s">
        <v>132</v>
      </c>
      <c r="K88" s="29">
        <v>46119.730613425927</v>
      </c>
      <c r="L88" s="29">
        <v>46121.333333333336</v>
      </c>
      <c r="M88" s="29">
        <v>46121.833333333336</v>
      </c>
      <c r="N88" s="29">
        <v>46121.451319444444</v>
      </c>
      <c r="O88" s="29">
        <v>46122.322141203702</v>
      </c>
      <c r="P88" s="28"/>
      <c r="Q88" s="28" t="s">
        <v>265</v>
      </c>
      <c r="R88" s="28" t="s">
        <v>239</v>
      </c>
      <c r="S88" s="28" t="s">
        <v>242</v>
      </c>
      <c r="T88" s="28" t="s">
        <v>309</v>
      </c>
      <c r="U88" s="28"/>
      <c r="V88" s="28"/>
      <c r="W88" s="28"/>
      <c r="X88" s="28"/>
      <c r="Y88" s="30">
        <v>0</v>
      </c>
      <c r="Z88" s="28"/>
      <c r="AA88" s="28"/>
      <c r="AB88" s="28" t="s">
        <v>310</v>
      </c>
      <c r="AC88" s="28" t="s">
        <v>132</v>
      </c>
      <c r="AD88" s="28" t="s">
        <v>240</v>
      </c>
      <c r="AE88" s="28"/>
      <c r="AF88" s="28" t="str">
        <f t="shared" si="2"/>
        <v>abril</v>
      </c>
    </row>
    <row r="89" spans="1:32" ht="126.5" hidden="1" x14ac:dyDescent="0.35">
      <c r="A89" s="28" t="s">
        <v>848</v>
      </c>
      <c r="B89" s="28" t="s">
        <v>127</v>
      </c>
      <c r="C89" s="28" t="s">
        <v>849</v>
      </c>
      <c r="D89" s="28" t="s">
        <v>850</v>
      </c>
      <c r="E89" s="28" t="s">
        <v>851</v>
      </c>
      <c r="F89" s="28" t="s">
        <v>192</v>
      </c>
      <c r="G89" s="28" t="s">
        <v>277</v>
      </c>
      <c r="H89" s="28"/>
      <c r="I89" s="28" t="s">
        <v>852</v>
      </c>
      <c r="J89" s="28" t="s">
        <v>132</v>
      </c>
      <c r="K89" s="29">
        <v>46135.395208333335</v>
      </c>
      <c r="L89" s="29">
        <v>46134.791666666664</v>
      </c>
      <c r="M89" s="29">
        <v>46134.895833333336</v>
      </c>
      <c r="N89" s="29">
        <v>46135.395289351851</v>
      </c>
      <c r="O89" s="29">
        <v>46135.395370370374</v>
      </c>
      <c r="P89" s="28"/>
      <c r="Q89" s="28" t="s">
        <v>150</v>
      </c>
      <c r="R89" s="28" t="s">
        <v>239</v>
      </c>
      <c r="S89" s="28" t="s">
        <v>277</v>
      </c>
      <c r="T89" s="28" t="s">
        <v>853</v>
      </c>
      <c r="U89" s="28"/>
      <c r="V89" s="28"/>
      <c r="W89" s="28"/>
      <c r="X89" s="28"/>
      <c r="Y89" s="30">
        <v>0</v>
      </c>
      <c r="Z89" s="28"/>
      <c r="AA89" s="28"/>
      <c r="AB89" s="28" t="s">
        <v>854</v>
      </c>
      <c r="AC89" s="28" t="s">
        <v>132</v>
      </c>
      <c r="AD89" s="28" t="s">
        <v>314</v>
      </c>
      <c r="AE89" s="28"/>
      <c r="AF89" s="28" t="str">
        <f t="shared" si="2"/>
        <v>abril</v>
      </c>
    </row>
    <row r="90" spans="1:32" ht="126.5" x14ac:dyDescent="0.35">
      <c r="A90" s="28" t="s">
        <v>735</v>
      </c>
      <c r="B90" s="28" t="s">
        <v>127</v>
      </c>
      <c r="C90" s="28" t="s">
        <v>736</v>
      </c>
      <c r="D90" s="28" t="s">
        <v>737</v>
      </c>
      <c r="E90" s="28" t="s">
        <v>738</v>
      </c>
      <c r="F90" s="28" t="s">
        <v>192</v>
      </c>
      <c r="G90" s="28" t="s">
        <v>242</v>
      </c>
      <c r="H90" s="28"/>
      <c r="I90" s="28" t="s">
        <v>739</v>
      </c>
      <c r="J90" s="28" t="s">
        <v>132</v>
      </c>
      <c r="K90" s="29">
        <v>46184.71166666667</v>
      </c>
      <c r="L90" s="29">
        <v>46185.375</v>
      </c>
      <c r="M90" s="29">
        <v>46185.583333333336</v>
      </c>
      <c r="N90" s="29">
        <v>46185.415937500002</v>
      </c>
      <c r="O90" s="29">
        <v>46185.882777777777</v>
      </c>
      <c r="P90" s="28"/>
      <c r="Q90" s="28" t="s">
        <v>148</v>
      </c>
      <c r="R90" s="28" t="s">
        <v>239</v>
      </c>
      <c r="S90" s="28" t="s">
        <v>242</v>
      </c>
      <c r="T90" s="28" t="s">
        <v>740</v>
      </c>
      <c r="U90" s="28"/>
      <c r="V90" s="28"/>
      <c r="W90" s="28"/>
      <c r="X90" s="28"/>
      <c r="Y90" s="30">
        <v>0</v>
      </c>
      <c r="Z90" s="28"/>
      <c r="AA90" s="28"/>
      <c r="AB90" s="28" t="s">
        <v>741</v>
      </c>
      <c r="AC90" s="28" t="s">
        <v>132</v>
      </c>
      <c r="AD90" s="28" t="s">
        <v>255</v>
      </c>
      <c r="AE90" s="28"/>
      <c r="AF90" s="28" t="str">
        <f t="shared" si="2"/>
        <v>junio</v>
      </c>
    </row>
    <row r="91" spans="1:32" ht="126.5" hidden="1" x14ac:dyDescent="0.35">
      <c r="A91" s="28" t="s">
        <v>909</v>
      </c>
      <c r="B91" s="28" t="s">
        <v>127</v>
      </c>
      <c r="C91" s="28" t="s">
        <v>910</v>
      </c>
      <c r="D91" s="28" t="s">
        <v>911</v>
      </c>
      <c r="E91" s="28" t="s">
        <v>912</v>
      </c>
      <c r="F91" s="28" t="s">
        <v>913</v>
      </c>
      <c r="G91" s="28" t="s">
        <v>456</v>
      </c>
      <c r="H91" s="28"/>
      <c r="I91" s="28" t="s">
        <v>914</v>
      </c>
      <c r="J91" s="28" t="s">
        <v>132</v>
      </c>
      <c r="K91" s="29">
        <v>46189.898726851854</v>
      </c>
      <c r="L91" s="29">
        <v>46195.354166666664</v>
      </c>
      <c r="M91" s="29">
        <v>46195.666666666664</v>
      </c>
      <c r="N91" s="29">
        <v>46195.372511574074</v>
      </c>
      <c r="O91" s="29">
        <v>46198.695254629631</v>
      </c>
      <c r="P91" s="28"/>
      <c r="Q91" s="28" t="s">
        <v>465</v>
      </c>
      <c r="R91" s="28" t="s">
        <v>239</v>
      </c>
      <c r="S91" s="28" t="s">
        <v>456</v>
      </c>
      <c r="T91" s="28" t="s">
        <v>915</v>
      </c>
      <c r="U91" s="28"/>
      <c r="V91" s="28"/>
      <c r="W91" s="28"/>
      <c r="X91" s="28"/>
      <c r="Y91" s="30">
        <v>0</v>
      </c>
      <c r="Z91" s="28"/>
      <c r="AA91" s="28"/>
      <c r="AB91" s="28" t="s">
        <v>916</v>
      </c>
      <c r="AC91" s="28" t="s">
        <v>132</v>
      </c>
      <c r="AD91" s="28" t="s">
        <v>917</v>
      </c>
      <c r="AE91" s="28"/>
      <c r="AF91" s="28" t="str">
        <f t="shared" si="2"/>
        <v>junio</v>
      </c>
    </row>
    <row r="92" spans="1:32" hidden="1" x14ac:dyDescent="0.35">
      <c r="A92" s="28"/>
      <c r="B92" s="28"/>
      <c r="C92" s="28"/>
      <c r="D92" s="28"/>
      <c r="E92" s="28"/>
      <c r="F92" s="28"/>
      <c r="G92" s="28"/>
      <c r="H92" s="28"/>
      <c r="I92" s="28"/>
      <c r="J92" s="28"/>
      <c r="K92" s="29"/>
      <c r="L92" s="29"/>
      <c r="M92" s="29"/>
      <c r="N92" s="29"/>
      <c r="O92" s="29"/>
      <c r="P92" s="28"/>
      <c r="Q92" s="28"/>
      <c r="R92" s="28"/>
      <c r="S92" s="28"/>
      <c r="T92" s="28"/>
      <c r="U92" s="28"/>
      <c r="V92" s="28"/>
      <c r="W92" s="28"/>
      <c r="X92" s="28"/>
      <c r="Y92" s="30"/>
      <c r="Z92" s="28"/>
      <c r="AA92" s="28"/>
      <c r="AB92" s="28"/>
      <c r="AC92" s="28"/>
      <c r="AD92" s="28"/>
      <c r="AE92" s="28"/>
      <c r="AF92" s="28" t="str">
        <f t="shared" si="2"/>
        <v>enero</v>
      </c>
    </row>
    <row r="93" spans="1:32" hidden="1" x14ac:dyDescent="0.35">
      <c r="A93" s="28"/>
      <c r="B93" s="28"/>
      <c r="C93" s="28"/>
      <c r="D93" s="28"/>
      <c r="E93" s="28"/>
      <c r="F93" s="28"/>
      <c r="G93" s="28"/>
      <c r="H93" s="28"/>
      <c r="I93" s="28"/>
      <c r="J93" s="28"/>
      <c r="K93" s="29"/>
      <c r="L93" s="29"/>
      <c r="M93" s="29"/>
      <c r="N93" s="29"/>
      <c r="O93" s="29"/>
      <c r="P93" s="28"/>
      <c r="Q93" s="28"/>
      <c r="R93" s="28"/>
      <c r="S93" s="28"/>
      <c r="T93" s="28"/>
      <c r="U93" s="28"/>
      <c r="V93" s="28"/>
      <c r="W93" s="28"/>
      <c r="X93" s="28"/>
      <c r="Y93" s="30"/>
      <c r="Z93" s="28"/>
      <c r="AA93" s="28"/>
      <c r="AB93" s="28"/>
      <c r="AC93" s="28"/>
      <c r="AD93" s="28"/>
      <c r="AE93" s="28"/>
      <c r="AF93" s="28" t="str">
        <f t="shared" si="2"/>
        <v>enero</v>
      </c>
    </row>
    <row r="94" spans="1:32" hidden="1" x14ac:dyDescent="0.35">
      <c r="A94" s="28"/>
      <c r="B94" s="28"/>
      <c r="C94" s="28"/>
      <c r="D94" s="28"/>
      <c r="E94" s="28"/>
      <c r="F94" s="28"/>
      <c r="G94" s="28"/>
      <c r="H94" s="28"/>
      <c r="I94" s="28"/>
      <c r="J94" s="28"/>
      <c r="K94" s="29"/>
      <c r="L94" s="29"/>
      <c r="M94" s="29"/>
      <c r="N94" s="29"/>
      <c r="O94" s="29"/>
      <c r="P94" s="28"/>
      <c r="Q94" s="28"/>
      <c r="R94" s="28"/>
      <c r="S94" s="28"/>
      <c r="T94" s="28"/>
      <c r="U94" s="28"/>
      <c r="V94" s="28"/>
      <c r="W94" s="28"/>
      <c r="X94" s="28"/>
      <c r="Y94" s="30"/>
      <c r="Z94" s="28"/>
      <c r="AA94" s="28"/>
      <c r="AB94" s="28"/>
      <c r="AC94" s="28"/>
      <c r="AD94" s="28"/>
      <c r="AE94" s="28"/>
      <c r="AF94" s="28" t="str">
        <f t="shared" si="2"/>
        <v>enero</v>
      </c>
    </row>
    <row r="95" spans="1:32" hidden="1" x14ac:dyDescent="0.35">
      <c r="A95" s="28"/>
      <c r="B95" s="28"/>
      <c r="C95" s="28"/>
      <c r="D95" s="28"/>
      <c r="E95" s="28"/>
      <c r="F95" s="28"/>
      <c r="G95" s="28"/>
      <c r="H95" s="28"/>
      <c r="I95" s="28"/>
      <c r="J95" s="28"/>
      <c r="K95" s="29"/>
      <c r="L95" s="29"/>
      <c r="M95" s="29"/>
      <c r="N95" s="29"/>
      <c r="O95" s="29"/>
      <c r="P95" s="28"/>
      <c r="Q95" s="28"/>
      <c r="R95" s="28"/>
      <c r="S95" s="28"/>
      <c r="T95" s="28"/>
      <c r="U95" s="28"/>
      <c r="V95" s="28"/>
      <c r="W95" s="28"/>
      <c r="X95" s="28"/>
      <c r="Y95" s="30"/>
      <c r="Z95" s="28"/>
      <c r="AA95" s="28"/>
      <c r="AB95" s="28"/>
      <c r="AC95" s="28"/>
      <c r="AD95" s="28"/>
      <c r="AE95" s="28"/>
      <c r="AF95" s="28" t="str">
        <f t="shared" si="2"/>
        <v>enero</v>
      </c>
    </row>
    <row r="96" spans="1:32" hidden="1" x14ac:dyDescent="0.35">
      <c r="A96" s="28"/>
      <c r="B96" s="28"/>
      <c r="C96" s="28"/>
      <c r="D96" s="28"/>
      <c r="E96" s="28"/>
      <c r="F96" s="28"/>
      <c r="G96" s="28"/>
      <c r="H96" s="28"/>
      <c r="I96" s="28"/>
      <c r="J96" s="28"/>
      <c r="K96" s="29"/>
      <c r="L96" s="29"/>
      <c r="M96" s="29"/>
      <c r="N96" s="29"/>
      <c r="O96" s="29"/>
      <c r="P96" s="28"/>
      <c r="Q96" s="28"/>
      <c r="R96" s="28"/>
      <c r="S96" s="28"/>
      <c r="T96" s="28"/>
      <c r="U96" s="28"/>
      <c r="V96" s="28"/>
      <c r="W96" s="28"/>
      <c r="X96" s="28"/>
      <c r="Y96" s="30"/>
      <c r="Z96" s="28"/>
      <c r="AA96" s="28"/>
      <c r="AB96" s="28"/>
      <c r="AC96" s="28"/>
      <c r="AD96" s="28"/>
      <c r="AE96" s="28"/>
      <c r="AF96" s="28" t="str">
        <f t="shared" si="2"/>
        <v>enero</v>
      </c>
    </row>
    <row r="97" spans="1:32" hidden="1" x14ac:dyDescent="0.35">
      <c r="A97" s="28"/>
      <c r="B97" s="28"/>
      <c r="C97" s="28"/>
      <c r="D97" s="28"/>
      <c r="E97" s="28"/>
      <c r="F97" s="28"/>
      <c r="G97" s="28"/>
      <c r="H97" s="28"/>
      <c r="I97" s="28"/>
      <c r="J97" s="28"/>
      <c r="K97" s="29"/>
      <c r="L97" s="29"/>
      <c r="M97" s="29"/>
      <c r="N97" s="29"/>
      <c r="O97" s="29"/>
      <c r="P97" s="28"/>
      <c r="Q97" s="28"/>
      <c r="R97" s="28"/>
      <c r="S97" s="28"/>
      <c r="T97" s="28"/>
      <c r="U97" s="28"/>
      <c r="V97" s="28"/>
      <c r="W97" s="28"/>
      <c r="X97" s="28"/>
      <c r="Y97" s="30"/>
      <c r="Z97" s="28"/>
      <c r="AA97" s="28"/>
      <c r="AB97" s="28"/>
      <c r="AC97" s="28"/>
      <c r="AD97" s="28"/>
      <c r="AE97" s="28"/>
      <c r="AF97" s="28" t="str">
        <f t="shared" si="2"/>
        <v>enero</v>
      </c>
    </row>
    <row r="98" spans="1:32" hidden="1" x14ac:dyDescent="0.35">
      <c r="A98" s="28"/>
      <c r="B98" s="28"/>
      <c r="C98" s="28"/>
      <c r="D98" s="28"/>
      <c r="E98" s="28"/>
      <c r="F98" s="28"/>
      <c r="G98" s="28"/>
      <c r="H98" s="28"/>
      <c r="I98" s="28"/>
      <c r="J98" s="28"/>
      <c r="K98" s="29"/>
      <c r="L98" s="29"/>
      <c r="M98" s="29"/>
      <c r="N98" s="29"/>
      <c r="O98" s="29"/>
      <c r="P98" s="28"/>
      <c r="Q98" s="28"/>
      <c r="R98" s="28"/>
      <c r="S98" s="28"/>
      <c r="T98" s="28"/>
      <c r="U98" s="28"/>
      <c r="V98" s="28"/>
      <c r="W98" s="28"/>
      <c r="X98" s="28"/>
      <c r="Y98" s="30"/>
      <c r="Z98" s="28"/>
      <c r="AA98" s="28"/>
      <c r="AB98" s="28"/>
      <c r="AC98" s="28"/>
      <c r="AD98" s="28"/>
      <c r="AE98" s="28"/>
      <c r="AF98" s="28" t="str">
        <f t="shared" ref="AF98:AF129" si="3">TEXT(L98,"mmmm")</f>
        <v>enero</v>
      </c>
    </row>
    <row r="99" spans="1:32" hidden="1" x14ac:dyDescent="0.35">
      <c r="A99" s="28"/>
      <c r="B99" s="28"/>
      <c r="C99" s="28"/>
      <c r="D99" s="28"/>
      <c r="E99" s="28"/>
      <c r="F99" s="28"/>
      <c r="G99" s="28"/>
      <c r="H99" s="28"/>
      <c r="I99" s="28"/>
      <c r="J99" s="28"/>
      <c r="K99" s="29"/>
      <c r="L99" s="29"/>
      <c r="M99" s="29"/>
      <c r="N99" s="29"/>
      <c r="O99" s="29"/>
      <c r="P99" s="28"/>
      <c r="Q99" s="28"/>
      <c r="R99" s="28"/>
      <c r="S99" s="28"/>
      <c r="T99" s="28"/>
      <c r="U99" s="28"/>
      <c r="V99" s="28"/>
      <c r="W99" s="28"/>
      <c r="X99" s="28"/>
      <c r="Y99" s="30"/>
      <c r="Z99" s="28"/>
      <c r="AA99" s="28"/>
      <c r="AB99" s="28"/>
      <c r="AC99" s="28"/>
      <c r="AD99" s="28"/>
      <c r="AE99" s="28"/>
      <c r="AF99" s="28" t="str">
        <f t="shared" si="3"/>
        <v>enero</v>
      </c>
    </row>
    <row r="100" spans="1:32" hidden="1" x14ac:dyDescent="0.35">
      <c r="A100" s="28"/>
      <c r="B100" s="28"/>
      <c r="C100" s="28"/>
      <c r="D100" s="28"/>
      <c r="E100" s="28"/>
      <c r="F100" s="28"/>
      <c r="G100" s="28"/>
      <c r="H100" s="28"/>
      <c r="I100" s="28"/>
      <c r="J100" s="28"/>
      <c r="K100" s="29"/>
      <c r="L100" s="29"/>
      <c r="M100" s="29"/>
      <c r="N100" s="29"/>
      <c r="O100" s="29"/>
      <c r="P100" s="28"/>
      <c r="Q100" s="28"/>
      <c r="R100" s="28"/>
      <c r="S100" s="28"/>
      <c r="T100" s="28"/>
      <c r="U100" s="28"/>
      <c r="V100" s="28"/>
      <c r="W100" s="28"/>
      <c r="X100" s="28"/>
      <c r="Y100" s="30"/>
      <c r="Z100" s="28"/>
      <c r="AA100" s="28"/>
      <c r="AB100" s="28"/>
      <c r="AC100" s="28"/>
      <c r="AD100" s="28"/>
      <c r="AE100" s="28"/>
      <c r="AF100" s="28" t="str">
        <f t="shared" si="3"/>
        <v>enero</v>
      </c>
    </row>
    <row r="101" spans="1:32" hidden="1" x14ac:dyDescent="0.35">
      <c r="A101" s="28"/>
      <c r="B101" s="28"/>
      <c r="C101" s="28"/>
      <c r="D101" s="28"/>
      <c r="E101" s="28"/>
      <c r="F101" s="28"/>
      <c r="G101" s="28"/>
      <c r="H101" s="28"/>
      <c r="I101" s="28"/>
      <c r="J101" s="28"/>
      <c r="K101" s="29"/>
      <c r="L101" s="29"/>
      <c r="M101" s="29"/>
      <c r="N101" s="29"/>
      <c r="O101" s="29"/>
      <c r="P101" s="28"/>
      <c r="Q101" s="28"/>
      <c r="R101" s="28"/>
      <c r="S101" s="28"/>
      <c r="T101" s="28"/>
      <c r="U101" s="28"/>
      <c r="V101" s="28"/>
      <c r="W101" s="28"/>
      <c r="X101" s="28"/>
      <c r="Y101" s="30"/>
      <c r="Z101" s="28"/>
      <c r="AA101" s="28"/>
      <c r="AB101" s="28"/>
      <c r="AC101" s="28"/>
      <c r="AD101" s="28"/>
      <c r="AE101" s="28"/>
      <c r="AF101" s="28" t="str">
        <f t="shared" si="3"/>
        <v>enero</v>
      </c>
    </row>
    <row r="102" spans="1:32" hidden="1" x14ac:dyDescent="0.35">
      <c r="A102" s="28"/>
      <c r="B102" s="28"/>
      <c r="C102" s="28"/>
      <c r="D102" s="28"/>
      <c r="E102" s="28"/>
      <c r="F102" s="28"/>
      <c r="G102" s="28"/>
      <c r="H102" s="28"/>
      <c r="I102" s="28"/>
      <c r="J102" s="28"/>
      <c r="K102" s="29"/>
      <c r="L102" s="29"/>
      <c r="M102" s="29"/>
      <c r="N102" s="29"/>
      <c r="O102" s="29"/>
      <c r="P102" s="28"/>
      <c r="Q102" s="28"/>
      <c r="R102" s="28"/>
      <c r="S102" s="28"/>
      <c r="T102" s="28"/>
      <c r="U102" s="28"/>
      <c r="V102" s="28"/>
      <c r="W102" s="28"/>
      <c r="X102" s="28"/>
      <c r="Y102" s="30"/>
      <c r="Z102" s="28"/>
      <c r="AA102" s="28"/>
      <c r="AB102" s="28"/>
      <c r="AC102" s="28"/>
      <c r="AD102" s="28"/>
      <c r="AE102" s="28"/>
      <c r="AF102" s="28" t="str">
        <f t="shared" si="3"/>
        <v>enero</v>
      </c>
    </row>
    <row r="103" spans="1:32" hidden="1" x14ac:dyDescent="0.35">
      <c r="A103" s="28"/>
      <c r="B103" s="28"/>
      <c r="C103" s="28"/>
      <c r="D103" s="28"/>
      <c r="E103" s="28"/>
      <c r="F103" s="28"/>
      <c r="G103" s="28"/>
      <c r="H103" s="28"/>
      <c r="I103" s="28"/>
      <c r="J103" s="28"/>
      <c r="K103" s="29"/>
      <c r="L103" s="29"/>
      <c r="M103" s="29"/>
      <c r="N103" s="29"/>
      <c r="O103" s="29"/>
      <c r="P103" s="28"/>
      <c r="Q103" s="28"/>
      <c r="R103" s="28"/>
      <c r="S103" s="28"/>
      <c r="T103" s="28"/>
      <c r="U103" s="28"/>
      <c r="V103" s="28"/>
      <c r="W103" s="28"/>
      <c r="X103" s="28"/>
      <c r="Y103" s="30"/>
      <c r="Z103" s="28"/>
      <c r="AA103" s="28"/>
      <c r="AB103" s="28"/>
      <c r="AC103" s="28"/>
      <c r="AD103" s="28"/>
      <c r="AE103" s="28"/>
      <c r="AF103" s="28" t="str">
        <f t="shared" si="3"/>
        <v>enero</v>
      </c>
    </row>
    <row r="104" spans="1:32" hidden="1" x14ac:dyDescent="0.35">
      <c r="A104" s="28"/>
      <c r="B104" s="28"/>
      <c r="C104" s="28"/>
      <c r="D104" s="28"/>
      <c r="E104" s="28"/>
      <c r="F104" s="28"/>
      <c r="G104" s="28"/>
      <c r="H104" s="28"/>
      <c r="I104" s="28"/>
      <c r="J104" s="28"/>
      <c r="K104" s="29"/>
      <c r="L104" s="29"/>
      <c r="M104" s="29"/>
      <c r="N104" s="29"/>
      <c r="O104" s="29"/>
      <c r="P104" s="28"/>
      <c r="Q104" s="28"/>
      <c r="R104" s="28"/>
      <c r="S104" s="28"/>
      <c r="T104" s="28"/>
      <c r="U104" s="28"/>
      <c r="V104" s="28"/>
      <c r="W104" s="28"/>
      <c r="X104" s="28"/>
      <c r="Y104" s="30"/>
      <c r="Z104" s="28"/>
      <c r="AA104" s="28"/>
      <c r="AB104" s="28"/>
      <c r="AC104" s="28"/>
      <c r="AD104" s="28"/>
      <c r="AE104" s="28"/>
      <c r="AF104" s="28" t="str">
        <f t="shared" si="3"/>
        <v>enero</v>
      </c>
    </row>
    <row r="105" spans="1:32" hidden="1" x14ac:dyDescent="0.35">
      <c r="A105" s="28"/>
      <c r="B105" s="28"/>
      <c r="C105" s="28"/>
      <c r="D105" s="28"/>
      <c r="E105" s="28"/>
      <c r="F105" s="28"/>
      <c r="G105" s="28"/>
      <c r="H105" s="28"/>
      <c r="I105" s="28"/>
      <c r="J105" s="28"/>
      <c r="K105" s="29"/>
      <c r="L105" s="29"/>
      <c r="M105" s="29"/>
      <c r="N105" s="29"/>
      <c r="O105" s="29"/>
      <c r="P105" s="28"/>
      <c r="Q105" s="28"/>
      <c r="R105" s="28"/>
      <c r="S105" s="28"/>
      <c r="T105" s="28"/>
      <c r="U105" s="28"/>
      <c r="V105" s="28"/>
      <c r="W105" s="28"/>
      <c r="X105" s="28"/>
      <c r="Y105" s="30"/>
      <c r="Z105" s="28"/>
      <c r="AA105" s="28"/>
      <c r="AB105" s="28"/>
      <c r="AC105" s="28"/>
      <c r="AD105" s="28"/>
      <c r="AE105" s="28"/>
      <c r="AF105" s="28" t="str">
        <f t="shared" si="3"/>
        <v>enero</v>
      </c>
    </row>
    <row r="106" spans="1:32" hidden="1" x14ac:dyDescent="0.35">
      <c r="A106" s="28"/>
      <c r="B106" s="28"/>
      <c r="C106" s="28"/>
      <c r="D106" s="28"/>
      <c r="E106" s="28"/>
      <c r="F106" s="28"/>
      <c r="G106" s="28"/>
      <c r="H106" s="28"/>
      <c r="I106" s="28"/>
      <c r="J106" s="28"/>
      <c r="K106" s="29"/>
      <c r="L106" s="29"/>
      <c r="M106" s="29"/>
      <c r="N106" s="29"/>
      <c r="O106" s="29"/>
      <c r="P106" s="28"/>
      <c r="Q106" s="28"/>
      <c r="R106" s="28"/>
      <c r="S106" s="28"/>
      <c r="T106" s="28"/>
      <c r="U106" s="28"/>
      <c r="V106" s="28"/>
      <c r="W106" s="28"/>
      <c r="X106" s="28"/>
      <c r="Y106" s="30"/>
      <c r="Z106" s="28"/>
      <c r="AA106" s="28"/>
      <c r="AB106" s="28"/>
      <c r="AC106" s="28"/>
      <c r="AD106" s="28"/>
      <c r="AE106" s="28"/>
      <c r="AF106" s="28" t="str">
        <f t="shared" si="3"/>
        <v>enero</v>
      </c>
    </row>
    <row r="107" spans="1:32" hidden="1" x14ac:dyDescent="0.35">
      <c r="A107" s="28"/>
      <c r="B107" s="28"/>
      <c r="C107" s="28"/>
      <c r="D107" s="28"/>
      <c r="E107" s="28"/>
      <c r="F107" s="28"/>
      <c r="G107" s="28"/>
      <c r="H107" s="28"/>
      <c r="I107" s="28"/>
      <c r="J107" s="28"/>
      <c r="K107" s="29"/>
      <c r="L107" s="29"/>
      <c r="M107" s="29"/>
      <c r="N107" s="29"/>
      <c r="O107" s="29"/>
      <c r="P107" s="28"/>
      <c r="Q107" s="28"/>
      <c r="R107" s="28"/>
      <c r="S107" s="28"/>
      <c r="T107" s="28"/>
      <c r="U107" s="28"/>
      <c r="V107" s="28"/>
      <c r="W107" s="28"/>
      <c r="X107" s="28"/>
      <c r="Y107" s="30"/>
      <c r="Z107" s="28"/>
      <c r="AA107" s="28"/>
      <c r="AB107" s="28"/>
      <c r="AC107" s="28"/>
      <c r="AD107" s="28"/>
      <c r="AE107" s="28"/>
      <c r="AF107" s="28" t="str">
        <f t="shared" si="3"/>
        <v>enero</v>
      </c>
    </row>
    <row r="108" spans="1:32" hidden="1" x14ac:dyDescent="0.35">
      <c r="A108" s="28"/>
      <c r="B108" s="28"/>
      <c r="C108" s="28"/>
      <c r="D108" s="28"/>
      <c r="E108" s="28"/>
      <c r="F108" s="28"/>
      <c r="G108" s="28"/>
      <c r="H108" s="28"/>
      <c r="I108" s="28"/>
      <c r="J108" s="28"/>
      <c r="K108" s="29"/>
      <c r="L108" s="29"/>
      <c r="M108" s="29"/>
      <c r="N108" s="29"/>
      <c r="O108" s="29"/>
      <c r="P108" s="28"/>
      <c r="Q108" s="28"/>
      <c r="R108" s="28"/>
      <c r="S108" s="28"/>
      <c r="T108" s="28"/>
      <c r="U108" s="28"/>
      <c r="V108" s="28"/>
      <c r="W108" s="28"/>
      <c r="X108" s="28"/>
      <c r="Y108" s="30"/>
      <c r="Z108" s="28"/>
      <c r="AA108" s="28"/>
      <c r="AB108" s="28"/>
      <c r="AC108" s="28"/>
      <c r="AD108" s="28"/>
      <c r="AE108" s="28"/>
      <c r="AF108" s="28" t="str">
        <f t="shared" si="3"/>
        <v>enero</v>
      </c>
    </row>
    <row r="109" spans="1:32" hidden="1" x14ac:dyDescent="0.35">
      <c r="A109" s="28"/>
      <c r="B109" s="28"/>
      <c r="C109" s="28"/>
      <c r="D109" s="28"/>
      <c r="E109" s="28"/>
      <c r="F109" s="28"/>
      <c r="G109" s="28"/>
      <c r="H109" s="28"/>
      <c r="I109" s="28"/>
      <c r="J109" s="28"/>
      <c r="K109" s="29"/>
      <c r="L109" s="29"/>
      <c r="M109" s="29"/>
      <c r="N109" s="29"/>
      <c r="O109" s="29"/>
      <c r="P109" s="28"/>
      <c r="Q109" s="28"/>
      <c r="R109" s="28"/>
      <c r="S109" s="28"/>
      <c r="T109" s="28"/>
      <c r="U109" s="28"/>
      <c r="V109" s="28"/>
      <c r="W109" s="28"/>
      <c r="X109" s="28"/>
      <c r="Y109" s="30"/>
      <c r="Z109" s="28"/>
      <c r="AA109" s="28"/>
      <c r="AB109" s="28"/>
      <c r="AC109" s="28"/>
      <c r="AD109" s="28"/>
      <c r="AE109" s="28"/>
      <c r="AF109" s="28" t="str">
        <f t="shared" si="3"/>
        <v>enero</v>
      </c>
    </row>
    <row r="110" spans="1:32" hidden="1" x14ac:dyDescent="0.35">
      <c r="A110" s="28"/>
      <c r="B110" s="28"/>
      <c r="C110" s="28"/>
      <c r="D110" s="28"/>
      <c r="E110" s="28"/>
      <c r="F110" s="28"/>
      <c r="G110" s="28"/>
      <c r="H110" s="28"/>
      <c r="I110" s="28"/>
      <c r="J110" s="28"/>
      <c r="K110" s="29"/>
      <c r="L110" s="29"/>
      <c r="M110" s="29"/>
      <c r="N110" s="29"/>
      <c r="O110" s="29"/>
      <c r="P110" s="28"/>
      <c r="Q110" s="28"/>
      <c r="R110" s="28"/>
      <c r="S110" s="28"/>
      <c r="T110" s="28"/>
      <c r="U110" s="28"/>
      <c r="V110" s="28"/>
      <c r="W110" s="28"/>
      <c r="X110" s="28"/>
      <c r="Y110" s="30"/>
      <c r="Z110" s="28"/>
      <c r="AA110" s="28"/>
      <c r="AB110" s="28"/>
      <c r="AC110" s="28"/>
      <c r="AD110" s="28"/>
      <c r="AE110" s="28"/>
      <c r="AF110" s="28" t="str">
        <f t="shared" si="3"/>
        <v>enero</v>
      </c>
    </row>
    <row r="111" spans="1:32" hidden="1" x14ac:dyDescent="0.35">
      <c r="A111" s="28"/>
      <c r="B111" s="28"/>
      <c r="C111" s="28"/>
      <c r="D111" s="28"/>
      <c r="E111" s="28"/>
      <c r="F111" s="28"/>
      <c r="G111" s="28"/>
      <c r="H111" s="28"/>
      <c r="I111" s="28"/>
      <c r="J111" s="28"/>
      <c r="K111" s="29"/>
      <c r="L111" s="29"/>
      <c r="M111" s="29"/>
      <c r="N111" s="29"/>
      <c r="O111" s="29"/>
      <c r="P111" s="28"/>
      <c r="Q111" s="28"/>
      <c r="R111" s="28"/>
      <c r="S111" s="28"/>
      <c r="T111" s="28"/>
      <c r="U111" s="28"/>
      <c r="V111" s="28"/>
      <c r="W111" s="28"/>
      <c r="X111" s="28"/>
      <c r="Y111" s="30"/>
      <c r="Z111" s="28"/>
      <c r="AA111" s="28"/>
      <c r="AB111" s="28"/>
      <c r="AC111" s="28"/>
      <c r="AD111" s="28"/>
      <c r="AE111" s="28"/>
      <c r="AF111" s="28" t="str">
        <f t="shared" si="3"/>
        <v>enero</v>
      </c>
    </row>
    <row r="112" spans="1:32" hidden="1" x14ac:dyDescent="0.35">
      <c r="A112" s="28"/>
      <c r="B112" s="28"/>
      <c r="C112" s="28"/>
      <c r="D112" s="28"/>
      <c r="E112" s="28"/>
      <c r="F112" s="28"/>
      <c r="G112" s="28"/>
      <c r="H112" s="28"/>
      <c r="I112" s="28"/>
      <c r="J112" s="28"/>
      <c r="K112" s="29"/>
      <c r="L112" s="29"/>
      <c r="M112" s="29"/>
      <c r="N112" s="29"/>
      <c r="O112" s="29"/>
      <c r="P112" s="28"/>
      <c r="Q112" s="28"/>
      <c r="R112" s="28"/>
      <c r="S112" s="28"/>
      <c r="T112" s="28"/>
      <c r="U112" s="28"/>
      <c r="V112" s="28"/>
      <c r="W112" s="28"/>
      <c r="X112" s="28"/>
      <c r="Y112" s="30"/>
      <c r="Z112" s="28"/>
      <c r="AA112" s="28"/>
      <c r="AB112" s="28"/>
      <c r="AC112" s="28"/>
      <c r="AD112" s="28"/>
      <c r="AE112" s="28"/>
      <c r="AF112" s="28" t="str">
        <f t="shared" si="3"/>
        <v>enero</v>
      </c>
    </row>
    <row r="113" spans="1:32" hidden="1" x14ac:dyDescent="0.35">
      <c r="A113" s="28"/>
      <c r="B113" s="28"/>
      <c r="C113" s="28"/>
      <c r="D113" s="28"/>
      <c r="E113" s="28"/>
      <c r="F113" s="28"/>
      <c r="G113" s="28"/>
      <c r="H113" s="28"/>
      <c r="I113" s="28"/>
      <c r="J113" s="28"/>
      <c r="K113" s="29"/>
      <c r="L113" s="29"/>
      <c r="M113" s="29"/>
      <c r="N113" s="29"/>
      <c r="O113" s="29"/>
      <c r="P113" s="28"/>
      <c r="Q113" s="28"/>
      <c r="R113" s="28"/>
      <c r="S113" s="28"/>
      <c r="T113" s="28"/>
      <c r="U113" s="28"/>
      <c r="V113" s="28"/>
      <c r="W113" s="28"/>
      <c r="X113" s="28"/>
      <c r="Y113" s="30"/>
      <c r="Z113" s="28"/>
      <c r="AA113" s="28"/>
      <c r="AB113" s="28"/>
      <c r="AC113" s="28"/>
      <c r="AD113" s="28"/>
      <c r="AE113" s="28"/>
      <c r="AF113" s="28" t="str">
        <f t="shared" si="3"/>
        <v>enero</v>
      </c>
    </row>
    <row r="114" spans="1:32" hidden="1" x14ac:dyDescent="0.35">
      <c r="A114" s="28"/>
      <c r="B114" s="28"/>
      <c r="C114" s="28"/>
      <c r="D114" s="28"/>
      <c r="E114" s="28"/>
      <c r="F114" s="28"/>
      <c r="G114" s="28"/>
      <c r="H114" s="28"/>
      <c r="I114" s="28"/>
      <c r="J114" s="28"/>
      <c r="K114" s="29"/>
      <c r="L114" s="29"/>
      <c r="M114" s="29"/>
      <c r="N114" s="29"/>
      <c r="O114" s="29"/>
      <c r="P114" s="28"/>
      <c r="Q114" s="28"/>
      <c r="R114" s="28"/>
      <c r="S114" s="28"/>
      <c r="T114" s="28"/>
      <c r="U114" s="28"/>
      <c r="V114" s="28"/>
      <c r="W114" s="28"/>
      <c r="X114" s="28"/>
      <c r="Y114" s="30"/>
      <c r="Z114" s="28"/>
      <c r="AA114" s="28"/>
      <c r="AB114" s="28"/>
      <c r="AC114" s="28"/>
      <c r="AD114" s="28"/>
      <c r="AE114" s="28"/>
      <c r="AF114" s="28" t="str">
        <f t="shared" si="3"/>
        <v>enero</v>
      </c>
    </row>
    <row r="115" spans="1:32" hidden="1" x14ac:dyDescent="0.35">
      <c r="A115" s="28"/>
      <c r="B115" s="28"/>
      <c r="C115" s="28"/>
      <c r="D115" s="28"/>
      <c r="E115" s="28"/>
      <c r="F115" s="28"/>
      <c r="G115" s="28"/>
      <c r="H115" s="28"/>
      <c r="I115" s="28"/>
      <c r="J115" s="28"/>
      <c r="K115" s="29"/>
      <c r="L115" s="29"/>
      <c r="M115" s="29"/>
      <c r="N115" s="29"/>
      <c r="O115" s="29"/>
      <c r="P115" s="28"/>
      <c r="Q115" s="28"/>
      <c r="R115" s="28"/>
      <c r="S115" s="28"/>
      <c r="T115" s="28"/>
      <c r="U115" s="28"/>
      <c r="V115" s="28"/>
      <c r="W115" s="28"/>
      <c r="X115" s="28"/>
      <c r="Y115" s="30"/>
      <c r="Z115" s="28"/>
      <c r="AA115" s="28"/>
      <c r="AB115" s="28"/>
      <c r="AC115" s="28"/>
      <c r="AD115" s="28"/>
      <c r="AE115" s="28"/>
      <c r="AF115" s="28" t="str">
        <f t="shared" si="3"/>
        <v>enero</v>
      </c>
    </row>
    <row r="116" spans="1:32" hidden="1" x14ac:dyDescent="0.35">
      <c r="A116" s="28"/>
      <c r="B116" s="28"/>
      <c r="C116" s="28"/>
      <c r="D116" s="28"/>
      <c r="E116" s="28"/>
      <c r="F116" s="28"/>
      <c r="G116" s="28"/>
      <c r="H116" s="28"/>
      <c r="I116" s="28"/>
      <c r="J116" s="28"/>
      <c r="K116" s="29"/>
      <c r="L116" s="29"/>
      <c r="M116" s="29"/>
      <c r="N116" s="29"/>
      <c r="O116" s="29"/>
      <c r="P116" s="28"/>
      <c r="Q116" s="28"/>
      <c r="R116" s="28"/>
      <c r="S116" s="28"/>
      <c r="T116" s="28"/>
      <c r="U116" s="28"/>
      <c r="V116" s="28"/>
      <c r="W116" s="28"/>
      <c r="X116" s="28"/>
      <c r="Y116" s="30"/>
      <c r="Z116" s="28"/>
      <c r="AA116" s="28"/>
      <c r="AB116" s="28"/>
      <c r="AC116" s="28"/>
      <c r="AD116" s="28"/>
      <c r="AE116" s="28"/>
      <c r="AF116" s="28" t="str">
        <f t="shared" si="3"/>
        <v>enero</v>
      </c>
    </row>
    <row r="117" spans="1:32" hidden="1" x14ac:dyDescent="0.35">
      <c r="A117" s="28"/>
      <c r="B117" s="28"/>
      <c r="C117" s="28"/>
      <c r="D117" s="28"/>
      <c r="E117" s="28"/>
      <c r="F117" s="28"/>
      <c r="G117" s="28"/>
      <c r="H117" s="28"/>
      <c r="I117" s="28"/>
      <c r="J117" s="28"/>
      <c r="K117" s="29"/>
      <c r="L117" s="29"/>
      <c r="M117" s="29"/>
      <c r="N117" s="29"/>
      <c r="O117" s="29"/>
      <c r="P117" s="28"/>
      <c r="Q117" s="28"/>
      <c r="R117" s="28"/>
      <c r="S117" s="28"/>
      <c r="T117" s="28"/>
      <c r="U117" s="28"/>
      <c r="V117" s="28"/>
      <c r="W117" s="28"/>
      <c r="X117" s="28"/>
      <c r="Y117" s="30"/>
      <c r="Z117" s="28"/>
      <c r="AA117" s="28"/>
      <c r="AB117" s="28"/>
      <c r="AC117" s="28"/>
      <c r="AD117" s="28"/>
      <c r="AE117" s="28"/>
      <c r="AF117" s="28" t="str">
        <f t="shared" si="3"/>
        <v>enero</v>
      </c>
    </row>
    <row r="118" spans="1:32" hidden="1" x14ac:dyDescent="0.35">
      <c r="A118" s="28"/>
      <c r="B118" s="28"/>
      <c r="C118" s="28"/>
      <c r="D118" s="28"/>
      <c r="E118" s="28"/>
      <c r="F118" s="28"/>
      <c r="G118" s="28"/>
      <c r="H118" s="28"/>
      <c r="I118" s="28"/>
      <c r="J118" s="28"/>
      <c r="K118" s="29"/>
      <c r="L118" s="29"/>
      <c r="M118" s="29"/>
      <c r="N118" s="29"/>
      <c r="O118" s="29"/>
      <c r="P118" s="28"/>
      <c r="Q118" s="28"/>
      <c r="R118" s="28"/>
      <c r="S118" s="28"/>
      <c r="T118" s="28"/>
      <c r="U118" s="28"/>
      <c r="V118" s="28"/>
      <c r="W118" s="28"/>
      <c r="X118" s="28"/>
      <c r="Y118" s="30"/>
      <c r="Z118" s="28"/>
      <c r="AA118" s="28"/>
      <c r="AB118" s="28"/>
      <c r="AC118" s="28"/>
      <c r="AD118" s="28"/>
      <c r="AE118" s="28"/>
      <c r="AF118" s="28" t="str">
        <f t="shared" si="3"/>
        <v>enero</v>
      </c>
    </row>
    <row r="119" spans="1:32" hidden="1" x14ac:dyDescent="0.35">
      <c r="A119" s="28"/>
      <c r="B119" s="28"/>
      <c r="C119" s="28"/>
      <c r="D119" s="28"/>
      <c r="E119" s="28"/>
      <c r="F119" s="28"/>
      <c r="G119" s="28"/>
      <c r="H119" s="28"/>
      <c r="I119" s="28"/>
      <c r="J119" s="28"/>
      <c r="K119" s="29"/>
      <c r="L119" s="29"/>
      <c r="M119" s="29"/>
      <c r="N119" s="29"/>
      <c r="O119" s="29"/>
      <c r="P119" s="28"/>
      <c r="Q119" s="28"/>
      <c r="R119" s="28"/>
      <c r="S119" s="28"/>
      <c r="T119" s="28"/>
      <c r="U119" s="28"/>
      <c r="V119" s="28"/>
      <c r="W119" s="28"/>
      <c r="X119" s="28"/>
      <c r="Y119" s="30"/>
      <c r="Z119" s="28"/>
      <c r="AA119" s="28"/>
      <c r="AB119" s="28"/>
      <c r="AC119" s="28"/>
      <c r="AD119" s="28"/>
      <c r="AE119" s="28"/>
      <c r="AF119" s="28" t="str">
        <f t="shared" si="3"/>
        <v>enero</v>
      </c>
    </row>
    <row r="120" spans="1:32" hidden="1" x14ac:dyDescent="0.35">
      <c r="A120" s="28"/>
      <c r="B120" s="28"/>
      <c r="C120" s="28"/>
      <c r="D120" s="28"/>
      <c r="E120" s="28"/>
      <c r="F120" s="28"/>
      <c r="G120" s="28"/>
      <c r="H120" s="28"/>
      <c r="I120" s="28"/>
      <c r="J120" s="28"/>
      <c r="K120" s="29"/>
      <c r="L120" s="29"/>
      <c r="M120" s="29"/>
      <c r="N120" s="29"/>
      <c r="O120" s="29"/>
      <c r="P120" s="28"/>
      <c r="Q120" s="28"/>
      <c r="R120" s="28"/>
      <c r="S120" s="28"/>
      <c r="T120" s="28"/>
      <c r="U120" s="28"/>
      <c r="V120" s="28"/>
      <c r="W120" s="28"/>
      <c r="X120" s="28"/>
      <c r="Y120" s="30"/>
      <c r="Z120" s="28"/>
      <c r="AA120" s="28"/>
      <c r="AB120" s="28"/>
      <c r="AC120" s="28"/>
      <c r="AD120" s="28"/>
      <c r="AE120" s="28"/>
      <c r="AF120" s="28" t="str">
        <f t="shared" si="3"/>
        <v>enero</v>
      </c>
    </row>
    <row r="121" spans="1:32" hidden="1" x14ac:dyDescent="0.35">
      <c r="A121" s="28"/>
      <c r="B121" s="28"/>
      <c r="C121" s="28"/>
      <c r="D121" s="28"/>
      <c r="E121" s="28"/>
      <c r="F121" s="28"/>
      <c r="G121" s="28"/>
      <c r="H121" s="28"/>
      <c r="I121" s="28"/>
      <c r="J121" s="28"/>
      <c r="K121" s="29"/>
      <c r="L121" s="29"/>
      <c r="M121" s="29"/>
      <c r="N121" s="29"/>
      <c r="O121" s="29"/>
      <c r="P121" s="28"/>
      <c r="Q121" s="28"/>
      <c r="R121" s="28"/>
      <c r="S121" s="28"/>
      <c r="T121" s="28"/>
      <c r="U121" s="28"/>
      <c r="V121" s="28"/>
      <c r="W121" s="28"/>
      <c r="X121" s="28"/>
      <c r="Y121" s="30"/>
      <c r="Z121" s="28"/>
      <c r="AA121" s="28"/>
      <c r="AB121" s="28"/>
      <c r="AC121" s="28"/>
      <c r="AD121" s="28"/>
      <c r="AE121" s="28"/>
      <c r="AF121" s="28" t="str">
        <f t="shared" si="3"/>
        <v>enero</v>
      </c>
    </row>
    <row r="122" spans="1:32" hidden="1" x14ac:dyDescent="0.35">
      <c r="A122" s="28"/>
      <c r="B122" s="28"/>
      <c r="C122" s="28"/>
      <c r="D122" s="28"/>
      <c r="E122" s="28"/>
      <c r="F122" s="28"/>
      <c r="G122" s="28"/>
      <c r="H122" s="28"/>
      <c r="I122" s="28"/>
      <c r="J122" s="28"/>
      <c r="K122" s="29"/>
      <c r="L122" s="29"/>
      <c r="M122" s="29"/>
      <c r="N122" s="29"/>
      <c r="O122" s="29"/>
      <c r="P122" s="28"/>
      <c r="Q122" s="28"/>
      <c r="R122" s="28"/>
      <c r="S122" s="28"/>
      <c r="T122" s="28"/>
      <c r="U122" s="28"/>
      <c r="V122" s="28"/>
      <c r="W122" s="28"/>
      <c r="X122" s="28"/>
      <c r="Y122" s="30"/>
      <c r="Z122" s="28"/>
      <c r="AA122" s="28"/>
      <c r="AB122" s="28"/>
      <c r="AC122" s="28"/>
      <c r="AD122" s="28"/>
      <c r="AE122" s="28"/>
      <c r="AF122" s="28" t="str">
        <f t="shared" si="3"/>
        <v>enero</v>
      </c>
    </row>
    <row r="123" spans="1:32" hidden="1" x14ac:dyDescent="0.35">
      <c r="A123" s="28"/>
      <c r="B123" s="28"/>
      <c r="C123" s="28"/>
      <c r="D123" s="28"/>
      <c r="E123" s="28"/>
      <c r="F123" s="28"/>
      <c r="G123" s="28"/>
      <c r="H123" s="28"/>
      <c r="I123" s="28"/>
      <c r="J123" s="28"/>
      <c r="K123" s="29"/>
      <c r="L123" s="29"/>
      <c r="M123" s="29"/>
      <c r="N123" s="29"/>
      <c r="O123" s="29"/>
      <c r="P123" s="28"/>
      <c r="Q123" s="28"/>
      <c r="R123" s="28"/>
      <c r="S123" s="28"/>
      <c r="T123" s="28"/>
      <c r="U123" s="28"/>
      <c r="V123" s="28"/>
      <c r="W123" s="28"/>
      <c r="X123" s="28"/>
      <c r="Y123" s="30"/>
      <c r="Z123" s="28"/>
      <c r="AA123" s="28"/>
      <c r="AB123" s="28"/>
      <c r="AC123" s="28"/>
      <c r="AD123" s="28"/>
      <c r="AE123" s="28"/>
      <c r="AF123" s="28" t="str">
        <f t="shared" si="3"/>
        <v>enero</v>
      </c>
    </row>
    <row r="124" spans="1:32" hidden="1" x14ac:dyDescent="0.35">
      <c r="A124" s="28"/>
      <c r="B124" s="28"/>
      <c r="C124" s="28"/>
      <c r="D124" s="28"/>
      <c r="E124" s="28"/>
      <c r="F124" s="28"/>
      <c r="G124" s="28"/>
      <c r="H124" s="28"/>
      <c r="I124" s="28"/>
      <c r="J124" s="28"/>
      <c r="K124" s="29"/>
      <c r="L124" s="29"/>
      <c r="M124" s="29"/>
      <c r="N124" s="29"/>
      <c r="O124" s="29"/>
      <c r="P124" s="28"/>
      <c r="Q124" s="28"/>
      <c r="R124" s="28"/>
      <c r="S124" s="28"/>
      <c r="T124" s="28"/>
      <c r="U124" s="28"/>
      <c r="V124" s="28"/>
      <c r="W124" s="28"/>
      <c r="X124" s="28"/>
      <c r="Y124" s="30"/>
      <c r="Z124" s="28"/>
      <c r="AA124" s="28"/>
      <c r="AB124" s="28"/>
      <c r="AC124" s="28"/>
      <c r="AD124" s="28"/>
      <c r="AE124" s="28"/>
      <c r="AF124" s="28" t="str">
        <f t="shared" si="3"/>
        <v>enero</v>
      </c>
    </row>
    <row r="125" spans="1:32" hidden="1" x14ac:dyDescent="0.35">
      <c r="A125" s="28"/>
      <c r="B125" s="28"/>
      <c r="C125" s="28"/>
      <c r="D125" s="28"/>
      <c r="E125" s="28"/>
      <c r="F125" s="28"/>
      <c r="G125" s="28"/>
      <c r="H125" s="28"/>
      <c r="I125" s="28"/>
      <c r="J125" s="28"/>
      <c r="K125" s="29"/>
      <c r="L125" s="29"/>
      <c r="M125" s="29"/>
      <c r="N125" s="29"/>
      <c r="O125" s="29"/>
      <c r="P125" s="28"/>
      <c r="Q125" s="28"/>
      <c r="R125" s="28"/>
      <c r="S125" s="28"/>
      <c r="T125" s="28"/>
      <c r="U125" s="28"/>
      <c r="V125" s="28"/>
      <c r="W125" s="28"/>
      <c r="X125" s="28"/>
      <c r="Y125" s="30"/>
      <c r="Z125" s="28"/>
      <c r="AA125" s="28"/>
      <c r="AB125" s="28"/>
      <c r="AC125" s="28"/>
      <c r="AD125" s="28"/>
      <c r="AE125" s="28"/>
      <c r="AF125" s="28" t="str">
        <f t="shared" si="3"/>
        <v>enero</v>
      </c>
    </row>
    <row r="126" spans="1:32" hidden="1" x14ac:dyDescent="0.35">
      <c r="A126" s="28"/>
      <c r="B126" s="28"/>
      <c r="C126" s="28"/>
      <c r="D126" s="28"/>
      <c r="E126" s="28"/>
      <c r="F126" s="28"/>
      <c r="G126" s="28"/>
      <c r="H126" s="28"/>
      <c r="I126" s="28"/>
      <c r="J126" s="28"/>
      <c r="K126" s="29"/>
      <c r="L126" s="29"/>
      <c r="M126" s="29"/>
      <c r="N126" s="29"/>
      <c r="O126" s="29"/>
      <c r="P126" s="28"/>
      <c r="Q126" s="28"/>
      <c r="R126" s="28"/>
      <c r="S126" s="28"/>
      <c r="T126" s="28"/>
      <c r="U126" s="28"/>
      <c r="V126" s="28"/>
      <c r="W126" s="28"/>
      <c r="X126" s="28"/>
      <c r="Y126" s="30"/>
      <c r="Z126" s="28"/>
      <c r="AA126" s="28"/>
      <c r="AB126" s="28"/>
      <c r="AC126" s="28"/>
      <c r="AD126" s="28"/>
      <c r="AE126" s="28"/>
      <c r="AF126" s="28" t="str">
        <f t="shared" si="3"/>
        <v>enero</v>
      </c>
    </row>
    <row r="127" spans="1:32" hidden="1" x14ac:dyDescent="0.35">
      <c r="A127" s="28"/>
      <c r="B127" s="28"/>
      <c r="C127" s="28"/>
      <c r="D127" s="28"/>
      <c r="E127" s="28"/>
      <c r="F127" s="28"/>
      <c r="G127" s="28"/>
      <c r="H127" s="28"/>
      <c r="I127" s="28"/>
      <c r="J127" s="28"/>
      <c r="K127" s="29"/>
      <c r="L127" s="29"/>
      <c r="M127" s="29"/>
      <c r="N127" s="29"/>
      <c r="O127" s="29"/>
      <c r="P127" s="28"/>
      <c r="Q127" s="28"/>
      <c r="R127" s="28"/>
      <c r="S127" s="28"/>
      <c r="T127" s="28"/>
      <c r="U127" s="28"/>
      <c r="V127" s="28"/>
      <c r="W127" s="28"/>
      <c r="X127" s="28"/>
      <c r="Y127" s="30"/>
      <c r="Z127" s="28"/>
      <c r="AA127" s="28"/>
      <c r="AB127" s="28"/>
      <c r="AC127" s="28"/>
      <c r="AD127" s="28"/>
      <c r="AE127" s="28"/>
      <c r="AF127" s="28" t="str">
        <f t="shared" si="3"/>
        <v>enero</v>
      </c>
    </row>
    <row r="128" spans="1:32" hidden="1" x14ac:dyDescent="0.35">
      <c r="A128" s="28"/>
      <c r="B128" s="28"/>
      <c r="C128" s="28"/>
      <c r="D128" s="28"/>
      <c r="E128" s="28"/>
      <c r="F128" s="28"/>
      <c r="G128" s="28"/>
      <c r="H128" s="28"/>
      <c r="I128" s="28"/>
      <c r="J128" s="28"/>
      <c r="K128" s="29"/>
      <c r="L128" s="29"/>
      <c r="M128" s="29"/>
      <c r="N128" s="29"/>
      <c r="O128" s="29"/>
      <c r="P128" s="28"/>
      <c r="Q128" s="28"/>
      <c r="R128" s="28"/>
      <c r="S128" s="28"/>
      <c r="T128" s="28"/>
      <c r="U128" s="28"/>
      <c r="V128" s="28"/>
      <c r="W128" s="28"/>
      <c r="X128" s="28"/>
      <c r="Y128" s="30"/>
      <c r="Z128" s="28"/>
      <c r="AA128" s="28"/>
      <c r="AB128" s="28"/>
      <c r="AC128" s="28"/>
      <c r="AD128" s="28"/>
      <c r="AE128" s="28"/>
      <c r="AF128" s="28" t="str">
        <f t="shared" si="3"/>
        <v>enero</v>
      </c>
    </row>
    <row r="129" spans="1:32" hidden="1" x14ac:dyDescent="0.35">
      <c r="A129" s="28"/>
      <c r="B129" s="28"/>
      <c r="C129" s="28"/>
      <c r="D129" s="28"/>
      <c r="E129" s="28"/>
      <c r="F129" s="28"/>
      <c r="G129" s="28"/>
      <c r="H129" s="28"/>
      <c r="I129" s="28"/>
      <c r="J129" s="28"/>
      <c r="K129" s="29"/>
      <c r="L129" s="29"/>
      <c r="M129" s="29"/>
      <c r="N129" s="29"/>
      <c r="O129" s="29"/>
      <c r="P129" s="28"/>
      <c r="Q129" s="28"/>
      <c r="R129" s="28"/>
      <c r="S129" s="28"/>
      <c r="T129" s="28"/>
      <c r="U129" s="28"/>
      <c r="V129" s="28"/>
      <c r="W129" s="28"/>
      <c r="X129" s="28"/>
      <c r="Y129" s="30"/>
      <c r="Z129" s="28"/>
      <c r="AA129" s="28"/>
      <c r="AB129" s="28"/>
      <c r="AC129" s="28"/>
      <c r="AD129" s="28"/>
      <c r="AE129" s="28"/>
      <c r="AF129" s="28" t="str">
        <f t="shared" si="3"/>
        <v>enero</v>
      </c>
    </row>
    <row r="130" spans="1:32" hidden="1" x14ac:dyDescent="0.35">
      <c r="A130" s="28"/>
      <c r="B130" s="28"/>
      <c r="C130" s="28"/>
      <c r="D130" s="28"/>
      <c r="E130" s="28"/>
      <c r="F130" s="28"/>
      <c r="G130" s="28"/>
      <c r="H130" s="28"/>
      <c r="I130" s="28"/>
      <c r="J130" s="28"/>
      <c r="K130" s="29"/>
      <c r="L130" s="29"/>
      <c r="M130" s="29"/>
      <c r="N130" s="29"/>
      <c r="O130" s="29"/>
      <c r="P130" s="28"/>
      <c r="Q130" s="28"/>
      <c r="R130" s="28"/>
      <c r="S130" s="28"/>
      <c r="T130" s="28"/>
      <c r="U130" s="28"/>
      <c r="V130" s="28"/>
      <c r="W130" s="28"/>
      <c r="X130" s="28"/>
      <c r="Y130" s="30"/>
      <c r="Z130" s="28"/>
      <c r="AA130" s="28"/>
      <c r="AB130" s="28"/>
      <c r="AC130" s="28"/>
      <c r="AD130" s="28"/>
      <c r="AE130" s="28"/>
      <c r="AF130" s="28" t="str">
        <f t="shared" ref="AF130:AF147" si="4">TEXT(L130,"mmmm")</f>
        <v>enero</v>
      </c>
    </row>
    <row r="131" spans="1:32" hidden="1" x14ac:dyDescent="0.35">
      <c r="A131" s="28"/>
      <c r="B131" s="28"/>
      <c r="C131" s="28"/>
      <c r="D131" s="28"/>
      <c r="E131" s="28"/>
      <c r="F131" s="28"/>
      <c r="G131" s="28"/>
      <c r="H131" s="28"/>
      <c r="I131" s="28"/>
      <c r="J131" s="28"/>
      <c r="K131" s="29"/>
      <c r="L131" s="29"/>
      <c r="M131" s="29"/>
      <c r="N131" s="29"/>
      <c r="O131" s="29"/>
      <c r="P131" s="28"/>
      <c r="Q131" s="28"/>
      <c r="R131" s="28"/>
      <c r="S131" s="28"/>
      <c r="T131" s="28"/>
      <c r="U131" s="28"/>
      <c r="V131" s="28"/>
      <c r="W131" s="28"/>
      <c r="X131" s="28"/>
      <c r="Y131" s="30"/>
      <c r="Z131" s="28"/>
      <c r="AA131" s="28"/>
      <c r="AB131" s="28"/>
      <c r="AC131" s="28"/>
      <c r="AD131" s="28"/>
      <c r="AE131" s="28"/>
      <c r="AF131" s="28" t="str">
        <f t="shared" si="4"/>
        <v>enero</v>
      </c>
    </row>
    <row r="132" spans="1:32" hidden="1" x14ac:dyDescent="0.35">
      <c r="A132" s="28"/>
      <c r="B132" s="28"/>
      <c r="C132" s="28"/>
      <c r="D132" s="28"/>
      <c r="E132" s="28"/>
      <c r="F132" s="28"/>
      <c r="G132" s="28"/>
      <c r="H132" s="28"/>
      <c r="I132" s="28"/>
      <c r="J132" s="28"/>
      <c r="K132" s="29"/>
      <c r="L132" s="29"/>
      <c r="M132" s="29"/>
      <c r="N132" s="29"/>
      <c r="O132" s="29"/>
      <c r="P132" s="28"/>
      <c r="Q132" s="28"/>
      <c r="R132" s="28"/>
      <c r="S132" s="28"/>
      <c r="T132" s="28"/>
      <c r="U132" s="28"/>
      <c r="V132" s="28"/>
      <c r="W132" s="28"/>
      <c r="X132" s="28"/>
      <c r="Y132" s="30"/>
      <c r="Z132" s="28"/>
      <c r="AA132" s="28"/>
      <c r="AB132" s="28"/>
      <c r="AC132" s="28"/>
      <c r="AD132" s="28"/>
      <c r="AE132" s="28"/>
      <c r="AF132" s="28" t="str">
        <f t="shared" si="4"/>
        <v>enero</v>
      </c>
    </row>
    <row r="133" spans="1:32" hidden="1" x14ac:dyDescent="0.35">
      <c r="A133" s="28"/>
      <c r="B133" s="28"/>
      <c r="C133" s="28"/>
      <c r="D133" s="28"/>
      <c r="E133" s="28"/>
      <c r="F133" s="28"/>
      <c r="G133" s="28"/>
      <c r="H133" s="28"/>
      <c r="I133" s="28"/>
      <c r="J133" s="28"/>
      <c r="K133" s="29"/>
      <c r="L133" s="29"/>
      <c r="M133" s="29"/>
      <c r="N133" s="29"/>
      <c r="O133" s="29"/>
      <c r="P133" s="28"/>
      <c r="Q133" s="28"/>
      <c r="R133" s="28"/>
      <c r="S133" s="28"/>
      <c r="T133" s="28"/>
      <c r="U133" s="28"/>
      <c r="V133" s="28"/>
      <c r="W133" s="28"/>
      <c r="X133" s="28"/>
      <c r="Y133" s="30"/>
      <c r="Z133" s="28"/>
      <c r="AA133" s="28"/>
      <c r="AB133" s="28"/>
      <c r="AC133" s="28"/>
      <c r="AD133" s="28"/>
      <c r="AE133" s="28"/>
      <c r="AF133" s="28" t="str">
        <f t="shared" si="4"/>
        <v>enero</v>
      </c>
    </row>
    <row r="134" spans="1:32" hidden="1" x14ac:dyDescent="0.35">
      <c r="A134" s="28"/>
      <c r="B134" s="28"/>
      <c r="C134" s="28"/>
      <c r="D134" s="28"/>
      <c r="E134" s="28"/>
      <c r="F134" s="28"/>
      <c r="G134" s="28"/>
      <c r="H134" s="28"/>
      <c r="I134" s="28"/>
      <c r="J134" s="28"/>
      <c r="K134" s="29"/>
      <c r="L134" s="29"/>
      <c r="M134" s="29"/>
      <c r="N134" s="29"/>
      <c r="O134" s="29"/>
      <c r="P134" s="28"/>
      <c r="Q134" s="28"/>
      <c r="R134" s="28"/>
      <c r="S134" s="28"/>
      <c r="T134" s="28"/>
      <c r="U134" s="28"/>
      <c r="V134" s="28"/>
      <c r="W134" s="28"/>
      <c r="X134" s="28"/>
      <c r="Y134" s="30"/>
      <c r="Z134" s="28"/>
      <c r="AA134" s="28"/>
      <c r="AB134" s="28"/>
      <c r="AC134" s="28"/>
      <c r="AD134" s="28"/>
      <c r="AE134" s="28"/>
      <c r="AF134" s="28" t="str">
        <f t="shared" si="4"/>
        <v>enero</v>
      </c>
    </row>
    <row r="135" spans="1:32" hidden="1" x14ac:dyDescent="0.35">
      <c r="A135" s="28"/>
      <c r="B135" s="28"/>
      <c r="C135" s="28"/>
      <c r="D135" s="28"/>
      <c r="E135" s="28"/>
      <c r="F135" s="28"/>
      <c r="G135" s="28"/>
      <c r="H135" s="28"/>
      <c r="I135" s="28"/>
      <c r="J135" s="28"/>
      <c r="K135" s="29"/>
      <c r="L135" s="29"/>
      <c r="M135" s="29"/>
      <c r="N135" s="29"/>
      <c r="O135" s="29"/>
      <c r="P135" s="28"/>
      <c r="Q135" s="28"/>
      <c r="R135" s="28"/>
      <c r="S135" s="28"/>
      <c r="T135" s="28"/>
      <c r="U135" s="28"/>
      <c r="V135" s="28"/>
      <c r="W135" s="28"/>
      <c r="X135" s="28"/>
      <c r="Y135" s="30"/>
      <c r="Z135" s="28"/>
      <c r="AA135" s="28"/>
      <c r="AB135" s="28"/>
      <c r="AC135" s="28"/>
      <c r="AD135" s="28"/>
      <c r="AE135" s="28"/>
      <c r="AF135" s="28" t="str">
        <f t="shared" si="4"/>
        <v>enero</v>
      </c>
    </row>
    <row r="136" spans="1:32" hidden="1" x14ac:dyDescent="0.35">
      <c r="A136" s="28"/>
      <c r="B136" s="28"/>
      <c r="C136" s="28"/>
      <c r="D136" s="28"/>
      <c r="E136" s="28"/>
      <c r="F136" s="28"/>
      <c r="G136" s="28"/>
      <c r="H136" s="28"/>
      <c r="I136" s="28"/>
      <c r="J136" s="28"/>
      <c r="K136" s="29"/>
      <c r="L136" s="29"/>
      <c r="M136" s="29"/>
      <c r="N136" s="29"/>
      <c r="O136" s="29"/>
      <c r="P136" s="28"/>
      <c r="Q136" s="28"/>
      <c r="R136" s="28"/>
      <c r="S136" s="28"/>
      <c r="T136" s="28"/>
      <c r="U136" s="28"/>
      <c r="V136" s="28"/>
      <c r="W136" s="28"/>
      <c r="X136" s="28"/>
      <c r="Y136" s="30"/>
      <c r="Z136" s="28"/>
      <c r="AA136" s="28"/>
      <c r="AB136" s="28"/>
      <c r="AC136" s="28"/>
      <c r="AD136" s="28"/>
      <c r="AE136" s="28"/>
      <c r="AF136" s="28" t="str">
        <f t="shared" si="4"/>
        <v>enero</v>
      </c>
    </row>
    <row r="137" spans="1:32" hidden="1" x14ac:dyDescent="0.35">
      <c r="A137" s="28"/>
      <c r="B137" s="28"/>
      <c r="C137" s="28"/>
      <c r="D137" s="28"/>
      <c r="E137" s="28"/>
      <c r="F137" s="28"/>
      <c r="G137" s="28"/>
      <c r="H137" s="28"/>
      <c r="I137" s="28"/>
      <c r="J137" s="28"/>
      <c r="K137" s="29"/>
      <c r="L137" s="29"/>
      <c r="M137" s="29"/>
      <c r="N137" s="29"/>
      <c r="O137" s="29"/>
      <c r="P137" s="28"/>
      <c r="Q137" s="28"/>
      <c r="R137" s="28"/>
      <c r="S137" s="28"/>
      <c r="T137" s="28"/>
      <c r="U137" s="28"/>
      <c r="V137" s="28"/>
      <c r="W137" s="28"/>
      <c r="X137" s="28"/>
      <c r="Y137" s="30"/>
      <c r="Z137" s="28"/>
      <c r="AA137" s="28"/>
      <c r="AB137" s="28"/>
      <c r="AC137" s="28"/>
      <c r="AD137" s="28"/>
      <c r="AE137" s="28"/>
      <c r="AF137" s="28" t="str">
        <f t="shared" si="4"/>
        <v>enero</v>
      </c>
    </row>
    <row r="138" spans="1:32" hidden="1" x14ac:dyDescent="0.35">
      <c r="A138" s="28"/>
      <c r="B138" s="28"/>
      <c r="C138" s="28"/>
      <c r="D138" s="28"/>
      <c r="E138" s="28"/>
      <c r="F138" s="28"/>
      <c r="G138" s="28"/>
      <c r="H138" s="28"/>
      <c r="I138" s="28"/>
      <c r="J138" s="28"/>
      <c r="K138" s="29"/>
      <c r="L138" s="29"/>
      <c r="M138" s="29"/>
      <c r="N138" s="29"/>
      <c r="O138" s="29"/>
      <c r="P138" s="28"/>
      <c r="Q138" s="28"/>
      <c r="R138" s="28"/>
      <c r="S138" s="28"/>
      <c r="T138" s="28"/>
      <c r="U138" s="28"/>
      <c r="V138" s="28"/>
      <c r="W138" s="28"/>
      <c r="X138" s="28"/>
      <c r="Y138" s="30"/>
      <c r="Z138" s="28"/>
      <c r="AA138" s="28"/>
      <c r="AB138" s="28"/>
      <c r="AC138" s="28"/>
      <c r="AD138" s="28"/>
      <c r="AE138" s="28"/>
      <c r="AF138" s="28" t="str">
        <f t="shared" si="4"/>
        <v>enero</v>
      </c>
    </row>
    <row r="139" spans="1:32" hidden="1" x14ac:dyDescent="0.35">
      <c r="A139" s="28"/>
      <c r="B139" s="28"/>
      <c r="C139" s="28"/>
      <c r="D139" s="28"/>
      <c r="E139" s="28"/>
      <c r="F139" s="28"/>
      <c r="G139" s="28"/>
      <c r="H139" s="28"/>
      <c r="I139" s="28"/>
      <c r="J139" s="28"/>
      <c r="K139" s="29"/>
      <c r="L139" s="29"/>
      <c r="M139" s="29"/>
      <c r="N139" s="29"/>
      <c r="O139" s="29"/>
      <c r="P139" s="28"/>
      <c r="Q139" s="28"/>
      <c r="R139" s="28"/>
      <c r="S139" s="28"/>
      <c r="T139" s="28"/>
      <c r="U139" s="28"/>
      <c r="V139" s="28"/>
      <c r="W139" s="28"/>
      <c r="X139" s="28"/>
      <c r="Y139" s="30"/>
      <c r="Z139" s="28"/>
      <c r="AA139" s="28"/>
      <c r="AB139" s="28"/>
      <c r="AC139" s="28"/>
      <c r="AD139" s="28"/>
      <c r="AE139" s="28"/>
      <c r="AF139" s="28" t="str">
        <f t="shared" si="4"/>
        <v>enero</v>
      </c>
    </row>
    <row r="140" spans="1:32" hidden="1" x14ac:dyDescent="0.35">
      <c r="A140" s="28"/>
      <c r="B140" s="28"/>
      <c r="C140" s="28"/>
      <c r="D140" s="28"/>
      <c r="E140" s="28"/>
      <c r="F140" s="28"/>
      <c r="G140" s="28"/>
      <c r="H140" s="28"/>
      <c r="I140" s="28"/>
      <c r="J140" s="28"/>
      <c r="K140" s="29"/>
      <c r="L140" s="29"/>
      <c r="M140" s="29"/>
      <c r="N140" s="29"/>
      <c r="O140" s="29"/>
      <c r="P140" s="28"/>
      <c r="Q140" s="28"/>
      <c r="R140" s="28"/>
      <c r="S140" s="28"/>
      <c r="T140" s="28"/>
      <c r="U140" s="28"/>
      <c r="V140" s="28"/>
      <c r="W140" s="28"/>
      <c r="X140" s="28"/>
      <c r="Y140" s="30"/>
      <c r="Z140" s="28"/>
      <c r="AA140" s="28"/>
      <c r="AB140" s="28"/>
      <c r="AC140" s="28"/>
      <c r="AD140" s="28"/>
      <c r="AE140" s="28"/>
      <c r="AF140" s="28" t="str">
        <f t="shared" si="4"/>
        <v>enero</v>
      </c>
    </row>
    <row r="141" spans="1:32" hidden="1" x14ac:dyDescent="0.35">
      <c r="A141" s="28"/>
      <c r="B141" s="28"/>
      <c r="C141" s="28"/>
      <c r="D141" s="28"/>
      <c r="E141" s="28"/>
      <c r="F141" s="28"/>
      <c r="G141" s="28"/>
      <c r="H141" s="28"/>
      <c r="I141" s="28"/>
      <c r="J141" s="28"/>
      <c r="K141" s="29"/>
      <c r="L141" s="29"/>
      <c r="M141" s="29"/>
      <c r="N141" s="29"/>
      <c r="O141" s="29"/>
      <c r="P141" s="28"/>
      <c r="Q141" s="28"/>
      <c r="R141" s="28"/>
      <c r="S141" s="28"/>
      <c r="T141" s="28"/>
      <c r="U141" s="28"/>
      <c r="V141" s="28"/>
      <c r="W141" s="28"/>
      <c r="X141" s="28"/>
      <c r="Y141" s="30"/>
      <c r="Z141" s="28"/>
      <c r="AA141" s="28"/>
      <c r="AB141" s="28"/>
      <c r="AC141" s="28"/>
      <c r="AD141" s="28"/>
      <c r="AE141" s="28"/>
      <c r="AF141" s="28" t="str">
        <f t="shared" si="4"/>
        <v>enero</v>
      </c>
    </row>
    <row r="142" spans="1:32" hidden="1" x14ac:dyDescent="0.35">
      <c r="A142" s="28"/>
      <c r="B142" s="28"/>
      <c r="C142" s="28"/>
      <c r="D142" s="28"/>
      <c r="E142" s="28"/>
      <c r="F142" s="28"/>
      <c r="G142" s="28"/>
      <c r="H142" s="28"/>
      <c r="I142" s="28"/>
      <c r="J142" s="28"/>
      <c r="K142" s="29"/>
      <c r="L142" s="29"/>
      <c r="M142" s="29"/>
      <c r="N142" s="29"/>
      <c r="O142" s="29"/>
      <c r="P142" s="28"/>
      <c r="Q142" s="28"/>
      <c r="R142" s="28"/>
      <c r="S142" s="28"/>
      <c r="T142" s="28"/>
      <c r="U142" s="28"/>
      <c r="V142" s="28"/>
      <c r="W142" s="28"/>
      <c r="X142" s="28"/>
      <c r="Y142" s="30"/>
      <c r="Z142" s="28"/>
      <c r="AA142" s="28"/>
      <c r="AB142" s="28"/>
      <c r="AC142" s="28"/>
      <c r="AD142" s="28"/>
      <c r="AE142" s="28"/>
      <c r="AF142" s="28" t="str">
        <f t="shared" si="4"/>
        <v>enero</v>
      </c>
    </row>
    <row r="143" spans="1:32" hidden="1" x14ac:dyDescent="0.35">
      <c r="A143" s="28"/>
      <c r="B143" s="28"/>
      <c r="C143" s="28"/>
      <c r="D143" s="28"/>
      <c r="E143" s="28"/>
      <c r="F143" s="28"/>
      <c r="G143" s="28"/>
      <c r="H143" s="28"/>
      <c r="I143" s="28"/>
      <c r="J143" s="28"/>
      <c r="K143" s="29"/>
      <c r="L143" s="29"/>
      <c r="M143" s="29"/>
      <c r="N143" s="29"/>
      <c r="O143" s="29"/>
      <c r="P143" s="28"/>
      <c r="Q143" s="28"/>
      <c r="R143" s="28"/>
      <c r="S143" s="28"/>
      <c r="T143" s="28"/>
      <c r="U143" s="28"/>
      <c r="V143" s="28"/>
      <c r="W143" s="28"/>
      <c r="X143" s="28"/>
      <c r="Y143" s="30"/>
      <c r="Z143" s="28"/>
      <c r="AA143" s="28"/>
      <c r="AB143" s="28"/>
      <c r="AC143" s="28"/>
      <c r="AD143" s="28"/>
      <c r="AE143" s="28"/>
      <c r="AF143" s="28" t="str">
        <f t="shared" si="4"/>
        <v>enero</v>
      </c>
    </row>
    <row r="144" spans="1:32" hidden="1" x14ac:dyDescent="0.35">
      <c r="A144" s="28"/>
      <c r="B144" s="28"/>
      <c r="C144" s="28"/>
      <c r="D144" s="28"/>
      <c r="E144" s="28"/>
      <c r="F144" s="28"/>
      <c r="G144" s="28"/>
      <c r="H144" s="28"/>
      <c r="I144" s="28"/>
      <c r="J144" s="28"/>
      <c r="K144" s="29"/>
      <c r="L144" s="29"/>
      <c r="M144" s="29"/>
      <c r="N144" s="29"/>
      <c r="O144" s="29"/>
      <c r="P144" s="28"/>
      <c r="Q144" s="28"/>
      <c r="R144" s="28"/>
      <c r="S144" s="28"/>
      <c r="T144" s="28"/>
      <c r="U144" s="28"/>
      <c r="V144" s="28"/>
      <c r="W144" s="28"/>
      <c r="X144" s="28"/>
      <c r="Y144" s="30"/>
      <c r="Z144" s="28"/>
      <c r="AA144" s="28"/>
      <c r="AB144" s="28"/>
      <c r="AC144" s="28"/>
      <c r="AD144" s="28"/>
      <c r="AE144" s="28"/>
      <c r="AF144" s="28" t="str">
        <f t="shared" si="4"/>
        <v>enero</v>
      </c>
    </row>
    <row r="145" spans="1:32" hidden="1" x14ac:dyDescent="0.35">
      <c r="A145" s="28"/>
      <c r="B145" s="28"/>
      <c r="C145" s="28"/>
      <c r="D145" s="28"/>
      <c r="E145" s="28"/>
      <c r="F145" s="28"/>
      <c r="G145" s="28"/>
      <c r="H145" s="28"/>
      <c r="I145" s="28"/>
      <c r="J145" s="28"/>
      <c r="K145" s="29"/>
      <c r="L145" s="29"/>
      <c r="M145" s="29"/>
      <c r="N145" s="29"/>
      <c r="O145" s="29"/>
      <c r="P145" s="28"/>
      <c r="Q145" s="28"/>
      <c r="R145" s="28"/>
      <c r="S145" s="28"/>
      <c r="T145" s="28"/>
      <c r="U145" s="28"/>
      <c r="V145" s="28"/>
      <c r="W145" s="28"/>
      <c r="X145" s="28"/>
      <c r="Y145" s="30"/>
      <c r="Z145" s="28"/>
      <c r="AA145" s="28"/>
      <c r="AB145" s="28"/>
      <c r="AC145" s="28"/>
      <c r="AD145" s="28"/>
      <c r="AE145" s="28"/>
      <c r="AF145" s="28" t="str">
        <f t="shared" si="4"/>
        <v>enero</v>
      </c>
    </row>
    <row r="146" spans="1:32" hidden="1" x14ac:dyDescent="0.35">
      <c r="A146" s="28"/>
      <c r="B146" s="28"/>
      <c r="C146" s="28"/>
      <c r="D146" s="28"/>
      <c r="E146" s="28"/>
      <c r="F146" s="28"/>
      <c r="G146" s="28"/>
      <c r="H146" s="28"/>
      <c r="I146" s="28"/>
      <c r="J146" s="28"/>
      <c r="K146" s="29"/>
      <c r="L146" s="29"/>
      <c r="M146" s="29"/>
      <c r="N146" s="29"/>
      <c r="O146" s="29"/>
      <c r="P146" s="28"/>
      <c r="Q146" s="28"/>
      <c r="R146" s="28"/>
      <c r="S146" s="28"/>
      <c r="T146" s="28"/>
      <c r="U146" s="28"/>
      <c r="V146" s="28"/>
      <c r="W146" s="28"/>
      <c r="X146" s="28"/>
      <c r="Y146" s="30"/>
      <c r="Z146" s="28"/>
      <c r="AA146" s="28"/>
      <c r="AB146" s="28"/>
      <c r="AC146" s="28"/>
      <c r="AD146" s="28"/>
      <c r="AE146" s="28"/>
      <c r="AF146" s="28" t="str">
        <f t="shared" si="4"/>
        <v>enero</v>
      </c>
    </row>
    <row r="147" spans="1:32" hidden="1" x14ac:dyDescent="0.35">
      <c r="A147" s="28"/>
      <c r="B147" s="28"/>
      <c r="C147" s="28"/>
      <c r="D147" s="28"/>
      <c r="E147" s="28"/>
      <c r="F147" s="28"/>
      <c r="G147" s="28"/>
      <c r="H147" s="28"/>
      <c r="I147" s="28"/>
      <c r="J147" s="28"/>
      <c r="K147" s="29"/>
      <c r="L147" s="29"/>
      <c r="M147" s="29"/>
      <c r="N147" s="29"/>
      <c r="O147" s="29"/>
      <c r="P147" s="28"/>
      <c r="Q147" s="28"/>
      <c r="R147" s="28"/>
      <c r="S147" s="28"/>
      <c r="T147" s="28"/>
      <c r="U147" s="28"/>
      <c r="V147" s="28"/>
      <c r="W147" s="28"/>
      <c r="X147" s="28"/>
      <c r="Y147" s="30"/>
      <c r="Z147" s="28"/>
      <c r="AA147" s="28"/>
      <c r="AB147" s="28"/>
      <c r="AC147" s="28"/>
      <c r="AD147" s="28"/>
      <c r="AE147" s="28"/>
      <c r="AF147" s="28" t="str">
        <f t="shared" si="4"/>
        <v>enero</v>
      </c>
    </row>
    <row r="148" spans="1:32" x14ac:dyDescent="0.35">
      <c r="A148" s="28"/>
      <c r="B148" s="28"/>
      <c r="C148" s="28"/>
      <c r="D148" s="28"/>
      <c r="E148" s="28"/>
      <c r="F148" s="28"/>
      <c r="G148" s="28"/>
      <c r="H148" s="28"/>
      <c r="I148" s="28"/>
      <c r="J148" s="28"/>
      <c r="K148" s="29"/>
      <c r="L148" s="29"/>
      <c r="M148" s="29"/>
      <c r="N148" s="29"/>
      <c r="O148" s="29"/>
      <c r="P148" s="28"/>
      <c r="Q148" s="28"/>
      <c r="R148" s="28"/>
      <c r="S148" s="28"/>
      <c r="T148" s="28"/>
      <c r="U148" s="28"/>
      <c r="V148" s="28"/>
      <c r="W148" s="28"/>
      <c r="X148" s="28"/>
      <c r="Y148" s="30"/>
      <c r="Z148" s="28"/>
      <c r="AA148" s="28"/>
      <c r="AB148" s="28"/>
      <c r="AC148" s="28"/>
      <c r="AD148" s="28"/>
      <c r="AE148" s="28"/>
    </row>
    <row r="149" spans="1:32" x14ac:dyDescent="0.35">
      <c r="A149" s="28"/>
      <c r="B149" s="28"/>
      <c r="C149" s="28"/>
      <c r="D149" s="28"/>
      <c r="E149" s="28"/>
      <c r="F149" s="28"/>
      <c r="G149" s="28"/>
      <c r="H149" s="28"/>
      <c r="I149" s="28"/>
      <c r="J149" s="28"/>
      <c r="K149" s="29"/>
      <c r="L149" s="29"/>
      <c r="M149" s="29"/>
      <c r="N149" s="29"/>
      <c r="O149" s="29"/>
      <c r="P149" s="28"/>
      <c r="Q149" s="28"/>
      <c r="R149" s="28"/>
      <c r="S149" s="28"/>
      <c r="T149" s="28"/>
      <c r="U149" s="28"/>
      <c r="V149" s="28"/>
      <c r="W149" s="28"/>
      <c r="X149" s="28"/>
      <c r="Y149" s="30"/>
      <c r="Z149" s="28"/>
      <c r="AA149" s="28"/>
      <c r="AB149" s="28"/>
      <c r="AC149" s="28"/>
      <c r="AD149" s="28"/>
      <c r="AE149" s="28"/>
    </row>
    <row r="150" spans="1:32" x14ac:dyDescent="0.35">
      <c r="A150" s="28"/>
      <c r="B150" s="28"/>
      <c r="C150" s="28"/>
      <c r="D150" s="28"/>
      <c r="E150" s="28"/>
      <c r="F150" s="28"/>
      <c r="G150" s="28"/>
      <c r="H150" s="28"/>
      <c r="I150" s="28"/>
      <c r="J150" s="28"/>
      <c r="K150" s="29"/>
      <c r="L150" s="29"/>
      <c r="M150" s="29"/>
      <c r="N150" s="29"/>
      <c r="O150" s="29"/>
      <c r="P150" s="28"/>
      <c r="Q150" s="28"/>
      <c r="R150" s="28"/>
      <c r="S150" s="28"/>
      <c r="T150" s="28"/>
      <c r="U150" s="28"/>
      <c r="V150" s="28"/>
      <c r="W150" s="28"/>
      <c r="X150" s="28"/>
      <c r="Y150" s="30"/>
      <c r="Z150" s="28"/>
      <c r="AA150" s="28"/>
      <c r="AB150" s="28"/>
      <c r="AC150" s="28"/>
      <c r="AD150" s="28"/>
      <c r="AE150" s="28"/>
    </row>
    <row r="151" spans="1:32" x14ac:dyDescent="0.35">
      <c r="A151" s="28"/>
      <c r="B151" s="28"/>
      <c r="C151" s="28"/>
      <c r="D151" s="28"/>
      <c r="E151" s="28"/>
      <c r="F151" s="28"/>
      <c r="G151" s="28"/>
      <c r="H151" s="28"/>
      <c r="I151" s="28"/>
      <c r="J151" s="28"/>
      <c r="K151" s="29"/>
      <c r="L151" s="29"/>
      <c r="M151" s="29"/>
      <c r="N151" s="29"/>
      <c r="O151" s="29"/>
      <c r="P151" s="28"/>
      <c r="Q151" s="28"/>
      <c r="R151" s="28"/>
      <c r="S151" s="28"/>
      <c r="T151" s="28"/>
      <c r="U151" s="28"/>
      <c r="V151" s="28"/>
      <c r="W151" s="28"/>
      <c r="X151" s="28"/>
      <c r="Y151" s="30"/>
      <c r="Z151" s="28"/>
      <c r="AA151" s="28"/>
      <c r="AB151" s="28"/>
      <c r="AC151" s="28"/>
      <c r="AD151" s="28"/>
      <c r="AE151" s="28"/>
    </row>
    <row r="152" spans="1:32" x14ac:dyDescent="0.35">
      <c r="A152" s="28"/>
      <c r="B152" s="28"/>
      <c r="C152" s="28"/>
      <c r="D152" s="28"/>
      <c r="E152" s="28"/>
      <c r="F152" s="28"/>
      <c r="G152" s="28"/>
      <c r="H152" s="28"/>
      <c r="I152" s="28"/>
      <c r="J152" s="28"/>
      <c r="K152" s="29"/>
      <c r="L152" s="29"/>
      <c r="M152" s="29"/>
      <c r="N152" s="29"/>
      <c r="O152" s="29"/>
      <c r="P152" s="28"/>
      <c r="Q152" s="28"/>
      <c r="R152" s="28"/>
      <c r="S152" s="28"/>
      <c r="T152" s="28"/>
      <c r="U152" s="28"/>
      <c r="V152" s="28"/>
      <c r="W152" s="28"/>
      <c r="X152" s="28"/>
      <c r="Y152" s="30"/>
      <c r="Z152" s="28"/>
      <c r="AA152" s="28"/>
      <c r="AB152" s="28"/>
      <c r="AC152" s="28"/>
      <c r="AD152" s="28"/>
      <c r="AE152" s="28"/>
    </row>
    <row r="153" spans="1:32" x14ac:dyDescent="0.35">
      <c r="A153" s="28"/>
      <c r="B153" s="28"/>
      <c r="C153" s="28"/>
      <c r="D153" s="28"/>
      <c r="E153" s="28"/>
      <c r="F153" s="28"/>
      <c r="G153" s="28"/>
      <c r="H153" s="28"/>
      <c r="I153" s="28"/>
      <c r="J153" s="28"/>
      <c r="K153" s="29"/>
      <c r="L153" s="29"/>
      <c r="M153" s="29"/>
      <c r="N153" s="29"/>
      <c r="O153" s="29"/>
      <c r="P153" s="28"/>
      <c r="Q153" s="28"/>
      <c r="R153" s="28"/>
      <c r="S153" s="28"/>
      <c r="T153" s="28"/>
      <c r="U153" s="28"/>
      <c r="V153" s="28"/>
      <c r="W153" s="28"/>
      <c r="X153" s="28"/>
      <c r="Y153" s="30"/>
      <c r="Z153" s="28"/>
      <c r="AA153" s="28"/>
      <c r="AB153" s="28"/>
      <c r="AC153" s="28"/>
      <c r="AD153" s="28"/>
      <c r="AE153" s="28"/>
    </row>
    <row r="154" spans="1:32" x14ac:dyDescent="0.35">
      <c r="A154" s="28"/>
      <c r="B154" s="28"/>
      <c r="C154" s="28"/>
      <c r="D154" s="28"/>
      <c r="E154" s="28"/>
      <c r="F154" s="28"/>
      <c r="G154" s="28"/>
      <c r="H154" s="28"/>
      <c r="I154" s="28"/>
      <c r="J154" s="28"/>
      <c r="K154" s="29"/>
      <c r="L154" s="29"/>
      <c r="M154" s="29"/>
      <c r="N154" s="29"/>
      <c r="O154" s="29"/>
      <c r="P154" s="28"/>
      <c r="Q154" s="28"/>
      <c r="R154" s="28"/>
      <c r="S154" s="28"/>
      <c r="T154" s="28"/>
      <c r="U154" s="28"/>
      <c r="V154" s="28"/>
      <c r="W154" s="28"/>
      <c r="X154" s="28"/>
      <c r="Y154" s="30"/>
      <c r="Z154" s="28"/>
      <c r="AA154" s="28"/>
      <c r="AB154" s="28"/>
      <c r="AC154" s="28"/>
      <c r="AD154" s="28"/>
      <c r="AE154" s="28"/>
    </row>
    <row r="155" spans="1:32" x14ac:dyDescent="0.35">
      <c r="A155" s="28"/>
      <c r="B155" s="28"/>
      <c r="C155" s="28"/>
      <c r="D155" s="28"/>
      <c r="E155" s="28"/>
      <c r="F155" s="28"/>
      <c r="G155" s="28"/>
      <c r="H155" s="28"/>
      <c r="I155" s="28"/>
      <c r="J155" s="28"/>
      <c r="K155" s="29"/>
      <c r="L155" s="29"/>
      <c r="M155" s="29"/>
      <c r="N155" s="29"/>
      <c r="O155" s="29"/>
      <c r="P155" s="28"/>
      <c r="Q155" s="28"/>
      <c r="R155" s="28"/>
      <c r="S155" s="28"/>
      <c r="T155" s="28"/>
      <c r="U155" s="28"/>
      <c r="V155" s="28"/>
      <c r="W155" s="28"/>
      <c r="X155" s="28"/>
      <c r="Y155" s="30"/>
      <c r="Z155" s="28"/>
      <c r="AA155" s="28"/>
      <c r="AB155" s="28"/>
      <c r="AC155" s="28"/>
      <c r="AD155" s="28"/>
      <c r="AE155" s="28"/>
    </row>
    <row r="156" spans="1:32" x14ac:dyDescent="0.35">
      <c r="A156" s="28"/>
      <c r="B156" s="28"/>
      <c r="C156" s="28"/>
      <c r="D156" s="28"/>
      <c r="E156" s="28"/>
      <c r="F156" s="28"/>
      <c r="G156" s="28"/>
      <c r="H156" s="28"/>
      <c r="I156" s="28"/>
      <c r="J156" s="28"/>
      <c r="K156" s="29"/>
      <c r="L156" s="29"/>
      <c r="M156" s="29"/>
      <c r="N156" s="29"/>
      <c r="O156" s="29"/>
      <c r="P156" s="28"/>
      <c r="Q156" s="28"/>
      <c r="R156" s="28"/>
      <c r="S156" s="28"/>
      <c r="T156" s="28"/>
      <c r="U156" s="28"/>
      <c r="V156" s="28"/>
      <c r="W156" s="28"/>
      <c r="X156" s="28"/>
      <c r="Y156" s="30"/>
      <c r="Z156" s="28"/>
      <c r="AA156" s="28"/>
      <c r="AB156" s="28"/>
      <c r="AC156" s="28"/>
      <c r="AD156" s="28"/>
      <c r="AE156" s="28"/>
    </row>
    <row r="157" spans="1:32" x14ac:dyDescent="0.35">
      <c r="A157" s="28"/>
      <c r="B157" s="28"/>
      <c r="C157" s="28"/>
      <c r="D157" s="28"/>
      <c r="E157" s="28"/>
      <c r="F157" s="28"/>
      <c r="G157" s="28"/>
      <c r="H157" s="28"/>
      <c r="I157" s="28"/>
      <c r="J157" s="28"/>
      <c r="K157" s="29"/>
      <c r="L157" s="29"/>
      <c r="M157" s="29"/>
      <c r="N157" s="29"/>
      <c r="O157" s="29"/>
      <c r="P157" s="28"/>
      <c r="Q157" s="28"/>
      <c r="R157" s="28"/>
      <c r="S157" s="28"/>
      <c r="T157" s="28"/>
      <c r="U157" s="28"/>
      <c r="V157" s="28"/>
      <c r="W157" s="28"/>
      <c r="X157" s="28"/>
      <c r="Y157" s="30"/>
      <c r="Z157" s="28"/>
      <c r="AA157" s="28"/>
      <c r="AB157" s="28"/>
      <c r="AC157" s="28"/>
      <c r="AD157" s="28"/>
      <c r="AE157" s="28"/>
    </row>
    <row r="158" spans="1:32" x14ac:dyDescent="0.35">
      <c r="A158" s="28"/>
      <c r="B158" s="28"/>
      <c r="C158" s="28"/>
      <c r="D158" s="28"/>
      <c r="E158" s="28"/>
      <c r="F158" s="28"/>
      <c r="G158" s="28"/>
      <c r="H158" s="28"/>
      <c r="I158" s="28"/>
      <c r="J158" s="28"/>
      <c r="K158" s="29"/>
      <c r="L158" s="29"/>
      <c r="M158" s="29"/>
      <c r="N158" s="29"/>
      <c r="O158" s="29"/>
      <c r="P158" s="28"/>
      <c r="Q158" s="28"/>
      <c r="R158" s="28"/>
      <c r="S158" s="28"/>
      <c r="T158" s="28"/>
      <c r="U158" s="28"/>
      <c r="V158" s="28"/>
      <c r="W158" s="28"/>
      <c r="X158" s="28"/>
      <c r="Y158" s="30"/>
      <c r="Z158" s="28"/>
      <c r="AA158" s="28"/>
      <c r="AB158" s="28"/>
      <c r="AC158" s="28"/>
      <c r="AD158" s="28"/>
      <c r="AE158" s="28"/>
    </row>
    <row r="159" spans="1:32" x14ac:dyDescent="0.35">
      <c r="A159" s="28"/>
      <c r="B159" s="28"/>
      <c r="C159" s="28"/>
      <c r="D159" s="28"/>
      <c r="E159" s="28"/>
      <c r="F159" s="28"/>
      <c r="G159" s="28"/>
      <c r="H159" s="28"/>
      <c r="I159" s="28"/>
      <c r="J159" s="28"/>
      <c r="K159" s="29"/>
      <c r="L159" s="29"/>
      <c r="M159" s="29"/>
      <c r="N159" s="29"/>
      <c r="O159" s="29"/>
      <c r="P159" s="28"/>
      <c r="Q159" s="28"/>
      <c r="R159" s="28"/>
      <c r="S159" s="28"/>
      <c r="T159" s="28"/>
      <c r="U159" s="28"/>
      <c r="V159" s="28"/>
      <c r="W159" s="28"/>
      <c r="X159" s="28"/>
      <c r="Y159" s="30"/>
      <c r="Z159" s="28"/>
      <c r="AA159" s="28"/>
      <c r="AB159" s="28"/>
      <c r="AC159" s="28"/>
      <c r="AD159" s="28"/>
      <c r="AE159" s="28"/>
    </row>
    <row r="160" spans="1:32" x14ac:dyDescent="0.35">
      <c r="A160" s="28"/>
      <c r="B160" s="28"/>
      <c r="C160" s="28"/>
      <c r="D160" s="28"/>
      <c r="E160" s="28"/>
      <c r="F160" s="28"/>
      <c r="G160" s="28"/>
      <c r="H160" s="28"/>
      <c r="I160" s="28"/>
      <c r="J160" s="28"/>
      <c r="K160" s="29"/>
      <c r="L160" s="29"/>
      <c r="M160" s="29"/>
      <c r="N160" s="29"/>
      <c r="O160" s="29"/>
      <c r="P160" s="28"/>
      <c r="Q160" s="28"/>
      <c r="R160" s="28"/>
      <c r="S160" s="28"/>
      <c r="T160" s="28"/>
      <c r="U160" s="28"/>
      <c r="V160" s="28"/>
      <c r="W160" s="28"/>
      <c r="X160" s="28"/>
      <c r="Y160" s="30"/>
      <c r="Z160" s="28"/>
      <c r="AA160" s="28"/>
      <c r="AB160" s="28"/>
      <c r="AC160" s="28"/>
      <c r="AD160" s="28"/>
      <c r="AE160" s="28"/>
    </row>
    <row r="161" spans="1:31" x14ac:dyDescent="0.35">
      <c r="A161" s="28"/>
      <c r="B161" s="28"/>
      <c r="C161" s="28"/>
      <c r="D161" s="28"/>
      <c r="E161" s="28"/>
      <c r="F161" s="28"/>
      <c r="G161" s="28"/>
      <c r="H161" s="28"/>
      <c r="I161" s="28"/>
      <c r="J161" s="28"/>
      <c r="K161" s="29"/>
      <c r="L161" s="29"/>
      <c r="M161" s="29"/>
      <c r="N161" s="29"/>
      <c r="O161" s="29"/>
      <c r="P161" s="28"/>
      <c r="Q161" s="28"/>
      <c r="R161" s="28"/>
      <c r="S161" s="28"/>
      <c r="T161" s="28"/>
      <c r="U161" s="28"/>
      <c r="V161" s="28"/>
      <c r="W161" s="28"/>
      <c r="X161" s="28"/>
      <c r="Y161" s="30"/>
      <c r="Z161" s="28"/>
      <c r="AA161" s="28"/>
      <c r="AB161" s="28"/>
      <c r="AC161" s="28"/>
      <c r="AD161" s="28"/>
      <c r="AE161" s="28"/>
    </row>
    <row r="162" spans="1:31" x14ac:dyDescent="0.35">
      <c r="A162" s="28"/>
      <c r="B162" s="28"/>
      <c r="C162" s="28"/>
      <c r="D162" s="28"/>
      <c r="E162" s="28"/>
      <c r="F162" s="28"/>
      <c r="G162" s="28"/>
      <c r="H162" s="28"/>
      <c r="I162" s="28"/>
      <c r="J162" s="28"/>
      <c r="K162" s="29"/>
      <c r="L162" s="29"/>
      <c r="M162" s="29"/>
      <c r="N162" s="29"/>
      <c r="O162" s="29"/>
      <c r="P162" s="28"/>
      <c r="Q162" s="28"/>
      <c r="R162" s="28"/>
      <c r="S162" s="28"/>
      <c r="T162" s="28"/>
      <c r="U162" s="28"/>
      <c r="V162" s="28"/>
      <c r="W162" s="28"/>
      <c r="X162" s="28"/>
      <c r="Y162" s="30"/>
      <c r="Z162" s="28"/>
      <c r="AA162" s="28"/>
      <c r="AB162" s="28"/>
      <c r="AC162" s="28"/>
      <c r="AD162" s="28"/>
      <c r="AE162" s="28"/>
    </row>
    <row r="163" spans="1:31" x14ac:dyDescent="0.35">
      <c r="A163" s="28"/>
      <c r="B163" s="28"/>
      <c r="C163" s="28"/>
      <c r="D163" s="28"/>
      <c r="E163" s="28"/>
      <c r="F163" s="28"/>
      <c r="G163" s="28"/>
      <c r="H163" s="28"/>
      <c r="I163" s="28"/>
      <c r="J163" s="28"/>
      <c r="K163" s="29"/>
      <c r="L163" s="29"/>
      <c r="M163" s="29"/>
      <c r="N163" s="29"/>
      <c r="O163" s="29"/>
      <c r="P163" s="28"/>
      <c r="Q163" s="28"/>
      <c r="R163" s="28"/>
      <c r="S163" s="28"/>
      <c r="T163" s="28"/>
      <c r="U163" s="28"/>
      <c r="V163" s="28"/>
      <c r="W163" s="28"/>
      <c r="X163" s="28"/>
      <c r="Y163" s="30"/>
      <c r="Z163" s="28"/>
      <c r="AA163" s="28"/>
      <c r="AB163" s="28"/>
      <c r="AC163" s="28"/>
      <c r="AD163" s="28"/>
      <c r="AE163" s="28"/>
    </row>
    <row r="164" spans="1:31" x14ac:dyDescent="0.35">
      <c r="A164" s="28"/>
      <c r="B164" s="28"/>
      <c r="C164" s="28"/>
      <c r="D164" s="28"/>
      <c r="E164" s="28"/>
      <c r="F164" s="28"/>
      <c r="G164" s="28"/>
      <c r="H164" s="28"/>
      <c r="I164" s="28"/>
      <c r="J164" s="28"/>
      <c r="K164" s="29"/>
      <c r="L164" s="29"/>
      <c r="M164" s="29"/>
      <c r="N164" s="29"/>
      <c r="O164" s="29"/>
      <c r="P164" s="28"/>
      <c r="Q164" s="28"/>
      <c r="R164" s="28"/>
      <c r="S164" s="28"/>
      <c r="T164" s="28"/>
      <c r="U164" s="28"/>
      <c r="V164" s="28"/>
      <c r="W164" s="28"/>
      <c r="X164" s="28"/>
      <c r="Y164" s="30"/>
      <c r="Z164" s="28"/>
      <c r="AA164" s="28"/>
      <c r="AB164" s="28"/>
      <c r="AC164" s="28"/>
      <c r="AD164" s="28"/>
      <c r="AE164" s="28"/>
    </row>
    <row r="165" spans="1:31" x14ac:dyDescent="0.35">
      <c r="A165" s="28"/>
      <c r="B165" s="28"/>
      <c r="C165" s="28"/>
      <c r="D165" s="28"/>
      <c r="E165" s="28"/>
      <c r="F165" s="28"/>
      <c r="G165" s="28"/>
      <c r="H165" s="28"/>
      <c r="I165" s="28"/>
      <c r="J165" s="28"/>
      <c r="K165" s="29"/>
      <c r="L165" s="29"/>
      <c r="M165" s="29"/>
      <c r="N165" s="29"/>
      <c r="O165" s="29"/>
      <c r="P165" s="28"/>
      <c r="Q165" s="28"/>
      <c r="R165" s="28"/>
      <c r="S165" s="28"/>
      <c r="T165" s="28"/>
      <c r="U165" s="28"/>
      <c r="V165" s="28"/>
      <c r="W165" s="28"/>
      <c r="X165" s="28"/>
      <c r="Y165" s="30"/>
      <c r="Z165" s="28"/>
      <c r="AA165" s="28"/>
      <c r="AB165" s="28"/>
      <c r="AC165" s="28"/>
      <c r="AD165" s="28"/>
      <c r="AE165" s="28"/>
    </row>
    <row r="166" spans="1:31" x14ac:dyDescent="0.35">
      <c r="A166" s="28"/>
      <c r="B166" s="28"/>
      <c r="C166" s="28"/>
      <c r="D166" s="28"/>
      <c r="E166" s="28"/>
      <c r="F166" s="28"/>
      <c r="G166" s="28"/>
      <c r="H166" s="28"/>
      <c r="I166" s="28"/>
      <c r="J166" s="28"/>
      <c r="K166" s="29"/>
      <c r="L166" s="29"/>
      <c r="M166" s="29"/>
      <c r="N166" s="29"/>
      <c r="O166" s="29"/>
      <c r="P166" s="28"/>
      <c r="Q166" s="28"/>
      <c r="R166" s="28"/>
      <c r="S166" s="28"/>
      <c r="T166" s="28"/>
      <c r="U166" s="28"/>
      <c r="V166" s="28"/>
      <c r="W166" s="28"/>
      <c r="X166" s="28"/>
      <c r="Y166" s="30"/>
      <c r="Z166" s="28"/>
      <c r="AA166" s="28"/>
      <c r="AB166" s="28"/>
      <c r="AC166" s="28"/>
      <c r="AD166" s="28"/>
      <c r="AE166" s="28"/>
    </row>
    <row r="167" spans="1:31" x14ac:dyDescent="0.35">
      <c r="A167" s="28"/>
      <c r="B167" s="28"/>
      <c r="C167" s="28"/>
      <c r="D167" s="28"/>
      <c r="E167" s="28"/>
      <c r="F167" s="28"/>
      <c r="G167" s="28"/>
      <c r="H167" s="28"/>
      <c r="I167" s="28"/>
      <c r="J167" s="28"/>
      <c r="K167" s="29"/>
      <c r="L167" s="29"/>
      <c r="M167" s="29"/>
      <c r="N167" s="29"/>
      <c r="O167" s="29"/>
      <c r="P167" s="28"/>
      <c r="Q167" s="28"/>
      <c r="R167" s="28"/>
      <c r="S167" s="28"/>
      <c r="T167" s="28"/>
      <c r="U167" s="28"/>
      <c r="V167" s="28"/>
      <c r="W167" s="28"/>
      <c r="X167" s="28"/>
      <c r="Y167" s="30"/>
      <c r="Z167" s="28"/>
      <c r="AA167" s="28"/>
      <c r="AB167" s="28"/>
      <c r="AC167" s="28"/>
      <c r="AD167" s="28"/>
      <c r="AE167" s="28"/>
    </row>
    <row r="168" spans="1:31" x14ac:dyDescent="0.35">
      <c r="A168" s="28"/>
      <c r="B168" s="28"/>
      <c r="C168" s="28"/>
      <c r="D168" s="28"/>
      <c r="E168" s="28"/>
      <c r="F168" s="28"/>
      <c r="G168" s="28"/>
      <c r="H168" s="28"/>
      <c r="I168" s="28"/>
      <c r="J168" s="28"/>
      <c r="K168" s="29"/>
      <c r="L168" s="29"/>
      <c r="M168" s="29"/>
      <c r="N168" s="29"/>
      <c r="O168" s="29"/>
      <c r="P168" s="28"/>
      <c r="Q168" s="28"/>
      <c r="R168" s="28"/>
      <c r="S168" s="28"/>
      <c r="T168" s="28"/>
      <c r="U168" s="28"/>
      <c r="V168" s="28"/>
      <c r="W168" s="28"/>
      <c r="X168" s="28"/>
      <c r="Y168" s="30"/>
      <c r="Z168" s="28"/>
      <c r="AA168" s="28"/>
      <c r="AB168" s="28"/>
      <c r="AC168" s="28"/>
      <c r="AD168" s="28"/>
      <c r="AE168" s="28"/>
    </row>
    <row r="169" spans="1:31" x14ac:dyDescent="0.35">
      <c r="A169" s="28"/>
      <c r="B169" s="28"/>
      <c r="C169" s="28"/>
      <c r="D169" s="28"/>
      <c r="E169" s="28"/>
      <c r="F169" s="28"/>
      <c r="G169" s="28"/>
      <c r="H169" s="28"/>
      <c r="I169" s="28"/>
      <c r="J169" s="28"/>
      <c r="K169" s="29"/>
      <c r="L169" s="29"/>
      <c r="M169" s="29"/>
      <c r="N169" s="29"/>
      <c r="O169" s="29"/>
      <c r="P169" s="28"/>
      <c r="Q169" s="28"/>
      <c r="R169" s="28"/>
      <c r="S169" s="28"/>
      <c r="T169" s="28"/>
      <c r="U169" s="28"/>
      <c r="V169" s="28"/>
      <c r="W169" s="28"/>
      <c r="X169" s="28"/>
      <c r="Y169" s="30"/>
      <c r="Z169" s="28"/>
      <c r="AA169" s="28"/>
      <c r="AB169" s="28"/>
      <c r="AC169" s="28"/>
      <c r="AD169" s="28"/>
      <c r="AE169" s="28"/>
    </row>
    <row r="170" spans="1:31" x14ac:dyDescent="0.35">
      <c r="A170" s="28"/>
      <c r="B170" s="28"/>
      <c r="C170" s="28"/>
      <c r="D170" s="28"/>
      <c r="E170" s="28"/>
      <c r="F170" s="28"/>
      <c r="G170" s="28"/>
      <c r="H170" s="28"/>
      <c r="I170" s="28"/>
      <c r="J170" s="28"/>
      <c r="K170" s="29"/>
      <c r="L170" s="29"/>
      <c r="M170" s="29"/>
      <c r="N170" s="29"/>
      <c r="O170" s="29"/>
      <c r="P170" s="28"/>
      <c r="Q170" s="28"/>
      <c r="R170" s="28"/>
      <c r="S170" s="28"/>
      <c r="T170" s="28"/>
      <c r="U170" s="28"/>
      <c r="V170" s="28"/>
      <c r="W170" s="28"/>
      <c r="X170" s="28"/>
      <c r="Y170" s="30"/>
      <c r="Z170" s="28"/>
      <c r="AA170" s="28"/>
      <c r="AB170" s="28"/>
      <c r="AC170" s="28"/>
      <c r="AD170" s="28"/>
      <c r="AE170" s="28"/>
    </row>
    <row r="171" spans="1:31" x14ac:dyDescent="0.35">
      <c r="A171" s="28"/>
      <c r="B171" s="28"/>
      <c r="C171" s="28"/>
      <c r="D171" s="28"/>
      <c r="E171" s="28"/>
      <c r="F171" s="28"/>
      <c r="G171" s="28"/>
      <c r="H171" s="28"/>
      <c r="I171" s="28"/>
      <c r="J171" s="28"/>
      <c r="K171" s="29"/>
      <c r="L171" s="29"/>
      <c r="M171" s="29"/>
      <c r="N171" s="29"/>
      <c r="O171" s="29"/>
      <c r="P171" s="28"/>
      <c r="Q171" s="28"/>
      <c r="R171" s="28"/>
      <c r="S171" s="28"/>
      <c r="T171" s="28"/>
      <c r="U171" s="28"/>
      <c r="V171" s="28"/>
      <c r="W171" s="28"/>
      <c r="X171" s="28"/>
      <c r="Y171" s="30"/>
      <c r="Z171" s="28"/>
      <c r="AA171" s="28"/>
      <c r="AB171" s="28"/>
      <c r="AC171" s="28"/>
      <c r="AD171" s="28"/>
      <c r="AE171" s="28"/>
    </row>
    <row r="172" spans="1:31" x14ac:dyDescent="0.35">
      <c r="A172" s="28"/>
      <c r="B172" s="28"/>
      <c r="C172" s="28"/>
      <c r="D172" s="28"/>
      <c r="E172" s="28"/>
      <c r="F172" s="28"/>
      <c r="G172" s="28"/>
      <c r="H172" s="28"/>
      <c r="I172" s="28"/>
      <c r="J172" s="28"/>
      <c r="K172" s="29"/>
      <c r="L172" s="29"/>
      <c r="M172" s="29"/>
      <c r="N172" s="29"/>
      <c r="O172" s="29"/>
      <c r="P172" s="28"/>
      <c r="Q172" s="28"/>
      <c r="R172" s="28"/>
      <c r="S172" s="28"/>
      <c r="T172" s="28"/>
      <c r="U172" s="28"/>
      <c r="V172" s="28"/>
      <c r="W172" s="28"/>
      <c r="X172" s="28"/>
      <c r="Y172" s="30"/>
      <c r="Z172" s="28"/>
      <c r="AA172" s="28"/>
      <c r="AB172" s="28"/>
      <c r="AC172" s="28"/>
      <c r="AD172" s="28"/>
      <c r="AE172" s="28"/>
    </row>
    <row r="173" spans="1:31" x14ac:dyDescent="0.35">
      <c r="A173" s="28"/>
      <c r="B173" s="28"/>
      <c r="C173" s="28"/>
      <c r="D173" s="28"/>
      <c r="E173" s="28"/>
      <c r="F173" s="28"/>
      <c r="G173" s="28"/>
      <c r="H173" s="28"/>
      <c r="I173" s="28"/>
      <c r="J173" s="28"/>
      <c r="K173" s="29"/>
      <c r="L173" s="29"/>
      <c r="M173" s="29"/>
      <c r="N173" s="29"/>
      <c r="O173" s="29"/>
      <c r="P173" s="28"/>
      <c r="Q173" s="28"/>
      <c r="R173" s="28"/>
      <c r="S173" s="28"/>
      <c r="T173" s="28"/>
      <c r="U173" s="28"/>
      <c r="V173" s="28"/>
      <c r="W173" s="28"/>
      <c r="X173" s="28"/>
      <c r="Y173" s="30"/>
      <c r="Z173" s="28"/>
      <c r="AA173" s="28"/>
      <c r="AB173" s="28"/>
      <c r="AC173" s="28"/>
      <c r="AD173" s="28"/>
      <c r="AE173" s="28"/>
    </row>
    <row r="174" spans="1:31" x14ac:dyDescent="0.35">
      <c r="A174" s="28"/>
      <c r="B174" s="28"/>
      <c r="C174" s="28"/>
      <c r="D174" s="28"/>
      <c r="E174" s="28"/>
      <c r="F174" s="28"/>
      <c r="G174" s="28"/>
      <c r="H174" s="28"/>
      <c r="I174" s="28"/>
      <c r="J174" s="28"/>
      <c r="K174" s="29"/>
      <c r="L174" s="29"/>
      <c r="M174" s="29"/>
      <c r="N174" s="29"/>
      <c r="O174" s="29"/>
      <c r="P174" s="28"/>
      <c r="Q174" s="28"/>
      <c r="R174" s="28"/>
      <c r="S174" s="28"/>
      <c r="T174" s="28"/>
      <c r="U174" s="28"/>
      <c r="V174" s="28"/>
      <c r="W174" s="28"/>
      <c r="X174" s="28"/>
      <c r="Y174" s="30"/>
      <c r="Z174" s="28"/>
      <c r="AA174" s="28"/>
      <c r="AB174" s="28"/>
      <c r="AC174" s="28"/>
      <c r="AD174" s="28"/>
      <c r="AE174" s="28"/>
    </row>
    <row r="175" spans="1:31" x14ac:dyDescent="0.35">
      <c r="A175" s="28"/>
      <c r="B175" s="28"/>
      <c r="C175" s="28"/>
      <c r="D175" s="28"/>
      <c r="E175" s="28"/>
      <c r="F175" s="28"/>
      <c r="G175" s="28"/>
      <c r="H175" s="28"/>
      <c r="I175" s="28"/>
      <c r="J175" s="28"/>
      <c r="K175" s="29"/>
      <c r="L175" s="29"/>
      <c r="M175" s="29"/>
      <c r="N175" s="29"/>
      <c r="O175" s="29"/>
      <c r="P175" s="28"/>
      <c r="Q175" s="28"/>
      <c r="R175" s="28"/>
      <c r="S175" s="28"/>
      <c r="T175" s="28"/>
      <c r="U175" s="28"/>
      <c r="V175" s="28"/>
      <c r="W175" s="28"/>
      <c r="X175" s="28"/>
      <c r="Y175" s="30"/>
      <c r="Z175" s="28"/>
      <c r="AA175" s="28"/>
      <c r="AB175" s="28"/>
      <c r="AC175" s="28"/>
      <c r="AD175" s="28"/>
      <c r="AE175" s="28"/>
    </row>
    <row r="176" spans="1:31" x14ac:dyDescent="0.35">
      <c r="A176" s="28"/>
      <c r="B176" s="28"/>
      <c r="C176" s="28"/>
      <c r="D176" s="28"/>
      <c r="E176" s="28"/>
      <c r="F176" s="28"/>
      <c r="G176" s="28"/>
      <c r="H176" s="28"/>
      <c r="I176" s="28"/>
      <c r="J176" s="28"/>
      <c r="K176" s="29"/>
      <c r="L176" s="29"/>
      <c r="M176" s="29"/>
      <c r="N176" s="29"/>
      <c r="O176" s="29"/>
      <c r="P176" s="28"/>
      <c r="Q176" s="28"/>
      <c r="R176" s="28"/>
      <c r="S176" s="28"/>
      <c r="T176" s="28"/>
      <c r="U176" s="28"/>
      <c r="V176" s="28"/>
      <c r="W176" s="28"/>
      <c r="X176" s="28"/>
      <c r="Y176" s="30"/>
      <c r="Z176" s="28"/>
      <c r="AA176" s="28"/>
      <c r="AB176" s="28"/>
      <c r="AC176" s="28"/>
      <c r="AD176" s="28"/>
      <c r="AE176" s="28"/>
    </row>
    <row r="177" spans="1:31" x14ac:dyDescent="0.35">
      <c r="A177" s="28"/>
      <c r="B177" s="28"/>
      <c r="C177" s="28"/>
      <c r="D177" s="28"/>
      <c r="E177" s="28"/>
      <c r="F177" s="28"/>
      <c r="G177" s="28"/>
      <c r="H177" s="28"/>
      <c r="I177" s="28"/>
      <c r="J177" s="28"/>
      <c r="K177" s="29"/>
      <c r="L177" s="29"/>
      <c r="M177" s="29"/>
      <c r="N177" s="29"/>
      <c r="O177" s="29"/>
      <c r="P177" s="28"/>
      <c r="Q177" s="28"/>
      <c r="R177" s="28"/>
      <c r="S177" s="28"/>
      <c r="T177" s="28"/>
      <c r="U177" s="28"/>
      <c r="V177" s="28"/>
      <c r="W177" s="28"/>
      <c r="X177" s="28"/>
      <c r="Y177" s="30"/>
      <c r="Z177" s="28"/>
      <c r="AA177" s="28"/>
      <c r="AB177" s="28"/>
      <c r="AC177" s="28"/>
      <c r="AD177" s="28"/>
      <c r="AE177" s="28"/>
    </row>
    <row r="178" spans="1:31" x14ac:dyDescent="0.35">
      <c r="A178" s="28"/>
      <c r="B178" s="28"/>
      <c r="C178" s="28"/>
      <c r="D178" s="28"/>
      <c r="E178" s="28"/>
      <c r="F178" s="28"/>
      <c r="G178" s="28"/>
      <c r="H178" s="28"/>
      <c r="I178" s="28"/>
      <c r="J178" s="28"/>
      <c r="K178" s="29"/>
      <c r="L178" s="29"/>
      <c r="M178" s="29"/>
      <c r="N178" s="29"/>
      <c r="O178" s="29"/>
      <c r="P178" s="28"/>
      <c r="Q178" s="28"/>
      <c r="R178" s="28"/>
      <c r="S178" s="28"/>
      <c r="T178" s="28"/>
      <c r="U178" s="28"/>
      <c r="V178" s="28"/>
      <c r="W178" s="28"/>
      <c r="X178" s="28"/>
      <c r="Y178" s="30"/>
      <c r="Z178" s="28"/>
      <c r="AA178" s="28"/>
      <c r="AB178" s="28"/>
      <c r="AC178" s="28"/>
      <c r="AD178" s="28"/>
      <c r="AE178" s="28"/>
    </row>
    <row r="179" spans="1:31" x14ac:dyDescent="0.35">
      <c r="A179" s="28"/>
      <c r="B179" s="28"/>
      <c r="C179" s="28"/>
      <c r="D179" s="28"/>
      <c r="E179" s="28"/>
      <c r="F179" s="28"/>
      <c r="G179" s="28"/>
      <c r="H179" s="28"/>
      <c r="I179" s="28"/>
      <c r="J179" s="28"/>
      <c r="K179" s="29"/>
      <c r="L179" s="29"/>
      <c r="M179" s="29"/>
      <c r="N179" s="29"/>
      <c r="O179" s="29"/>
      <c r="P179" s="28"/>
      <c r="Q179" s="28"/>
      <c r="R179" s="28"/>
      <c r="S179" s="28"/>
      <c r="T179" s="28"/>
      <c r="U179" s="28"/>
      <c r="V179" s="28"/>
      <c r="W179" s="28"/>
      <c r="X179" s="28"/>
      <c r="Y179" s="30"/>
      <c r="Z179" s="28"/>
      <c r="AA179" s="28"/>
      <c r="AB179" s="28"/>
      <c r="AC179" s="28"/>
      <c r="AD179" s="28"/>
      <c r="AE179" s="28"/>
    </row>
    <row r="180" spans="1:31" x14ac:dyDescent="0.35">
      <c r="A180" s="28"/>
      <c r="B180" s="28"/>
      <c r="C180" s="28"/>
      <c r="D180" s="28"/>
      <c r="E180" s="28"/>
      <c r="F180" s="28"/>
      <c r="G180" s="28"/>
      <c r="H180" s="28"/>
      <c r="I180" s="28"/>
      <c r="J180" s="28"/>
      <c r="K180" s="29"/>
      <c r="L180" s="29"/>
      <c r="M180" s="29"/>
      <c r="N180" s="29"/>
      <c r="O180" s="29"/>
      <c r="P180" s="28"/>
      <c r="Q180" s="28"/>
      <c r="R180" s="28"/>
      <c r="S180" s="28"/>
      <c r="T180" s="28"/>
      <c r="U180" s="28"/>
      <c r="V180" s="28"/>
      <c r="W180" s="28"/>
      <c r="X180" s="28"/>
      <c r="Y180" s="30"/>
      <c r="Z180" s="28"/>
      <c r="AA180" s="28"/>
      <c r="AB180" s="28"/>
      <c r="AC180" s="28"/>
      <c r="AD180" s="28"/>
      <c r="AE180" s="28"/>
    </row>
    <row r="181" spans="1:31" x14ac:dyDescent="0.35">
      <c r="A181" s="28"/>
      <c r="B181" s="28"/>
      <c r="C181" s="28"/>
      <c r="D181" s="28"/>
      <c r="E181" s="28"/>
      <c r="F181" s="28"/>
      <c r="G181" s="28"/>
      <c r="H181" s="28"/>
      <c r="I181" s="28"/>
      <c r="J181" s="28"/>
      <c r="K181" s="29"/>
      <c r="L181" s="29"/>
      <c r="M181" s="29"/>
      <c r="N181" s="29"/>
      <c r="O181" s="29"/>
      <c r="P181" s="28"/>
      <c r="Q181" s="28"/>
      <c r="R181" s="28"/>
      <c r="S181" s="28"/>
      <c r="T181" s="28"/>
      <c r="U181" s="28"/>
      <c r="V181" s="28"/>
      <c r="W181" s="28"/>
      <c r="X181" s="28"/>
      <c r="Y181" s="30"/>
      <c r="Z181" s="28"/>
      <c r="AA181" s="28"/>
      <c r="AB181" s="28"/>
      <c r="AC181" s="28"/>
      <c r="AD181" s="28"/>
      <c r="AE181" s="28"/>
    </row>
    <row r="182" spans="1:31" x14ac:dyDescent="0.35">
      <c r="A182" s="28"/>
      <c r="B182" s="28"/>
      <c r="C182" s="28"/>
      <c r="D182" s="28"/>
      <c r="E182" s="28"/>
      <c r="F182" s="28"/>
      <c r="G182" s="28"/>
      <c r="H182" s="28"/>
      <c r="I182" s="28"/>
      <c r="J182" s="28"/>
      <c r="K182" s="29"/>
      <c r="L182" s="29"/>
      <c r="M182" s="29"/>
      <c r="N182" s="29"/>
      <c r="O182" s="29"/>
      <c r="P182" s="28"/>
      <c r="Q182" s="28"/>
      <c r="R182" s="28"/>
      <c r="S182" s="28"/>
      <c r="T182" s="28"/>
      <c r="U182" s="28"/>
      <c r="V182" s="28"/>
      <c r="W182" s="28"/>
      <c r="X182" s="28"/>
      <c r="Y182" s="30"/>
      <c r="Z182" s="28"/>
      <c r="AA182" s="28"/>
      <c r="AB182" s="28"/>
      <c r="AC182" s="28"/>
      <c r="AD182" s="28"/>
      <c r="AE182" s="28"/>
    </row>
    <row r="183" spans="1:31" x14ac:dyDescent="0.35">
      <c r="A183" s="28"/>
      <c r="B183" s="28"/>
      <c r="C183" s="28"/>
      <c r="D183" s="28"/>
      <c r="E183" s="28"/>
      <c r="F183" s="28"/>
      <c r="G183" s="28"/>
      <c r="H183" s="28"/>
      <c r="I183" s="28"/>
      <c r="J183" s="28"/>
      <c r="K183" s="29"/>
      <c r="L183" s="29"/>
      <c r="M183" s="29"/>
      <c r="N183" s="29"/>
      <c r="O183" s="29"/>
      <c r="P183" s="28"/>
      <c r="Q183" s="28"/>
      <c r="R183" s="28"/>
      <c r="S183" s="28"/>
      <c r="T183" s="28"/>
      <c r="U183" s="28"/>
      <c r="V183" s="28"/>
      <c r="W183" s="28"/>
      <c r="X183" s="28"/>
      <c r="Y183" s="30"/>
      <c r="Z183" s="28"/>
      <c r="AA183" s="28"/>
      <c r="AB183" s="28"/>
      <c r="AC183" s="28"/>
      <c r="AD183" s="28"/>
      <c r="AE183" s="28"/>
    </row>
    <row r="184" spans="1:31" x14ac:dyDescent="0.35">
      <c r="A184" s="28"/>
      <c r="B184" s="28"/>
      <c r="C184" s="28"/>
      <c r="D184" s="28"/>
      <c r="E184" s="28"/>
      <c r="F184" s="28"/>
      <c r="G184" s="28"/>
      <c r="H184" s="28"/>
      <c r="I184" s="28"/>
      <c r="J184" s="28"/>
      <c r="K184" s="29"/>
      <c r="L184" s="29"/>
      <c r="M184" s="29"/>
      <c r="N184" s="29"/>
      <c r="O184" s="29"/>
      <c r="P184" s="28"/>
      <c r="Q184" s="28"/>
      <c r="R184" s="28"/>
      <c r="S184" s="28"/>
      <c r="T184" s="28"/>
      <c r="U184" s="28"/>
      <c r="V184" s="28"/>
      <c r="W184" s="28"/>
      <c r="X184" s="28"/>
      <c r="Y184" s="30"/>
      <c r="Z184" s="28"/>
      <c r="AA184" s="28"/>
      <c r="AB184" s="28"/>
      <c r="AC184" s="28"/>
      <c r="AD184" s="28"/>
      <c r="AE184" s="28"/>
    </row>
    <row r="185" spans="1:31" x14ac:dyDescent="0.35">
      <c r="A185" s="28"/>
      <c r="B185" s="28"/>
      <c r="C185" s="28"/>
      <c r="D185" s="28"/>
      <c r="E185" s="28"/>
      <c r="F185" s="28"/>
      <c r="G185" s="28"/>
      <c r="H185" s="28"/>
      <c r="I185" s="28"/>
      <c r="J185" s="28"/>
      <c r="K185" s="29"/>
      <c r="L185" s="29"/>
      <c r="M185" s="29"/>
      <c r="N185" s="29"/>
      <c r="O185" s="29"/>
      <c r="P185" s="28"/>
      <c r="Q185" s="28"/>
      <c r="R185" s="28"/>
      <c r="S185" s="28"/>
      <c r="T185" s="28"/>
      <c r="U185" s="28"/>
      <c r="V185" s="28"/>
      <c r="W185" s="28"/>
      <c r="X185" s="28"/>
      <c r="Y185" s="30"/>
      <c r="Z185" s="28"/>
      <c r="AA185" s="28"/>
      <c r="AB185" s="28"/>
      <c r="AC185" s="28"/>
      <c r="AD185" s="28"/>
      <c r="AE185" s="28"/>
    </row>
    <row r="186" spans="1:31" x14ac:dyDescent="0.35">
      <c r="A186" s="28"/>
      <c r="B186" s="28"/>
      <c r="C186" s="28"/>
      <c r="D186" s="28"/>
      <c r="E186" s="28"/>
      <c r="F186" s="28"/>
      <c r="G186" s="28"/>
      <c r="H186" s="28"/>
      <c r="I186" s="28"/>
      <c r="J186" s="28"/>
      <c r="K186" s="29"/>
      <c r="L186" s="29"/>
      <c r="M186" s="29"/>
      <c r="N186" s="29"/>
      <c r="O186" s="29"/>
      <c r="P186" s="28"/>
      <c r="Q186" s="28"/>
      <c r="R186" s="28"/>
      <c r="S186" s="28"/>
      <c r="T186" s="28"/>
      <c r="U186" s="28"/>
      <c r="V186" s="28"/>
      <c r="W186" s="28"/>
      <c r="X186" s="28"/>
      <c r="Y186" s="30"/>
      <c r="Z186" s="28"/>
      <c r="AA186" s="28"/>
      <c r="AB186" s="28"/>
      <c r="AC186" s="28"/>
      <c r="AD186" s="28"/>
      <c r="AE186" s="28"/>
    </row>
    <row r="187" spans="1:31" x14ac:dyDescent="0.35">
      <c r="A187" s="28"/>
      <c r="B187" s="28"/>
      <c r="C187" s="28"/>
      <c r="D187" s="28"/>
      <c r="E187" s="28"/>
      <c r="F187" s="28"/>
      <c r="G187" s="28"/>
      <c r="H187" s="28"/>
      <c r="I187" s="28"/>
      <c r="J187" s="28"/>
      <c r="K187" s="29"/>
      <c r="L187" s="29"/>
      <c r="M187" s="29"/>
      <c r="N187" s="29"/>
      <c r="O187" s="29"/>
      <c r="P187" s="28"/>
      <c r="Q187" s="28"/>
      <c r="R187" s="28"/>
      <c r="S187" s="28"/>
      <c r="T187" s="28"/>
      <c r="U187" s="28"/>
      <c r="V187" s="28"/>
      <c r="W187" s="28"/>
      <c r="X187" s="28"/>
      <c r="Y187" s="30"/>
      <c r="Z187" s="28"/>
      <c r="AA187" s="28"/>
      <c r="AB187" s="28"/>
      <c r="AC187" s="28"/>
      <c r="AD187" s="28"/>
      <c r="AE187" s="28"/>
    </row>
    <row r="188" spans="1:31" x14ac:dyDescent="0.35">
      <c r="A188" s="28"/>
      <c r="B188" s="28"/>
      <c r="C188" s="28"/>
      <c r="D188" s="28"/>
      <c r="E188" s="28"/>
      <c r="F188" s="28"/>
      <c r="G188" s="28"/>
      <c r="H188" s="28"/>
      <c r="I188" s="28"/>
      <c r="J188" s="28"/>
      <c r="K188" s="29"/>
      <c r="L188" s="29"/>
      <c r="M188" s="29"/>
      <c r="N188" s="29"/>
      <c r="O188" s="29"/>
      <c r="P188" s="28"/>
      <c r="Q188" s="28"/>
      <c r="R188" s="28"/>
      <c r="S188" s="28"/>
      <c r="T188" s="28"/>
      <c r="U188" s="28"/>
      <c r="V188" s="28"/>
      <c r="W188" s="28"/>
      <c r="X188" s="28"/>
      <c r="Y188" s="30"/>
      <c r="Z188" s="28"/>
      <c r="AA188" s="28"/>
      <c r="AB188" s="28"/>
      <c r="AC188" s="28"/>
      <c r="AD188" s="28"/>
      <c r="AE188" s="28"/>
    </row>
    <row r="189" spans="1:31" x14ac:dyDescent="0.35">
      <c r="A189" s="28"/>
      <c r="B189" s="28"/>
      <c r="C189" s="28"/>
      <c r="D189" s="28"/>
      <c r="E189" s="28"/>
      <c r="F189" s="28"/>
      <c r="G189" s="28"/>
      <c r="H189" s="28"/>
      <c r="I189" s="28"/>
      <c r="J189" s="28"/>
      <c r="K189" s="29"/>
      <c r="L189" s="29"/>
      <c r="M189" s="29"/>
      <c r="N189" s="29"/>
      <c r="O189" s="29"/>
      <c r="P189" s="28"/>
      <c r="Q189" s="28"/>
      <c r="R189" s="28"/>
      <c r="S189" s="28"/>
      <c r="T189" s="28"/>
      <c r="U189" s="28"/>
      <c r="V189" s="28"/>
      <c r="W189" s="28"/>
      <c r="X189" s="28"/>
      <c r="Y189" s="30"/>
      <c r="Z189" s="28"/>
      <c r="AA189" s="28"/>
      <c r="AB189" s="28"/>
      <c r="AC189" s="28"/>
      <c r="AD189" s="28"/>
      <c r="AE189" s="28"/>
    </row>
    <row r="190" spans="1:31" x14ac:dyDescent="0.35">
      <c r="A190" s="28"/>
      <c r="B190" s="28"/>
      <c r="C190" s="28"/>
      <c r="D190" s="28"/>
      <c r="E190" s="28"/>
      <c r="F190" s="28"/>
      <c r="G190" s="28"/>
      <c r="H190" s="28"/>
      <c r="I190" s="28"/>
      <c r="J190" s="28"/>
      <c r="K190" s="29"/>
      <c r="L190" s="29"/>
      <c r="M190" s="29"/>
      <c r="N190" s="29"/>
      <c r="O190" s="29"/>
      <c r="P190" s="28"/>
      <c r="Q190" s="28"/>
      <c r="R190" s="28"/>
      <c r="S190" s="28"/>
      <c r="T190" s="28"/>
      <c r="U190" s="28"/>
      <c r="V190" s="28"/>
      <c r="W190" s="28"/>
      <c r="X190" s="28"/>
      <c r="Y190" s="30"/>
      <c r="Z190" s="28"/>
      <c r="AA190" s="28"/>
      <c r="AB190" s="28"/>
      <c r="AC190" s="28"/>
      <c r="AD190" s="28"/>
      <c r="AE190" s="28"/>
    </row>
    <row r="191" spans="1:31" x14ac:dyDescent="0.35">
      <c r="A191" s="28"/>
      <c r="B191" s="28"/>
      <c r="C191" s="28"/>
      <c r="D191" s="28"/>
      <c r="E191" s="28"/>
      <c r="F191" s="28"/>
      <c r="G191" s="28"/>
      <c r="H191" s="28"/>
      <c r="I191" s="28"/>
      <c r="J191" s="28"/>
      <c r="K191" s="29"/>
      <c r="L191" s="29"/>
      <c r="M191" s="29"/>
      <c r="N191" s="29"/>
      <c r="O191" s="29"/>
      <c r="P191" s="28"/>
      <c r="Q191" s="28"/>
      <c r="R191" s="28"/>
      <c r="S191" s="28"/>
      <c r="T191" s="28"/>
      <c r="U191" s="28"/>
      <c r="V191" s="28"/>
      <c r="W191" s="28"/>
      <c r="X191" s="28"/>
      <c r="Y191" s="30"/>
      <c r="Z191" s="28"/>
      <c r="AA191" s="28"/>
      <c r="AB191" s="28"/>
      <c r="AC191" s="28"/>
      <c r="AD191" s="28"/>
      <c r="AE191" s="28"/>
    </row>
    <row r="192" spans="1:31" x14ac:dyDescent="0.35">
      <c r="A192" s="28"/>
      <c r="B192" s="28"/>
      <c r="C192" s="28"/>
      <c r="D192" s="28"/>
      <c r="E192" s="28"/>
      <c r="F192" s="28"/>
      <c r="G192" s="28"/>
      <c r="H192" s="28"/>
      <c r="I192" s="28"/>
      <c r="J192" s="28"/>
      <c r="K192" s="29"/>
      <c r="L192" s="29"/>
      <c r="M192" s="29"/>
      <c r="N192" s="29"/>
      <c r="O192" s="29"/>
      <c r="P192" s="28"/>
      <c r="Q192" s="28"/>
      <c r="R192" s="28"/>
      <c r="S192" s="28"/>
      <c r="T192" s="28"/>
      <c r="U192" s="28"/>
      <c r="V192" s="28"/>
      <c r="W192" s="28"/>
      <c r="X192" s="28"/>
      <c r="Y192" s="30"/>
      <c r="Z192" s="28"/>
      <c r="AA192" s="28"/>
      <c r="AB192" s="28"/>
      <c r="AC192" s="28"/>
      <c r="AD192" s="28"/>
      <c r="AE192" s="28"/>
    </row>
    <row r="193" spans="1:31" x14ac:dyDescent="0.35">
      <c r="A193" s="28"/>
      <c r="B193" s="28"/>
      <c r="C193" s="28"/>
      <c r="D193" s="28"/>
      <c r="E193" s="28"/>
      <c r="F193" s="28"/>
      <c r="G193" s="28"/>
      <c r="H193" s="28"/>
      <c r="I193" s="28"/>
      <c r="J193" s="28"/>
      <c r="K193" s="29"/>
      <c r="L193" s="29"/>
      <c r="M193" s="29"/>
      <c r="N193" s="29"/>
      <c r="O193" s="29"/>
      <c r="P193" s="28"/>
      <c r="Q193" s="28"/>
      <c r="R193" s="28"/>
      <c r="S193" s="28"/>
      <c r="T193" s="28"/>
      <c r="U193" s="28"/>
      <c r="V193" s="28"/>
      <c r="W193" s="28"/>
      <c r="X193" s="28"/>
      <c r="Y193" s="30"/>
      <c r="Z193" s="28"/>
      <c r="AA193" s="28"/>
      <c r="AB193" s="28"/>
      <c r="AC193" s="28"/>
      <c r="AD193" s="28"/>
      <c r="AE193" s="28"/>
    </row>
    <row r="194" spans="1:31" x14ac:dyDescent="0.35">
      <c r="A194" s="28"/>
      <c r="B194" s="28"/>
      <c r="C194" s="28"/>
      <c r="D194" s="28"/>
      <c r="E194" s="28"/>
      <c r="F194" s="28"/>
      <c r="G194" s="28"/>
      <c r="H194" s="28"/>
      <c r="I194" s="28"/>
      <c r="J194" s="28"/>
      <c r="K194" s="29"/>
      <c r="L194" s="29"/>
      <c r="M194" s="29"/>
      <c r="N194" s="29"/>
      <c r="O194" s="29"/>
      <c r="P194" s="28"/>
      <c r="Q194" s="28"/>
      <c r="R194" s="28"/>
      <c r="S194" s="28"/>
      <c r="T194" s="28"/>
      <c r="U194" s="28"/>
      <c r="V194" s="28"/>
      <c r="W194" s="28"/>
      <c r="X194" s="28"/>
      <c r="Y194" s="30"/>
      <c r="Z194" s="28"/>
      <c r="AA194" s="28"/>
      <c r="AB194" s="28"/>
      <c r="AC194" s="28"/>
      <c r="AD194" s="28"/>
      <c r="AE194" s="28"/>
    </row>
    <row r="195" spans="1:31" x14ac:dyDescent="0.35">
      <c r="A195" s="28"/>
      <c r="B195" s="28"/>
      <c r="C195" s="28"/>
      <c r="D195" s="28"/>
      <c r="E195" s="28"/>
      <c r="F195" s="28"/>
      <c r="G195" s="28"/>
      <c r="H195" s="28"/>
      <c r="I195" s="28"/>
      <c r="J195" s="28"/>
      <c r="K195" s="29"/>
      <c r="L195" s="29"/>
      <c r="M195" s="29"/>
      <c r="N195" s="29"/>
      <c r="O195" s="29"/>
      <c r="P195" s="28"/>
      <c r="Q195" s="28"/>
      <c r="R195" s="28"/>
      <c r="S195" s="28"/>
      <c r="T195" s="28"/>
      <c r="U195" s="28"/>
      <c r="V195" s="28"/>
      <c r="W195" s="28"/>
      <c r="X195" s="28"/>
      <c r="Y195" s="30"/>
      <c r="Z195" s="28"/>
      <c r="AA195" s="28"/>
      <c r="AB195" s="28"/>
      <c r="AC195" s="28"/>
      <c r="AD195" s="28"/>
      <c r="AE195" s="28"/>
    </row>
    <row r="196" spans="1:31" x14ac:dyDescent="0.35">
      <c r="A196" s="28"/>
      <c r="B196" s="28"/>
      <c r="C196" s="28"/>
      <c r="D196" s="28"/>
      <c r="E196" s="28"/>
      <c r="F196" s="28"/>
      <c r="G196" s="28"/>
      <c r="H196" s="28"/>
      <c r="I196" s="28"/>
      <c r="J196" s="28"/>
      <c r="K196" s="29"/>
      <c r="L196" s="29"/>
      <c r="M196" s="29"/>
      <c r="N196" s="29"/>
      <c r="O196" s="29"/>
      <c r="P196" s="28"/>
      <c r="Q196" s="28"/>
      <c r="R196" s="28"/>
      <c r="S196" s="28"/>
      <c r="T196" s="28"/>
      <c r="U196" s="28"/>
      <c r="V196" s="28"/>
      <c r="W196" s="28"/>
      <c r="X196" s="28"/>
      <c r="Y196" s="30"/>
      <c r="Z196" s="28"/>
      <c r="AA196" s="28"/>
      <c r="AB196" s="28"/>
      <c r="AC196" s="28"/>
      <c r="AD196" s="28"/>
      <c r="AE196" s="28"/>
    </row>
    <row r="197" spans="1:31" x14ac:dyDescent="0.35">
      <c r="A197" s="28"/>
      <c r="B197" s="28"/>
      <c r="C197" s="28"/>
      <c r="D197" s="28"/>
      <c r="E197" s="28"/>
      <c r="F197" s="28"/>
      <c r="G197" s="28"/>
      <c r="H197" s="28"/>
      <c r="I197" s="28"/>
      <c r="J197" s="28"/>
      <c r="K197" s="29"/>
      <c r="L197" s="29"/>
      <c r="M197" s="29"/>
      <c r="N197" s="29"/>
      <c r="O197" s="29"/>
      <c r="P197" s="28"/>
      <c r="Q197" s="28"/>
      <c r="R197" s="28"/>
      <c r="S197" s="28"/>
      <c r="T197" s="28"/>
      <c r="U197" s="28"/>
      <c r="V197" s="28"/>
      <c r="W197" s="28"/>
      <c r="X197" s="28"/>
      <c r="Y197" s="30"/>
      <c r="Z197" s="28"/>
      <c r="AA197" s="28"/>
      <c r="AB197" s="28"/>
      <c r="AC197" s="28"/>
      <c r="AD197" s="28"/>
      <c r="AE197" s="28"/>
    </row>
    <row r="198" spans="1:31" x14ac:dyDescent="0.35">
      <c r="A198" s="28"/>
      <c r="B198" s="28"/>
      <c r="C198" s="28"/>
      <c r="D198" s="28"/>
      <c r="E198" s="28"/>
      <c r="F198" s="28"/>
      <c r="G198" s="28"/>
      <c r="H198" s="28"/>
      <c r="I198" s="28"/>
      <c r="J198" s="28"/>
      <c r="K198" s="29"/>
      <c r="L198" s="29"/>
      <c r="M198" s="29"/>
      <c r="N198" s="29"/>
      <c r="O198" s="29"/>
      <c r="P198" s="28"/>
      <c r="Q198" s="28"/>
      <c r="R198" s="28"/>
      <c r="S198" s="28"/>
      <c r="T198" s="28"/>
      <c r="U198" s="28"/>
      <c r="V198" s="28"/>
      <c r="W198" s="28"/>
      <c r="X198" s="28"/>
      <c r="Y198" s="30"/>
      <c r="Z198" s="28"/>
      <c r="AA198" s="28"/>
      <c r="AB198" s="28"/>
      <c r="AC198" s="28"/>
      <c r="AD198" s="28"/>
      <c r="AE198" s="28"/>
    </row>
    <row r="199" spans="1:31" x14ac:dyDescent="0.35">
      <c r="A199" s="28"/>
      <c r="B199" s="28"/>
      <c r="C199" s="28"/>
      <c r="D199" s="28"/>
      <c r="E199" s="28"/>
      <c r="F199" s="28"/>
      <c r="G199" s="28"/>
      <c r="H199" s="28"/>
      <c r="I199" s="28"/>
      <c r="J199" s="28"/>
      <c r="K199" s="29"/>
      <c r="L199" s="29"/>
      <c r="M199" s="29"/>
      <c r="N199" s="29"/>
      <c r="O199" s="29"/>
      <c r="P199" s="28"/>
      <c r="Q199" s="28"/>
      <c r="R199" s="28"/>
      <c r="S199" s="28"/>
      <c r="T199" s="28"/>
      <c r="U199" s="28"/>
      <c r="V199" s="28"/>
      <c r="W199" s="28"/>
      <c r="X199" s="28"/>
      <c r="Y199" s="30"/>
      <c r="Z199" s="28"/>
      <c r="AA199" s="28"/>
      <c r="AB199" s="28"/>
      <c r="AC199" s="28"/>
      <c r="AD199" s="28"/>
      <c r="AE199" s="28"/>
    </row>
    <row r="200" spans="1:31" x14ac:dyDescent="0.35">
      <c r="A200" s="28"/>
      <c r="B200" s="28"/>
      <c r="C200" s="28"/>
      <c r="D200" s="28"/>
      <c r="E200" s="28"/>
      <c r="F200" s="28"/>
      <c r="G200" s="28"/>
      <c r="H200" s="28"/>
      <c r="I200" s="28"/>
      <c r="J200" s="28"/>
      <c r="K200" s="29"/>
      <c r="L200" s="29"/>
      <c r="M200" s="29"/>
      <c r="N200" s="29"/>
      <c r="O200" s="29"/>
      <c r="P200" s="28"/>
      <c r="Q200" s="28"/>
      <c r="R200" s="28"/>
      <c r="S200" s="28"/>
      <c r="T200" s="28"/>
      <c r="U200" s="28"/>
      <c r="V200" s="28"/>
      <c r="W200" s="28"/>
      <c r="X200" s="28"/>
      <c r="Y200" s="30"/>
      <c r="Z200" s="28"/>
      <c r="AA200" s="28"/>
      <c r="AB200" s="28"/>
      <c r="AC200" s="28"/>
      <c r="AD200" s="28"/>
      <c r="AE200" s="28"/>
    </row>
    <row r="201" spans="1:31" x14ac:dyDescent="0.35">
      <c r="A201" s="28"/>
      <c r="B201" s="28"/>
      <c r="C201" s="28"/>
      <c r="D201" s="28"/>
      <c r="E201" s="28"/>
      <c r="F201" s="28"/>
      <c r="G201" s="28"/>
      <c r="H201" s="28"/>
      <c r="I201" s="28"/>
      <c r="J201" s="28"/>
      <c r="K201" s="29"/>
      <c r="L201" s="29"/>
      <c r="M201" s="29"/>
      <c r="N201" s="29"/>
      <c r="O201" s="29"/>
      <c r="P201" s="28"/>
      <c r="Q201" s="28"/>
      <c r="R201" s="28"/>
      <c r="S201" s="28"/>
      <c r="T201" s="28"/>
      <c r="U201" s="28"/>
      <c r="V201" s="28"/>
      <c r="W201" s="28"/>
      <c r="X201" s="28"/>
      <c r="Y201" s="30"/>
      <c r="Z201" s="28"/>
      <c r="AA201" s="28"/>
      <c r="AB201" s="28"/>
      <c r="AC201" s="28"/>
      <c r="AD201" s="28"/>
      <c r="AE201" s="28"/>
    </row>
    <row r="202" spans="1:31" x14ac:dyDescent="0.35">
      <c r="A202" s="28"/>
      <c r="B202" s="28"/>
      <c r="C202" s="28"/>
      <c r="D202" s="28"/>
      <c r="E202" s="28"/>
      <c r="F202" s="28"/>
      <c r="G202" s="28"/>
      <c r="H202" s="28"/>
      <c r="I202" s="28"/>
      <c r="J202" s="28"/>
      <c r="K202" s="29"/>
      <c r="L202" s="29"/>
      <c r="M202" s="29"/>
      <c r="N202" s="29"/>
      <c r="O202" s="29"/>
      <c r="P202" s="28"/>
      <c r="Q202" s="28"/>
      <c r="R202" s="28"/>
      <c r="S202" s="28"/>
      <c r="T202" s="28"/>
      <c r="U202" s="28"/>
      <c r="V202" s="28"/>
      <c r="W202" s="28"/>
      <c r="X202" s="28"/>
      <c r="Y202" s="30"/>
      <c r="Z202" s="28"/>
      <c r="AA202" s="28"/>
      <c r="AB202" s="28"/>
      <c r="AC202" s="28"/>
      <c r="AD202" s="28"/>
      <c r="AE202" s="28"/>
    </row>
    <row r="203" spans="1:31" x14ac:dyDescent="0.35">
      <c r="A203" s="28"/>
      <c r="B203" s="28"/>
      <c r="C203" s="28"/>
      <c r="D203" s="28"/>
      <c r="E203" s="28"/>
      <c r="F203" s="28"/>
      <c r="G203" s="28"/>
      <c r="H203" s="28"/>
      <c r="I203" s="28"/>
      <c r="J203" s="28"/>
      <c r="K203" s="29"/>
      <c r="L203" s="29"/>
      <c r="M203" s="29"/>
      <c r="N203" s="29"/>
      <c r="O203" s="29"/>
      <c r="P203" s="28"/>
      <c r="Q203" s="28"/>
      <c r="R203" s="28"/>
      <c r="S203" s="28"/>
      <c r="T203" s="28"/>
      <c r="U203" s="28"/>
      <c r="V203" s="28"/>
      <c r="W203" s="28"/>
      <c r="X203" s="28"/>
      <c r="Y203" s="30"/>
      <c r="Z203" s="28"/>
      <c r="AA203" s="28"/>
      <c r="AB203" s="28"/>
      <c r="AC203" s="28"/>
      <c r="AD203" s="28"/>
      <c r="AE203" s="28"/>
    </row>
    <row r="204" spans="1:31" x14ac:dyDescent="0.35">
      <c r="A204" s="28"/>
      <c r="B204" s="28"/>
      <c r="C204" s="28"/>
      <c r="D204" s="28"/>
      <c r="E204" s="28"/>
      <c r="F204" s="28"/>
      <c r="G204" s="28"/>
      <c r="H204" s="28"/>
      <c r="I204" s="28"/>
      <c r="J204" s="28"/>
      <c r="K204" s="29"/>
      <c r="L204" s="29"/>
      <c r="M204" s="29"/>
      <c r="N204" s="29"/>
      <c r="O204" s="29"/>
      <c r="P204" s="28"/>
      <c r="Q204" s="28"/>
      <c r="R204" s="28"/>
      <c r="S204" s="28"/>
      <c r="T204" s="28"/>
      <c r="U204" s="28"/>
      <c r="V204" s="28"/>
      <c r="W204" s="28"/>
      <c r="X204" s="28"/>
      <c r="Y204" s="30"/>
      <c r="Z204" s="28"/>
      <c r="AA204" s="28"/>
      <c r="AB204" s="28"/>
      <c r="AC204" s="28"/>
      <c r="AD204" s="28"/>
      <c r="AE204" s="28"/>
    </row>
    <row r="205" spans="1:31" x14ac:dyDescent="0.35">
      <c r="A205" s="28"/>
      <c r="B205" s="28"/>
      <c r="C205" s="28"/>
      <c r="D205" s="28"/>
      <c r="E205" s="28"/>
      <c r="F205" s="28"/>
      <c r="G205" s="28"/>
      <c r="H205" s="28"/>
      <c r="I205" s="28"/>
      <c r="J205" s="28"/>
      <c r="K205" s="29"/>
      <c r="L205" s="29"/>
      <c r="M205" s="29"/>
      <c r="N205" s="29"/>
      <c r="O205" s="29"/>
      <c r="P205" s="28"/>
      <c r="Q205" s="28"/>
      <c r="R205" s="28"/>
      <c r="S205" s="28"/>
      <c r="T205" s="28"/>
      <c r="U205" s="28"/>
      <c r="V205" s="28"/>
      <c r="W205" s="28"/>
      <c r="X205" s="28"/>
      <c r="Y205" s="30"/>
      <c r="Z205" s="28"/>
      <c r="AA205" s="28"/>
      <c r="AB205" s="28"/>
      <c r="AC205" s="28"/>
      <c r="AD205" s="28"/>
      <c r="AE205" s="28"/>
    </row>
    <row r="206" spans="1:31" x14ac:dyDescent="0.35">
      <c r="A206" s="28"/>
      <c r="B206" s="28"/>
      <c r="C206" s="28"/>
      <c r="D206" s="28"/>
      <c r="E206" s="28"/>
      <c r="F206" s="28"/>
      <c r="G206" s="28"/>
      <c r="H206" s="28"/>
      <c r="I206" s="28"/>
      <c r="J206" s="28"/>
      <c r="K206" s="29"/>
      <c r="L206" s="29"/>
      <c r="M206" s="29"/>
      <c r="N206" s="29"/>
      <c r="O206" s="29"/>
      <c r="P206" s="28"/>
      <c r="Q206" s="28"/>
      <c r="R206" s="28"/>
      <c r="S206" s="28"/>
      <c r="T206" s="28"/>
      <c r="U206" s="28"/>
      <c r="V206" s="28"/>
      <c r="W206" s="28"/>
      <c r="X206" s="28"/>
      <c r="Y206" s="30"/>
      <c r="Z206" s="28"/>
      <c r="AA206" s="28"/>
      <c r="AB206" s="28"/>
      <c r="AC206" s="28"/>
      <c r="AD206" s="28"/>
      <c r="AE206" s="28"/>
    </row>
    <row r="207" spans="1:31" x14ac:dyDescent="0.35">
      <c r="A207" s="28"/>
      <c r="B207" s="28"/>
      <c r="C207" s="28"/>
      <c r="D207" s="28"/>
      <c r="E207" s="28"/>
      <c r="F207" s="28"/>
      <c r="G207" s="28"/>
      <c r="H207" s="28"/>
      <c r="I207" s="28"/>
      <c r="J207" s="28"/>
      <c r="K207" s="29"/>
      <c r="L207" s="29"/>
      <c r="M207" s="29"/>
      <c r="N207" s="29"/>
      <c r="O207" s="29"/>
      <c r="P207" s="28"/>
      <c r="Q207" s="28"/>
      <c r="R207" s="28"/>
      <c r="S207" s="28"/>
      <c r="T207" s="28"/>
      <c r="U207" s="28"/>
      <c r="V207" s="28"/>
      <c r="W207" s="28"/>
      <c r="X207" s="28"/>
      <c r="Y207" s="30"/>
      <c r="Z207" s="28"/>
      <c r="AA207" s="28"/>
      <c r="AB207" s="28"/>
      <c r="AC207" s="28"/>
      <c r="AD207" s="28"/>
      <c r="AE207" s="28"/>
    </row>
    <row r="208" spans="1:31" x14ac:dyDescent="0.35">
      <c r="A208" s="28"/>
      <c r="B208" s="28"/>
      <c r="C208" s="28"/>
      <c r="D208" s="28"/>
      <c r="E208" s="28"/>
      <c r="F208" s="28"/>
      <c r="G208" s="28"/>
      <c r="H208" s="28"/>
      <c r="I208" s="28"/>
      <c r="J208" s="28"/>
      <c r="K208" s="29"/>
      <c r="L208" s="29"/>
      <c r="M208" s="29"/>
      <c r="N208" s="29"/>
      <c r="O208" s="29"/>
      <c r="P208" s="28"/>
      <c r="Q208" s="28"/>
      <c r="R208" s="28"/>
      <c r="S208" s="28"/>
      <c r="T208" s="28"/>
      <c r="U208" s="28"/>
      <c r="V208" s="28"/>
      <c r="W208" s="28"/>
      <c r="X208" s="28"/>
      <c r="Y208" s="30"/>
      <c r="Z208" s="28"/>
      <c r="AA208" s="28"/>
      <c r="AB208" s="28"/>
      <c r="AC208" s="28"/>
      <c r="AD208" s="28"/>
      <c r="AE208" s="28"/>
    </row>
    <row r="209" spans="1:31" x14ac:dyDescent="0.35">
      <c r="A209" s="28"/>
      <c r="B209" s="28"/>
      <c r="C209" s="28"/>
      <c r="D209" s="28"/>
      <c r="E209" s="28"/>
      <c r="F209" s="28"/>
      <c r="G209" s="28"/>
      <c r="H209" s="28"/>
      <c r="I209" s="28"/>
      <c r="J209" s="28"/>
      <c r="K209" s="29"/>
      <c r="L209" s="29"/>
      <c r="M209" s="29"/>
      <c r="N209" s="29"/>
      <c r="O209" s="29"/>
      <c r="P209" s="28"/>
      <c r="Q209" s="28"/>
      <c r="R209" s="28"/>
      <c r="S209" s="28"/>
      <c r="T209" s="28"/>
      <c r="U209" s="28"/>
      <c r="V209" s="28"/>
      <c r="W209" s="28"/>
      <c r="X209" s="28"/>
      <c r="Y209" s="30"/>
      <c r="Z209" s="28"/>
      <c r="AA209" s="28"/>
      <c r="AB209" s="28"/>
      <c r="AC209" s="28"/>
      <c r="AD209" s="28"/>
      <c r="AE209" s="28"/>
    </row>
    <row r="210" spans="1:31" x14ac:dyDescent="0.35">
      <c r="A210" s="28"/>
      <c r="B210" s="28"/>
      <c r="C210" s="28"/>
      <c r="D210" s="28"/>
      <c r="E210" s="28"/>
      <c r="F210" s="28"/>
      <c r="G210" s="28"/>
      <c r="H210" s="28"/>
      <c r="I210" s="28"/>
      <c r="J210" s="28"/>
      <c r="K210" s="29"/>
      <c r="L210" s="29"/>
      <c r="M210" s="29"/>
      <c r="N210" s="29"/>
      <c r="O210" s="29"/>
      <c r="P210" s="28"/>
      <c r="Q210" s="28"/>
      <c r="R210" s="28"/>
      <c r="S210" s="28"/>
      <c r="T210" s="28"/>
      <c r="U210" s="28"/>
      <c r="V210" s="28"/>
      <c r="W210" s="28"/>
      <c r="X210" s="28"/>
      <c r="Y210" s="30"/>
      <c r="Z210" s="28"/>
      <c r="AA210" s="28"/>
      <c r="AB210" s="28"/>
      <c r="AC210" s="28"/>
      <c r="AD210" s="28"/>
      <c r="AE210" s="28"/>
    </row>
    <row r="211" spans="1:31" x14ac:dyDescent="0.35">
      <c r="A211" s="28"/>
      <c r="B211" s="28"/>
      <c r="C211" s="28"/>
      <c r="D211" s="28"/>
      <c r="E211" s="28"/>
      <c r="F211" s="28"/>
      <c r="G211" s="28"/>
      <c r="H211" s="28"/>
      <c r="I211" s="28"/>
      <c r="J211" s="28"/>
      <c r="K211" s="29"/>
      <c r="L211" s="29"/>
      <c r="M211" s="29"/>
      <c r="N211" s="29"/>
      <c r="O211" s="29"/>
      <c r="P211" s="28"/>
      <c r="Q211" s="28"/>
      <c r="R211" s="28"/>
      <c r="S211" s="28"/>
      <c r="T211" s="28"/>
      <c r="U211" s="28"/>
      <c r="V211" s="28"/>
      <c r="W211" s="28"/>
      <c r="X211" s="28"/>
      <c r="Y211" s="30"/>
      <c r="Z211" s="28"/>
      <c r="AA211" s="28"/>
      <c r="AB211" s="28"/>
      <c r="AC211" s="28"/>
      <c r="AD211" s="28"/>
      <c r="AE211" s="28"/>
    </row>
    <row r="212" spans="1:31" x14ac:dyDescent="0.35">
      <c r="A212" s="28"/>
      <c r="B212" s="28"/>
      <c r="C212" s="28"/>
      <c r="D212" s="28"/>
      <c r="E212" s="28"/>
      <c r="F212" s="28"/>
      <c r="G212" s="28"/>
      <c r="H212" s="28"/>
      <c r="I212" s="28"/>
      <c r="J212" s="28"/>
      <c r="K212" s="29"/>
      <c r="L212" s="29"/>
      <c r="M212" s="29"/>
      <c r="N212" s="29"/>
      <c r="O212" s="29"/>
      <c r="P212" s="28"/>
      <c r="Q212" s="28"/>
      <c r="R212" s="28"/>
      <c r="S212" s="28"/>
      <c r="T212" s="28"/>
      <c r="U212" s="28"/>
      <c r="V212" s="28"/>
      <c r="W212" s="28"/>
      <c r="X212" s="28"/>
      <c r="Y212" s="30"/>
      <c r="Z212" s="28"/>
      <c r="AA212" s="28"/>
      <c r="AB212" s="28"/>
      <c r="AC212" s="28"/>
      <c r="AD212" s="28"/>
      <c r="AE212" s="28"/>
    </row>
    <row r="213" spans="1:31" x14ac:dyDescent="0.35">
      <c r="A213" s="28"/>
      <c r="B213" s="28"/>
      <c r="C213" s="28"/>
      <c r="D213" s="28"/>
      <c r="E213" s="28"/>
      <c r="F213" s="28"/>
      <c r="G213" s="28"/>
      <c r="H213" s="28"/>
      <c r="I213" s="28"/>
      <c r="J213" s="28"/>
      <c r="K213" s="29"/>
      <c r="L213" s="29"/>
      <c r="M213" s="29"/>
      <c r="N213" s="29"/>
      <c r="O213" s="29"/>
      <c r="P213" s="28"/>
      <c r="Q213" s="28"/>
      <c r="R213" s="28"/>
      <c r="S213" s="28"/>
      <c r="T213" s="28"/>
      <c r="U213" s="28"/>
      <c r="V213" s="28"/>
      <c r="W213" s="28"/>
      <c r="X213" s="28"/>
      <c r="Y213" s="30"/>
      <c r="Z213" s="28"/>
      <c r="AA213" s="28"/>
      <c r="AB213" s="28"/>
      <c r="AC213" s="28"/>
      <c r="AD213" s="28"/>
      <c r="AE213" s="28"/>
    </row>
    <row r="214" spans="1:31" x14ac:dyDescent="0.35">
      <c r="A214" s="28"/>
      <c r="B214" s="28"/>
      <c r="C214" s="28"/>
      <c r="D214" s="28"/>
      <c r="E214" s="28"/>
      <c r="F214" s="28"/>
      <c r="G214" s="28"/>
      <c r="H214" s="28"/>
      <c r="I214" s="28"/>
      <c r="J214" s="28"/>
      <c r="K214" s="29"/>
      <c r="L214" s="29"/>
      <c r="M214" s="29"/>
      <c r="N214" s="29"/>
      <c r="O214" s="29"/>
      <c r="P214" s="28"/>
      <c r="Q214" s="28"/>
      <c r="R214" s="28"/>
      <c r="S214" s="28"/>
      <c r="T214" s="28"/>
      <c r="U214" s="28"/>
      <c r="V214" s="28"/>
      <c r="W214" s="28"/>
      <c r="X214" s="28"/>
      <c r="Y214" s="30"/>
      <c r="Z214" s="28"/>
      <c r="AA214" s="28"/>
      <c r="AB214" s="28"/>
      <c r="AC214" s="28"/>
      <c r="AD214" s="28"/>
      <c r="AE214" s="28"/>
    </row>
    <row r="215" spans="1:31" x14ac:dyDescent="0.35">
      <c r="A215" s="28"/>
      <c r="B215" s="28"/>
      <c r="C215" s="28"/>
      <c r="D215" s="28"/>
      <c r="E215" s="28"/>
      <c r="F215" s="28"/>
      <c r="G215" s="28"/>
      <c r="H215" s="28"/>
      <c r="I215" s="28"/>
      <c r="J215" s="28"/>
      <c r="K215" s="29"/>
      <c r="L215" s="29"/>
      <c r="M215" s="29"/>
      <c r="N215" s="29"/>
      <c r="O215" s="29"/>
      <c r="P215" s="28"/>
      <c r="Q215" s="28"/>
      <c r="R215" s="28"/>
      <c r="S215" s="28"/>
      <c r="T215" s="28"/>
      <c r="U215" s="28"/>
      <c r="V215" s="28"/>
      <c r="W215" s="28"/>
      <c r="X215" s="28"/>
      <c r="Y215" s="30"/>
      <c r="Z215" s="28"/>
      <c r="AA215" s="28"/>
      <c r="AB215" s="28"/>
      <c r="AC215" s="28"/>
      <c r="AD215" s="28"/>
      <c r="AE215" s="28"/>
    </row>
    <row r="216" spans="1:31" x14ac:dyDescent="0.35">
      <c r="A216" s="28"/>
      <c r="B216" s="28"/>
      <c r="C216" s="28"/>
      <c r="D216" s="28"/>
      <c r="E216" s="28"/>
      <c r="F216" s="28"/>
      <c r="G216" s="28"/>
      <c r="H216" s="28"/>
      <c r="I216" s="28"/>
      <c r="J216" s="28"/>
      <c r="K216" s="29"/>
      <c r="L216" s="29"/>
      <c r="M216" s="29"/>
      <c r="N216" s="29"/>
      <c r="O216" s="29"/>
      <c r="P216" s="28"/>
      <c r="Q216" s="28"/>
      <c r="R216" s="28"/>
      <c r="S216" s="28"/>
      <c r="T216" s="28"/>
      <c r="U216" s="28"/>
      <c r="V216" s="28"/>
      <c r="W216" s="28"/>
      <c r="X216" s="28"/>
      <c r="Y216" s="30"/>
      <c r="Z216" s="28"/>
      <c r="AA216" s="28"/>
      <c r="AB216" s="28"/>
      <c r="AC216" s="28"/>
      <c r="AD216" s="28"/>
      <c r="AE216" s="28"/>
    </row>
    <row r="217" spans="1:31" x14ac:dyDescent="0.35">
      <c r="A217" s="28"/>
      <c r="B217" s="28"/>
      <c r="C217" s="28"/>
      <c r="D217" s="28"/>
      <c r="E217" s="28"/>
      <c r="F217" s="28"/>
      <c r="G217" s="28"/>
      <c r="H217" s="28"/>
      <c r="I217" s="28"/>
      <c r="J217" s="28"/>
      <c r="K217" s="29"/>
      <c r="L217" s="29"/>
      <c r="M217" s="29"/>
      <c r="N217" s="29"/>
      <c r="O217" s="29"/>
      <c r="P217" s="28"/>
      <c r="Q217" s="28"/>
      <c r="R217" s="28"/>
      <c r="S217" s="28"/>
      <c r="T217" s="28"/>
      <c r="U217" s="28"/>
      <c r="V217" s="28"/>
      <c r="W217" s="28"/>
      <c r="X217" s="28"/>
      <c r="Y217" s="30"/>
      <c r="Z217" s="28"/>
      <c r="AA217" s="28"/>
      <c r="AB217" s="28"/>
      <c r="AC217" s="28"/>
      <c r="AD217" s="28"/>
      <c r="AE217" s="28"/>
    </row>
    <row r="218" spans="1:31" x14ac:dyDescent="0.35">
      <c r="A218" s="28"/>
      <c r="B218" s="28"/>
      <c r="C218" s="28"/>
      <c r="D218" s="28"/>
      <c r="E218" s="28"/>
      <c r="F218" s="28"/>
      <c r="G218" s="28"/>
      <c r="H218" s="28"/>
      <c r="I218" s="28"/>
      <c r="J218" s="28"/>
      <c r="K218" s="29"/>
      <c r="L218" s="29"/>
      <c r="M218" s="29"/>
      <c r="N218" s="29"/>
      <c r="O218" s="29"/>
      <c r="P218" s="28"/>
      <c r="Q218" s="28"/>
      <c r="R218" s="28"/>
      <c r="S218" s="28"/>
      <c r="T218" s="28"/>
      <c r="U218" s="28"/>
      <c r="V218" s="28"/>
      <c r="W218" s="28"/>
      <c r="X218" s="28"/>
      <c r="Y218" s="30"/>
      <c r="Z218" s="28"/>
      <c r="AA218" s="28"/>
      <c r="AB218" s="28"/>
      <c r="AC218" s="28"/>
      <c r="AD218" s="28"/>
      <c r="AE218" s="28"/>
    </row>
    <row r="219" spans="1:31" x14ac:dyDescent="0.35">
      <c r="A219" s="28"/>
      <c r="B219" s="28"/>
      <c r="C219" s="28"/>
      <c r="D219" s="28"/>
      <c r="E219" s="28"/>
      <c r="F219" s="28"/>
      <c r="G219" s="28"/>
      <c r="H219" s="28"/>
      <c r="I219" s="28"/>
      <c r="J219" s="28"/>
      <c r="K219" s="29"/>
      <c r="L219" s="29"/>
      <c r="M219" s="29"/>
      <c r="N219" s="29"/>
      <c r="O219" s="29"/>
      <c r="P219" s="28"/>
      <c r="Q219" s="28"/>
      <c r="R219" s="28"/>
      <c r="S219" s="28"/>
      <c r="T219" s="28"/>
      <c r="U219" s="28"/>
      <c r="V219" s="28"/>
      <c r="W219" s="28"/>
      <c r="X219" s="28"/>
      <c r="Y219" s="30"/>
      <c r="Z219" s="28"/>
      <c r="AA219" s="28"/>
      <c r="AB219" s="28"/>
      <c r="AC219" s="28"/>
      <c r="AD219" s="28"/>
      <c r="AE219" s="28"/>
    </row>
    <row r="220" spans="1:31" x14ac:dyDescent="0.35">
      <c r="A220" s="28"/>
      <c r="B220" s="28"/>
      <c r="C220" s="28"/>
      <c r="D220" s="28"/>
      <c r="E220" s="28"/>
      <c r="F220" s="28"/>
      <c r="G220" s="28"/>
      <c r="H220" s="28"/>
      <c r="I220" s="28"/>
      <c r="J220" s="28"/>
      <c r="K220" s="29"/>
      <c r="L220" s="29"/>
      <c r="M220" s="29"/>
      <c r="N220" s="29"/>
      <c r="O220" s="29"/>
      <c r="P220" s="28"/>
      <c r="Q220" s="28"/>
      <c r="R220" s="28"/>
      <c r="S220" s="28"/>
      <c r="T220" s="28"/>
      <c r="U220" s="28"/>
      <c r="V220" s="28"/>
      <c r="W220" s="28"/>
      <c r="X220" s="28"/>
      <c r="Y220" s="30"/>
      <c r="Z220" s="28"/>
      <c r="AA220" s="28"/>
      <c r="AB220" s="28"/>
      <c r="AC220" s="28"/>
      <c r="AD220" s="28"/>
      <c r="AE220" s="28"/>
    </row>
    <row r="221" spans="1:31" x14ac:dyDescent="0.35">
      <c r="A221" s="28"/>
      <c r="B221" s="28"/>
      <c r="C221" s="28"/>
      <c r="D221" s="28"/>
      <c r="E221" s="28"/>
      <c r="F221" s="28"/>
      <c r="G221" s="28"/>
      <c r="H221" s="28"/>
      <c r="I221" s="28"/>
      <c r="J221" s="28"/>
      <c r="K221" s="29"/>
      <c r="L221" s="29"/>
      <c r="M221" s="29"/>
      <c r="N221" s="29"/>
      <c r="O221" s="29"/>
      <c r="P221" s="28"/>
      <c r="Q221" s="28"/>
      <c r="R221" s="28"/>
      <c r="S221" s="28"/>
      <c r="T221" s="28"/>
      <c r="U221" s="28"/>
      <c r="V221" s="28"/>
      <c r="W221" s="28"/>
      <c r="X221" s="28"/>
      <c r="Y221" s="30"/>
      <c r="Z221" s="28"/>
      <c r="AA221" s="28"/>
      <c r="AB221" s="28"/>
      <c r="AC221" s="28"/>
      <c r="AD221" s="28"/>
      <c r="AE221" s="28"/>
    </row>
    <row r="222" spans="1:31" x14ac:dyDescent="0.35">
      <c r="A222" s="28"/>
      <c r="B222" s="28"/>
      <c r="C222" s="28"/>
      <c r="D222" s="28"/>
      <c r="E222" s="28"/>
      <c r="F222" s="28"/>
      <c r="G222" s="28"/>
      <c r="H222" s="28"/>
      <c r="I222" s="28"/>
      <c r="J222" s="28"/>
      <c r="K222" s="29"/>
      <c r="L222" s="29"/>
      <c r="M222" s="29"/>
      <c r="N222" s="29"/>
      <c r="O222" s="29"/>
      <c r="P222" s="28"/>
      <c r="Q222" s="28"/>
      <c r="R222" s="28"/>
      <c r="S222" s="28"/>
      <c r="T222" s="28"/>
      <c r="U222" s="28"/>
      <c r="V222" s="28"/>
      <c r="W222" s="28"/>
      <c r="X222" s="28"/>
      <c r="Y222" s="30"/>
      <c r="Z222" s="28"/>
      <c r="AA222" s="28"/>
      <c r="AB222" s="28"/>
      <c r="AC222" s="28"/>
      <c r="AD222" s="28"/>
      <c r="AE222" s="28"/>
    </row>
    <row r="223" spans="1:31" x14ac:dyDescent="0.35">
      <c r="A223" s="28"/>
      <c r="B223" s="28"/>
      <c r="C223" s="28"/>
      <c r="D223" s="28"/>
      <c r="E223" s="28"/>
      <c r="F223" s="28"/>
      <c r="G223" s="28"/>
      <c r="H223" s="28"/>
      <c r="I223" s="28"/>
      <c r="J223" s="28"/>
      <c r="K223" s="29"/>
      <c r="L223" s="29"/>
      <c r="M223" s="29"/>
      <c r="N223" s="29"/>
      <c r="O223" s="29"/>
      <c r="P223" s="28"/>
      <c r="Q223" s="28"/>
      <c r="R223" s="28"/>
      <c r="S223" s="28"/>
      <c r="T223" s="28"/>
      <c r="U223" s="28"/>
      <c r="V223" s="28"/>
      <c r="W223" s="28"/>
      <c r="X223" s="28"/>
      <c r="Y223" s="30"/>
      <c r="Z223" s="28"/>
      <c r="AA223" s="28"/>
      <c r="AB223" s="28"/>
      <c r="AC223" s="28"/>
      <c r="AD223" s="28"/>
      <c r="AE223" s="28"/>
    </row>
    <row r="224" spans="1:31" x14ac:dyDescent="0.35">
      <c r="A224" s="28"/>
      <c r="B224" s="28"/>
      <c r="C224" s="28"/>
      <c r="D224" s="28"/>
      <c r="E224" s="28"/>
      <c r="F224" s="28"/>
      <c r="G224" s="28"/>
      <c r="H224" s="28"/>
      <c r="I224" s="28"/>
      <c r="J224" s="28"/>
      <c r="K224" s="29"/>
      <c r="L224" s="29"/>
      <c r="M224" s="29"/>
      <c r="N224" s="29"/>
      <c r="O224" s="29"/>
      <c r="P224" s="28"/>
      <c r="Q224" s="28"/>
      <c r="R224" s="28"/>
      <c r="S224" s="28"/>
      <c r="T224" s="28"/>
      <c r="U224" s="28"/>
      <c r="V224" s="28"/>
      <c r="W224" s="28"/>
      <c r="X224" s="28"/>
      <c r="Y224" s="30"/>
      <c r="Z224" s="28"/>
      <c r="AA224" s="28"/>
      <c r="AB224" s="28"/>
      <c r="AC224" s="28"/>
      <c r="AD224" s="28"/>
      <c r="AE224" s="28"/>
    </row>
    <row r="225" spans="1:31" x14ac:dyDescent="0.35">
      <c r="A225" s="28"/>
      <c r="B225" s="28"/>
      <c r="C225" s="28"/>
      <c r="D225" s="28"/>
      <c r="E225" s="28"/>
      <c r="F225" s="28"/>
      <c r="G225" s="28"/>
      <c r="H225" s="28"/>
      <c r="I225" s="28"/>
      <c r="J225" s="28"/>
      <c r="K225" s="29"/>
      <c r="L225" s="29"/>
      <c r="M225" s="29"/>
      <c r="N225" s="29"/>
      <c r="O225" s="29"/>
      <c r="P225" s="28"/>
      <c r="Q225" s="28"/>
      <c r="R225" s="28"/>
      <c r="S225" s="28"/>
      <c r="T225" s="28"/>
      <c r="U225" s="28"/>
      <c r="V225" s="28"/>
      <c r="W225" s="28"/>
      <c r="X225" s="28"/>
      <c r="Y225" s="30"/>
      <c r="Z225" s="28"/>
      <c r="AA225" s="28"/>
      <c r="AB225" s="28"/>
      <c r="AC225" s="28"/>
      <c r="AD225" s="28"/>
      <c r="AE225" s="28"/>
    </row>
    <row r="226" spans="1:31" x14ac:dyDescent="0.35">
      <c r="A226" s="28"/>
      <c r="B226" s="28"/>
      <c r="C226" s="28"/>
      <c r="D226" s="28"/>
      <c r="E226" s="28"/>
      <c r="F226" s="28"/>
      <c r="G226" s="28"/>
      <c r="H226" s="28"/>
      <c r="I226" s="28"/>
      <c r="J226" s="28"/>
      <c r="K226" s="29"/>
      <c r="L226" s="29"/>
      <c r="M226" s="29"/>
      <c r="N226" s="29"/>
      <c r="O226" s="29"/>
      <c r="P226" s="28"/>
      <c r="Q226" s="28"/>
      <c r="R226" s="28"/>
      <c r="S226" s="28"/>
      <c r="T226" s="28"/>
      <c r="U226" s="28"/>
      <c r="V226" s="28"/>
      <c r="W226" s="28"/>
      <c r="X226" s="28"/>
      <c r="Y226" s="30"/>
      <c r="Z226" s="28"/>
      <c r="AA226" s="28"/>
      <c r="AB226" s="28"/>
      <c r="AC226" s="28"/>
      <c r="AD226" s="28"/>
      <c r="AE226" s="28"/>
    </row>
    <row r="227" spans="1:31" x14ac:dyDescent="0.35">
      <c r="A227" s="28"/>
      <c r="B227" s="28"/>
      <c r="C227" s="28"/>
      <c r="D227" s="28"/>
      <c r="E227" s="28"/>
      <c r="F227" s="28"/>
      <c r="G227" s="28"/>
      <c r="H227" s="28"/>
      <c r="I227" s="28"/>
      <c r="J227" s="28"/>
      <c r="K227" s="29"/>
      <c r="L227" s="29"/>
      <c r="M227" s="29"/>
      <c r="N227" s="29"/>
      <c r="O227" s="29"/>
      <c r="P227" s="28"/>
      <c r="Q227" s="28"/>
      <c r="R227" s="28"/>
      <c r="S227" s="28"/>
      <c r="T227" s="28"/>
      <c r="U227" s="28"/>
      <c r="V227" s="28"/>
      <c r="W227" s="28"/>
      <c r="X227" s="28"/>
      <c r="Y227" s="30"/>
      <c r="Z227" s="28"/>
      <c r="AA227" s="28"/>
      <c r="AB227" s="28"/>
      <c r="AC227" s="28"/>
      <c r="AD227" s="28"/>
      <c r="AE227" s="28"/>
    </row>
    <row r="228" spans="1:31" x14ac:dyDescent="0.35">
      <c r="A228" s="28"/>
      <c r="B228" s="28"/>
      <c r="C228" s="28"/>
      <c r="D228" s="28"/>
      <c r="E228" s="28"/>
      <c r="F228" s="28"/>
      <c r="G228" s="28"/>
      <c r="H228" s="28"/>
      <c r="I228" s="28"/>
      <c r="J228" s="28"/>
      <c r="K228" s="29"/>
      <c r="L228" s="29"/>
      <c r="M228" s="29"/>
      <c r="N228" s="29"/>
      <c r="O228" s="29"/>
      <c r="P228" s="28"/>
      <c r="Q228" s="28"/>
      <c r="R228" s="28"/>
      <c r="S228" s="28"/>
      <c r="T228" s="28"/>
      <c r="U228" s="28"/>
      <c r="V228" s="28"/>
      <c r="W228" s="28"/>
      <c r="X228" s="28"/>
      <c r="Y228" s="30"/>
      <c r="Z228" s="28"/>
      <c r="AA228" s="28"/>
      <c r="AB228" s="28"/>
      <c r="AC228" s="28"/>
      <c r="AD228" s="28"/>
      <c r="AE228" s="28"/>
    </row>
    <row r="229" spans="1:31" x14ac:dyDescent="0.35">
      <c r="A229" s="28"/>
      <c r="B229" s="28"/>
      <c r="C229" s="28"/>
      <c r="D229" s="28"/>
      <c r="E229" s="28"/>
      <c r="F229" s="28"/>
      <c r="G229" s="28"/>
      <c r="H229" s="28"/>
      <c r="I229" s="28"/>
      <c r="J229" s="28"/>
      <c r="K229" s="29"/>
      <c r="L229" s="29"/>
      <c r="M229" s="29"/>
      <c r="N229" s="29"/>
      <c r="O229" s="29"/>
      <c r="P229" s="28"/>
      <c r="Q229" s="28"/>
      <c r="R229" s="28"/>
      <c r="S229" s="28"/>
      <c r="T229" s="28"/>
      <c r="U229" s="28"/>
      <c r="V229" s="28"/>
      <c r="W229" s="28"/>
      <c r="X229" s="28"/>
      <c r="Y229" s="30"/>
      <c r="Z229" s="28"/>
      <c r="AA229" s="28"/>
      <c r="AB229" s="28"/>
      <c r="AC229" s="28"/>
      <c r="AD229" s="28"/>
      <c r="AE229" s="28"/>
    </row>
    <row r="230" spans="1:31" x14ac:dyDescent="0.35">
      <c r="A230" s="28"/>
      <c r="B230" s="28"/>
      <c r="C230" s="28"/>
      <c r="D230" s="28"/>
      <c r="E230" s="28"/>
      <c r="F230" s="28"/>
      <c r="G230" s="28"/>
      <c r="H230" s="28"/>
      <c r="I230" s="28"/>
      <c r="J230" s="28"/>
      <c r="K230" s="29"/>
      <c r="L230" s="29"/>
      <c r="M230" s="29"/>
      <c r="N230" s="29"/>
      <c r="O230" s="29"/>
      <c r="P230" s="28"/>
      <c r="Q230" s="28"/>
      <c r="R230" s="28"/>
      <c r="S230" s="28"/>
      <c r="T230" s="28"/>
      <c r="U230" s="28"/>
      <c r="V230" s="28"/>
      <c r="W230" s="28"/>
      <c r="X230" s="28"/>
      <c r="Y230" s="30"/>
      <c r="Z230" s="28"/>
      <c r="AA230" s="28"/>
      <c r="AB230" s="28"/>
      <c r="AC230" s="28"/>
      <c r="AD230" s="28"/>
      <c r="AE230" s="28"/>
    </row>
    <row r="231" spans="1:31" x14ac:dyDescent="0.35">
      <c r="A231" s="28"/>
      <c r="B231" s="28"/>
      <c r="C231" s="28"/>
      <c r="D231" s="28"/>
      <c r="E231" s="28"/>
      <c r="F231" s="28"/>
      <c r="G231" s="28"/>
      <c r="H231" s="28"/>
      <c r="I231" s="28"/>
      <c r="J231" s="28"/>
      <c r="K231" s="29"/>
      <c r="L231" s="29"/>
      <c r="M231" s="29"/>
      <c r="N231" s="29"/>
      <c r="O231" s="29"/>
      <c r="P231" s="28"/>
      <c r="Q231" s="28"/>
      <c r="R231" s="28"/>
      <c r="S231" s="28"/>
      <c r="T231" s="28"/>
      <c r="U231" s="28"/>
      <c r="V231" s="28"/>
      <c r="W231" s="28"/>
      <c r="X231" s="28"/>
      <c r="Y231" s="30"/>
      <c r="Z231" s="28"/>
      <c r="AA231" s="28"/>
      <c r="AB231" s="28"/>
      <c r="AC231" s="28"/>
      <c r="AD231" s="28"/>
      <c r="AE231" s="28"/>
    </row>
    <row r="232" spans="1:31" x14ac:dyDescent="0.35">
      <c r="A232" s="28"/>
      <c r="B232" s="28"/>
      <c r="C232" s="28"/>
      <c r="D232" s="28"/>
      <c r="E232" s="28"/>
      <c r="F232" s="28"/>
      <c r="G232" s="28"/>
      <c r="H232" s="28"/>
      <c r="I232" s="28"/>
      <c r="J232" s="28"/>
      <c r="K232" s="29"/>
      <c r="L232" s="29"/>
      <c r="M232" s="29"/>
      <c r="N232" s="29"/>
      <c r="O232" s="29"/>
      <c r="P232" s="28"/>
      <c r="Q232" s="28"/>
      <c r="R232" s="28"/>
      <c r="S232" s="28"/>
      <c r="T232" s="28"/>
      <c r="U232" s="28"/>
      <c r="V232" s="28"/>
      <c r="W232" s="28"/>
      <c r="X232" s="28"/>
      <c r="Y232" s="30"/>
      <c r="Z232" s="28"/>
      <c r="AA232" s="28"/>
      <c r="AB232" s="28"/>
      <c r="AC232" s="28"/>
      <c r="AD232" s="28"/>
      <c r="AE232" s="28"/>
    </row>
    <row r="233" spans="1:31" x14ac:dyDescent="0.35">
      <c r="A233" s="28"/>
      <c r="B233" s="28"/>
      <c r="C233" s="28"/>
      <c r="D233" s="28"/>
      <c r="E233" s="28"/>
      <c r="F233" s="28"/>
      <c r="G233" s="28"/>
      <c r="H233" s="28"/>
      <c r="I233" s="28"/>
      <c r="J233" s="28"/>
      <c r="K233" s="29"/>
      <c r="L233" s="29"/>
      <c r="M233" s="29"/>
      <c r="N233" s="29"/>
      <c r="O233" s="29"/>
      <c r="P233" s="28"/>
      <c r="Q233" s="28"/>
      <c r="R233" s="28"/>
      <c r="S233" s="28"/>
      <c r="T233" s="28"/>
      <c r="U233" s="28"/>
      <c r="V233" s="28"/>
      <c r="W233" s="28"/>
      <c r="X233" s="28"/>
      <c r="Y233" s="30"/>
      <c r="Z233" s="28"/>
      <c r="AA233" s="28"/>
      <c r="AB233" s="28"/>
      <c r="AC233" s="28"/>
      <c r="AD233" s="28"/>
      <c r="AE233" s="28"/>
    </row>
    <row r="234" spans="1:31" x14ac:dyDescent="0.35">
      <c r="A234" s="28"/>
      <c r="B234" s="28"/>
      <c r="C234" s="28"/>
      <c r="D234" s="28"/>
      <c r="E234" s="28"/>
      <c r="F234" s="28"/>
      <c r="G234" s="28"/>
      <c r="H234" s="28"/>
      <c r="I234" s="28"/>
      <c r="J234" s="28"/>
      <c r="K234" s="29"/>
      <c r="L234" s="29"/>
      <c r="M234" s="29"/>
      <c r="N234" s="29"/>
      <c r="O234" s="29"/>
      <c r="P234" s="28"/>
      <c r="Q234" s="28"/>
      <c r="R234" s="28"/>
      <c r="S234" s="28"/>
      <c r="T234" s="28"/>
      <c r="U234" s="28"/>
      <c r="V234" s="28"/>
      <c r="W234" s="28"/>
      <c r="X234" s="28"/>
      <c r="Y234" s="30"/>
      <c r="Z234" s="28"/>
      <c r="AA234" s="28"/>
      <c r="AB234" s="28"/>
      <c r="AC234" s="28"/>
      <c r="AD234" s="28"/>
      <c r="AE234" s="28"/>
    </row>
  </sheetData>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2CACC-1447-4F3A-888B-3C3E897D4E9F}">
  <dimension ref="A1:P20"/>
  <sheetViews>
    <sheetView zoomScale="85" zoomScaleNormal="85" workbookViewId="0">
      <selection activeCell="D7" sqref="D7"/>
    </sheetView>
  </sheetViews>
  <sheetFormatPr baseColWidth="10" defaultRowHeight="14.5" x14ac:dyDescent="0.35"/>
  <cols>
    <col min="1" max="1" width="29.453125" bestFit="1" customWidth="1"/>
    <col min="2" max="2" width="19.08984375" bestFit="1" customWidth="1"/>
    <col min="3" max="3" width="28.6328125" bestFit="1" customWidth="1"/>
    <col min="4" max="4" width="8.08984375" customWidth="1"/>
    <col min="5" max="5" width="13.54296875" customWidth="1"/>
    <col min="6" max="6" width="9.7265625" customWidth="1"/>
    <col min="7" max="7" width="11.90625" customWidth="1"/>
    <col min="8" max="8" width="12.26953125" customWidth="1"/>
    <col min="9" max="9" width="7.08984375" bestFit="1" customWidth="1"/>
    <col min="11" max="11" width="37.1796875" bestFit="1" customWidth="1"/>
    <col min="12" max="12" width="33.26953125" bestFit="1" customWidth="1"/>
    <col min="13" max="13" width="37.54296875" bestFit="1" customWidth="1"/>
  </cols>
  <sheetData>
    <row r="1" spans="1:16" ht="35.5" customHeight="1" thickBot="1" x14ac:dyDescent="0.4">
      <c r="A1" s="32" t="s">
        <v>3</v>
      </c>
      <c r="B1" s="34" t="s">
        <v>82</v>
      </c>
      <c r="C1" s="34" t="s">
        <v>25</v>
      </c>
      <c r="D1" s="34" t="s">
        <v>83</v>
      </c>
      <c r="E1" s="34" t="s">
        <v>84</v>
      </c>
      <c r="F1" s="34" t="s">
        <v>85</v>
      </c>
      <c r="G1" s="34" t="s">
        <v>86</v>
      </c>
      <c r="H1" s="34" t="s">
        <v>87</v>
      </c>
      <c r="I1" s="34" t="s">
        <v>186</v>
      </c>
      <c r="J1" s="34" t="s">
        <v>23</v>
      </c>
      <c r="K1" s="9" t="s">
        <v>49</v>
      </c>
      <c r="L1" s="9" t="s">
        <v>3</v>
      </c>
      <c r="M1" s="9" t="s">
        <v>50</v>
      </c>
      <c r="N1" s="9" t="s">
        <v>405</v>
      </c>
      <c r="O1" s="9" t="s">
        <v>412</v>
      </c>
      <c r="P1" s="9" t="s">
        <v>23</v>
      </c>
    </row>
    <row r="2" spans="1:16" x14ac:dyDescent="0.35">
      <c r="A2" t="str">
        <f>VLOOKUP(Tabla3[[#This Row],[Empleado]],'Tabla dinam gestion comercial'!M:N,2,0)</f>
        <v>GALAGRO CORDOBA ANT.</v>
      </c>
      <c r="B2" s="21" t="s">
        <v>475</v>
      </c>
      <c r="C2" s="46" t="s">
        <v>455</v>
      </c>
      <c r="D2" s="20">
        <v>1</v>
      </c>
      <c r="E2" s="20">
        <v>1</v>
      </c>
      <c r="F2" s="20"/>
      <c r="G2" s="19">
        <v>1</v>
      </c>
      <c r="H2" s="20"/>
      <c r="I2" s="20" t="s">
        <v>411</v>
      </c>
      <c r="J2" s="24">
        <f>Tabla3[[#This Row],[Calificados Oportunos]]/Tabla3[[#This Row],[Meta Leads]]</f>
        <v>1</v>
      </c>
      <c r="K2" s="3" t="s">
        <v>461</v>
      </c>
      <c r="L2" s="6" t="s">
        <v>467</v>
      </c>
      <c r="M2" t="s">
        <v>491</v>
      </c>
      <c r="N2">
        <f>IFERROR(SUMIFS($D:$D,$A:$A,$L2,$C:$C,"*"&amp;TRIM($K2)&amp;"*"),0)</f>
        <v>0</v>
      </c>
      <c r="O2">
        <f>IFERROR(SUMIFS($E:$E,$A:$A,$L2,$C:$C,"*"&amp;TRIM($K2)&amp;"*"),0)+IFERROR(SUMIFS($F:$F,$A:$A,$L2,$C:$C,"*"&amp;TRIM($K2)&amp;"*"),0)</f>
        <v>0</v>
      </c>
      <c r="P2">
        <f>IFERROR(SUMIFS($E:$E,$A:$A,$L2,$C:$C,"*"&amp;TRIM($K2)&amp;"*"),0)</f>
        <v>0</v>
      </c>
    </row>
    <row r="3" spans="1:16" ht="15" thickBot="1" x14ac:dyDescent="0.4">
      <c r="B3" s="21"/>
      <c r="C3" s="15"/>
      <c r="D3" s="20"/>
      <c r="E3" s="20"/>
      <c r="F3" s="20"/>
      <c r="G3" s="19"/>
      <c r="H3" s="20"/>
      <c r="I3" s="20"/>
      <c r="J3" s="24"/>
      <c r="K3" s="47" t="s">
        <v>279</v>
      </c>
      <c r="L3" s="6" t="s">
        <v>280</v>
      </c>
      <c r="M3" t="s">
        <v>482</v>
      </c>
      <c r="N3">
        <f t="shared" ref="N3:N19" si="0">IFERROR(SUMIFS($D:$D,$A:$A,$L3,$C:$C,"*"&amp;TRIM($K3)&amp;"*"),0)</f>
        <v>0</v>
      </c>
      <c r="O3">
        <f t="shared" ref="O3:O19" si="1">IFERROR(SUMIFS($E:$E,$A:$A,$L3,$C:$C,"*"&amp;TRIM($K3)&amp;"*"),0)+IFERROR(SUMIFS($F:$F,$A:$A,$L3,$C:$C,"*"&amp;TRIM($K3)&amp;"*"),0)</f>
        <v>0</v>
      </c>
      <c r="P3">
        <f t="shared" ref="P3:P19" si="2">IFERROR(SUMIFS($E:$E,$A:$A,$L3,$C:$C,"*"&amp;TRIM($K3)&amp;"*"),0)</f>
        <v>0</v>
      </c>
    </row>
    <row r="4" spans="1:16" x14ac:dyDescent="0.35">
      <c r="B4" s="21"/>
      <c r="C4" s="15"/>
      <c r="D4" s="20"/>
      <c r="E4" s="20"/>
      <c r="F4" s="20"/>
      <c r="G4" s="19"/>
      <c r="H4" s="20"/>
      <c r="I4" s="20"/>
      <c r="J4" s="24"/>
      <c r="K4" s="46" t="s">
        <v>455</v>
      </c>
      <c r="L4" s="6" t="s">
        <v>462</v>
      </c>
      <c r="M4" t="s">
        <v>483</v>
      </c>
      <c r="N4">
        <f t="shared" si="0"/>
        <v>1</v>
      </c>
      <c r="O4">
        <f t="shared" si="1"/>
        <v>1</v>
      </c>
      <c r="P4">
        <f t="shared" si="2"/>
        <v>1</v>
      </c>
    </row>
    <row r="5" spans="1:16" x14ac:dyDescent="0.35">
      <c r="K5" s="48" t="s">
        <v>456</v>
      </c>
      <c r="L5" s="6" t="s">
        <v>465</v>
      </c>
      <c r="M5" t="s">
        <v>484</v>
      </c>
      <c r="N5">
        <f t="shared" si="0"/>
        <v>0</v>
      </c>
      <c r="O5">
        <f t="shared" si="1"/>
        <v>0</v>
      </c>
      <c r="P5">
        <f t="shared" si="2"/>
        <v>0</v>
      </c>
    </row>
    <row r="6" spans="1:16" x14ac:dyDescent="0.35">
      <c r="B6" s="21"/>
      <c r="C6" s="15"/>
      <c r="D6" s="20"/>
      <c r="E6" s="20"/>
      <c r="F6" s="20"/>
      <c r="G6" s="19"/>
      <c r="H6" s="20"/>
      <c r="I6" s="20"/>
      <c r="J6" s="24"/>
      <c r="K6" s="7" t="s">
        <v>457</v>
      </c>
      <c r="L6" s="6" t="s">
        <v>463</v>
      </c>
      <c r="M6" t="s">
        <v>485</v>
      </c>
      <c r="N6">
        <f t="shared" si="0"/>
        <v>0</v>
      </c>
      <c r="O6">
        <f t="shared" si="1"/>
        <v>0</v>
      </c>
      <c r="P6">
        <f t="shared" si="2"/>
        <v>0</v>
      </c>
    </row>
    <row r="7" spans="1:16" x14ac:dyDescent="0.35">
      <c r="B7" s="21"/>
      <c r="C7" s="15"/>
      <c r="D7" s="20"/>
      <c r="E7" s="20"/>
      <c r="F7" s="20"/>
      <c r="G7" s="19"/>
      <c r="H7" s="20"/>
      <c r="I7" s="20"/>
      <c r="J7" s="24"/>
      <c r="K7" s="7" t="s">
        <v>267</v>
      </c>
      <c r="L7" s="6" t="s">
        <v>148</v>
      </c>
      <c r="M7" t="s">
        <v>486</v>
      </c>
      <c r="N7">
        <f t="shared" si="0"/>
        <v>0</v>
      </c>
      <c r="O7">
        <f t="shared" si="1"/>
        <v>0</v>
      </c>
      <c r="P7">
        <f t="shared" si="2"/>
        <v>0</v>
      </c>
    </row>
    <row r="8" spans="1:16" x14ac:dyDescent="0.35">
      <c r="B8" s="21"/>
      <c r="C8" s="15"/>
      <c r="D8" s="20"/>
      <c r="E8" s="20"/>
      <c r="F8" s="20"/>
      <c r="G8" s="19"/>
      <c r="H8" s="20"/>
      <c r="I8" s="20"/>
      <c r="J8" s="24"/>
      <c r="K8" s="49" t="s">
        <v>458</v>
      </c>
      <c r="L8" s="6" t="s">
        <v>150</v>
      </c>
      <c r="M8" t="s">
        <v>487</v>
      </c>
      <c r="N8">
        <f t="shared" si="0"/>
        <v>0</v>
      </c>
      <c r="O8">
        <f t="shared" si="1"/>
        <v>0</v>
      </c>
      <c r="P8">
        <f t="shared" si="2"/>
        <v>0</v>
      </c>
    </row>
    <row r="9" spans="1:16" x14ac:dyDescent="0.35">
      <c r="B9" s="21"/>
      <c r="C9" s="15"/>
      <c r="D9" s="20"/>
      <c r="E9" s="20"/>
      <c r="F9" s="20"/>
      <c r="G9" s="19"/>
      <c r="H9" s="20"/>
      <c r="I9" s="20"/>
      <c r="J9" s="24"/>
      <c r="K9" s="7" t="s">
        <v>263</v>
      </c>
      <c r="L9" s="6" t="s">
        <v>466</v>
      </c>
      <c r="M9" t="s">
        <v>488</v>
      </c>
      <c r="N9">
        <f t="shared" si="0"/>
        <v>0</v>
      </c>
      <c r="O9">
        <f t="shared" si="1"/>
        <v>0</v>
      </c>
      <c r="P9">
        <f t="shared" si="2"/>
        <v>0</v>
      </c>
    </row>
    <row r="10" spans="1:16" x14ac:dyDescent="0.35">
      <c r="B10" s="21"/>
      <c r="C10" s="15"/>
      <c r="D10" s="20"/>
      <c r="E10" s="20"/>
      <c r="F10" s="20"/>
      <c r="G10" s="19"/>
      <c r="H10" s="20"/>
      <c r="I10" s="20"/>
      <c r="J10" s="24"/>
      <c r="K10" s="7" t="s">
        <v>459</v>
      </c>
      <c r="L10" s="6" t="s">
        <v>464</v>
      </c>
      <c r="M10" t="s">
        <v>489</v>
      </c>
      <c r="N10">
        <f t="shared" si="0"/>
        <v>0</v>
      </c>
      <c r="O10">
        <f t="shared" si="1"/>
        <v>0</v>
      </c>
      <c r="P10">
        <f t="shared" si="2"/>
        <v>0</v>
      </c>
    </row>
    <row r="11" spans="1:16" x14ac:dyDescent="0.35">
      <c r="K11" s="7" t="s">
        <v>460</v>
      </c>
      <c r="L11" s="6" t="s">
        <v>133</v>
      </c>
      <c r="M11" t="s">
        <v>490</v>
      </c>
      <c r="N11">
        <f t="shared" si="0"/>
        <v>0</v>
      </c>
      <c r="O11">
        <f t="shared" si="1"/>
        <v>0</v>
      </c>
      <c r="P11">
        <f t="shared" si="2"/>
        <v>0</v>
      </c>
    </row>
    <row r="12" spans="1:16" x14ac:dyDescent="0.35">
      <c r="K12" s="7" t="s">
        <v>468</v>
      </c>
      <c r="L12" s="6" t="s">
        <v>462</v>
      </c>
      <c r="M12" t="s">
        <v>492</v>
      </c>
      <c r="N12">
        <f t="shared" si="0"/>
        <v>0</v>
      </c>
      <c r="O12">
        <f t="shared" si="1"/>
        <v>0</v>
      </c>
      <c r="P12">
        <f t="shared" si="2"/>
        <v>0</v>
      </c>
    </row>
    <row r="13" spans="1:16" x14ac:dyDescent="0.35">
      <c r="K13" s="7" t="s">
        <v>254</v>
      </c>
      <c r="L13" s="6" t="s">
        <v>148</v>
      </c>
      <c r="M13" t="s">
        <v>493</v>
      </c>
      <c r="N13">
        <f t="shared" si="0"/>
        <v>0</v>
      </c>
      <c r="O13">
        <f t="shared" si="1"/>
        <v>0</v>
      </c>
      <c r="P13">
        <f t="shared" si="2"/>
        <v>0</v>
      </c>
    </row>
    <row r="14" spans="1:16" x14ac:dyDescent="0.35">
      <c r="K14" s="47" t="s">
        <v>469</v>
      </c>
      <c r="L14" s="6" t="s">
        <v>264</v>
      </c>
      <c r="M14" t="s">
        <v>494</v>
      </c>
      <c r="N14">
        <f t="shared" si="0"/>
        <v>0</v>
      </c>
      <c r="O14">
        <f t="shared" si="1"/>
        <v>0</v>
      </c>
      <c r="P14">
        <f t="shared" si="2"/>
        <v>0</v>
      </c>
    </row>
    <row r="15" spans="1:16" x14ac:dyDescent="0.35">
      <c r="K15" s="7" t="s">
        <v>470</v>
      </c>
      <c r="L15" s="6" t="s">
        <v>464</v>
      </c>
      <c r="M15" t="s">
        <v>495</v>
      </c>
      <c r="N15">
        <f t="shared" si="0"/>
        <v>0</v>
      </c>
      <c r="O15">
        <f t="shared" si="1"/>
        <v>0</v>
      </c>
      <c r="P15">
        <f t="shared" si="2"/>
        <v>0</v>
      </c>
    </row>
    <row r="16" spans="1:16" x14ac:dyDescent="0.35">
      <c r="K16" s="3" t="s">
        <v>277</v>
      </c>
      <c r="L16" s="6" t="s">
        <v>150</v>
      </c>
      <c r="M16" t="s">
        <v>496</v>
      </c>
      <c r="N16">
        <f t="shared" si="0"/>
        <v>0</v>
      </c>
      <c r="O16">
        <f t="shared" si="1"/>
        <v>0</v>
      </c>
      <c r="P16">
        <f t="shared" si="2"/>
        <v>0</v>
      </c>
    </row>
    <row r="17" spans="11:16" x14ac:dyDescent="0.35">
      <c r="K17" s="7" t="s">
        <v>237</v>
      </c>
      <c r="L17" s="6" t="s">
        <v>133</v>
      </c>
      <c r="M17" t="s">
        <v>497</v>
      </c>
      <c r="N17">
        <f t="shared" si="0"/>
        <v>0</v>
      </c>
      <c r="O17">
        <f t="shared" si="1"/>
        <v>0</v>
      </c>
      <c r="P17">
        <f t="shared" si="2"/>
        <v>0</v>
      </c>
    </row>
    <row r="18" spans="11:16" x14ac:dyDescent="0.35">
      <c r="K18" s="7" t="s">
        <v>471</v>
      </c>
      <c r="L18" s="6" t="s">
        <v>465</v>
      </c>
      <c r="M18" t="s">
        <v>498</v>
      </c>
      <c r="N18">
        <f t="shared" si="0"/>
        <v>0</v>
      </c>
      <c r="O18">
        <f t="shared" si="1"/>
        <v>0</v>
      </c>
      <c r="P18">
        <f t="shared" si="2"/>
        <v>0</v>
      </c>
    </row>
    <row r="19" spans="11:16" x14ac:dyDescent="0.35">
      <c r="K19" s="7" t="s">
        <v>469</v>
      </c>
      <c r="L19" s="6" t="s">
        <v>466</v>
      </c>
      <c r="M19" t="s">
        <v>494</v>
      </c>
      <c r="N19">
        <f t="shared" si="0"/>
        <v>0</v>
      </c>
      <c r="O19">
        <f t="shared" si="1"/>
        <v>0</v>
      </c>
      <c r="P19">
        <f t="shared" si="2"/>
        <v>0</v>
      </c>
    </row>
    <row r="20" spans="11:16" x14ac:dyDescent="0.35">
      <c r="K20" s="42"/>
      <c r="L20" s="6"/>
    </row>
  </sheetData>
  <dataValidations count="2">
    <dataValidation type="list" allowBlank="1" showInputMessage="1" showErrorMessage="1" sqref="K8" xr:uid="{8281ACDE-E294-48D2-AC83-ABE1A8CE10AE}">
      <formula1>$M$2:$M$100</formula1>
    </dataValidation>
    <dataValidation type="list" allowBlank="1" showInputMessage="1" showErrorMessage="1" sqref="K4 C2" xr:uid="{2D4E45DC-77D6-4CAE-BD0C-9A62C5AB01A1}">
      <formula1>$M$2:$M$19</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9BACF-8644-4DAA-9029-480D0BBEC70A}">
  <dimension ref="A1:O30"/>
  <sheetViews>
    <sheetView zoomScaleNormal="100" workbookViewId="0">
      <pane ySplit="4" topLeftCell="A10" activePane="bottomLeft" state="frozen"/>
      <selection pane="bottomLeft" activeCell="J14" sqref="J14"/>
    </sheetView>
  </sheetViews>
  <sheetFormatPr baseColWidth="10" defaultRowHeight="14.5" x14ac:dyDescent="0.35"/>
  <cols>
    <col min="1" max="1" width="4" customWidth="1"/>
    <col min="2" max="2" width="15.54296875" customWidth="1"/>
    <col min="3" max="3" width="3.54296875" customWidth="1"/>
    <col min="4" max="4" width="10.08984375" customWidth="1"/>
    <col min="5" max="5" width="9.54296875" hidden="1" customWidth="1"/>
    <col min="6" max="6" width="6.08984375" customWidth="1"/>
    <col min="7" max="9" width="14.6328125" customWidth="1"/>
    <col min="10" max="10" width="15.6328125" customWidth="1"/>
    <col min="11" max="11" width="23.7265625" customWidth="1"/>
  </cols>
  <sheetData>
    <row r="1" spans="1:15" ht="15" customHeight="1" x14ac:dyDescent="0.4">
      <c r="A1" s="291"/>
      <c r="B1" s="292"/>
      <c r="C1" s="93" t="s">
        <v>438</v>
      </c>
      <c r="D1" s="94"/>
      <c r="E1" s="94"/>
      <c r="F1" s="94"/>
      <c r="G1" s="94"/>
      <c r="H1" s="209" t="s">
        <v>388</v>
      </c>
      <c r="I1" s="209"/>
      <c r="J1" s="209" t="s">
        <v>461</v>
      </c>
      <c r="K1" s="210"/>
    </row>
    <row r="2" spans="1:15" ht="15" customHeight="1" x14ac:dyDescent="0.4">
      <c r="A2" s="293"/>
      <c r="B2" s="294"/>
      <c r="C2" s="184" t="s">
        <v>435</v>
      </c>
      <c r="D2" s="185"/>
      <c r="E2" s="185"/>
      <c r="F2" s="185"/>
      <c r="G2" s="185"/>
      <c r="H2" s="185" t="s">
        <v>4</v>
      </c>
      <c r="I2" s="185"/>
      <c r="J2" s="211" t="str">
        <f>VLOOKUP(J1,'Tabla dinam gestion comercial'!M:O,3,0)</f>
        <v>DIR GALAGRO ANTIOQUIA</v>
      </c>
      <c r="K2" s="212"/>
    </row>
    <row r="3" spans="1:15" ht="15" customHeight="1" x14ac:dyDescent="0.4">
      <c r="A3" s="293"/>
      <c r="B3" s="294"/>
      <c r="C3" s="184" t="s">
        <v>2</v>
      </c>
      <c r="D3" s="185"/>
      <c r="E3" s="185"/>
      <c r="F3" s="185"/>
      <c r="G3" s="185"/>
      <c r="H3" s="185" t="s">
        <v>3</v>
      </c>
      <c r="I3" s="185"/>
      <c r="J3" s="185" t="str">
        <f>VLOOKUP(J1,'Tabla dinam gestion comercial'!M:N,2,0)</f>
        <v>GALAGRO ANTIOQUIA DIRECCIÓN</v>
      </c>
      <c r="K3" s="213"/>
    </row>
    <row r="4" spans="1:15" ht="15" customHeight="1" thickBot="1" x14ac:dyDescent="0.45">
      <c r="A4" s="293"/>
      <c r="B4" s="294"/>
      <c r="C4" s="186" t="s">
        <v>425</v>
      </c>
      <c r="D4" s="187"/>
      <c r="E4" s="187"/>
      <c r="F4" s="187"/>
      <c r="G4" s="187"/>
      <c r="H4" s="208" t="s">
        <v>52</v>
      </c>
      <c r="I4" s="208"/>
      <c r="J4" s="208" t="str">
        <f>VLOOKUP(J1,'Tabla dinam gestion comercial'!M:P,4,0)</f>
        <v>GALAGRO</v>
      </c>
      <c r="K4" s="214"/>
    </row>
    <row r="5" spans="1:15" ht="15" hidden="1" customHeight="1" thickBot="1" x14ac:dyDescent="0.45">
      <c r="A5" s="295"/>
      <c r="B5" s="296"/>
      <c r="C5" s="121"/>
      <c r="D5" s="121"/>
      <c r="E5" s="121"/>
      <c r="F5" s="121"/>
      <c r="G5" s="121"/>
      <c r="H5" s="121"/>
      <c r="I5" s="121"/>
      <c r="J5" s="121"/>
      <c r="K5" s="122"/>
    </row>
    <row r="6" spans="1:15" ht="22.5" customHeight="1" thickBot="1" x14ac:dyDescent="0.4">
      <c r="A6" s="171" t="s">
        <v>437</v>
      </c>
      <c r="B6" s="172"/>
      <c r="C6" s="172"/>
      <c r="D6" s="173"/>
      <c r="E6" s="174"/>
      <c r="F6" s="175"/>
      <c r="G6" s="175"/>
      <c r="H6" s="175"/>
      <c r="I6" s="175"/>
      <c r="J6" s="175"/>
      <c r="K6" s="59"/>
      <c r="L6" s="13"/>
    </row>
    <row r="7" spans="1:15" ht="14.5" customHeight="1" x14ac:dyDescent="0.35">
      <c r="A7" s="235">
        <f>SUMPRODUCT($D$14:$D$24, $F$14:$F$24)</f>
        <v>0</v>
      </c>
      <c r="B7" s="236"/>
      <c r="C7" s="236"/>
      <c r="D7" s="237"/>
      <c r="E7" s="176"/>
      <c r="F7" s="176"/>
      <c r="G7" s="176"/>
      <c r="H7" s="176"/>
      <c r="I7" s="176"/>
      <c r="J7" s="176"/>
      <c r="K7" s="8"/>
    </row>
    <row r="8" spans="1:15" ht="20" customHeight="1" x14ac:dyDescent="0.35">
      <c r="A8" s="238"/>
      <c r="B8" s="239"/>
      <c r="C8" s="239"/>
      <c r="D8" s="240"/>
      <c r="E8" s="176"/>
      <c r="F8" s="176"/>
      <c r="G8" s="176"/>
      <c r="H8" s="176"/>
      <c r="I8" s="176"/>
      <c r="J8" s="176"/>
      <c r="K8" s="8"/>
      <c r="M8" s="72" t="s">
        <v>63</v>
      </c>
      <c r="N8" s="72">
        <f>A7*100</f>
        <v>0</v>
      </c>
      <c r="O8" s="73" t="str">
        <f>ROUND(N8,0)&amp;"%"</f>
        <v>0%</v>
      </c>
    </row>
    <row r="9" spans="1:15" ht="12.5" customHeight="1" x14ac:dyDescent="0.35">
      <c r="A9" s="238"/>
      <c r="B9" s="239"/>
      <c r="C9" s="239"/>
      <c r="D9" s="240"/>
      <c r="E9" s="176"/>
      <c r="F9" s="176"/>
      <c r="G9" s="176"/>
      <c r="H9" s="176"/>
      <c r="I9" s="176"/>
      <c r="J9" s="176"/>
      <c r="K9" s="8"/>
      <c r="M9" s="72" t="s">
        <v>64</v>
      </c>
      <c r="N9" s="72">
        <f>100-N8</f>
        <v>100</v>
      </c>
      <c r="O9" s="72"/>
    </row>
    <row r="10" spans="1:15" ht="11.5" customHeight="1" x14ac:dyDescent="0.35">
      <c r="A10" s="238"/>
      <c r="B10" s="239"/>
      <c r="C10" s="239"/>
      <c r="D10" s="240"/>
      <c r="E10" s="176"/>
      <c r="F10" s="176"/>
      <c r="G10" s="176"/>
      <c r="H10" s="176"/>
      <c r="I10" s="176"/>
      <c r="J10" s="176"/>
      <c r="K10" s="8"/>
      <c r="M10" s="72" t="s">
        <v>65</v>
      </c>
      <c r="N10" s="72">
        <v>100</v>
      </c>
      <c r="O10" s="72"/>
    </row>
    <row r="11" spans="1:15" ht="24.5" customHeight="1" thickBot="1" x14ac:dyDescent="0.4">
      <c r="A11" s="188" t="str">
        <f>IF(A7&gt;=90%,"Excelente",IF(A7&gt;=75%,"Destacado",IF(A7&gt;=59%,"En desarrollo","Crítico")))</f>
        <v>Crítico</v>
      </c>
      <c r="B11" s="189"/>
      <c r="C11" s="189"/>
      <c r="D11" s="190"/>
      <c r="E11" s="177"/>
      <c r="F11" s="177"/>
      <c r="G11" s="177"/>
      <c r="H11" s="177"/>
      <c r="I11" s="177"/>
      <c r="J11" s="177"/>
      <c r="K11" s="74"/>
    </row>
    <row r="12" spans="1:15" ht="16.5" customHeight="1" thickBot="1" x14ac:dyDescent="0.4">
      <c r="A12" s="199" t="s">
        <v>439</v>
      </c>
      <c r="B12" s="200"/>
      <c r="C12" s="200"/>
      <c r="D12" s="200"/>
      <c r="E12" s="200"/>
      <c r="F12" s="200"/>
      <c r="G12" s="200"/>
      <c r="H12" s="200"/>
      <c r="I12" s="200"/>
      <c r="J12" s="200"/>
      <c r="K12" s="201"/>
    </row>
    <row r="13" spans="1:15" ht="29.5" customHeight="1" thickBot="1" x14ac:dyDescent="0.4">
      <c r="A13" s="215" t="s">
        <v>9</v>
      </c>
      <c r="B13" s="216"/>
      <c r="C13" s="216"/>
      <c r="D13" s="95" t="s">
        <v>424</v>
      </c>
      <c r="E13" s="96" t="s">
        <v>13</v>
      </c>
      <c r="F13" s="96" t="s">
        <v>92</v>
      </c>
      <c r="G13" s="95" t="s">
        <v>392</v>
      </c>
      <c r="H13" s="95" t="s">
        <v>393</v>
      </c>
      <c r="I13" s="95" t="s">
        <v>394</v>
      </c>
      <c r="J13" s="95" t="s">
        <v>426</v>
      </c>
      <c r="K13" s="97" t="s">
        <v>397</v>
      </c>
    </row>
    <row r="14" spans="1:15" ht="90" customHeight="1" thickBot="1" x14ac:dyDescent="0.4">
      <c r="A14" s="98" t="e" vm="11">
        <v>#VALUE!</v>
      </c>
      <c r="B14" s="99" t="s">
        <v>54</v>
      </c>
      <c r="C14" s="100" t="str">
        <f>IF(D14&gt;=90%,"⬤",IF(D14&gt;=75%,"⬤",IF(D14&gt;=60%,"⬤","⬤")))</f>
        <v>⬤</v>
      </c>
      <c r="D14" s="101">
        <f>IFERROR(MIN(100%,SUM(G14:I14)/($J14*3)),0)</f>
        <v>0</v>
      </c>
      <c r="E14" s="102">
        <v>0.9</v>
      </c>
      <c r="F14" s="102">
        <v>0.1</v>
      </c>
      <c r="G14" s="103">
        <f>SUMIFS(
'Tabla dinam gestion comercial'!$F:$F,
'Tabla dinam gestion comercial'!$B:$B,$J$1,
'Tabla dinam gestion comercial'!$K:$K,"Enero"
)</f>
        <v>0</v>
      </c>
      <c r="H14" s="103">
        <f>SUMIFS(
'Tabla dinam gestion comercial'!$F:$F,
'Tabla dinam gestion comercial'!$B:$B,$J$1,
'Tabla dinam gestion comercial'!$K:$K,"Febrero"
)</f>
        <v>0</v>
      </c>
      <c r="I14" s="103">
        <f>SUMIFS(
'Tabla dinam gestion comercial'!$F:$F,
'Tabla dinam gestion comercial'!$B:$B,$J$1,
'Tabla dinam gestion comercial'!$K:$K,"Marzo"
)</f>
        <v>0</v>
      </c>
      <c r="J14" s="104" cm="1">
        <f t="array" ref="J14">IFERROR((SUM(_xlfn.UNIQUE(_xlfn._xlws.FILTER('Tabla dinam gestion comercial'!$L:$L,('Tabla dinam gestion comercial'!$B:$B=$J$1)*('Tabla dinam gestion comercial'!$K:$K="Enero"))))+SUM(_xlfn.UNIQUE(_xlfn._xlws.FILTER('Tabla dinam gestion comercial'!$L:$L,('Tabla dinam gestion comercial'!$B:$B=$J$1)*('Tabla dinam gestion comercial'!$K:$K="Febrero"))))+SUM(_xlfn.UNIQUE(_xlfn._xlws.FILTER('Tabla dinam gestion comercial'!$L:$L,('Tabla dinam gestion comercial'!$B:$B=$J$1)*('Tabla dinam gestion comercial'!$K:$K="Marzo")))))/3,0)</f>
        <v>0</v>
      </c>
      <c r="K14" s="70" t="s">
        <v>451</v>
      </c>
      <c r="M14" s="118"/>
      <c r="N14" s="24"/>
      <c r="O14" s="24"/>
    </row>
    <row r="15" spans="1:15" ht="39.5" thickBot="1" x14ac:dyDescent="0.4">
      <c r="A15" s="98" t="e" vm="12">
        <v>#VALUE!</v>
      </c>
      <c r="B15" s="99" t="s">
        <v>29</v>
      </c>
      <c r="C15" s="100" t="str">
        <f t="shared" ref="C15:C25" si="0">IF(D15&gt;=90%,"⬤",IF(D15&gt;=75%,"⬤",IF(D15&gt;=60%,"⬤","⬤")))</f>
        <v>⬤</v>
      </c>
      <c r="D15" s="101">
        <f>IFERROR(MIN(100%,SUM(G15:I15)/($J15*3)),0)</f>
        <v>0</v>
      </c>
      <c r="E15" s="102">
        <v>0.9</v>
      </c>
      <c r="F15" s="102">
        <v>0.1</v>
      </c>
      <c r="G15" s="103">
        <f>SUMIFS('Tabla dinam gestion comercial'!$D:$D,'Tabla dinam gestion comercial'!$B:$B,$J$1,'Tabla dinam gestion comercial'!$K:$K,"Enero")</f>
        <v>0</v>
      </c>
      <c r="H15" s="103">
        <f>SUMIFS('Tabla dinam gestion comercial'!$D:$D,'Tabla dinam gestion comercial'!$B:$B,$J$1,'Tabla dinam gestion comercial'!$K:$K,"Febrero")</f>
        <v>0</v>
      </c>
      <c r="I15" s="103">
        <f>SUMIFS('Tabla dinam gestion comercial'!$D:$D,'Tabla dinam gestion comercial'!$B:$B,$J$1,'Tabla dinam gestion comercial'!$K:$K,"Marzo")</f>
        <v>0</v>
      </c>
      <c r="J15" s="89">
        <f>IFERROR(SUMIFS('Tabla dinam gestion comercial'!$C$2:$C$84,'Tabla dinam gestion comercial'!$B$2:$B$84,$J$1)/3,0)/12</f>
        <v>0</v>
      </c>
      <c r="K15" s="70" t="s">
        <v>454</v>
      </c>
    </row>
    <row r="16" spans="1:15" ht="96.5" customHeight="1" thickBot="1" x14ac:dyDescent="0.4">
      <c r="A16" s="98" t="e" vm="13">
        <v>#VALUE!</v>
      </c>
      <c r="B16" s="99" t="s">
        <v>10</v>
      </c>
      <c r="C16" s="100" t="str">
        <f t="shared" si="0"/>
        <v>⬤</v>
      </c>
      <c r="D16" s="101">
        <f t="shared" ref="D16" si="1">IFERROR(AVERAGE(G16/J16,H16/J16,I16/J16),0)</f>
        <v>0</v>
      </c>
      <c r="E16" s="102">
        <v>0.9</v>
      </c>
      <c r="F16" s="102">
        <v>0.1</v>
      </c>
      <c r="G16" s="103">
        <f>SUMIFS('Tabla dinam gestion comercial'!$I:$I,'Tabla dinam gestion comercial'!$B:$B,$J$1,'Tabla dinam gestion comercial'!$K:$K,"*Enero*")</f>
        <v>0</v>
      </c>
      <c r="H16" s="103">
        <f>SUMIFS('Tabla dinam gestion comercial'!$I:$I,'Tabla dinam gestion comercial'!$B:$B,$J$1,'Tabla dinam gestion comercial'!$K:$K,"*Febrero*")</f>
        <v>0</v>
      </c>
      <c r="I16" s="103">
        <f>SUMIFS('Tabla dinam gestion comercial'!$I:$I,'Tabla dinam gestion comercial'!$B:$B,$J$1,'Tabla dinam gestion comercial'!$K:$K,"*Marzo*")</f>
        <v>0</v>
      </c>
      <c r="J16" s="104">
        <f>ROUNDUP(SUMIFS('Tabla dinam gestion comercial'!$H:$H,'Tabla dinam gestion comercial'!$B:$B,$J$1)/12,0)</f>
        <v>0</v>
      </c>
      <c r="K16" s="70" t="s">
        <v>452</v>
      </c>
      <c r="M16" s="24"/>
      <c r="N16" s="24"/>
      <c r="O16" s="24"/>
    </row>
    <row r="17" spans="1:13" ht="33.5" customHeight="1" thickBot="1" x14ac:dyDescent="0.4">
      <c r="A17" s="157" t="s">
        <v>9</v>
      </c>
      <c r="B17" s="158"/>
      <c r="C17" s="159"/>
      <c r="D17" s="96" t="s">
        <v>423</v>
      </c>
      <c r="E17" s="96" t="s">
        <v>13</v>
      </c>
      <c r="F17" s="96" t="s">
        <v>92</v>
      </c>
      <c r="G17" s="95" t="s">
        <v>392</v>
      </c>
      <c r="H17" s="95" t="s">
        <v>393</v>
      </c>
      <c r="I17" s="95" t="s">
        <v>394</v>
      </c>
      <c r="J17" s="97" t="s">
        <v>395</v>
      </c>
      <c r="K17" s="105" t="s">
        <v>397</v>
      </c>
    </row>
    <row r="18" spans="1:13" ht="104.5" thickBot="1" x14ac:dyDescent="0.4">
      <c r="A18" s="98" t="e" vm="14">
        <v>#VALUE!</v>
      </c>
      <c r="B18" s="123" t="s">
        <v>22</v>
      </c>
      <c r="C18" s="100" t="str">
        <f t="shared" si="0"/>
        <v>⬤</v>
      </c>
      <c r="D18" s="101">
        <f>IFERROR(MIN(150%,SUM(G18:I18)/J18),0)</f>
        <v>0</v>
      </c>
      <c r="E18" s="102">
        <v>0.9</v>
      </c>
      <c r="F18" s="102">
        <v>0.2</v>
      </c>
      <c r="G18" s="124">
        <f>IFERROR(SUMIFS(Tecnico!$D:$D,Tecnico!$K:$K,"Enero"),0)</f>
        <v>0</v>
      </c>
      <c r="H18" s="124">
        <f>IFERROR(SUMIFS(Tecnico!$D:$D,Tecnico!$K:$K,"Febrero"),0)</f>
        <v>0</v>
      </c>
      <c r="I18" s="124">
        <f>IFERROR(SUMIFS(Tecnico!$D:$D,Tecnico!$K:$K,"Marzo"),0)</f>
        <v>0</v>
      </c>
      <c r="J18" s="126">
        <f>IFERROR(SUM(Tecnico!$C:$C),0)</f>
        <v>8639407276</v>
      </c>
      <c r="K18" s="66" t="s">
        <v>449</v>
      </c>
    </row>
    <row r="19" spans="1:13" ht="130.5" thickBot="1" x14ac:dyDescent="0.4">
      <c r="A19" s="98" t="e" vm="15">
        <v>#VALUE!</v>
      </c>
      <c r="B19" s="99" t="s">
        <v>12</v>
      </c>
      <c r="C19" s="100" t="str">
        <f t="shared" si="0"/>
        <v>⬤</v>
      </c>
      <c r="D19" s="101" t="str">
        <f>IFERROR(((G19+H19+I19)/J19),"0")</f>
        <v>0</v>
      </c>
      <c r="E19" s="102">
        <v>0.9</v>
      </c>
      <c r="F19" s="102">
        <v>0.1</v>
      </c>
      <c r="G19" s="103">
        <f>SUMIFS(Tecnico!$J:$J,Tecnico!$A:$A,$J$3,Tecnico!$K:$K,"Enero")</f>
        <v>0</v>
      </c>
      <c r="H19" s="103">
        <f>SUMIFS(Tecnico!$J:$J,Tecnico!$A:$A,$J$3,Tecnico!$K:$K,"Febrero")</f>
        <v>0</v>
      </c>
      <c r="I19" s="103">
        <f>SUMIFS(Tecnico!$J:$J,Tecnico!$A:$A,$J$3,Tecnico!$K:$K,"Marzo")</f>
        <v>0</v>
      </c>
      <c r="J19" s="106">
        <f>SUMIFS(Tecnico!$H:$H,Tecnico!$A:$A,$J$3)/3</f>
        <v>0</v>
      </c>
      <c r="K19" s="127" t="s">
        <v>453</v>
      </c>
    </row>
    <row r="20" spans="1:13" ht="120.5" customHeight="1" thickBot="1" x14ac:dyDescent="0.4">
      <c r="A20" s="98" t="e" vm="16">
        <v>#VALUE!</v>
      </c>
      <c r="B20" s="99" t="s">
        <v>86</v>
      </c>
      <c r="C20" s="100" t="str">
        <f t="shared" si="0"/>
        <v>⬤</v>
      </c>
      <c r="D20" s="102">
        <f>IFERROR(SUM(G20:I20)/J20,0%)</f>
        <v>0</v>
      </c>
      <c r="E20" s="102">
        <v>0.9</v>
      </c>
      <c r="F20" s="102">
        <v>0.1</v>
      </c>
      <c r="G20" s="103">
        <f>IFERROR(SUMIFS(Leads!$D:$D,Leads!$C:$C,$J$1,Leads!$I:$I,"Enero"),0)</f>
        <v>0</v>
      </c>
      <c r="H20" s="103">
        <f>IFERROR(SUMIFS(Leads!$D:$D,Leads!$C:$C,$J$1,Leads!$I:$I,"Febrero"),0)</f>
        <v>0</v>
      </c>
      <c r="I20" s="103">
        <f>IFERROR(SUMIFS(Leads!$D:$D,Leads!$C:$C,$J$1,Leads!$I:$I,"Marzo"),0)</f>
        <v>0</v>
      </c>
      <c r="J20" s="106">
        <f>MAX(1,IFERROR(SUMIFS(Leads!$D:$D,Leads!$C:$C,$J$1,Leads!$I:$I,"Enero"),0))+MAX(1,IFERROR(SUMIFS(Leads!$D:$D,Leads!$C:$C,$J$1,Leads!$I:$I,"Febrero"),0))+MAX(1,IFERROR(SUMIFS(Leads!$D:$D,Leads!$C:$C,$J$1,Leads!$I:$I,"Marzo"),0))</f>
        <v>3</v>
      </c>
      <c r="K20" s="67" t="s">
        <v>450</v>
      </c>
    </row>
    <row r="21" spans="1:13" ht="117.5" thickBot="1" x14ac:dyDescent="0.4">
      <c r="A21" s="98" t="e" vm="17">
        <v>#VALUE!</v>
      </c>
      <c r="B21" s="99" t="s">
        <v>428</v>
      </c>
      <c r="C21" s="100" t="str">
        <f t="shared" si="0"/>
        <v>⬤</v>
      </c>
      <c r="D21" s="102">
        <f>IFERROR(SUM(G21:I21)/J21,0%)</f>
        <v>0</v>
      </c>
      <c r="E21" s="102">
        <v>0.9</v>
      </c>
      <c r="F21" s="102">
        <v>0.1</v>
      </c>
      <c r="G21" s="103">
        <f>IFERROR(SUMIFS(Leads!$E:$E,Leads!$C:$C,$J$1,Leads!$I:$I,"Enero"),0)</f>
        <v>0</v>
      </c>
      <c r="H21" s="103">
        <f>IFERROR(SUMIFS(Leads!$E:$E,Leads!$C:$C,$J$1,Leads!$I:$I,"Febrero"),0)</f>
        <v>0</v>
      </c>
      <c r="I21" s="103">
        <f>IFERROR(SUMIFS(Leads!$E:$E,Leads!$C:$C,$J$1,Leads!$I:$I,"Marzo"),0)</f>
        <v>0</v>
      </c>
      <c r="J21" s="104">
        <f>MAX(1,IFERROR(SUMIFS(Leads!$D:$D,Leads!$C:$C,$J$1,Leads!$I:$I,"Enero"),0))+MAX(1,IFERROR(SUMIFS(Leads!$D:$D,Leads!$C:$C,$J$1,Leads!$I:$I,"Febrero"),0))+MAX(1,IFERROR(SUMIFS(Leads!$D:$D,Leads!$C:$C,$J$1,Leads!$I:$I,"Marzo"),0))</f>
        <v>3</v>
      </c>
      <c r="K21" s="68" t="s">
        <v>433</v>
      </c>
    </row>
    <row r="22" spans="1:13" ht="91.5" thickBot="1" x14ac:dyDescent="0.4">
      <c r="A22" s="98" t="e" vm="8">
        <v>#VALUE!</v>
      </c>
      <c r="B22" s="99" t="s">
        <v>396</v>
      </c>
      <c r="C22" s="100" t="str">
        <f t="shared" si="0"/>
        <v>⬤</v>
      </c>
      <c r="D22" s="102">
        <f>MIN(IFERROR(SUM(G22:I22)/J22,0%),150%)</f>
        <v>0</v>
      </c>
      <c r="E22" s="102">
        <v>0.9</v>
      </c>
      <c r="F22" s="102">
        <v>0.1</v>
      </c>
      <c r="G22" s="103">
        <f>COUNTIFS('Act Campo'!$AF$2:$AF$974,"Enero",'Act Campo'!$Q$2:$Q$974,"&lt;&gt;")</f>
        <v>0</v>
      </c>
      <c r="H22" s="103">
        <f>COUNTIFS('Act Campo'!$AF$2:$AF$974,"Febrero",'Act Campo'!$Q$2:$Q$974,"&lt;&gt;")</f>
        <v>0</v>
      </c>
      <c r="I22" s="103">
        <f>COUNTIFS('Act Campo'!$AF$2:$AF$974,"Marzo",'Act Campo'!$Q$2:$Q$974,"&lt;&gt;")</f>
        <v>0</v>
      </c>
      <c r="J22" s="106">
        <f>IFERROR(VLOOKUP(J1,'Tabla dinam gestion comercial'!$M:$S,7,0),0)</f>
        <v>56</v>
      </c>
      <c r="K22" s="69" t="s">
        <v>432</v>
      </c>
    </row>
    <row r="23" spans="1:13" ht="120" customHeight="1" thickBot="1" x14ac:dyDescent="0.4">
      <c r="A23" s="98" t="e" vm="8">
        <v>#VALUE!</v>
      </c>
      <c r="B23" s="99" t="s">
        <v>429</v>
      </c>
      <c r="C23" s="100" t="str">
        <f t="shared" si="0"/>
        <v>⬤</v>
      </c>
      <c r="D23" s="102">
        <f>MIN(IFERROR(SUM(G23:I23)/J23,0%),150%)</f>
        <v>0</v>
      </c>
      <c r="E23" s="102">
        <v>0.9</v>
      </c>
      <c r="F23" s="102">
        <v>0.05</v>
      </c>
      <c r="G23" s="103">
        <f>IFERROR(SUMIFS(Fincas!$F:$F,Fincas!$G:$G,"Enero"),0)</f>
        <v>0</v>
      </c>
      <c r="H23" s="103">
        <f>IFERROR(SUMIFS(Fincas!$F:$F,Fincas!$G:$G,"Febrero"),0)</f>
        <v>0</v>
      </c>
      <c r="I23" s="103">
        <f>IFERROR(SUMIFS(Fincas!$F:$F,Fincas!$G:$G,"Marzo"),0)</f>
        <v>0</v>
      </c>
      <c r="J23" s="106">
        <f>ROUNDUP(_xlfn.MAXIFS('Tabla dinam gestion comercial'!$T:$T,'Tabla dinam gestion comercial'!$M:$M,$J$1)*3,0)</f>
        <v>1440</v>
      </c>
      <c r="K23" s="67" t="s">
        <v>406</v>
      </c>
    </row>
    <row r="24" spans="1:13" ht="106" customHeight="1" thickBot="1" x14ac:dyDescent="0.4">
      <c r="A24" s="98" t="e" vm="8">
        <v>#VALUE!</v>
      </c>
      <c r="B24" s="99" t="s">
        <v>24</v>
      </c>
      <c r="C24" s="100" t="str">
        <f t="shared" si="0"/>
        <v>⬤</v>
      </c>
      <c r="D24" s="102">
        <f>MIN(IFERROR(SUM(G24:I24)/J24,0%),150%)</f>
        <v>0</v>
      </c>
      <c r="E24" s="102">
        <v>0.9</v>
      </c>
      <c r="F24" s="102">
        <v>0.05</v>
      </c>
      <c r="G24" s="103">
        <f>COUNTIFS(Fincas!$D:$D,"&lt;&gt;",Fincas!$G:$G,"Enero")</f>
        <v>0</v>
      </c>
      <c r="H24" s="103">
        <f>COUNTIFS(Fincas!$D:$D,"&lt;&gt;",Fincas!$G:$G,"Febrero")</f>
        <v>0</v>
      </c>
      <c r="I24" s="103">
        <f>COUNTIFS(Fincas!$D:$D,"&lt;&gt;",Fincas!$G:$G,"Marzo")</f>
        <v>0</v>
      </c>
      <c r="J24" s="106">
        <f>ROUNDUP(SUMIFS('Tabla dinam gestion comercial'!$U:$U,'Tabla dinam gestion comercial'!$M:$M,$J$1),0)</f>
        <v>48</v>
      </c>
      <c r="K24" s="67" t="s">
        <v>407</v>
      </c>
    </row>
    <row r="25" spans="1:13" ht="29.5" hidden="1" customHeight="1" thickBot="1" x14ac:dyDescent="0.45">
      <c r="A25" s="107" t="e" vm="8">
        <v>#VALUE!</v>
      </c>
      <c r="B25" s="108" t="s">
        <v>232</v>
      </c>
      <c r="C25" s="109" t="str">
        <f t="shared" si="0"/>
        <v>⬤</v>
      </c>
      <c r="D25" s="110">
        <f>(D23+D24)/2</f>
        <v>0</v>
      </c>
      <c r="E25" s="111">
        <v>0.9</v>
      </c>
      <c r="F25" s="111"/>
      <c r="G25" s="112"/>
      <c r="H25" s="112"/>
      <c r="I25" s="112"/>
      <c r="J25" s="113"/>
      <c r="K25" s="114"/>
    </row>
    <row r="26" spans="1:13" ht="14.5" customHeight="1" x14ac:dyDescent="0.35">
      <c r="A26" s="205" t="e" vm="9">
        <v>#VALUE!</v>
      </c>
      <c r="B26" s="154" t="s">
        <v>430</v>
      </c>
      <c r="C26" s="154"/>
      <c r="D26" s="154"/>
      <c r="E26" s="154"/>
      <c r="F26" s="154"/>
      <c r="G26" s="151" t="s">
        <v>21</v>
      </c>
      <c r="H26" s="152" t="s">
        <v>431</v>
      </c>
      <c r="I26" s="152"/>
      <c r="J26" s="151" t="s">
        <v>19</v>
      </c>
      <c r="K26" s="202" t="s">
        <v>18</v>
      </c>
    </row>
    <row r="27" spans="1:13" x14ac:dyDescent="0.35">
      <c r="A27" s="206"/>
      <c r="B27" s="155"/>
      <c r="C27" s="155"/>
      <c r="D27" s="155"/>
      <c r="E27" s="155"/>
      <c r="F27" s="155"/>
      <c r="G27" s="169"/>
      <c r="H27" s="152"/>
      <c r="I27" s="152"/>
      <c r="J27" s="169"/>
      <c r="K27" s="203"/>
    </row>
    <row r="28" spans="1:13" ht="21" customHeight="1" thickBot="1" x14ac:dyDescent="0.4">
      <c r="A28" s="207"/>
      <c r="B28" s="156"/>
      <c r="C28" s="156"/>
      <c r="D28" s="156"/>
      <c r="E28" s="156"/>
      <c r="F28" s="156"/>
      <c r="G28" s="170"/>
      <c r="H28" s="153"/>
      <c r="I28" s="153"/>
      <c r="J28" s="170"/>
      <c r="K28" s="204"/>
    </row>
    <row r="29" spans="1:13" ht="17.5" customHeight="1" thickBot="1" x14ac:dyDescent="0.4">
      <c r="A29" s="163" t="s">
        <v>8</v>
      </c>
      <c r="B29" s="164"/>
      <c r="C29" s="165"/>
      <c r="D29" s="163" t="s">
        <v>7</v>
      </c>
      <c r="E29" s="164"/>
      <c r="F29" s="164"/>
      <c r="G29" s="165"/>
      <c r="H29" s="163" t="s">
        <v>6</v>
      </c>
      <c r="I29" s="164"/>
      <c r="J29" s="165"/>
      <c r="K29" s="115" t="s">
        <v>408</v>
      </c>
      <c r="L29" s="76"/>
    </row>
    <row r="30" spans="1:13" ht="176.5" customHeight="1" thickBot="1" x14ac:dyDescent="0.4">
      <c r="A30" s="166" t="str">
        <f>IF($N$8&gt;=90, "Para los perfeccionistas, siempre hay espacio de mejora. El siguiente reto es la sostenibilidad: analiza esos mínimos detalles o indicadores que rozaron la meta para blindar tu territorio contra cualquier imprevisto futuro. ¡La excelencia no se detiene!", IF($N$8&gt;=75, "El camino a la cima está en los detalles. Para saltar al rango excelente, el foco debe estar en acelerar aquellos indicadores que se quedaron en amarillo o naranja. Ajustar la estrategia en estos puntos específicos liberará todo tu potencial comercial.", IF($N$8&gt;=59, _xlfn._LONGTEXT("Aquí está tu mayor oportunidad de crecimiento. Al concentrar tus esfuerzos en levantar los indicadores que quedaron por debajo de la meta, verás un impacto inmediato en tu resultado global. Prioriza tus batallas, ajusta la planificación semanal y ve por e","sos puntos."), _xlfn._LONGTEXT("La meta está más cerca de lo que parece si nos enfocamos. El plan de acción inmediato exige concentrar la energía en revertir los indicadores críticos que están frenando tu avance. Define prioridades claras, solicita el apoyo necesario y da el primer paso",". ¡Cada mejora cuenta!"))))</f>
        <v>La meta está más cerca de lo que parece si nos enfocamos. El plan de acción inmediato exige concentrar la energía en revertir los indicadores críticos que están frenando tu avance. Define prioridades claras, solicita el apoyo necesario y da el primer paso. ¡Cada mejora cuenta!</v>
      </c>
      <c r="B30" s="167"/>
      <c r="C30" s="168"/>
      <c r="D30" s="160" t="str">
        <f>IF($N$8&gt;=90, _xlfn._LONGTEXT("Tus pilares de éxito están firmes. Destacas por una ejecución impecable en campo, un dominio absoluto de tus indicadores de mayor peso y una consistencia comercial admirable. Tu capacidad para superar las metas demuestra que tu estrategia en el territorio"," es sumamente efectiva."), IF($N$8&gt;=75, "Cuentas con bases operativas y comerciales muy sólidas. Has demostrado un rendimiento sobresaliente en tus indicadores clave de gestión, logrando superar las metas esperadas en frentes cruciales. Esta efectividad es tu trampolín hacia el éxito absoluto.", IF($N$8&gt;=59, "Aun en periodos retadores, tu esfuerzo ha dado frutos valiosos. Tienes indicadores específicos donde demuestras un gran compromiso y efectividad. Esas actividades en las que hoy brillas son el motor que debes usar para impulsar el resto de tu gestión.", _xlfn._LONGTEXT("Incluso en la dificultad, hay terreno ganado. Tu dedicación se hace visible en tus mejores indicadores del periodo. Esos pequeños o grandes logros demuestran que posees las habilidades necesarias; el objetivo ahora es replicar ese mismo esfuerzo en las de","más áreas."))))</f>
        <v>Incluso en la dificultad, hay terreno ganado. Tu dedicación se hace visible en tus mejores indicadores del periodo. Esos pequeños o grandes logros demuestran que posees las habilidades necesarias; el objetivo ahora es replicar ese mismo esfuerzo en las demás áreas.</v>
      </c>
      <c r="E30" s="161"/>
      <c r="F30" s="161"/>
      <c r="G30" s="162"/>
      <c r="H30" s="166" t="str">
        <f>IF($N$8&gt;=90, "¡Extraordinario desempeño! Este periodo refleja tu alto compromiso, disciplina y maestría en el territorio. Has alcanzado un nivel de excelencia que inspires al equipo. Mantén este ritmo ganador y sigue liderando con el ejemplo.", IF($N$8&gt;=75, _xlfn._LONGTEXT("¡Gran trabajo en este periodo! Tu consistencia y esfuerzo te posicionan en un nivel destacado. Estás a muy pocos pasos de la excelencia total. El camino está trazado; con un pequeño empuje en los indicadores clave, el próximo trimestre pintarás el tablero"," completamente de verde."), IF($N$8&gt;=59, _xlfn._LONGTEXT("Cerramos un trimestre de mucho aprendizaje y esfuerzo. Estás en pleno proceso de consolidación de tus objetivos. El potencial para crecer está ahí; este resultado es el punto de partida perfecto para enfocar la energía en las actividades que moverán la ag","uja hacia el siguiente nivel."), _xlfn._LONGTEXT("Este trimestre nos plantea un reto importante, pero también una gran oportunidad de reinvención. Cada desafío superado nos hace más fuertes. Es momento de revisar la estrategia, apoyarte en tus fortalezas y accionar un plan de mejora enfocado. ¡Tienes la ","capacidad para revertir este indicador y alcanzar tus metas!"))))</f>
        <v>Este trimestre nos plantea un reto importante, pero también una gran oportunidad de reinvención. Cada desafío superado nos hace más fuertes. Es momento de revisar la estrategia, apoyarte en tus fortalezas y accionar un plan de mejora enfocado. ¡Tienes la capacidad para revertir este indicador y alcanzar tus metas!</v>
      </c>
      <c r="I30" s="167"/>
      <c r="J30" s="168"/>
      <c r="K30" s="116" t="str">
        <f>IF($N$8&gt;=90,"Mantener el desempeño y asegurar la sostenibilidad de los resultados. Revisa los indicadores cercanos al límite, documenta las buenas prácticas y replica el modelo de gestión en el territorio.",IF($N$8&gt;=75,"Priorizar los indicadores que quedaron por debajo del nivel excelente. Define acciones puntuales, responsables y fechas de seguimiento para llevar el resultado al siguiente rango.",IF($N$8&gt;=59,"Enfocar el plan de trabajo en los indicadores con menor cumplimiento. Ajusta la planificación semanal, refuerza el seguimiento y concentra los esfuerzos en las actividades de mayor impacto.", "Activar un plan de mejora inmediato sobre los indicadores críticos. Define prioridades, solicita acompañamiento y realiza seguimiento semanal para recuperar el cumplimiento del territorio.")))</f>
        <v>Activar un plan de mejora inmediato sobre los indicadores críticos. Define prioridades, solicita acompañamiento y realiza seguimiento semanal para recuperar el cumplimiento del territorio.</v>
      </c>
      <c r="L30" s="75"/>
      <c r="M30" s="75"/>
    </row>
  </sheetData>
  <mergeCells count="31">
    <mergeCell ref="H4:I4"/>
    <mergeCell ref="J4:K4"/>
    <mergeCell ref="A6:D6"/>
    <mergeCell ref="E6:J11"/>
    <mergeCell ref="A7:D10"/>
    <mergeCell ref="A11:D11"/>
    <mergeCell ref="A1:B5"/>
    <mergeCell ref="H1:I1"/>
    <mergeCell ref="J1:K1"/>
    <mergeCell ref="C2:G2"/>
    <mergeCell ref="H2:I2"/>
    <mergeCell ref="J2:K2"/>
    <mergeCell ref="C3:G3"/>
    <mergeCell ref="H3:I3"/>
    <mergeCell ref="J3:K3"/>
    <mergeCell ref="C4:G4"/>
    <mergeCell ref="A12:K12"/>
    <mergeCell ref="A13:C13"/>
    <mergeCell ref="A17:C17"/>
    <mergeCell ref="A26:A28"/>
    <mergeCell ref="B26:F28"/>
    <mergeCell ref="G26:G28"/>
    <mergeCell ref="H26:I28"/>
    <mergeCell ref="J26:J28"/>
    <mergeCell ref="K26:K28"/>
    <mergeCell ref="A29:C29"/>
    <mergeCell ref="D29:G29"/>
    <mergeCell ref="H29:J29"/>
    <mergeCell ref="A30:C30"/>
    <mergeCell ref="D30:G30"/>
    <mergeCell ref="H30:J30"/>
  </mergeCells>
  <conditionalFormatting sqref="A11">
    <cfRule type="expression" dxfId="11" priority="5">
      <formula>A7&lt;59%</formula>
    </cfRule>
    <cfRule type="expression" dxfId="10" priority="6">
      <formula>AND(A7&gt;=59%,A7&lt;75%)</formula>
    </cfRule>
    <cfRule type="expression" dxfId="9" priority="7">
      <formula>AND(A7+$E$616&gt;=75%,A7&lt;90%)</formula>
    </cfRule>
    <cfRule type="expression" dxfId="8" priority="8">
      <formula>A7&gt;=90%</formula>
    </cfRule>
  </conditionalFormatting>
  <conditionalFormatting sqref="A7:D10">
    <cfRule type="expression" dxfId="7" priority="9">
      <formula>A7&gt;=90%</formula>
    </cfRule>
    <cfRule type="expression" dxfId="6" priority="10">
      <formula>AND(A7&gt;=75%,A7&lt;90%)</formula>
    </cfRule>
    <cfRule type="expression" dxfId="5" priority="11">
      <formula>AND(A7&gt;=59%,A7&lt;75%)</formula>
    </cfRule>
    <cfRule type="expression" dxfId="4" priority="12">
      <formula>A7&lt;59%</formula>
    </cfRule>
  </conditionalFormatting>
  <conditionalFormatting sqref="C14:C16 C18:C25">
    <cfRule type="expression" dxfId="3" priority="1">
      <formula>$D14&lt;60%</formula>
    </cfRule>
    <cfRule type="expression" dxfId="2" priority="2">
      <formula>AND($D14&gt;=60%,$D14&lt;75%)</formula>
    </cfRule>
    <cfRule type="expression" dxfId="1" priority="3">
      <formula>AND($D14&gt;=75%,$D14&lt;90%)</formula>
    </cfRule>
    <cfRule type="expression" dxfId="0" priority="4">
      <formula>$D14&gt;=90%</formula>
    </cfRule>
  </conditionalFormatting>
  <pageMargins left="0.11811023622047245" right="0.11811023622047245" top="0.15748031496062992" bottom="0.15748031496062992" header="0.11811023622047245" footer="0"/>
  <pageSetup scale="84"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2D6D491D-5EA2-48A3-9A98-38A3B16C294D}">
          <x14:formula1>
            <xm:f>'Tabla dinam gestion comercial'!$M$3</xm:f>
          </x14:formula1>
          <xm:sqref>J1:K1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7B1F2-4E61-4F8F-8734-2116DA0E6D7B}">
  <dimension ref="A1:K92"/>
  <sheetViews>
    <sheetView zoomScale="80" zoomScaleNormal="80" workbookViewId="0">
      <selection activeCell="D75" sqref="D75:D76"/>
    </sheetView>
  </sheetViews>
  <sheetFormatPr baseColWidth="10" defaultColWidth="25.6328125" defaultRowHeight="14.5" x14ac:dyDescent="0.35"/>
  <cols>
    <col min="1" max="1" width="34.6328125" bestFit="1" customWidth="1"/>
    <col min="3" max="3" width="14.81640625" customWidth="1"/>
    <col min="4" max="5" width="19.6328125" bestFit="1" customWidth="1"/>
    <col min="6" max="7" width="17.36328125" bestFit="1" customWidth="1"/>
    <col min="8" max="8" width="14.81640625" customWidth="1"/>
    <col min="9" max="9" width="15.7265625" customWidth="1"/>
    <col min="10" max="11" width="9.1796875" customWidth="1"/>
  </cols>
  <sheetData>
    <row r="1" spans="1:11" ht="32.5" customHeight="1" x14ac:dyDescent="0.35">
      <c r="A1" s="34" t="s">
        <v>3</v>
      </c>
      <c r="B1" s="34" t="s">
        <v>74</v>
      </c>
      <c r="C1" s="34" t="s">
        <v>190</v>
      </c>
      <c r="D1" s="34" t="s">
        <v>75</v>
      </c>
      <c r="E1" s="34" t="s">
        <v>76</v>
      </c>
      <c r="F1" s="34" t="s">
        <v>77</v>
      </c>
      <c r="G1" s="34" t="s">
        <v>78</v>
      </c>
      <c r="H1" s="34" t="s">
        <v>79</v>
      </c>
      <c r="I1" s="34" t="s">
        <v>80</v>
      </c>
      <c r="J1" s="34" t="s">
        <v>191</v>
      </c>
      <c r="K1" s="34" t="s">
        <v>186</v>
      </c>
    </row>
    <row r="2" spans="1:11" hidden="1" x14ac:dyDescent="0.35">
      <c r="A2" s="21" t="s">
        <v>42</v>
      </c>
      <c r="B2" s="15" t="s">
        <v>81</v>
      </c>
      <c r="C2" s="16">
        <v>139775472</v>
      </c>
      <c r="D2" s="58">
        <v>134805500</v>
      </c>
      <c r="E2" s="18">
        <v>0.96444317497994214</v>
      </c>
      <c r="F2" s="19">
        <v>57968804</v>
      </c>
      <c r="G2" s="20">
        <v>2.3254835480131693</v>
      </c>
      <c r="H2" s="33">
        <v>86</v>
      </c>
      <c r="I2">
        <v>0.2558139534883721</v>
      </c>
      <c r="J2" s="33">
        <f>Tabla2[[#This Row],[Referencias Recomendadas]]*Tabla2[[#This Row],[Meta Referencias]]</f>
        <v>22</v>
      </c>
      <c r="K2" s="33" t="s">
        <v>411</v>
      </c>
    </row>
    <row r="3" spans="1:11" hidden="1" x14ac:dyDescent="0.35">
      <c r="A3" s="21" t="s">
        <v>133</v>
      </c>
      <c r="B3" s="15" t="s">
        <v>473</v>
      </c>
      <c r="C3" s="16">
        <v>29654548</v>
      </c>
      <c r="D3" s="58">
        <v>50072900</v>
      </c>
      <c r="E3" s="18">
        <v>1.688540321032713</v>
      </c>
      <c r="F3" s="19">
        <v>80024829</v>
      </c>
      <c r="G3" s="20">
        <v>0.62571705089179264</v>
      </c>
      <c r="H3" s="33">
        <v>48</v>
      </c>
      <c r="I3">
        <v>0.3125</v>
      </c>
      <c r="J3" s="33">
        <f>Tabla2[[#This Row],[Referencias Recomendadas]]*Tabla2[[#This Row],[Meta Referencias]]</f>
        <v>15</v>
      </c>
      <c r="K3" s="33" t="s">
        <v>411</v>
      </c>
    </row>
    <row r="4" spans="1:11" hidden="1" x14ac:dyDescent="0.35">
      <c r="A4" s="21" t="s">
        <v>133</v>
      </c>
      <c r="B4" s="15" t="s">
        <v>472</v>
      </c>
      <c r="C4" s="16">
        <v>167282080</v>
      </c>
      <c r="D4" s="58">
        <v>27483100</v>
      </c>
      <c r="E4" s="18">
        <v>0.16429195524111131</v>
      </c>
      <c r="F4" s="19">
        <v>126549348</v>
      </c>
      <c r="G4" s="20">
        <v>0.21717298772649543</v>
      </c>
      <c r="H4" s="33">
        <v>190</v>
      </c>
      <c r="I4">
        <v>5.2631578947368418E-2</v>
      </c>
      <c r="J4" s="33">
        <f>Tabla2[[#This Row],[Referencias Recomendadas]]*Tabla2[[#This Row],[Meta Referencias]]</f>
        <v>10</v>
      </c>
      <c r="K4" s="33" t="s">
        <v>411</v>
      </c>
    </row>
    <row r="5" spans="1:11" hidden="1" x14ac:dyDescent="0.35">
      <c r="A5" s="21" t="s">
        <v>133</v>
      </c>
      <c r="B5" s="15" t="s">
        <v>474</v>
      </c>
      <c r="C5" s="16">
        <v>4942425</v>
      </c>
      <c r="D5" s="58">
        <v>0</v>
      </c>
      <c r="E5" s="18">
        <v>0</v>
      </c>
      <c r="F5" s="19">
        <v>2061026</v>
      </c>
      <c r="G5" s="20">
        <v>0</v>
      </c>
      <c r="H5" s="33">
        <v>10</v>
      </c>
      <c r="I5">
        <v>0.1</v>
      </c>
      <c r="J5" s="33">
        <f>Tabla2[[#This Row],[Referencias Recomendadas]]*Tabla2[[#This Row],[Meta Referencias]]</f>
        <v>1</v>
      </c>
      <c r="K5" s="33" t="s">
        <v>411</v>
      </c>
    </row>
    <row r="6" spans="1:11" hidden="1" x14ac:dyDescent="0.35">
      <c r="A6" s="21" t="s">
        <v>148</v>
      </c>
      <c r="B6" s="15" t="s">
        <v>472</v>
      </c>
      <c r="C6" s="16">
        <v>364944288</v>
      </c>
      <c r="D6" s="58">
        <v>9141000</v>
      </c>
      <c r="E6" s="18">
        <v>2.5047658781276773E-2</v>
      </c>
      <c r="F6" s="19">
        <v>320693204</v>
      </c>
      <c r="G6" s="20">
        <v>2.8503878117728993E-2</v>
      </c>
      <c r="H6" s="33">
        <v>190</v>
      </c>
      <c r="I6">
        <v>1.0526315789473684E-2</v>
      </c>
      <c r="J6" s="33">
        <f>Tabla2[[#This Row],[Referencias Recomendadas]]*Tabla2[[#This Row],[Meta Referencias]]</f>
        <v>2</v>
      </c>
      <c r="K6" s="33" t="s">
        <v>411</v>
      </c>
    </row>
    <row r="7" spans="1:11" hidden="1" x14ac:dyDescent="0.35">
      <c r="A7" s="21" t="s">
        <v>148</v>
      </c>
      <c r="B7" s="15" t="s">
        <v>473</v>
      </c>
      <c r="C7" s="16">
        <v>45237888</v>
      </c>
      <c r="D7" s="58"/>
      <c r="E7" s="18"/>
      <c r="F7" s="19">
        <v>58852400</v>
      </c>
      <c r="G7" s="20"/>
      <c r="H7" s="33">
        <v>48</v>
      </c>
      <c r="J7" s="33">
        <f>Tabla2[[#This Row],[Referencias Recomendadas]]*Tabla2[[#This Row],[Meta Referencias]]</f>
        <v>0</v>
      </c>
      <c r="K7" s="33" t="s">
        <v>411</v>
      </c>
    </row>
    <row r="8" spans="1:11" hidden="1" x14ac:dyDescent="0.35">
      <c r="A8" s="21" t="s">
        <v>148</v>
      </c>
      <c r="B8" s="15" t="s">
        <v>474</v>
      </c>
      <c r="C8" s="16">
        <v>4941954</v>
      </c>
      <c r="D8" s="58"/>
      <c r="E8" s="18"/>
      <c r="F8" s="19">
        <v>235110</v>
      </c>
      <c r="G8" s="20"/>
      <c r="H8" s="33">
        <v>10</v>
      </c>
      <c r="J8" s="33">
        <f>Tabla2[[#This Row],[Referencias Recomendadas]]*Tabla2[[#This Row],[Meta Referencias]]</f>
        <v>0</v>
      </c>
      <c r="K8" s="33" t="s">
        <v>411</v>
      </c>
    </row>
    <row r="9" spans="1:11" hidden="1" x14ac:dyDescent="0.35">
      <c r="A9" s="21" t="s">
        <v>280</v>
      </c>
      <c r="B9" s="15" t="s">
        <v>472</v>
      </c>
      <c r="C9" s="16">
        <v>144321376</v>
      </c>
      <c r="D9" s="17"/>
      <c r="E9" s="18"/>
      <c r="F9" s="19">
        <v>185073131</v>
      </c>
      <c r="G9" s="20"/>
      <c r="H9" s="33">
        <v>190</v>
      </c>
      <c r="J9" s="33">
        <f>Tabla2[[#This Row],[Referencias Recomendadas]]*Tabla2[[#This Row],[Meta Referencias]]</f>
        <v>0</v>
      </c>
      <c r="K9" s="33" t="s">
        <v>411</v>
      </c>
    </row>
    <row r="10" spans="1:11" hidden="1" x14ac:dyDescent="0.35">
      <c r="A10" s="21" t="s">
        <v>280</v>
      </c>
      <c r="B10" s="15" t="s">
        <v>473</v>
      </c>
      <c r="C10" s="16">
        <v>2886427</v>
      </c>
      <c r="D10" s="17"/>
      <c r="E10" s="18"/>
      <c r="F10" s="19">
        <v>14071010</v>
      </c>
      <c r="G10" s="20"/>
      <c r="H10" s="33">
        <v>48</v>
      </c>
      <c r="J10" s="33">
        <f>Tabla2[[#This Row],[Referencias Recomendadas]]*Tabla2[[#This Row],[Meta Referencias]]</f>
        <v>0</v>
      </c>
      <c r="K10" s="33" t="s">
        <v>411</v>
      </c>
    </row>
    <row r="11" spans="1:11" hidden="1" x14ac:dyDescent="0.35">
      <c r="A11" s="21" t="s">
        <v>280</v>
      </c>
      <c r="B11" s="15" t="s">
        <v>474</v>
      </c>
      <c r="C11" s="16">
        <v>151917</v>
      </c>
      <c r="D11" s="17"/>
      <c r="E11" s="18"/>
      <c r="F11" s="19"/>
      <c r="G11" s="20"/>
      <c r="H11" s="33">
        <v>10</v>
      </c>
      <c r="J11" s="33">
        <f>Tabla2[[#This Row],[Referencias Recomendadas]]*Tabla2[[#This Row],[Meta Referencias]]</f>
        <v>0</v>
      </c>
      <c r="K11" s="33" t="s">
        <v>411</v>
      </c>
    </row>
    <row r="12" spans="1:11" hidden="1" x14ac:dyDescent="0.35">
      <c r="A12" s="21" t="s">
        <v>462</v>
      </c>
      <c r="B12" s="15" t="s">
        <v>472</v>
      </c>
      <c r="C12" s="16">
        <v>0</v>
      </c>
      <c r="D12" s="58"/>
      <c r="E12" s="18"/>
      <c r="F12" s="19"/>
      <c r="G12" s="20"/>
      <c r="H12" s="33">
        <v>190</v>
      </c>
      <c r="J12" s="33">
        <f>Tabla2[[#This Row],[Referencias Recomendadas]]*Tabla2[[#This Row],[Meta Referencias]]</f>
        <v>0</v>
      </c>
      <c r="K12" s="33" t="s">
        <v>411</v>
      </c>
    </row>
    <row r="13" spans="1:11" hidden="1" x14ac:dyDescent="0.35">
      <c r="A13" s="21" t="s">
        <v>462</v>
      </c>
      <c r="B13" s="15" t="s">
        <v>473</v>
      </c>
      <c r="C13" s="16">
        <v>29505520</v>
      </c>
      <c r="D13" s="58"/>
      <c r="E13" s="18"/>
      <c r="F13" s="19"/>
      <c r="G13" s="20"/>
      <c r="H13" s="33">
        <v>48</v>
      </c>
      <c r="J13" s="33">
        <f>Tabla2[[#This Row],[Referencias Recomendadas]]*Tabla2[[#This Row],[Meta Referencias]]</f>
        <v>0</v>
      </c>
      <c r="K13" s="33" t="s">
        <v>411</v>
      </c>
    </row>
    <row r="14" spans="1:11" hidden="1" x14ac:dyDescent="0.35">
      <c r="A14" s="21" t="s">
        <v>462</v>
      </c>
      <c r="B14" s="15" t="s">
        <v>474</v>
      </c>
      <c r="C14" s="16">
        <v>1140677</v>
      </c>
      <c r="D14" s="58"/>
      <c r="E14" s="18"/>
      <c r="F14" s="19"/>
      <c r="G14" s="20"/>
      <c r="H14" s="33">
        <v>10</v>
      </c>
      <c r="J14" s="33">
        <f>Tabla2[[#This Row],[Referencias Recomendadas]]*Tabla2[[#This Row],[Meta Referencias]]</f>
        <v>0</v>
      </c>
      <c r="K14" s="33" t="s">
        <v>411</v>
      </c>
    </row>
    <row r="15" spans="1:11" hidden="1" x14ac:dyDescent="0.35">
      <c r="A15" s="21" t="s">
        <v>463</v>
      </c>
      <c r="B15" s="15" t="s">
        <v>472</v>
      </c>
      <c r="C15" s="16">
        <v>61376596</v>
      </c>
      <c r="D15" s="58"/>
      <c r="E15" s="18"/>
      <c r="F15" s="19">
        <v>74855590</v>
      </c>
      <c r="G15" s="20"/>
      <c r="H15" s="33">
        <v>190</v>
      </c>
      <c r="J15" s="33">
        <f>Tabla2[[#This Row],[Referencias Recomendadas]]*Tabla2[[#This Row],[Meta Referencias]]</f>
        <v>0</v>
      </c>
      <c r="K15" s="33" t="s">
        <v>411</v>
      </c>
    </row>
    <row r="16" spans="1:11" hidden="1" x14ac:dyDescent="0.35">
      <c r="A16" s="21" t="s">
        <v>463</v>
      </c>
      <c r="B16" s="15" t="s">
        <v>473</v>
      </c>
      <c r="C16" s="16">
        <v>383604</v>
      </c>
      <c r="D16" s="58"/>
      <c r="E16" s="18"/>
      <c r="F16" s="19"/>
      <c r="G16" s="20"/>
      <c r="H16" s="33">
        <v>48</v>
      </c>
      <c r="J16" s="33">
        <f>Tabla2[[#This Row],[Referencias Recomendadas]]*Tabla2[[#This Row],[Meta Referencias]]</f>
        <v>0</v>
      </c>
      <c r="K16" s="33" t="s">
        <v>411</v>
      </c>
    </row>
    <row r="17" spans="1:11" hidden="1" x14ac:dyDescent="0.35">
      <c r="A17" s="21" t="s">
        <v>463</v>
      </c>
      <c r="B17" s="15" t="s">
        <v>474</v>
      </c>
      <c r="C17" s="16">
        <v>153441</v>
      </c>
      <c r="D17" s="58"/>
      <c r="E17" s="18"/>
      <c r="F17" s="19"/>
      <c r="G17" s="20"/>
      <c r="H17" s="33">
        <v>10</v>
      </c>
      <c r="J17" s="33">
        <f>Tabla2[[#This Row],[Referencias Recomendadas]]*Tabla2[[#This Row],[Meta Referencias]]</f>
        <v>0</v>
      </c>
      <c r="K17" s="33" t="s">
        <v>411</v>
      </c>
    </row>
    <row r="18" spans="1:11" hidden="1" x14ac:dyDescent="0.35">
      <c r="A18" s="21" t="s">
        <v>264</v>
      </c>
      <c r="B18" s="15" t="s">
        <v>472</v>
      </c>
      <c r="C18" s="16">
        <v>79601448</v>
      </c>
      <c r="D18" s="58"/>
      <c r="E18" s="18"/>
      <c r="F18" s="19">
        <v>54307248</v>
      </c>
      <c r="G18" s="20"/>
      <c r="H18" s="33">
        <v>190</v>
      </c>
      <c r="J18" s="33">
        <f>Tabla2[[#This Row],[Referencias Recomendadas]]*Tabla2[[#This Row],[Meta Referencias]]</f>
        <v>0</v>
      </c>
      <c r="K18" s="33" t="s">
        <v>411</v>
      </c>
    </row>
    <row r="19" spans="1:11" hidden="1" x14ac:dyDescent="0.35">
      <c r="A19" s="21" t="s">
        <v>264</v>
      </c>
      <c r="B19" s="15" t="s">
        <v>473</v>
      </c>
      <c r="C19" s="16">
        <v>39600648</v>
      </c>
      <c r="D19" s="58"/>
      <c r="E19" s="18"/>
      <c r="F19" s="19">
        <v>33958879</v>
      </c>
      <c r="G19" s="20"/>
      <c r="H19" s="33">
        <v>48</v>
      </c>
      <c r="J19" s="33">
        <f>Tabla2[[#This Row],[Referencias Recomendadas]]*Tabla2[[#This Row],[Meta Referencias]]</f>
        <v>0</v>
      </c>
      <c r="K19" s="33" t="s">
        <v>411</v>
      </c>
    </row>
    <row r="20" spans="1:11" hidden="1" x14ac:dyDescent="0.35">
      <c r="A20" s="21" t="s">
        <v>264</v>
      </c>
      <c r="B20" s="15" t="s">
        <v>474</v>
      </c>
      <c r="C20" s="16">
        <v>4169600</v>
      </c>
      <c r="D20" s="58"/>
      <c r="E20" s="18"/>
      <c r="F20" s="19">
        <v>2061026</v>
      </c>
      <c r="G20" s="20"/>
      <c r="H20" s="33">
        <v>10</v>
      </c>
      <c r="J20" s="33">
        <f>Tabla2[[#This Row],[Referencias Recomendadas]]*Tabla2[[#This Row],[Meta Referencias]]</f>
        <v>0</v>
      </c>
      <c r="K20" s="33" t="s">
        <v>411</v>
      </c>
    </row>
    <row r="21" spans="1:11" x14ac:dyDescent="0.35">
      <c r="A21" s="21" t="s">
        <v>464</v>
      </c>
      <c r="B21" s="15" t="s">
        <v>472</v>
      </c>
      <c r="C21" s="16">
        <v>361007776</v>
      </c>
      <c r="D21" s="58"/>
      <c r="E21" s="18"/>
      <c r="F21" s="19">
        <v>388446653</v>
      </c>
      <c r="G21" s="20"/>
      <c r="H21" s="33">
        <v>190</v>
      </c>
      <c r="J21" s="33">
        <f>Tabla2[[#This Row],[Referencias Recomendadas]]*Tabla2[[#This Row],[Meta Referencias]]</f>
        <v>0</v>
      </c>
      <c r="K21" s="33" t="s">
        <v>411</v>
      </c>
    </row>
    <row r="22" spans="1:11" x14ac:dyDescent="0.35">
      <c r="A22" s="21" t="s">
        <v>464</v>
      </c>
      <c r="B22" s="15" t="s">
        <v>473</v>
      </c>
      <c r="C22" s="16">
        <v>31920688</v>
      </c>
      <c r="D22" s="17"/>
      <c r="E22" s="18"/>
      <c r="F22" s="19">
        <v>58030614</v>
      </c>
      <c r="G22" s="20"/>
      <c r="H22" s="33">
        <v>48</v>
      </c>
      <c r="J22" s="33">
        <f>Tabla2[[#This Row],[Referencias Recomendadas]]*Tabla2[[#This Row],[Meta Referencias]]</f>
        <v>0</v>
      </c>
      <c r="K22" s="33" t="s">
        <v>411</v>
      </c>
    </row>
    <row r="23" spans="1:11" x14ac:dyDescent="0.35">
      <c r="A23" s="21" t="s">
        <v>464</v>
      </c>
      <c r="B23" s="15" t="s">
        <v>474</v>
      </c>
      <c r="C23" s="16">
        <v>4962661</v>
      </c>
      <c r="D23" s="17"/>
      <c r="E23" s="18"/>
      <c r="F23" s="19">
        <v>501700</v>
      </c>
      <c r="G23" s="20"/>
      <c r="H23" s="33">
        <v>10</v>
      </c>
      <c r="J23" s="33">
        <f>Tabla2[[#This Row],[Referencias Recomendadas]]*Tabla2[[#This Row],[Meta Referencias]]</f>
        <v>0</v>
      </c>
      <c r="K23" s="33" t="s">
        <v>411</v>
      </c>
    </row>
    <row r="24" spans="1:11" hidden="1" x14ac:dyDescent="0.35">
      <c r="A24" s="21" t="s">
        <v>150</v>
      </c>
      <c r="B24" s="15" t="s">
        <v>472</v>
      </c>
      <c r="C24" s="16">
        <v>748420544</v>
      </c>
      <c r="D24" s="17"/>
      <c r="E24" s="18"/>
      <c r="F24" s="19">
        <v>1112274808</v>
      </c>
      <c r="G24" s="20"/>
      <c r="H24" s="33">
        <v>190</v>
      </c>
      <c r="J24" s="33">
        <f>Tabla2[[#This Row],[Referencias Recomendadas]]*Tabla2[[#This Row],[Meta Referencias]]</f>
        <v>0</v>
      </c>
      <c r="K24" s="33" t="s">
        <v>411</v>
      </c>
    </row>
    <row r="25" spans="1:11" hidden="1" x14ac:dyDescent="0.35">
      <c r="A25" s="21" t="s">
        <v>150</v>
      </c>
      <c r="B25" s="15" t="s">
        <v>473</v>
      </c>
      <c r="C25" s="16">
        <v>113947896</v>
      </c>
      <c r="D25" s="17"/>
      <c r="E25" s="18"/>
      <c r="F25" s="19">
        <v>130001598</v>
      </c>
      <c r="G25" s="20"/>
      <c r="H25" s="33">
        <v>48</v>
      </c>
      <c r="J25" s="33">
        <f>Tabla2[[#This Row],[Referencias Recomendadas]]*Tabla2[[#This Row],[Meta Referencias]]</f>
        <v>0</v>
      </c>
      <c r="K25" s="33" t="s">
        <v>411</v>
      </c>
    </row>
    <row r="26" spans="1:11" hidden="1" x14ac:dyDescent="0.35">
      <c r="A26" s="21" t="s">
        <v>150</v>
      </c>
      <c r="B26" s="15" t="s">
        <v>474</v>
      </c>
      <c r="C26" s="16">
        <v>8740211</v>
      </c>
      <c r="D26" s="17"/>
      <c r="E26" s="18"/>
      <c r="F26" s="19">
        <v>2061026</v>
      </c>
      <c r="G26" s="20"/>
      <c r="H26" s="33">
        <v>10</v>
      </c>
      <c r="J26" s="33">
        <f>Tabla2[[#This Row],[Referencias Recomendadas]]*Tabla2[[#This Row],[Meta Referencias]]</f>
        <v>0</v>
      </c>
      <c r="K26" s="33" t="s">
        <v>411</v>
      </c>
    </row>
    <row r="27" spans="1:11" hidden="1" x14ac:dyDescent="0.35">
      <c r="A27" s="21" t="s">
        <v>465</v>
      </c>
      <c r="B27" s="15" t="s">
        <v>472</v>
      </c>
      <c r="C27" s="16">
        <v>0</v>
      </c>
      <c r="D27" s="17"/>
      <c r="E27" s="18"/>
      <c r="F27" s="19"/>
      <c r="G27" s="20"/>
      <c r="H27" s="33">
        <v>190</v>
      </c>
      <c r="J27" s="33">
        <f>Tabla2[[#This Row],[Referencias Recomendadas]]*Tabla2[[#This Row],[Meta Referencias]]</f>
        <v>0</v>
      </c>
      <c r="K27" s="33" t="s">
        <v>411</v>
      </c>
    </row>
    <row r="28" spans="1:11" hidden="1" x14ac:dyDescent="0.35">
      <c r="A28" s="21" t="s">
        <v>465</v>
      </c>
      <c r="B28" s="15" t="s">
        <v>473</v>
      </c>
      <c r="C28" s="16">
        <v>5323440</v>
      </c>
      <c r="D28" s="17"/>
      <c r="E28" s="18"/>
      <c r="F28" s="19">
        <v>13657554</v>
      </c>
      <c r="G28" s="20"/>
      <c r="H28" s="33">
        <v>48</v>
      </c>
      <c r="J28" s="33">
        <f>Tabla2[[#This Row],[Referencias Recomendadas]]*Tabla2[[#This Row],[Meta Referencias]]</f>
        <v>0</v>
      </c>
      <c r="K28" s="33" t="s">
        <v>411</v>
      </c>
    </row>
    <row r="29" spans="1:11" hidden="1" x14ac:dyDescent="0.35">
      <c r="A29" s="21" t="s">
        <v>465</v>
      </c>
      <c r="B29" s="15" t="s">
        <v>474</v>
      </c>
      <c r="C29" s="16">
        <v>1140737</v>
      </c>
      <c r="D29" s="17"/>
      <c r="E29" s="18"/>
      <c r="F29" s="19"/>
      <c r="G29" s="20"/>
      <c r="H29" s="33">
        <v>10</v>
      </c>
      <c r="J29" s="33">
        <f>Tabla2[[#This Row],[Referencias Recomendadas]]*Tabla2[[#This Row],[Meta Referencias]]</f>
        <v>0</v>
      </c>
      <c r="K29" s="33" t="s">
        <v>411</v>
      </c>
    </row>
    <row r="30" spans="1:11" hidden="1" x14ac:dyDescent="0.35">
      <c r="A30" s="21" t="s">
        <v>466</v>
      </c>
      <c r="B30" s="15" t="s">
        <v>472</v>
      </c>
      <c r="C30" s="16">
        <v>261901696</v>
      </c>
      <c r="D30" s="17"/>
      <c r="E30" s="18"/>
      <c r="F30" s="19">
        <v>355638300</v>
      </c>
      <c r="G30" s="20"/>
      <c r="H30" s="33">
        <v>190</v>
      </c>
      <c r="J30" s="33">
        <f>Tabla2[[#This Row],[Referencias Recomendadas]]*Tabla2[[#This Row],[Meta Referencias]]</f>
        <v>0</v>
      </c>
      <c r="K30" s="33" t="s">
        <v>411</v>
      </c>
    </row>
    <row r="31" spans="1:11" hidden="1" x14ac:dyDescent="0.35">
      <c r="A31" s="21" t="s">
        <v>466</v>
      </c>
      <c r="B31" s="15" t="s">
        <v>473</v>
      </c>
      <c r="C31" s="16">
        <v>5465774</v>
      </c>
      <c r="D31" s="17"/>
      <c r="E31" s="18"/>
      <c r="F31" s="19">
        <v>4204200</v>
      </c>
      <c r="G31" s="20"/>
      <c r="H31" s="33">
        <v>48</v>
      </c>
      <c r="J31" s="33">
        <f>Tabla2[[#This Row],[Referencias Recomendadas]]*Tabla2[[#This Row],[Meta Referencias]]</f>
        <v>0</v>
      </c>
      <c r="K31" s="33" t="s">
        <v>411</v>
      </c>
    </row>
    <row r="32" spans="1:11" hidden="1" x14ac:dyDescent="0.35">
      <c r="A32" s="21" t="s">
        <v>466</v>
      </c>
      <c r="B32" s="15" t="s">
        <v>474</v>
      </c>
      <c r="C32" s="16">
        <v>455481</v>
      </c>
      <c r="D32" s="17"/>
      <c r="E32" s="18"/>
      <c r="F32" s="19"/>
      <c r="G32" s="20"/>
      <c r="H32" s="33">
        <v>10</v>
      </c>
      <c r="J32" s="33">
        <f>Tabla2[[#This Row],[Referencias Recomendadas]]*Tabla2[[#This Row],[Meta Referencias]]</f>
        <v>0</v>
      </c>
      <c r="K32" s="33" t="s">
        <v>411</v>
      </c>
    </row>
    <row r="33" spans="1:11" hidden="1" x14ac:dyDescent="0.35">
      <c r="A33" s="21" t="s">
        <v>148</v>
      </c>
      <c r="B33" s="15" t="s">
        <v>472</v>
      </c>
      <c r="C33" s="16">
        <v>384065600</v>
      </c>
      <c r="D33" s="17">
        <v>19263400</v>
      </c>
      <c r="E33" s="18">
        <v>5.0156535758474591E-2</v>
      </c>
      <c r="F33" s="19">
        <v>463528892</v>
      </c>
      <c r="G33" s="20">
        <v>4.1558143046669029E-2</v>
      </c>
      <c r="H33" s="33">
        <v>190</v>
      </c>
      <c r="I33">
        <v>3.6842105263157891E-2</v>
      </c>
      <c r="J33" s="33">
        <f>Tabla2[[#This Row],[Referencias Recomendadas]]*Tabla2[[#This Row],[Meta Referencias]]</f>
        <v>6.9999999999999991</v>
      </c>
      <c r="K33" s="33" t="s">
        <v>504</v>
      </c>
    </row>
    <row r="34" spans="1:11" hidden="1" x14ac:dyDescent="0.35">
      <c r="A34" s="21" t="s">
        <v>148</v>
      </c>
      <c r="B34" s="15" t="s">
        <v>473</v>
      </c>
      <c r="C34" s="16">
        <v>47608132</v>
      </c>
      <c r="D34" s="17">
        <v>4976000</v>
      </c>
      <c r="E34" s="18">
        <v>0.10451995890113899</v>
      </c>
      <c r="F34" s="19">
        <v>28670712</v>
      </c>
      <c r="G34" s="20">
        <v>0.17355690364438806</v>
      </c>
      <c r="H34" s="33">
        <v>48</v>
      </c>
      <c r="I34">
        <v>8.3333333333333329E-2</v>
      </c>
      <c r="J34" s="33">
        <f>Tabla2[[#This Row],[Referencias Recomendadas]]*Tabla2[[#This Row],[Meta Referencias]]</f>
        <v>4</v>
      </c>
      <c r="K34" s="33" t="s">
        <v>504</v>
      </c>
    </row>
    <row r="35" spans="1:11" hidden="1" x14ac:dyDescent="0.35">
      <c r="A35" s="21" t="s">
        <v>148</v>
      </c>
      <c r="B35" s="15" t="s">
        <v>474</v>
      </c>
      <c r="C35" s="16">
        <v>5200888</v>
      </c>
      <c r="D35" s="17"/>
      <c r="E35" s="18"/>
      <c r="F35" s="19"/>
      <c r="G35" s="20"/>
      <c r="H35" s="33">
        <v>10</v>
      </c>
      <c r="J35" s="33">
        <f>Tabla2[[#This Row],[Referencias Recomendadas]]*Tabla2[[#This Row],[Meta Referencias]]</f>
        <v>0</v>
      </c>
      <c r="K35" s="33" t="s">
        <v>504</v>
      </c>
    </row>
    <row r="36" spans="1:11" hidden="1" x14ac:dyDescent="0.35">
      <c r="A36" s="21" t="s">
        <v>280</v>
      </c>
      <c r="B36" s="15" t="s">
        <v>472</v>
      </c>
      <c r="C36" s="16">
        <v>151964288</v>
      </c>
      <c r="D36" s="17"/>
      <c r="E36" s="18"/>
      <c r="F36" s="19">
        <v>146257147</v>
      </c>
      <c r="G36" s="20"/>
      <c r="H36" s="33">
        <v>190</v>
      </c>
      <c r="J36" s="33">
        <f>Tabla2[[#This Row],[Referencias Recomendadas]]*Tabla2[[#This Row],[Meta Referencias]]</f>
        <v>0</v>
      </c>
      <c r="K36" s="33" t="s">
        <v>504</v>
      </c>
    </row>
    <row r="37" spans="1:11" hidden="1" x14ac:dyDescent="0.35">
      <c r="A37" s="21" t="s">
        <v>280</v>
      </c>
      <c r="B37" s="15" t="s">
        <v>473</v>
      </c>
      <c r="C37" s="16">
        <v>3039286</v>
      </c>
      <c r="D37" s="17"/>
      <c r="E37" s="18"/>
      <c r="F37" s="19">
        <v>3548000</v>
      </c>
      <c r="G37" s="20"/>
      <c r="H37" s="33">
        <v>48</v>
      </c>
      <c r="J37" s="33">
        <f>Tabla2[[#This Row],[Referencias Recomendadas]]*Tabla2[[#This Row],[Meta Referencias]]</f>
        <v>0</v>
      </c>
      <c r="K37" s="33" t="s">
        <v>504</v>
      </c>
    </row>
    <row r="38" spans="1:11" hidden="1" x14ac:dyDescent="0.35">
      <c r="A38" s="21" t="s">
        <v>280</v>
      </c>
      <c r="B38" s="15" t="s">
        <v>474</v>
      </c>
      <c r="C38" s="16">
        <v>159962</v>
      </c>
      <c r="D38" s="17"/>
      <c r="E38" s="18"/>
      <c r="F38" s="19"/>
      <c r="G38" s="20"/>
      <c r="H38" s="33">
        <v>10</v>
      </c>
      <c r="J38" s="33">
        <f>Tabla2[[#This Row],[Referencias Recomendadas]]*Tabla2[[#This Row],[Meta Referencias]]</f>
        <v>0</v>
      </c>
      <c r="K38" s="33" t="s">
        <v>504</v>
      </c>
    </row>
    <row r="39" spans="1:11" hidden="1" x14ac:dyDescent="0.35">
      <c r="A39" s="21" t="s">
        <v>462</v>
      </c>
      <c r="B39" s="15" t="s">
        <v>472</v>
      </c>
      <c r="C39" s="16">
        <v>0</v>
      </c>
      <c r="D39" s="17"/>
      <c r="E39" s="18"/>
      <c r="F39" s="19"/>
      <c r="G39" s="20"/>
      <c r="H39" s="33">
        <v>190</v>
      </c>
      <c r="J39" s="33">
        <f>Tabla2[[#This Row],[Referencias Recomendadas]]*Tabla2[[#This Row],[Meta Referencias]]</f>
        <v>0</v>
      </c>
      <c r="K39" s="33" t="s">
        <v>504</v>
      </c>
    </row>
    <row r="40" spans="1:11" hidden="1" x14ac:dyDescent="0.35">
      <c r="A40" s="21" t="s">
        <v>462</v>
      </c>
      <c r="B40" s="15" t="s">
        <v>473</v>
      </c>
      <c r="C40" s="16">
        <v>31047966</v>
      </c>
      <c r="D40" s="17"/>
      <c r="E40" s="18"/>
      <c r="F40" s="19">
        <v>5726900</v>
      </c>
      <c r="G40" s="20"/>
      <c r="H40" s="33">
        <v>48</v>
      </c>
      <c r="J40" s="33">
        <f>Tabla2[[#This Row],[Referencias Recomendadas]]*Tabla2[[#This Row],[Meta Referencias]]</f>
        <v>0</v>
      </c>
      <c r="K40" s="33" t="s">
        <v>504</v>
      </c>
    </row>
    <row r="41" spans="1:11" hidden="1" x14ac:dyDescent="0.35">
      <c r="A41" s="21" t="s">
        <v>462</v>
      </c>
      <c r="B41" s="15" t="s">
        <v>474</v>
      </c>
      <c r="C41" s="16">
        <v>1200308</v>
      </c>
      <c r="D41" s="17"/>
      <c r="E41" s="18"/>
      <c r="F41" s="19"/>
      <c r="G41" s="20"/>
      <c r="H41" s="33">
        <v>10</v>
      </c>
      <c r="J41" s="33">
        <f>Tabla2[[#This Row],[Referencias Recomendadas]]*Tabla2[[#This Row],[Meta Referencias]]</f>
        <v>0</v>
      </c>
      <c r="K41" s="33" t="s">
        <v>504</v>
      </c>
    </row>
    <row r="42" spans="1:11" hidden="1" x14ac:dyDescent="0.35">
      <c r="A42" s="21" t="s">
        <v>463</v>
      </c>
      <c r="B42" s="15" t="s">
        <v>472</v>
      </c>
      <c r="C42" s="16">
        <v>64262116</v>
      </c>
      <c r="D42" s="17"/>
      <c r="E42" s="18"/>
      <c r="F42" s="19">
        <v>44736600</v>
      </c>
      <c r="G42" s="20"/>
      <c r="H42" s="33">
        <v>190</v>
      </c>
      <c r="J42" s="33">
        <f>Tabla2[[#This Row],[Referencias Recomendadas]]*Tabla2[[#This Row],[Meta Referencias]]</f>
        <v>0</v>
      </c>
      <c r="K42" s="33" t="s">
        <v>504</v>
      </c>
    </row>
    <row r="43" spans="1:11" hidden="1" x14ac:dyDescent="0.35">
      <c r="A43" s="21" t="s">
        <v>463</v>
      </c>
      <c r="B43" s="15" t="s">
        <v>473</v>
      </c>
      <c r="C43" s="16">
        <v>401638</v>
      </c>
      <c r="D43" s="17"/>
      <c r="E43" s="18"/>
      <c r="F43" s="19"/>
      <c r="G43" s="20"/>
      <c r="H43" s="33">
        <v>48</v>
      </c>
      <c r="J43" s="33">
        <f>Tabla2[[#This Row],[Referencias Recomendadas]]*Tabla2[[#This Row],[Meta Referencias]]</f>
        <v>0</v>
      </c>
      <c r="K43" s="33" t="s">
        <v>504</v>
      </c>
    </row>
    <row r="44" spans="1:11" hidden="1" x14ac:dyDescent="0.35">
      <c r="A44" s="21" t="s">
        <v>463</v>
      </c>
      <c r="B44" s="15" t="s">
        <v>474</v>
      </c>
      <c r="C44" s="16">
        <v>160655</v>
      </c>
      <c r="D44" s="17"/>
      <c r="E44" s="18"/>
      <c r="F44" s="19"/>
      <c r="G44" s="20"/>
      <c r="H44" s="33">
        <v>10</v>
      </c>
      <c r="J44" s="33">
        <f>Tabla2[[#This Row],[Referencias Recomendadas]]*Tabla2[[#This Row],[Meta Referencias]]</f>
        <v>0</v>
      </c>
      <c r="K44" s="33" t="s">
        <v>504</v>
      </c>
    </row>
    <row r="45" spans="1:11" hidden="1" x14ac:dyDescent="0.35">
      <c r="A45" s="21" t="s">
        <v>264</v>
      </c>
      <c r="B45" s="15" t="s">
        <v>472</v>
      </c>
      <c r="C45" s="16">
        <v>83909728</v>
      </c>
      <c r="D45" s="17"/>
      <c r="E45" s="18"/>
      <c r="F45" s="19">
        <v>63027497</v>
      </c>
      <c r="G45" s="20"/>
      <c r="H45" s="33">
        <v>190</v>
      </c>
      <c r="J45" s="33">
        <f>Tabla2[[#This Row],[Referencias Recomendadas]]*Tabla2[[#This Row],[Meta Referencias]]</f>
        <v>0</v>
      </c>
      <c r="K45" s="33" t="s">
        <v>504</v>
      </c>
    </row>
    <row r="46" spans="1:11" hidden="1" x14ac:dyDescent="0.35">
      <c r="A46" s="21" t="s">
        <v>264</v>
      </c>
      <c r="B46" s="15" t="s">
        <v>473</v>
      </c>
      <c r="C46" s="16">
        <v>41743960</v>
      </c>
      <c r="D46" s="17"/>
      <c r="E46" s="18"/>
      <c r="F46" s="19">
        <v>23477907</v>
      </c>
      <c r="G46" s="20"/>
      <c r="H46" s="33">
        <v>48</v>
      </c>
      <c r="J46" s="33">
        <f>Tabla2[[#This Row],[Referencias Recomendadas]]*Tabla2[[#This Row],[Meta Referencias]]</f>
        <v>0</v>
      </c>
      <c r="K46" s="33" t="s">
        <v>504</v>
      </c>
    </row>
    <row r="47" spans="1:11" hidden="1" x14ac:dyDescent="0.35">
      <c r="A47" s="21" t="s">
        <v>264</v>
      </c>
      <c r="B47" s="15" t="s">
        <v>474</v>
      </c>
      <c r="C47" s="16">
        <v>4395272</v>
      </c>
      <c r="D47" s="17"/>
      <c r="E47" s="18"/>
      <c r="F47" s="19">
        <v>1106205</v>
      </c>
      <c r="G47" s="20"/>
      <c r="H47" s="33">
        <v>10</v>
      </c>
      <c r="J47" s="33">
        <f>Tabla2[[#This Row],[Referencias Recomendadas]]*Tabla2[[#This Row],[Meta Referencias]]</f>
        <v>0</v>
      </c>
      <c r="K47" s="33" t="s">
        <v>504</v>
      </c>
    </row>
    <row r="48" spans="1:11" x14ac:dyDescent="0.35">
      <c r="A48" s="21" t="s">
        <v>464</v>
      </c>
      <c r="B48" s="15" t="s">
        <v>472</v>
      </c>
      <c r="C48" s="16">
        <v>380003584</v>
      </c>
      <c r="D48" s="17"/>
      <c r="E48" s="18"/>
      <c r="F48" s="19">
        <v>360275221</v>
      </c>
      <c r="G48" s="20"/>
      <c r="H48" s="33">
        <v>190</v>
      </c>
      <c r="J48" s="33">
        <f>Tabla2[[#This Row],[Referencias Recomendadas]]*Tabla2[[#This Row],[Meta Referencias]]</f>
        <v>0</v>
      </c>
      <c r="K48" s="33" t="s">
        <v>504</v>
      </c>
    </row>
    <row r="49" spans="1:11" x14ac:dyDescent="0.35">
      <c r="A49" s="21" t="s">
        <v>464</v>
      </c>
      <c r="B49" s="15" t="s">
        <v>473</v>
      </c>
      <c r="C49" s="16">
        <v>33600316</v>
      </c>
      <c r="D49" s="17"/>
      <c r="E49" s="18"/>
      <c r="F49" s="19">
        <v>29445000</v>
      </c>
      <c r="G49" s="20"/>
      <c r="H49" s="33">
        <v>48</v>
      </c>
      <c r="J49" s="33">
        <f>Tabla2[[#This Row],[Referencias Recomendadas]]*Tabla2[[#This Row],[Meta Referencias]]</f>
        <v>0</v>
      </c>
      <c r="K49" s="33" t="s">
        <v>504</v>
      </c>
    </row>
    <row r="50" spans="1:11" x14ac:dyDescent="0.35">
      <c r="A50" s="21" t="s">
        <v>464</v>
      </c>
      <c r="B50" s="15" t="s">
        <v>474</v>
      </c>
      <c r="C50" s="16">
        <v>5223791</v>
      </c>
      <c r="D50" s="17"/>
      <c r="E50" s="18"/>
      <c r="F50" s="19"/>
      <c r="G50" s="20"/>
      <c r="H50" s="33">
        <v>10</v>
      </c>
      <c r="J50" s="33">
        <f>Tabla2[[#This Row],[Referencias Recomendadas]]*Tabla2[[#This Row],[Meta Referencias]]</f>
        <v>0</v>
      </c>
      <c r="K50" s="33" t="s">
        <v>504</v>
      </c>
    </row>
    <row r="51" spans="1:11" hidden="1" x14ac:dyDescent="0.35">
      <c r="A51" s="21" t="s">
        <v>150</v>
      </c>
      <c r="B51" s="15" t="s">
        <v>472</v>
      </c>
      <c r="C51" s="16">
        <v>787800320</v>
      </c>
      <c r="D51" s="17"/>
      <c r="E51" s="18"/>
      <c r="F51" s="19">
        <v>594213957</v>
      </c>
      <c r="G51" s="20"/>
      <c r="H51" s="33">
        <v>190</v>
      </c>
      <c r="J51" s="33">
        <f>Tabla2[[#This Row],[Referencias Recomendadas]]*Tabla2[[#This Row],[Meta Referencias]]</f>
        <v>0</v>
      </c>
      <c r="K51" s="33" t="s">
        <v>504</v>
      </c>
    </row>
    <row r="52" spans="1:11" hidden="1" x14ac:dyDescent="0.35">
      <c r="A52" s="21" t="s">
        <v>150</v>
      </c>
      <c r="B52" s="15" t="s">
        <v>473</v>
      </c>
      <c r="C52" s="16">
        <v>119943512</v>
      </c>
      <c r="D52" s="17"/>
      <c r="E52" s="18"/>
      <c r="F52" s="19">
        <v>120265825</v>
      </c>
      <c r="G52" s="20"/>
      <c r="H52" s="33">
        <v>48</v>
      </c>
      <c r="J52" s="33">
        <f>Tabla2[[#This Row],[Referencias Recomendadas]]*Tabla2[[#This Row],[Meta Referencias]]</f>
        <v>0</v>
      </c>
      <c r="K52" s="33" t="s">
        <v>504</v>
      </c>
    </row>
    <row r="53" spans="1:11" hidden="1" x14ac:dyDescent="0.35">
      <c r="A53" s="21" t="s">
        <v>150</v>
      </c>
      <c r="B53" s="15" t="s">
        <v>474</v>
      </c>
      <c r="C53" s="16">
        <v>9200096</v>
      </c>
      <c r="D53" s="17"/>
      <c r="E53" s="18"/>
      <c r="F53" s="19">
        <v>2097305</v>
      </c>
      <c r="G53" s="20"/>
      <c r="H53" s="33">
        <v>10</v>
      </c>
      <c r="J53" s="33">
        <f>Tabla2[[#This Row],[Referencias Recomendadas]]*Tabla2[[#This Row],[Meta Referencias]]</f>
        <v>0</v>
      </c>
      <c r="K53" s="33" t="s">
        <v>504</v>
      </c>
    </row>
    <row r="54" spans="1:11" hidden="1" x14ac:dyDescent="0.35">
      <c r="A54" s="21" t="s">
        <v>133</v>
      </c>
      <c r="B54" s="15" t="s">
        <v>472</v>
      </c>
      <c r="C54" s="16">
        <v>176037312</v>
      </c>
      <c r="D54" s="17"/>
      <c r="E54" s="18"/>
      <c r="F54" s="19">
        <v>168526399</v>
      </c>
      <c r="G54" s="20"/>
      <c r="H54" s="33">
        <v>190</v>
      </c>
      <c r="J54" s="33">
        <f>Tabla2[[#This Row],[Referencias Recomendadas]]*Tabla2[[#This Row],[Meta Referencias]]</f>
        <v>0</v>
      </c>
      <c r="K54" s="33" t="s">
        <v>504</v>
      </c>
    </row>
    <row r="55" spans="1:11" hidden="1" x14ac:dyDescent="0.35">
      <c r="A55" s="21" t="s">
        <v>133</v>
      </c>
      <c r="B55" s="15" t="s">
        <v>473</v>
      </c>
      <c r="C55" s="16">
        <v>31206612</v>
      </c>
      <c r="D55" s="17"/>
      <c r="E55" s="18"/>
      <c r="F55" s="19">
        <v>30425231</v>
      </c>
      <c r="G55" s="20"/>
      <c r="H55" s="33">
        <v>48</v>
      </c>
      <c r="J55" s="33">
        <f>Tabla2[[#This Row],[Referencias Recomendadas]]*Tabla2[[#This Row],[Meta Referencias]]</f>
        <v>0</v>
      </c>
      <c r="K55" s="33" t="s">
        <v>504</v>
      </c>
    </row>
    <row r="56" spans="1:11" hidden="1" x14ac:dyDescent="0.35">
      <c r="A56" s="21" t="s">
        <v>133</v>
      </c>
      <c r="B56" s="15" t="s">
        <v>474</v>
      </c>
      <c r="C56" s="16">
        <v>5201102</v>
      </c>
      <c r="D56" s="17"/>
      <c r="E56" s="18"/>
      <c r="F56" s="19">
        <v>1106205</v>
      </c>
      <c r="G56" s="20"/>
      <c r="H56" s="33">
        <v>10</v>
      </c>
      <c r="J56" s="33">
        <f>Tabla2[[#This Row],[Referencias Recomendadas]]*Tabla2[[#This Row],[Meta Referencias]]</f>
        <v>0</v>
      </c>
      <c r="K56" s="33" t="s">
        <v>504</v>
      </c>
    </row>
    <row r="57" spans="1:11" hidden="1" x14ac:dyDescent="0.35">
      <c r="A57" s="21" t="s">
        <v>465</v>
      </c>
      <c r="B57" s="15" t="s">
        <v>472</v>
      </c>
      <c r="C57" s="16">
        <v>0</v>
      </c>
      <c r="D57" s="17"/>
      <c r="E57" s="18"/>
      <c r="F57" s="19"/>
      <c r="G57" s="20"/>
      <c r="H57" s="33">
        <v>190</v>
      </c>
      <c r="J57" s="33">
        <f>Tabla2[[#This Row],[Referencias Recomendadas]]*Tabla2[[#This Row],[Meta Referencias]]</f>
        <v>0</v>
      </c>
      <c r="K57" s="33" t="s">
        <v>504</v>
      </c>
    </row>
    <row r="58" spans="1:11" hidden="1" x14ac:dyDescent="0.35">
      <c r="A58" s="21" t="s">
        <v>465</v>
      </c>
      <c r="B58" s="15" t="s">
        <v>473</v>
      </c>
      <c r="C58" s="16">
        <v>5601563</v>
      </c>
      <c r="D58" s="17"/>
      <c r="E58" s="18"/>
      <c r="F58" s="19">
        <v>1809500</v>
      </c>
      <c r="G58" s="20"/>
      <c r="H58" s="33">
        <v>48</v>
      </c>
      <c r="J58" s="33">
        <f>Tabla2[[#This Row],[Referencias Recomendadas]]*Tabla2[[#This Row],[Meta Referencias]]</f>
        <v>0</v>
      </c>
      <c r="K58" s="33" t="s">
        <v>504</v>
      </c>
    </row>
    <row r="59" spans="1:11" hidden="1" x14ac:dyDescent="0.35">
      <c r="A59" s="21" t="s">
        <v>465</v>
      </c>
      <c r="B59" s="15" t="s">
        <v>474</v>
      </c>
      <c r="C59" s="16">
        <v>1200335</v>
      </c>
      <c r="D59" s="17"/>
      <c r="E59" s="18"/>
      <c r="F59" s="19"/>
      <c r="G59" s="20"/>
      <c r="H59" s="33">
        <v>10</v>
      </c>
      <c r="J59" s="33">
        <f>Tabla2[[#This Row],[Referencias Recomendadas]]*Tabla2[[#This Row],[Meta Referencias]]</f>
        <v>0</v>
      </c>
      <c r="K59" s="33" t="s">
        <v>504</v>
      </c>
    </row>
    <row r="60" spans="1:11" hidden="1" x14ac:dyDescent="0.35">
      <c r="A60" s="21" t="s">
        <v>466</v>
      </c>
      <c r="B60" s="15" t="s">
        <v>472</v>
      </c>
      <c r="C60" s="16">
        <v>275864384</v>
      </c>
      <c r="D60" s="17"/>
      <c r="E60" s="18"/>
      <c r="F60" s="19">
        <v>385483780</v>
      </c>
      <c r="G60" s="20"/>
      <c r="H60" s="33">
        <v>190</v>
      </c>
      <c r="J60" s="33">
        <f>Tabla2[[#This Row],[Referencias Recomendadas]]*Tabla2[[#This Row],[Meta Referencias]]</f>
        <v>0</v>
      </c>
      <c r="K60" s="33" t="s">
        <v>504</v>
      </c>
    </row>
    <row r="61" spans="1:11" hidden="1" x14ac:dyDescent="0.35">
      <c r="A61" s="21" t="s">
        <v>466</v>
      </c>
      <c r="B61" s="15" t="s">
        <v>473</v>
      </c>
      <c r="C61" s="16">
        <v>5757170</v>
      </c>
      <c r="D61" s="17"/>
      <c r="E61" s="18"/>
      <c r="F61" s="19">
        <v>2534200</v>
      </c>
      <c r="G61" s="20"/>
      <c r="H61" s="33">
        <v>48</v>
      </c>
      <c r="J61" s="33">
        <f>Tabla2[[#This Row],[Referencias Recomendadas]]*Tabla2[[#This Row],[Meta Referencias]]</f>
        <v>0</v>
      </c>
      <c r="K61" s="33" t="s">
        <v>504</v>
      </c>
    </row>
    <row r="62" spans="1:11" hidden="1" x14ac:dyDescent="0.35">
      <c r="A62" s="21" t="s">
        <v>466</v>
      </c>
      <c r="B62" s="15" t="s">
        <v>474</v>
      </c>
      <c r="C62" s="16">
        <v>479764</v>
      </c>
      <c r="D62" s="17"/>
      <c r="E62" s="18"/>
      <c r="F62" s="19"/>
      <c r="G62" s="20"/>
      <c r="H62" s="33">
        <v>10</v>
      </c>
      <c r="J62" s="33">
        <f>Tabla2[[#This Row],[Referencias Recomendadas]]*Tabla2[[#This Row],[Meta Referencias]]</f>
        <v>0</v>
      </c>
      <c r="K62" s="33" t="s">
        <v>504</v>
      </c>
    </row>
    <row r="63" spans="1:11" hidden="1" x14ac:dyDescent="0.35">
      <c r="A63" s="21" t="s">
        <v>466</v>
      </c>
      <c r="B63" s="15" t="s">
        <v>472</v>
      </c>
      <c r="C63" s="16">
        <v>345677984</v>
      </c>
      <c r="D63" s="17">
        <v>232212300</v>
      </c>
      <c r="E63" s="18">
        <v>0.67175900910137221</v>
      </c>
      <c r="F63" s="19">
        <v>598621740</v>
      </c>
      <c r="G63" s="20">
        <v>0.38791157167128609</v>
      </c>
      <c r="H63" s="33">
        <v>190</v>
      </c>
      <c r="I63">
        <v>0.12105263157894737</v>
      </c>
      <c r="J63" s="33">
        <f>Tabla2[[#This Row],[Referencias Recomendadas]]*Tabla2[[#This Row],[Meta Referencias]]</f>
        <v>23</v>
      </c>
      <c r="K63" s="33" t="s">
        <v>505</v>
      </c>
    </row>
    <row r="64" spans="1:11" hidden="1" x14ac:dyDescent="0.35">
      <c r="A64" s="21" t="s">
        <v>466</v>
      </c>
      <c r="B64" s="15" t="s">
        <v>473</v>
      </c>
      <c r="C64" s="16">
        <v>7214149</v>
      </c>
      <c r="D64" s="17">
        <v>1390800</v>
      </c>
      <c r="E64" s="18">
        <v>0.19278781184031546</v>
      </c>
      <c r="F64" s="19">
        <v>3574200</v>
      </c>
      <c r="G64" s="20">
        <v>0.38912204129595435</v>
      </c>
      <c r="H64" s="33">
        <v>48</v>
      </c>
      <c r="I64">
        <v>4.1666666666666664E-2</v>
      </c>
      <c r="J64" s="33">
        <f>Tabla2[[#This Row],[Referencias Recomendadas]]*Tabla2[[#This Row],[Meta Referencias]]</f>
        <v>2</v>
      </c>
      <c r="K64" s="33" t="s">
        <v>505</v>
      </c>
    </row>
    <row r="65" spans="1:11" hidden="1" x14ac:dyDescent="0.35">
      <c r="A65" s="21" t="s">
        <v>466</v>
      </c>
      <c r="B65" s="15" t="s">
        <v>474</v>
      </c>
      <c r="C65" s="16">
        <v>601179</v>
      </c>
      <c r="D65" s="17"/>
      <c r="E65" s="18"/>
      <c r="F65" s="19"/>
      <c r="G65" s="20"/>
      <c r="H65" s="33">
        <v>10</v>
      </c>
      <c r="J65" s="33">
        <f>Tabla2[[#This Row],[Referencias Recomendadas]]*Tabla2[[#This Row],[Meta Referencias]]</f>
        <v>0</v>
      </c>
      <c r="K65" s="33" t="s">
        <v>505</v>
      </c>
    </row>
    <row r="66" spans="1:11" hidden="1" x14ac:dyDescent="0.35">
      <c r="A66" s="21" t="s">
        <v>133</v>
      </c>
      <c r="B66" s="15" t="s">
        <v>472</v>
      </c>
      <c r="C66" s="16">
        <v>219813472</v>
      </c>
      <c r="D66" s="17">
        <v>22636600</v>
      </c>
      <c r="E66" s="18">
        <v>0.10298094922953585</v>
      </c>
      <c r="F66" s="19">
        <v>333083310</v>
      </c>
      <c r="G66" s="20">
        <v>6.7960775338758342E-2</v>
      </c>
      <c r="H66" s="33">
        <v>190</v>
      </c>
      <c r="I66">
        <v>6.8421052631578952E-2</v>
      </c>
      <c r="J66" s="33">
        <f>Tabla2[[#This Row],[Referencias Recomendadas]]*Tabla2[[#This Row],[Meta Referencias]]</f>
        <v>13</v>
      </c>
      <c r="K66" s="33" t="s">
        <v>505</v>
      </c>
    </row>
    <row r="67" spans="1:11" hidden="1" x14ac:dyDescent="0.35">
      <c r="A67" s="21" t="s">
        <v>133</v>
      </c>
      <c r="B67" s="15" t="s">
        <v>473</v>
      </c>
      <c r="C67" s="16">
        <v>38966932</v>
      </c>
      <c r="D67" s="17">
        <v>13541600</v>
      </c>
      <c r="E67" s="18">
        <v>0.34751517004212701</v>
      </c>
      <c r="F67" s="19">
        <v>59287809</v>
      </c>
      <c r="G67" s="20">
        <v>0.22840446001301887</v>
      </c>
      <c r="H67" s="33">
        <v>48</v>
      </c>
      <c r="I67">
        <v>0.33333333333333331</v>
      </c>
      <c r="J67" s="33">
        <f>Tabla2[[#This Row],[Referencias Recomendadas]]*Tabla2[[#This Row],[Meta Referencias]]</f>
        <v>16</v>
      </c>
      <c r="K67" s="33" t="s">
        <v>505</v>
      </c>
    </row>
    <row r="68" spans="1:11" hidden="1" x14ac:dyDescent="0.35">
      <c r="A68" s="21" t="s">
        <v>133</v>
      </c>
      <c r="B68" s="15" t="s">
        <v>474</v>
      </c>
      <c r="C68" s="16">
        <v>6494489</v>
      </c>
      <c r="D68" s="17">
        <v>0</v>
      </c>
      <c r="E68" s="18">
        <v>0</v>
      </c>
      <c r="F68" s="19">
        <v>590982</v>
      </c>
      <c r="G68" s="20">
        <v>0</v>
      </c>
      <c r="H68" s="33">
        <v>10</v>
      </c>
      <c r="I68">
        <v>0.1</v>
      </c>
      <c r="J68" s="33">
        <f>Tabla2[[#This Row],[Referencias Recomendadas]]*Tabla2[[#This Row],[Meta Referencias]]</f>
        <v>1</v>
      </c>
      <c r="K68" s="33" t="s">
        <v>505</v>
      </c>
    </row>
    <row r="69" spans="1:11" hidden="1" x14ac:dyDescent="0.35">
      <c r="A69" s="21" t="s">
        <v>148</v>
      </c>
      <c r="B69" s="15" t="s">
        <v>472</v>
      </c>
      <c r="C69" s="16">
        <v>479672096</v>
      </c>
      <c r="D69" s="17">
        <v>14157400</v>
      </c>
      <c r="E69" s="18">
        <v>2.9514745840041528E-2</v>
      </c>
      <c r="F69" s="19">
        <v>736304090</v>
      </c>
      <c r="G69" s="20">
        <v>1.9227653617950161E-2</v>
      </c>
      <c r="H69" s="33">
        <v>190</v>
      </c>
      <c r="I69">
        <v>2.6315789473684209E-2</v>
      </c>
      <c r="J69" s="33">
        <f>Tabla2[[#This Row],[Referencias Recomendadas]]*Tabla2[[#This Row],[Meta Referencias]]</f>
        <v>5</v>
      </c>
      <c r="K69" s="33" t="s">
        <v>505</v>
      </c>
    </row>
    <row r="70" spans="1:11" hidden="1" x14ac:dyDescent="0.35">
      <c r="A70" s="21" t="s">
        <v>148</v>
      </c>
      <c r="B70" s="15" t="s">
        <v>473</v>
      </c>
      <c r="C70" s="16">
        <v>59459352</v>
      </c>
      <c r="D70" s="17"/>
      <c r="E70" s="18"/>
      <c r="F70" s="19">
        <v>49231703</v>
      </c>
      <c r="G70" s="20"/>
      <c r="H70" s="33">
        <v>48</v>
      </c>
      <c r="J70" s="33">
        <f>Tabla2[[#This Row],[Referencias Recomendadas]]*Tabla2[[#This Row],[Meta Referencias]]</f>
        <v>0</v>
      </c>
      <c r="K70" s="33" t="s">
        <v>505</v>
      </c>
    </row>
    <row r="71" spans="1:11" hidden="1" x14ac:dyDescent="0.35">
      <c r="A71" s="21" t="s">
        <v>148</v>
      </c>
      <c r="B71" s="15" t="s">
        <v>474</v>
      </c>
      <c r="C71" s="16">
        <v>6495559</v>
      </c>
      <c r="D71" s="17"/>
      <c r="E71" s="18"/>
      <c r="F71" s="19">
        <v>1870000</v>
      </c>
      <c r="G71" s="20"/>
      <c r="H71" s="33">
        <v>10</v>
      </c>
      <c r="J71" s="33">
        <f>Tabla2[[#This Row],[Referencias Recomendadas]]*Tabla2[[#This Row],[Meta Referencias]]</f>
        <v>0</v>
      </c>
      <c r="K71" s="33" t="s">
        <v>505</v>
      </c>
    </row>
    <row r="72" spans="1:11" hidden="1" x14ac:dyDescent="0.35">
      <c r="A72" s="21" t="s">
        <v>264</v>
      </c>
      <c r="B72" s="15" t="s">
        <v>472</v>
      </c>
      <c r="C72" s="16">
        <v>105451264</v>
      </c>
      <c r="D72" s="17">
        <v>2092100</v>
      </c>
      <c r="E72" s="18">
        <v>1.9839496660751264E-2</v>
      </c>
      <c r="F72" s="19">
        <v>117339102</v>
      </c>
      <c r="G72" s="20">
        <v>1.7829521142917901E-2</v>
      </c>
      <c r="H72" s="33">
        <v>190</v>
      </c>
      <c r="I72">
        <v>4.736842105263158E-2</v>
      </c>
      <c r="J72" s="33">
        <f>Tabla2[[#This Row],[Referencias Recomendadas]]*Tabla2[[#This Row],[Meta Referencias]]</f>
        <v>9</v>
      </c>
      <c r="K72" s="33" t="s">
        <v>505</v>
      </c>
    </row>
    <row r="73" spans="1:11" hidden="1" x14ac:dyDescent="0.35">
      <c r="A73" s="21" t="s">
        <v>264</v>
      </c>
      <c r="B73" s="15" t="s">
        <v>473</v>
      </c>
      <c r="C73" s="16">
        <v>52460584</v>
      </c>
      <c r="D73" s="17">
        <v>1174600</v>
      </c>
      <c r="E73" s="18">
        <v>2.2390143426539055E-2</v>
      </c>
      <c r="F73" s="19">
        <v>39417209</v>
      </c>
      <c r="G73" s="20">
        <v>2.9799167160719064E-2</v>
      </c>
      <c r="H73" s="33">
        <v>48</v>
      </c>
      <c r="I73">
        <v>0.10416666666666667</v>
      </c>
      <c r="J73" s="33">
        <f>Tabla2[[#This Row],[Referencias Recomendadas]]*Tabla2[[#This Row],[Meta Referencias]]</f>
        <v>5</v>
      </c>
      <c r="K73" s="33" t="s">
        <v>505</v>
      </c>
    </row>
    <row r="74" spans="1:11" hidden="1" x14ac:dyDescent="0.35">
      <c r="A74" s="21" t="s">
        <v>264</v>
      </c>
      <c r="B74" s="15" t="s">
        <v>474</v>
      </c>
      <c r="C74" s="16">
        <v>5523638</v>
      </c>
      <c r="D74" s="17">
        <v>0</v>
      </c>
      <c r="E74" s="18">
        <v>0</v>
      </c>
      <c r="F74" s="19">
        <v>590982</v>
      </c>
      <c r="G74" s="20">
        <v>0</v>
      </c>
      <c r="H74" s="33">
        <v>10</v>
      </c>
      <c r="I74">
        <v>0.1</v>
      </c>
      <c r="J74" s="33">
        <f>Tabla2[[#This Row],[Referencias Recomendadas]]*Tabla2[[#This Row],[Meta Referencias]]</f>
        <v>1</v>
      </c>
      <c r="K74" s="33" t="s">
        <v>505</v>
      </c>
    </row>
    <row r="75" spans="1:11" x14ac:dyDescent="0.35">
      <c r="A75" s="21" t="s">
        <v>464</v>
      </c>
      <c r="B75" s="15" t="s">
        <v>473</v>
      </c>
      <c r="C75" s="16">
        <v>41998432</v>
      </c>
      <c r="D75" s="150">
        <v>1472100</v>
      </c>
      <c r="E75" s="18">
        <v>3.5051308582187066E-2</v>
      </c>
      <c r="F75" s="19">
        <v>33846280</v>
      </c>
      <c r="G75" s="20">
        <v>4.349370152347614E-2</v>
      </c>
      <c r="H75" s="33">
        <v>48</v>
      </c>
      <c r="I75">
        <v>8.3333333333333329E-2</v>
      </c>
      <c r="J75" s="33">
        <f>Tabla2[[#This Row],[Referencias Recomendadas]]*Tabla2[[#This Row],[Meta Referencias]]</f>
        <v>4</v>
      </c>
      <c r="K75" s="33" t="s">
        <v>505</v>
      </c>
    </row>
    <row r="76" spans="1:11" x14ac:dyDescent="0.35">
      <c r="A76" s="21" t="s">
        <v>464</v>
      </c>
      <c r="B76" s="15" t="s">
        <v>472</v>
      </c>
      <c r="C76" s="16">
        <v>474982272</v>
      </c>
      <c r="D76" s="150">
        <v>947500</v>
      </c>
      <c r="E76" s="18">
        <v>1.994811292662308E-3</v>
      </c>
      <c r="F76" s="19">
        <v>461822270</v>
      </c>
      <c r="G76" s="20">
        <v>2.0516550663526902E-3</v>
      </c>
      <c r="H76" s="33">
        <v>190</v>
      </c>
      <c r="I76">
        <v>4.2105263157894736E-2</v>
      </c>
      <c r="J76" s="33">
        <f>Tabla2[[#This Row],[Referencias Recomendadas]]*Tabla2[[#This Row],[Meta Referencias]]</f>
        <v>8</v>
      </c>
      <c r="K76" s="33" t="s">
        <v>505</v>
      </c>
    </row>
    <row r="77" spans="1:11" x14ac:dyDescent="0.35">
      <c r="A77" s="21" t="s">
        <v>464</v>
      </c>
      <c r="B77" s="15" t="s">
        <v>474</v>
      </c>
      <c r="C77" s="16">
        <v>6529433</v>
      </c>
      <c r="D77" s="17"/>
      <c r="E77" s="18"/>
      <c r="F77" s="19"/>
      <c r="G77" s="20"/>
      <c r="H77" s="33">
        <v>10</v>
      </c>
      <c r="J77" s="33">
        <f>Tabla2[[#This Row],[Referencias Recomendadas]]*Tabla2[[#This Row],[Meta Referencias]]</f>
        <v>0</v>
      </c>
      <c r="K77" s="33" t="s">
        <v>505</v>
      </c>
    </row>
    <row r="78" spans="1:11" hidden="1" x14ac:dyDescent="0.35">
      <c r="A78" s="21" t="s">
        <v>150</v>
      </c>
      <c r="B78" s="15" t="s">
        <v>472</v>
      </c>
      <c r="C78" s="16">
        <v>984699200</v>
      </c>
      <c r="D78" s="17">
        <v>661800</v>
      </c>
      <c r="E78" s="18">
        <v>6.7208341389939183E-4</v>
      </c>
      <c r="F78" s="19">
        <v>1940852079</v>
      </c>
      <c r="G78" s="20">
        <v>3.4098425488509368E-4</v>
      </c>
      <c r="H78" s="33">
        <v>190</v>
      </c>
      <c r="I78">
        <v>1.0526315789473684E-2</v>
      </c>
      <c r="J78" s="33">
        <f>Tabla2[[#This Row],[Referencias Recomendadas]]*Tabla2[[#This Row],[Meta Referencias]]</f>
        <v>2</v>
      </c>
      <c r="K78" s="33" t="s">
        <v>505</v>
      </c>
    </row>
    <row r="79" spans="1:11" hidden="1" x14ac:dyDescent="0.35">
      <c r="A79" s="21" t="s">
        <v>150</v>
      </c>
      <c r="B79" s="15" t="s">
        <v>473</v>
      </c>
      <c r="C79" s="16">
        <v>149921584</v>
      </c>
      <c r="D79" s="17">
        <v>274700</v>
      </c>
      <c r="E79" s="18">
        <v>1.8322912063148959E-3</v>
      </c>
      <c r="F79" s="19">
        <v>62266409</v>
      </c>
      <c r="G79" s="20">
        <v>4.411688491623148E-3</v>
      </c>
      <c r="H79" s="33">
        <v>48</v>
      </c>
      <c r="I79">
        <v>6.25E-2</v>
      </c>
      <c r="J79" s="33">
        <f>Tabla2[[#This Row],[Referencias Recomendadas]]*Tabla2[[#This Row],[Meta Referencias]]</f>
        <v>3</v>
      </c>
      <c r="K79" s="33" t="s">
        <v>505</v>
      </c>
    </row>
    <row r="80" spans="1:11" hidden="1" x14ac:dyDescent="0.35">
      <c r="A80" s="21" t="s">
        <v>150</v>
      </c>
      <c r="B80" s="15" t="s">
        <v>474</v>
      </c>
      <c r="C80" s="16">
        <v>11499521</v>
      </c>
      <c r="D80" s="17"/>
      <c r="E80" s="18"/>
      <c r="F80" s="19">
        <v>3390482</v>
      </c>
      <c r="G80" s="20"/>
      <c r="H80" s="33">
        <v>10</v>
      </c>
      <c r="J80" s="33">
        <f>Tabla2[[#This Row],[Referencias Recomendadas]]*Tabla2[[#This Row],[Meta Referencias]]</f>
        <v>0</v>
      </c>
      <c r="K80" s="33" t="s">
        <v>505</v>
      </c>
    </row>
    <row r="81" spans="1:11" hidden="1" x14ac:dyDescent="0.35">
      <c r="A81" s="21" t="s">
        <v>280</v>
      </c>
      <c r="B81" s="15" t="s">
        <v>472</v>
      </c>
      <c r="C81" s="16">
        <v>190178704</v>
      </c>
      <c r="D81" s="17"/>
      <c r="E81" s="18"/>
      <c r="F81" s="19">
        <v>211526001</v>
      </c>
      <c r="G81" s="20"/>
      <c r="H81" s="33">
        <v>190</v>
      </c>
      <c r="J81" s="33">
        <f>Tabla2[[#This Row],[Referencias Recomendadas]]*Tabla2[[#This Row],[Meta Referencias]]</f>
        <v>0</v>
      </c>
      <c r="K81" s="33" t="s">
        <v>505</v>
      </c>
    </row>
    <row r="82" spans="1:11" hidden="1" x14ac:dyDescent="0.35">
      <c r="A82" s="21" t="s">
        <v>280</v>
      </c>
      <c r="B82" s="15" t="s">
        <v>473</v>
      </c>
      <c r="C82" s="16">
        <v>3803574</v>
      </c>
      <c r="D82" s="17"/>
      <c r="E82" s="18"/>
      <c r="F82" s="19">
        <v>11003300</v>
      </c>
      <c r="G82" s="20"/>
      <c r="H82" s="33">
        <v>48</v>
      </c>
      <c r="J82" s="33">
        <f>Tabla2[[#This Row],[Referencias Recomendadas]]*Tabla2[[#This Row],[Meta Referencias]]</f>
        <v>0</v>
      </c>
      <c r="K82" s="33" t="s">
        <v>505</v>
      </c>
    </row>
    <row r="83" spans="1:11" hidden="1" x14ac:dyDescent="0.35">
      <c r="A83" s="21" t="s">
        <v>280</v>
      </c>
      <c r="B83" s="15" t="s">
        <v>474</v>
      </c>
      <c r="C83" s="16">
        <v>200188</v>
      </c>
      <c r="D83" s="17"/>
      <c r="E83" s="18"/>
      <c r="F83" s="19"/>
      <c r="G83" s="20"/>
      <c r="H83" s="33">
        <v>10</v>
      </c>
      <c r="J83" s="33">
        <f>Tabla2[[#This Row],[Referencias Recomendadas]]*Tabla2[[#This Row],[Meta Referencias]]</f>
        <v>0</v>
      </c>
      <c r="K83" s="33" t="s">
        <v>505</v>
      </c>
    </row>
    <row r="84" spans="1:11" hidden="1" x14ac:dyDescent="0.35">
      <c r="A84" s="21" t="s">
        <v>462</v>
      </c>
      <c r="B84" s="15" t="s">
        <v>472</v>
      </c>
      <c r="C84" s="16">
        <v>0</v>
      </c>
      <c r="D84" s="17"/>
      <c r="E84" s="18"/>
      <c r="F84" s="19"/>
      <c r="G84" s="20"/>
      <c r="H84" s="33">
        <v>190</v>
      </c>
      <c r="J84" s="33">
        <f>Tabla2[[#This Row],[Referencias Recomendadas]]*Tabla2[[#This Row],[Meta Referencias]]</f>
        <v>0</v>
      </c>
      <c r="K84" s="33" t="s">
        <v>505</v>
      </c>
    </row>
    <row r="85" spans="1:11" hidden="1" x14ac:dyDescent="0.35">
      <c r="A85" s="21" t="s">
        <v>462</v>
      </c>
      <c r="B85" s="15" t="s">
        <v>473</v>
      </c>
      <c r="C85" s="16">
        <v>38760176</v>
      </c>
      <c r="D85" s="17"/>
      <c r="E85" s="18"/>
      <c r="F85" s="19"/>
      <c r="G85" s="20"/>
      <c r="H85" s="33">
        <v>48</v>
      </c>
      <c r="J85" s="33">
        <f>Tabla2[[#This Row],[Referencias Recomendadas]]*Tabla2[[#This Row],[Meta Referencias]]</f>
        <v>0</v>
      </c>
      <c r="K85" s="33" t="s">
        <v>505</v>
      </c>
    </row>
    <row r="86" spans="1:11" hidden="1" x14ac:dyDescent="0.35">
      <c r="A86" s="21" t="s">
        <v>462</v>
      </c>
      <c r="B86" s="15" t="s">
        <v>474</v>
      </c>
      <c r="C86" s="16">
        <v>1498460</v>
      </c>
      <c r="D86" s="17"/>
      <c r="E86" s="18"/>
      <c r="F86" s="19"/>
      <c r="G86" s="20"/>
      <c r="H86" s="33">
        <v>10</v>
      </c>
      <c r="J86" s="33">
        <f>Tabla2[[#This Row],[Referencias Recomendadas]]*Tabla2[[#This Row],[Meta Referencias]]</f>
        <v>0</v>
      </c>
      <c r="K86" s="33" t="s">
        <v>505</v>
      </c>
    </row>
    <row r="87" spans="1:11" hidden="1" x14ac:dyDescent="0.35">
      <c r="A87" s="21" t="s">
        <v>463</v>
      </c>
      <c r="B87" s="15" t="s">
        <v>472</v>
      </c>
      <c r="C87" s="16">
        <v>78689520</v>
      </c>
      <c r="D87" s="17"/>
      <c r="E87" s="18"/>
      <c r="F87" s="19">
        <v>51423860</v>
      </c>
      <c r="G87" s="20"/>
      <c r="H87" s="33">
        <v>190</v>
      </c>
      <c r="J87" s="33">
        <f>Tabla2[[#This Row],[Referencias Recomendadas]]*Tabla2[[#This Row],[Meta Referencias]]</f>
        <v>0</v>
      </c>
      <c r="K87" s="33" t="s">
        <v>505</v>
      </c>
    </row>
    <row r="88" spans="1:11" hidden="1" x14ac:dyDescent="0.35">
      <c r="A88" s="21" t="s">
        <v>463</v>
      </c>
      <c r="B88" s="15" t="s">
        <v>473</v>
      </c>
      <c r="C88" s="16">
        <v>491809</v>
      </c>
      <c r="D88" s="17"/>
      <c r="E88" s="18"/>
      <c r="F88" s="19">
        <v>674300</v>
      </c>
      <c r="G88" s="20"/>
      <c r="H88" s="33">
        <v>48</v>
      </c>
      <c r="J88" s="33">
        <f>Tabla2[[#This Row],[Referencias Recomendadas]]*Tabla2[[#This Row],[Meta Referencias]]</f>
        <v>0</v>
      </c>
      <c r="K88" s="33" t="s">
        <v>505</v>
      </c>
    </row>
    <row r="89" spans="1:11" hidden="1" x14ac:dyDescent="0.35">
      <c r="A89" s="21" t="s">
        <v>463</v>
      </c>
      <c r="B89" s="15" t="s">
        <v>474</v>
      </c>
      <c r="C89" s="16">
        <v>196724</v>
      </c>
      <c r="D89" s="17"/>
      <c r="E89" s="18"/>
      <c r="F89" s="19"/>
      <c r="G89" s="20"/>
      <c r="H89" s="33">
        <v>10</v>
      </c>
      <c r="J89" s="33">
        <f>Tabla2[[#This Row],[Referencias Recomendadas]]*Tabla2[[#This Row],[Meta Referencias]]</f>
        <v>0</v>
      </c>
      <c r="K89" s="33" t="s">
        <v>505</v>
      </c>
    </row>
    <row r="90" spans="1:11" hidden="1" x14ac:dyDescent="0.35">
      <c r="A90" s="21" t="s">
        <v>465</v>
      </c>
      <c r="B90" s="15" t="s">
        <v>472</v>
      </c>
      <c r="C90" s="16">
        <v>0</v>
      </c>
      <c r="D90" s="17"/>
      <c r="E90" s="18"/>
      <c r="F90" s="19"/>
      <c r="G90" s="20"/>
      <c r="H90" s="33">
        <v>190</v>
      </c>
      <c r="J90" s="33">
        <f>Tabla2[[#This Row],[Referencias Recomendadas]]*Tabla2[[#This Row],[Meta Referencias]]</f>
        <v>0</v>
      </c>
      <c r="K90" s="33" t="s">
        <v>505</v>
      </c>
    </row>
    <row r="91" spans="1:11" hidden="1" x14ac:dyDescent="0.35">
      <c r="A91" s="21" t="s">
        <v>465</v>
      </c>
      <c r="B91" s="15" t="s">
        <v>473</v>
      </c>
      <c r="C91" s="16">
        <v>6992183</v>
      </c>
      <c r="D91" s="17"/>
      <c r="E91" s="18"/>
      <c r="F91" s="19">
        <v>5382100</v>
      </c>
      <c r="G91" s="20"/>
      <c r="H91" s="33">
        <v>48</v>
      </c>
      <c r="J91" s="33">
        <f>Tabla2[[#This Row],[Referencias Recomendadas]]*Tabla2[[#This Row],[Meta Referencias]]</f>
        <v>0</v>
      </c>
      <c r="K91" s="33" t="s">
        <v>505</v>
      </c>
    </row>
    <row r="92" spans="1:11" hidden="1" x14ac:dyDescent="0.35">
      <c r="A92" s="21" t="s">
        <v>465</v>
      </c>
      <c r="B92" s="15" t="s">
        <v>474</v>
      </c>
      <c r="C92" s="16">
        <v>1498325</v>
      </c>
      <c r="D92" s="17"/>
      <c r="E92" s="18"/>
      <c r="F92" s="19"/>
      <c r="G92" s="20"/>
      <c r="H92" s="33">
        <v>10</v>
      </c>
      <c r="J92" s="33">
        <f>Tabla2[[#This Row],[Referencias Recomendadas]]*Tabla2[[#This Row],[Meta Referencias]]</f>
        <v>0</v>
      </c>
      <c r="K92" s="33" t="s">
        <v>505</v>
      </c>
    </row>
  </sheetData>
  <phoneticPr fontId="25"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9B0B9-C635-44A2-87BE-0F3DB6B22C79}">
  <sheetPr>
    <tabColor rgb="FFFFFF00"/>
  </sheetPr>
  <dimension ref="A1:F179"/>
  <sheetViews>
    <sheetView topLeftCell="A166" workbookViewId="0"/>
  </sheetViews>
  <sheetFormatPr baseColWidth="10" defaultRowHeight="14.5" x14ac:dyDescent="0.35"/>
  <cols>
    <col min="1" max="1" width="29.81640625" bestFit="1" customWidth="1"/>
    <col min="2" max="2" width="38" bestFit="1" customWidth="1"/>
    <col min="5" max="5" width="38" bestFit="1" customWidth="1"/>
  </cols>
  <sheetData>
    <row r="1" spans="1:6" x14ac:dyDescent="0.35">
      <c r="A1" s="52" t="s">
        <v>113</v>
      </c>
      <c r="B1" s="52" t="s">
        <v>115</v>
      </c>
      <c r="C1" s="52" t="s">
        <v>125</v>
      </c>
      <c r="D1" s="52" t="s">
        <v>166</v>
      </c>
      <c r="E1" s="56" t="s">
        <v>380</v>
      </c>
      <c r="F1" s="56" t="s">
        <v>379</v>
      </c>
    </row>
    <row r="2" spans="1:6" x14ac:dyDescent="0.35">
      <c r="A2" s="53" t="s">
        <v>35</v>
      </c>
      <c r="B2" s="53" t="s">
        <v>36</v>
      </c>
      <c r="C2" t="s">
        <v>331</v>
      </c>
      <c r="D2">
        <v>6</v>
      </c>
      <c r="E2" s="53" t="s">
        <v>36</v>
      </c>
    </row>
    <row r="3" spans="1:6" x14ac:dyDescent="0.35">
      <c r="A3" s="53" t="s">
        <v>35</v>
      </c>
      <c r="B3" s="53" t="s">
        <v>36</v>
      </c>
      <c r="C3" t="s">
        <v>375</v>
      </c>
      <c r="D3">
        <v>6</v>
      </c>
      <c r="E3" s="53" t="s">
        <v>36</v>
      </c>
    </row>
    <row r="4" spans="1:6" x14ac:dyDescent="0.35">
      <c r="A4" s="53" t="s">
        <v>35</v>
      </c>
      <c r="B4" s="53" t="s">
        <v>36</v>
      </c>
      <c r="C4" t="s">
        <v>281</v>
      </c>
      <c r="D4">
        <v>8</v>
      </c>
      <c r="E4" s="53" t="s">
        <v>36</v>
      </c>
    </row>
    <row r="5" spans="1:6" x14ac:dyDescent="0.35">
      <c r="A5" s="54" t="s">
        <v>35</v>
      </c>
      <c r="B5" s="53" t="s">
        <v>36</v>
      </c>
      <c r="C5" t="s">
        <v>318</v>
      </c>
      <c r="D5">
        <v>1</v>
      </c>
      <c r="E5" s="53" t="s">
        <v>36</v>
      </c>
    </row>
    <row r="6" spans="1:6" x14ac:dyDescent="0.35">
      <c r="A6" s="53" t="s">
        <v>37</v>
      </c>
      <c r="B6" s="53" t="s">
        <v>188</v>
      </c>
      <c r="C6" t="s">
        <v>356</v>
      </c>
      <c r="D6">
        <v>4</v>
      </c>
      <c r="E6" s="53" t="s">
        <v>188</v>
      </c>
      <c r="F6">
        <v>160</v>
      </c>
    </row>
    <row r="7" spans="1:6" x14ac:dyDescent="0.35">
      <c r="A7" s="53" t="s">
        <v>37</v>
      </c>
      <c r="B7" s="53" t="s">
        <v>188</v>
      </c>
      <c r="C7" t="s">
        <v>355</v>
      </c>
      <c r="D7">
        <v>3</v>
      </c>
      <c r="E7" s="53" t="s">
        <v>188</v>
      </c>
      <c r="F7">
        <v>160</v>
      </c>
    </row>
    <row r="8" spans="1:6" x14ac:dyDescent="0.35">
      <c r="A8" s="53" t="s">
        <v>37</v>
      </c>
      <c r="B8" s="53" t="s">
        <v>188</v>
      </c>
      <c r="C8" t="s">
        <v>152</v>
      </c>
      <c r="D8">
        <v>8</v>
      </c>
      <c r="E8" s="53" t="s">
        <v>188</v>
      </c>
      <c r="F8">
        <v>160</v>
      </c>
    </row>
    <row r="9" spans="1:6" x14ac:dyDescent="0.35">
      <c r="A9" s="53" t="s">
        <v>37</v>
      </c>
      <c r="B9" s="53" t="s">
        <v>188</v>
      </c>
      <c r="C9" t="s">
        <v>145</v>
      </c>
      <c r="D9">
        <v>24</v>
      </c>
      <c r="E9" s="53" t="s">
        <v>188</v>
      </c>
      <c r="F9">
        <v>160</v>
      </c>
    </row>
    <row r="10" spans="1:6" x14ac:dyDescent="0.35">
      <c r="A10" s="53" t="s">
        <v>37</v>
      </c>
      <c r="B10" s="53" t="s">
        <v>188</v>
      </c>
      <c r="C10" t="s">
        <v>348</v>
      </c>
      <c r="D10">
        <v>6</v>
      </c>
      <c r="E10" s="53" t="s">
        <v>188</v>
      </c>
      <c r="F10">
        <v>160</v>
      </c>
    </row>
    <row r="11" spans="1:6" x14ac:dyDescent="0.35">
      <c r="A11" s="53" t="s">
        <v>37</v>
      </c>
      <c r="B11" s="53" t="s">
        <v>188</v>
      </c>
      <c r="C11" t="s">
        <v>228</v>
      </c>
      <c r="D11">
        <v>20</v>
      </c>
      <c r="E11" s="53" t="s">
        <v>188</v>
      </c>
      <c r="F11">
        <v>160</v>
      </c>
    </row>
    <row r="12" spans="1:6" x14ac:dyDescent="0.35">
      <c r="A12" s="53" t="s">
        <v>37</v>
      </c>
      <c r="B12" s="53" t="s">
        <v>38</v>
      </c>
      <c r="C12" t="s">
        <v>369</v>
      </c>
      <c r="D12">
        <v>1</v>
      </c>
      <c r="E12" s="53" t="s">
        <v>38</v>
      </c>
    </row>
    <row r="13" spans="1:6" x14ac:dyDescent="0.35">
      <c r="A13" s="53" t="s">
        <v>37</v>
      </c>
      <c r="B13" s="53" t="s">
        <v>38</v>
      </c>
      <c r="C13" t="s">
        <v>209</v>
      </c>
      <c r="D13">
        <v>1</v>
      </c>
      <c r="E13" s="53" t="s">
        <v>38</v>
      </c>
    </row>
    <row r="14" spans="1:6" x14ac:dyDescent="0.35">
      <c r="A14" s="53" t="s">
        <v>37</v>
      </c>
      <c r="B14" s="53" t="s">
        <v>38</v>
      </c>
      <c r="C14" t="s">
        <v>356</v>
      </c>
      <c r="D14">
        <v>6</v>
      </c>
      <c r="E14" s="53" t="s">
        <v>38</v>
      </c>
    </row>
    <row r="15" spans="1:6" x14ac:dyDescent="0.35">
      <c r="A15" s="53" t="s">
        <v>37</v>
      </c>
      <c r="B15" s="53" t="s">
        <v>38</v>
      </c>
      <c r="C15" t="s">
        <v>355</v>
      </c>
      <c r="D15">
        <v>8</v>
      </c>
      <c r="E15" s="53" t="s">
        <v>38</v>
      </c>
    </row>
    <row r="16" spans="1:6" x14ac:dyDescent="0.35">
      <c r="A16" s="53" t="s">
        <v>37</v>
      </c>
      <c r="B16" s="53" t="s">
        <v>38</v>
      </c>
      <c r="C16" t="s">
        <v>341</v>
      </c>
      <c r="D16">
        <v>1</v>
      </c>
      <c r="E16" s="53" t="s">
        <v>38</v>
      </c>
    </row>
    <row r="17" spans="1:5" x14ac:dyDescent="0.35">
      <c r="A17" s="53" t="s">
        <v>37</v>
      </c>
      <c r="B17" s="53" t="s">
        <v>38</v>
      </c>
      <c r="C17" t="s">
        <v>354</v>
      </c>
      <c r="D17">
        <v>3</v>
      </c>
      <c r="E17" s="53" t="s">
        <v>38</v>
      </c>
    </row>
    <row r="18" spans="1:5" x14ac:dyDescent="0.35">
      <c r="A18" s="53" t="s">
        <v>37</v>
      </c>
      <c r="B18" s="53" t="s">
        <v>38</v>
      </c>
      <c r="C18" t="s">
        <v>365</v>
      </c>
      <c r="D18">
        <v>7</v>
      </c>
      <c r="E18" s="53" t="s">
        <v>38</v>
      </c>
    </row>
    <row r="19" spans="1:5" x14ac:dyDescent="0.35">
      <c r="A19" s="53" t="s">
        <v>37</v>
      </c>
      <c r="B19" s="53" t="s">
        <v>38</v>
      </c>
      <c r="C19" t="s">
        <v>152</v>
      </c>
      <c r="D19">
        <v>2</v>
      </c>
      <c r="E19" s="53" t="s">
        <v>38</v>
      </c>
    </row>
    <row r="20" spans="1:5" x14ac:dyDescent="0.35">
      <c r="A20" s="53" t="s">
        <v>37</v>
      </c>
      <c r="B20" s="53" t="s">
        <v>38</v>
      </c>
      <c r="C20" t="s">
        <v>370</v>
      </c>
      <c r="D20">
        <v>2</v>
      </c>
      <c r="E20" s="53" t="s">
        <v>38</v>
      </c>
    </row>
    <row r="21" spans="1:5" x14ac:dyDescent="0.35">
      <c r="A21" s="53" t="s">
        <v>37</v>
      </c>
      <c r="B21" s="53" t="s">
        <v>38</v>
      </c>
      <c r="C21" t="s">
        <v>357</v>
      </c>
      <c r="D21">
        <v>2</v>
      </c>
      <c r="E21" s="53" t="s">
        <v>38</v>
      </c>
    </row>
    <row r="22" spans="1:5" x14ac:dyDescent="0.35">
      <c r="A22" s="53" t="s">
        <v>37</v>
      </c>
      <c r="B22" s="53" t="s">
        <v>38</v>
      </c>
      <c r="C22" t="s">
        <v>359</v>
      </c>
      <c r="D22">
        <v>6</v>
      </c>
      <c r="E22" s="53" t="s">
        <v>38</v>
      </c>
    </row>
    <row r="23" spans="1:5" x14ac:dyDescent="0.35">
      <c r="A23" s="54" t="s">
        <v>37</v>
      </c>
      <c r="B23" s="53" t="s">
        <v>38</v>
      </c>
      <c r="C23" t="s">
        <v>348</v>
      </c>
      <c r="D23">
        <v>6</v>
      </c>
      <c r="E23" s="53" t="s">
        <v>38</v>
      </c>
    </row>
    <row r="24" spans="1:5" x14ac:dyDescent="0.35">
      <c r="A24" s="53" t="s">
        <v>39</v>
      </c>
      <c r="B24" s="53" t="s">
        <v>36</v>
      </c>
      <c r="C24" t="s">
        <v>347</v>
      </c>
      <c r="D24">
        <v>2</v>
      </c>
      <c r="E24" s="53" t="s">
        <v>36</v>
      </c>
    </row>
    <row r="25" spans="1:5" x14ac:dyDescent="0.35">
      <c r="A25" s="53" t="s">
        <v>39</v>
      </c>
      <c r="B25" s="53" t="s">
        <v>36</v>
      </c>
      <c r="C25" t="s">
        <v>235</v>
      </c>
      <c r="D25">
        <v>1</v>
      </c>
      <c r="E25" s="53" t="s">
        <v>36</v>
      </c>
    </row>
    <row r="26" spans="1:5" x14ac:dyDescent="0.35">
      <c r="A26" s="53" t="s">
        <v>39</v>
      </c>
      <c r="B26" s="53" t="s">
        <v>36</v>
      </c>
      <c r="C26" t="s">
        <v>368</v>
      </c>
      <c r="D26">
        <v>1</v>
      </c>
      <c r="E26" s="53" t="s">
        <v>36</v>
      </c>
    </row>
    <row r="27" spans="1:5" x14ac:dyDescent="0.35">
      <c r="A27" s="53" t="s">
        <v>39</v>
      </c>
      <c r="B27" s="53" t="s">
        <v>36</v>
      </c>
      <c r="C27" t="s">
        <v>209</v>
      </c>
      <c r="D27">
        <v>3</v>
      </c>
      <c r="E27" s="53" t="s">
        <v>36</v>
      </c>
    </row>
    <row r="28" spans="1:5" x14ac:dyDescent="0.35">
      <c r="A28" s="53" t="s">
        <v>39</v>
      </c>
      <c r="B28" s="53" t="s">
        <v>36</v>
      </c>
      <c r="C28" t="s">
        <v>320</v>
      </c>
      <c r="D28">
        <v>8</v>
      </c>
      <c r="E28" s="53" t="s">
        <v>36</v>
      </c>
    </row>
    <row r="29" spans="1:5" x14ac:dyDescent="0.35">
      <c r="A29" s="53" t="s">
        <v>39</v>
      </c>
      <c r="B29" s="53" t="s">
        <v>36</v>
      </c>
      <c r="C29" t="s">
        <v>212</v>
      </c>
      <c r="D29">
        <v>24</v>
      </c>
      <c r="E29" s="53" t="s">
        <v>36</v>
      </c>
    </row>
    <row r="30" spans="1:5" x14ac:dyDescent="0.35">
      <c r="A30" s="53" t="s">
        <v>39</v>
      </c>
      <c r="B30" s="53" t="s">
        <v>36</v>
      </c>
      <c r="C30" t="s">
        <v>316</v>
      </c>
      <c r="D30">
        <v>4</v>
      </c>
      <c r="E30" s="53" t="s">
        <v>36</v>
      </c>
    </row>
    <row r="31" spans="1:5" x14ac:dyDescent="0.35">
      <c r="A31" s="53" t="s">
        <v>39</v>
      </c>
      <c r="B31" s="53" t="s">
        <v>36</v>
      </c>
      <c r="C31" t="s">
        <v>373</v>
      </c>
      <c r="D31">
        <v>4</v>
      </c>
      <c r="E31" s="53" t="s">
        <v>36</v>
      </c>
    </row>
    <row r="32" spans="1:5" x14ac:dyDescent="0.35">
      <c r="A32" s="53" t="s">
        <v>39</v>
      </c>
      <c r="B32" s="53" t="s">
        <v>36</v>
      </c>
      <c r="C32" t="s">
        <v>201</v>
      </c>
      <c r="D32">
        <v>8</v>
      </c>
      <c r="E32" s="53" t="s">
        <v>36</v>
      </c>
    </row>
    <row r="33" spans="1:6" x14ac:dyDescent="0.35">
      <c r="A33" s="53" t="s">
        <v>39</v>
      </c>
      <c r="B33" s="53" t="s">
        <v>36</v>
      </c>
      <c r="C33" t="s">
        <v>145</v>
      </c>
      <c r="D33">
        <v>3</v>
      </c>
      <c r="E33" s="53" t="s">
        <v>36</v>
      </c>
    </row>
    <row r="34" spans="1:6" x14ac:dyDescent="0.35">
      <c r="A34" s="53" t="s">
        <v>39</v>
      </c>
      <c r="B34" s="53" t="s">
        <v>36</v>
      </c>
      <c r="C34" t="s">
        <v>372</v>
      </c>
      <c r="D34">
        <v>4</v>
      </c>
      <c r="E34" s="53" t="s">
        <v>36</v>
      </c>
    </row>
    <row r="35" spans="1:6" x14ac:dyDescent="0.35">
      <c r="A35" s="53" t="s">
        <v>39</v>
      </c>
      <c r="B35" s="53" t="s">
        <v>36</v>
      </c>
      <c r="C35" t="s">
        <v>319</v>
      </c>
      <c r="D35">
        <v>36</v>
      </c>
      <c r="E35" s="53" t="s">
        <v>36</v>
      </c>
    </row>
    <row r="36" spans="1:6" x14ac:dyDescent="0.35">
      <c r="A36" s="53" t="s">
        <v>39</v>
      </c>
      <c r="B36" s="53" t="s">
        <v>36</v>
      </c>
      <c r="C36" t="s">
        <v>349</v>
      </c>
      <c r="D36">
        <v>1</v>
      </c>
      <c r="E36" s="53" t="s">
        <v>36</v>
      </c>
    </row>
    <row r="37" spans="1:6" x14ac:dyDescent="0.35">
      <c r="A37" s="53" t="s">
        <v>39</v>
      </c>
      <c r="B37" s="53" t="s">
        <v>36</v>
      </c>
      <c r="C37" t="s">
        <v>255</v>
      </c>
      <c r="D37">
        <v>22</v>
      </c>
      <c r="E37" s="53" t="s">
        <v>36</v>
      </c>
    </row>
    <row r="38" spans="1:6" x14ac:dyDescent="0.35">
      <c r="A38" s="53" t="s">
        <v>39</v>
      </c>
      <c r="B38" s="53" t="s">
        <v>36</v>
      </c>
      <c r="C38" t="s">
        <v>375</v>
      </c>
      <c r="D38">
        <v>2</v>
      </c>
      <c r="E38" s="53" t="s">
        <v>36</v>
      </c>
    </row>
    <row r="39" spans="1:6" x14ac:dyDescent="0.35">
      <c r="A39" s="53" t="s">
        <v>39</v>
      </c>
      <c r="B39" s="53" t="s">
        <v>36</v>
      </c>
      <c r="C39" t="s">
        <v>281</v>
      </c>
      <c r="D39">
        <v>1</v>
      </c>
      <c r="E39" s="53" t="s">
        <v>36</v>
      </c>
    </row>
    <row r="40" spans="1:6" x14ac:dyDescent="0.35">
      <c r="A40" s="53" t="s">
        <v>39</v>
      </c>
      <c r="B40" s="53" t="s">
        <v>36</v>
      </c>
      <c r="C40" t="s">
        <v>318</v>
      </c>
      <c r="D40">
        <v>25</v>
      </c>
      <c r="E40" s="53" t="s">
        <v>36</v>
      </c>
    </row>
    <row r="41" spans="1:6" x14ac:dyDescent="0.35">
      <c r="A41" s="53" t="s">
        <v>39</v>
      </c>
      <c r="B41" s="53" t="s">
        <v>66</v>
      </c>
      <c r="C41" t="s">
        <v>358</v>
      </c>
      <c r="D41">
        <v>2</v>
      </c>
      <c r="E41" s="53" t="s">
        <v>66</v>
      </c>
      <c r="F41">
        <v>209</v>
      </c>
    </row>
    <row r="42" spans="1:6" x14ac:dyDescent="0.35">
      <c r="A42" s="53" t="s">
        <v>39</v>
      </c>
      <c r="B42" s="53" t="s">
        <v>66</v>
      </c>
      <c r="C42" t="s">
        <v>320</v>
      </c>
      <c r="D42">
        <v>2</v>
      </c>
      <c r="E42" s="53" t="s">
        <v>66</v>
      </c>
      <c r="F42">
        <v>209</v>
      </c>
    </row>
    <row r="43" spans="1:6" x14ac:dyDescent="0.35">
      <c r="A43" s="53" t="s">
        <v>39</v>
      </c>
      <c r="B43" s="53" t="s">
        <v>66</v>
      </c>
      <c r="C43" t="s">
        <v>212</v>
      </c>
      <c r="D43">
        <v>6</v>
      </c>
      <c r="E43" s="53" t="s">
        <v>66</v>
      </c>
      <c r="F43">
        <v>209</v>
      </c>
    </row>
    <row r="44" spans="1:6" x14ac:dyDescent="0.35">
      <c r="A44" s="53" t="s">
        <v>39</v>
      </c>
      <c r="B44" s="53" t="s">
        <v>66</v>
      </c>
      <c r="C44" t="s">
        <v>145</v>
      </c>
      <c r="D44">
        <v>2</v>
      </c>
      <c r="E44" s="53" t="s">
        <v>66</v>
      </c>
      <c r="F44">
        <v>209</v>
      </c>
    </row>
    <row r="45" spans="1:6" x14ac:dyDescent="0.35">
      <c r="A45" s="53" t="s">
        <v>39</v>
      </c>
      <c r="B45" s="53" t="s">
        <v>66</v>
      </c>
      <c r="C45" t="s">
        <v>255</v>
      </c>
      <c r="D45">
        <v>19</v>
      </c>
      <c r="E45" s="53" t="s">
        <v>66</v>
      </c>
      <c r="F45">
        <v>209</v>
      </c>
    </row>
    <row r="46" spans="1:6" x14ac:dyDescent="0.35">
      <c r="A46" s="53" t="s">
        <v>39</v>
      </c>
      <c r="B46" s="53" t="s">
        <v>66</v>
      </c>
      <c r="C46" t="s">
        <v>318</v>
      </c>
      <c r="D46">
        <v>6</v>
      </c>
      <c r="E46" s="53" t="s">
        <v>66</v>
      </c>
      <c r="F46">
        <v>209</v>
      </c>
    </row>
    <row r="47" spans="1:6" x14ac:dyDescent="0.35">
      <c r="A47" s="54" t="s">
        <v>39</v>
      </c>
      <c r="B47" s="53" t="s">
        <v>374</v>
      </c>
      <c r="C47" t="s">
        <v>316</v>
      </c>
      <c r="D47">
        <v>1</v>
      </c>
      <c r="E47" s="53" t="s">
        <v>374</v>
      </c>
    </row>
    <row r="48" spans="1:6" x14ac:dyDescent="0.35">
      <c r="A48" s="53" t="s">
        <v>40</v>
      </c>
      <c r="B48" s="53" t="s">
        <v>187</v>
      </c>
      <c r="C48" t="s">
        <v>311</v>
      </c>
      <c r="D48">
        <v>1</v>
      </c>
      <c r="E48" s="53" t="s">
        <v>187</v>
      </c>
    </row>
    <row r="49" spans="1:6" x14ac:dyDescent="0.35">
      <c r="A49" s="53" t="s">
        <v>40</v>
      </c>
      <c r="B49" s="53" t="s">
        <v>41</v>
      </c>
      <c r="C49" t="s">
        <v>311</v>
      </c>
      <c r="D49">
        <v>26</v>
      </c>
      <c r="E49" s="53" t="s">
        <v>41</v>
      </c>
    </row>
    <row r="50" spans="1:6" x14ac:dyDescent="0.35">
      <c r="A50" s="53" t="s">
        <v>40</v>
      </c>
      <c r="B50" s="53" t="s">
        <v>41</v>
      </c>
      <c r="C50" t="s">
        <v>324</v>
      </c>
      <c r="D50">
        <v>1</v>
      </c>
      <c r="E50" s="53" t="s">
        <v>41</v>
      </c>
    </row>
    <row r="51" spans="1:6" x14ac:dyDescent="0.35">
      <c r="A51" s="53" t="s">
        <v>40</v>
      </c>
      <c r="B51" s="53" t="s">
        <v>41</v>
      </c>
      <c r="C51" t="s">
        <v>313</v>
      </c>
      <c r="D51">
        <v>32</v>
      </c>
      <c r="E51" s="53" t="s">
        <v>41</v>
      </c>
    </row>
    <row r="52" spans="1:6" x14ac:dyDescent="0.35">
      <c r="A52" s="53" t="s">
        <v>40</v>
      </c>
      <c r="B52" s="53" t="s">
        <v>41</v>
      </c>
      <c r="C52" t="s">
        <v>352</v>
      </c>
      <c r="D52">
        <v>2</v>
      </c>
      <c r="E52" s="53" t="s">
        <v>41</v>
      </c>
    </row>
    <row r="53" spans="1:6" x14ac:dyDescent="0.35">
      <c r="A53" s="53" t="s">
        <v>40</v>
      </c>
      <c r="B53" s="53" t="s">
        <v>41</v>
      </c>
      <c r="C53" t="s">
        <v>316</v>
      </c>
      <c r="D53">
        <v>1</v>
      </c>
      <c r="E53" s="53" t="s">
        <v>41</v>
      </c>
    </row>
    <row r="54" spans="1:6" x14ac:dyDescent="0.35">
      <c r="A54" s="53" t="s">
        <v>40</v>
      </c>
      <c r="B54" s="53" t="s">
        <v>41</v>
      </c>
      <c r="C54" t="s">
        <v>312</v>
      </c>
      <c r="D54">
        <v>37</v>
      </c>
      <c r="E54" s="53" t="s">
        <v>41</v>
      </c>
    </row>
    <row r="55" spans="1:6" x14ac:dyDescent="0.35">
      <c r="A55" s="53" t="s">
        <v>40</v>
      </c>
      <c r="B55" s="53" t="s">
        <v>41</v>
      </c>
      <c r="C55" t="s">
        <v>138</v>
      </c>
      <c r="D55">
        <v>22</v>
      </c>
      <c r="E55" s="53" t="s">
        <v>41</v>
      </c>
    </row>
    <row r="56" spans="1:6" x14ac:dyDescent="0.35">
      <c r="A56" s="53" t="s">
        <v>40</v>
      </c>
      <c r="B56" s="53" t="s">
        <v>41</v>
      </c>
      <c r="C56" t="s">
        <v>145</v>
      </c>
      <c r="D56">
        <v>55</v>
      </c>
      <c r="E56" s="53" t="s">
        <v>41</v>
      </c>
    </row>
    <row r="57" spans="1:6" x14ac:dyDescent="0.35">
      <c r="A57" s="53" t="s">
        <v>40</v>
      </c>
      <c r="B57" s="53" t="s">
        <v>41</v>
      </c>
      <c r="C57" t="s">
        <v>195</v>
      </c>
      <c r="D57">
        <v>24</v>
      </c>
      <c r="E57" s="53" t="s">
        <v>41</v>
      </c>
    </row>
    <row r="58" spans="1:6" x14ac:dyDescent="0.35">
      <c r="A58" s="53" t="s">
        <v>40</v>
      </c>
      <c r="B58" s="53" t="s">
        <v>41</v>
      </c>
      <c r="C58" t="s">
        <v>228</v>
      </c>
      <c r="D58">
        <v>1</v>
      </c>
      <c r="E58" s="53" t="s">
        <v>41</v>
      </c>
    </row>
    <row r="59" spans="1:6" x14ac:dyDescent="0.35">
      <c r="A59" s="53" t="s">
        <v>40</v>
      </c>
      <c r="B59" s="53" t="s">
        <v>69</v>
      </c>
      <c r="C59" t="s">
        <v>311</v>
      </c>
      <c r="D59">
        <v>5</v>
      </c>
      <c r="E59" s="53" t="s">
        <v>68</v>
      </c>
      <c r="F59">
        <v>33</v>
      </c>
    </row>
    <row r="60" spans="1:6" x14ac:dyDescent="0.35">
      <c r="A60" s="53" t="s">
        <v>40</v>
      </c>
      <c r="B60" s="53" t="s">
        <v>69</v>
      </c>
      <c r="C60" t="s">
        <v>324</v>
      </c>
      <c r="D60">
        <v>1</v>
      </c>
      <c r="E60" s="53" t="s">
        <v>69</v>
      </c>
      <c r="F60">
        <v>241</v>
      </c>
    </row>
    <row r="61" spans="1:6" x14ac:dyDescent="0.35">
      <c r="A61" s="53" t="s">
        <v>40</v>
      </c>
      <c r="B61" s="53" t="s">
        <v>69</v>
      </c>
      <c r="C61" t="s">
        <v>313</v>
      </c>
      <c r="D61">
        <v>19</v>
      </c>
      <c r="E61" s="53" t="s">
        <v>69</v>
      </c>
      <c r="F61">
        <v>241</v>
      </c>
    </row>
    <row r="62" spans="1:6" x14ac:dyDescent="0.35">
      <c r="A62" s="53" t="s">
        <v>40</v>
      </c>
      <c r="B62" s="53" t="s">
        <v>69</v>
      </c>
      <c r="C62" t="s">
        <v>312</v>
      </c>
      <c r="D62">
        <v>13</v>
      </c>
      <c r="E62" s="53" t="s">
        <v>69</v>
      </c>
      <c r="F62">
        <v>241</v>
      </c>
    </row>
    <row r="63" spans="1:6" x14ac:dyDescent="0.35">
      <c r="A63" s="53" t="s">
        <v>40</v>
      </c>
      <c r="B63" s="53" t="s">
        <v>69</v>
      </c>
      <c r="C63" t="s">
        <v>138</v>
      </c>
      <c r="D63">
        <v>19</v>
      </c>
      <c r="E63" s="53" t="s">
        <v>69</v>
      </c>
      <c r="F63">
        <v>241</v>
      </c>
    </row>
    <row r="64" spans="1:6" x14ac:dyDescent="0.35">
      <c r="A64" s="53" t="s">
        <v>40</v>
      </c>
      <c r="B64" s="53" t="s">
        <v>69</v>
      </c>
      <c r="C64" t="s">
        <v>325</v>
      </c>
      <c r="D64">
        <v>4</v>
      </c>
      <c r="E64" s="53" t="s">
        <v>69</v>
      </c>
      <c r="F64">
        <v>241</v>
      </c>
    </row>
    <row r="65" spans="1:6" x14ac:dyDescent="0.35">
      <c r="A65" s="53" t="s">
        <v>40</v>
      </c>
      <c r="B65" s="53" t="s">
        <v>69</v>
      </c>
      <c r="C65" t="s">
        <v>145</v>
      </c>
      <c r="D65">
        <v>10</v>
      </c>
      <c r="E65" s="53" t="s">
        <v>69</v>
      </c>
      <c r="F65">
        <v>241</v>
      </c>
    </row>
    <row r="66" spans="1:6" x14ac:dyDescent="0.35">
      <c r="A66" s="53" t="s">
        <v>40</v>
      </c>
      <c r="B66" s="53" t="s">
        <v>69</v>
      </c>
      <c r="C66" t="s">
        <v>326</v>
      </c>
      <c r="D66">
        <v>3</v>
      </c>
      <c r="E66" s="53" t="s">
        <v>69</v>
      </c>
      <c r="F66">
        <v>241</v>
      </c>
    </row>
    <row r="67" spans="1:6" x14ac:dyDescent="0.35">
      <c r="A67" s="53" t="s">
        <v>40</v>
      </c>
      <c r="B67" s="53" t="s">
        <v>69</v>
      </c>
      <c r="C67" t="s">
        <v>195</v>
      </c>
      <c r="D67">
        <v>13</v>
      </c>
      <c r="E67" s="53" t="s">
        <v>68</v>
      </c>
      <c r="F67">
        <v>33</v>
      </c>
    </row>
    <row r="68" spans="1:6" x14ac:dyDescent="0.35">
      <c r="A68" s="53" t="s">
        <v>40</v>
      </c>
      <c r="B68" s="53" t="s">
        <v>69</v>
      </c>
      <c r="C68" t="s">
        <v>228</v>
      </c>
      <c r="D68">
        <v>42</v>
      </c>
    </row>
    <row r="69" spans="1:6" x14ac:dyDescent="0.35">
      <c r="A69" s="53" t="s">
        <v>40</v>
      </c>
      <c r="B69" s="53" t="s">
        <v>68</v>
      </c>
      <c r="C69" t="s">
        <v>195</v>
      </c>
      <c r="D69">
        <v>12</v>
      </c>
      <c r="E69" s="53" t="s">
        <v>68</v>
      </c>
      <c r="F69">
        <v>33</v>
      </c>
    </row>
    <row r="70" spans="1:6" x14ac:dyDescent="0.35">
      <c r="A70" s="54" t="s">
        <v>40</v>
      </c>
      <c r="B70" s="53" t="s">
        <v>68</v>
      </c>
      <c r="C70" t="s">
        <v>228</v>
      </c>
      <c r="D70">
        <v>82</v>
      </c>
    </row>
    <row r="71" spans="1:6" x14ac:dyDescent="0.35">
      <c r="A71" s="53" t="s">
        <v>42</v>
      </c>
      <c r="B71" s="53" t="s">
        <v>43</v>
      </c>
      <c r="C71" t="s">
        <v>352</v>
      </c>
      <c r="D71">
        <v>2</v>
      </c>
      <c r="E71" s="53" t="s">
        <v>43</v>
      </c>
    </row>
    <row r="72" spans="1:6" x14ac:dyDescent="0.35">
      <c r="A72" s="53" t="s">
        <v>42</v>
      </c>
      <c r="B72" s="53" t="s">
        <v>43</v>
      </c>
      <c r="C72" t="s">
        <v>314</v>
      </c>
      <c r="D72">
        <v>23</v>
      </c>
      <c r="E72" s="53" t="s">
        <v>43</v>
      </c>
    </row>
    <row r="73" spans="1:6" x14ac:dyDescent="0.35">
      <c r="A73" s="53" t="s">
        <v>42</v>
      </c>
      <c r="B73" s="53" t="s">
        <v>43</v>
      </c>
      <c r="C73" t="s">
        <v>315</v>
      </c>
      <c r="D73">
        <v>3</v>
      </c>
      <c r="E73" s="53" t="s">
        <v>43</v>
      </c>
    </row>
    <row r="74" spans="1:6" x14ac:dyDescent="0.35">
      <c r="A74" s="53" t="s">
        <v>42</v>
      </c>
      <c r="B74" s="53" t="s">
        <v>43</v>
      </c>
      <c r="C74" t="s">
        <v>208</v>
      </c>
      <c r="D74">
        <v>28</v>
      </c>
      <c r="E74" s="53" t="s">
        <v>43</v>
      </c>
    </row>
    <row r="75" spans="1:6" x14ac:dyDescent="0.35">
      <c r="A75" s="53" t="s">
        <v>42</v>
      </c>
      <c r="B75" s="53" t="s">
        <v>43</v>
      </c>
      <c r="C75" t="s">
        <v>316</v>
      </c>
      <c r="D75">
        <v>8</v>
      </c>
      <c r="E75" s="53" t="s">
        <v>43</v>
      </c>
    </row>
    <row r="76" spans="1:6" x14ac:dyDescent="0.35">
      <c r="A76" s="53" t="s">
        <v>42</v>
      </c>
      <c r="B76" s="53" t="s">
        <v>43</v>
      </c>
      <c r="C76" t="s">
        <v>278</v>
      </c>
      <c r="D76">
        <v>42</v>
      </c>
      <c r="E76" s="53" t="s">
        <v>43</v>
      </c>
    </row>
    <row r="77" spans="1:6" x14ac:dyDescent="0.35">
      <c r="A77" s="53" t="s">
        <v>42</v>
      </c>
      <c r="B77" s="53" t="s">
        <v>43</v>
      </c>
      <c r="C77" t="s">
        <v>201</v>
      </c>
      <c r="D77">
        <v>6</v>
      </c>
      <c r="E77" s="53" t="s">
        <v>43</v>
      </c>
    </row>
    <row r="78" spans="1:6" x14ac:dyDescent="0.35">
      <c r="A78" s="53" t="s">
        <v>42</v>
      </c>
      <c r="B78" s="53" t="s">
        <v>43</v>
      </c>
      <c r="C78" t="s">
        <v>240</v>
      </c>
      <c r="D78">
        <v>33</v>
      </c>
      <c r="E78" s="53" t="s">
        <v>43</v>
      </c>
    </row>
    <row r="79" spans="1:6" x14ac:dyDescent="0.35">
      <c r="A79" s="53" t="s">
        <v>42</v>
      </c>
      <c r="B79" s="53" t="s">
        <v>43</v>
      </c>
      <c r="C79" t="s">
        <v>194</v>
      </c>
      <c r="D79">
        <v>29</v>
      </c>
      <c r="E79" s="53" t="s">
        <v>43</v>
      </c>
    </row>
    <row r="80" spans="1:6" x14ac:dyDescent="0.35">
      <c r="A80" s="53" t="s">
        <v>42</v>
      </c>
      <c r="B80" s="53" t="s">
        <v>187</v>
      </c>
      <c r="C80" t="s">
        <v>240</v>
      </c>
      <c r="D80">
        <v>1</v>
      </c>
      <c r="E80" s="53" t="s">
        <v>187</v>
      </c>
    </row>
    <row r="81" spans="1:6" x14ac:dyDescent="0.35">
      <c r="A81" s="53" t="s">
        <v>42</v>
      </c>
      <c r="B81" s="53" t="s">
        <v>70</v>
      </c>
      <c r="C81" s="55" t="s">
        <v>352</v>
      </c>
      <c r="D81">
        <v>4</v>
      </c>
      <c r="E81" s="53" t="s">
        <v>70</v>
      </c>
      <c r="F81">
        <v>146</v>
      </c>
    </row>
    <row r="82" spans="1:6" x14ac:dyDescent="0.35">
      <c r="A82" s="53" t="s">
        <v>42</v>
      </c>
      <c r="B82" s="53" t="s">
        <v>70</v>
      </c>
      <c r="C82" t="s">
        <v>314</v>
      </c>
      <c r="D82">
        <v>30</v>
      </c>
      <c r="E82" t="s">
        <v>378</v>
      </c>
      <c r="F82">
        <v>101</v>
      </c>
    </row>
    <row r="83" spans="1:6" x14ac:dyDescent="0.35">
      <c r="A83" s="53" t="s">
        <v>42</v>
      </c>
      <c r="B83" s="53" t="s">
        <v>70</v>
      </c>
      <c r="C83" t="s">
        <v>315</v>
      </c>
      <c r="D83">
        <v>2</v>
      </c>
      <c r="E83" t="s">
        <v>378</v>
      </c>
      <c r="F83">
        <v>101</v>
      </c>
    </row>
    <row r="84" spans="1:6" x14ac:dyDescent="0.35">
      <c r="A84" s="53" t="s">
        <v>42</v>
      </c>
      <c r="B84" s="53" t="s">
        <v>70</v>
      </c>
      <c r="C84" s="55" t="s">
        <v>208</v>
      </c>
      <c r="D84">
        <v>43</v>
      </c>
      <c r="E84" s="53" t="s">
        <v>70</v>
      </c>
      <c r="F84">
        <v>146</v>
      </c>
    </row>
    <row r="85" spans="1:6" x14ac:dyDescent="0.35">
      <c r="A85" s="53" t="s">
        <v>42</v>
      </c>
      <c r="B85" s="53" t="s">
        <v>70</v>
      </c>
      <c r="C85" s="55" t="s">
        <v>316</v>
      </c>
      <c r="D85">
        <v>2</v>
      </c>
      <c r="E85" s="53" t="s">
        <v>70</v>
      </c>
      <c r="F85">
        <v>146</v>
      </c>
    </row>
    <row r="86" spans="1:6" x14ac:dyDescent="0.35">
      <c r="A86" s="53" t="s">
        <v>42</v>
      </c>
      <c r="B86" s="53" t="s">
        <v>70</v>
      </c>
      <c r="C86" s="55" t="s">
        <v>278</v>
      </c>
      <c r="D86">
        <v>45</v>
      </c>
      <c r="E86" s="53" t="s">
        <v>70</v>
      </c>
      <c r="F86">
        <v>146</v>
      </c>
    </row>
    <row r="87" spans="1:6" x14ac:dyDescent="0.35">
      <c r="A87" s="53" t="s">
        <v>42</v>
      </c>
      <c r="B87" s="53" t="s">
        <v>70</v>
      </c>
      <c r="C87" s="55" t="s">
        <v>201</v>
      </c>
      <c r="D87">
        <v>1</v>
      </c>
      <c r="E87" s="53" t="s">
        <v>70</v>
      </c>
      <c r="F87">
        <v>146</v>
      </c>
    </row>
    <row r="88" spans="1:6" x14ac:dyDescent="0.35">
      <c r="A88" s="53" t="s">
        <v>42</v>
      </c>
      <c r="B88" s="53" t="s">
        <v>70</v>
      </c>
      <c r="C88" t="s">
        <v>240</v>
      </c>
      <c r="D88">
        <v>35</v>
      </c>
      <c r="E88" t="s">
        <v>378</v>
      </c>
      <c r="F88">
        <v>101</v>
      </c>
    </row>
    <row r="89" spans="1:6" x14ac:dyDescent="0.35">
      <c r="A89" s="53" t="s">
        <v>42</v>
      </c>
      <c r="B89" s="53" t="s">
        <v>70</v>
      </c>
      <c r="C89" s="55" t="s">
        <v>145</v>
      </c>
      <c r="D89">
        <v>5</v>
      </c>
      <c r="E89" s="53" t="s">
        <v>70</v>
      </c>
      <c r="F89">
        <v>146</v>
      </c>
    </row>
    <row r="90" spans="1:6" x14ac:dyDescent="0.35">
      <c r="A90" s="53" t="s">
        <v>42</v>
      </c>
      <c r="B90" s="53" t="s">
        <v>70</v>
      </c>
      <c r="C90" s="55" t="s">
        <v>194</v>
      </c>
      <c r="D90">
        <v>77</v>
      </c>
      <c r="E90" s="53" t="s">
        <v>70</v>
      </c>
      <c r="F90">
        <v>146</v>
      </c>
    </row>
    <row r="91" spans="1:6" x14ac:dyDescent="0.35">
      <c r="A91" s="53" t="s">
        <v>42</v>
      </c>
      <c r="B91" s="53" t="s">
        <v>70</v>
      </c>
      <c r="C91" t="s">
        <v>228</v>
      </c>
      <c r="D91">
        <v>2</v>
      </c>
    </row>
    <row r="92" spans="1:6" x14ac:dyDescent="0.35">
      <c r="A92" s="54" t="s">
        <v>42</v>
      </c>
      <c r="B92" s="53" t="s">
        <v>67</v>
      </c>
      <c r="C92" t="s">
        <v>201</v>
      </c>
      <c r="D92">
        <v>1</v>
      </c>
      <c r="E92" s="53" t="s">
        <v>67</v>
      </c>
      <c r="F92">
        <v>64</v>
      </c>
    </row>
    <row r="93" spans="1:6" x14ac:dyDescent="0.35">
      <c r="A93" s="53" t="s">
        <v>44</v>
      </c>
      <c r="B93" s="53" t="s">
        <v>71</v>
      </c>
      <c r="C93" t="s">
        <v>164</v>
      </c>
      <c r="D93">
        <v>34</v>
      </c>
      <c r="E93" s="53" t="s">
        <v>71</v>
      </c>
      <c r="F93">
        <v>122</v>
      </c>
    </row>
    <row r="94" spans="1:6" x14ac:dyDescent="0.35">
      <c r="A94" s="53" t="s">
        <v>44</v>
      </c>
      <c r="B94" s="53" t="s">
        <v>71</v>
      </c>
      <c r="C94" t="s">
        <v>327</v>
      </c>
      <c r="D94">
        <v>9</v>
      </c>
      <c r="E94" s="53" t="s">
        <v>71</v>
      </c>
      <c r="F94">
        <v>122</v>
      </c>
    </row>
    <row r="95" spans="1:6" x14ac:dyDescent="0.35">
      <c r="A95" s="53" t="s">
        <v>44</v>
      </c>
      <c r="B95" s="53" t="s">
        <v>71</v>
      </c>
      <c r="C95" t="s">
        <v>345</v>
      </c>
      <c r="D95">
        <v>15</v>
      </c>
      <c r="E95" s="53" t="s">
        <v>71</v>
      </c>
      <c r="F95">
        <v>122</v>
      </c>
    </row>
    <row r="96" spans="1:6" x14ac:dyDescent="0.35">
      <c r="A96" s="53" t="s">
        <v>44</v>
      </c>
      <c r="B96" s="53" t="s">
        <v>71</v>
      </c>
      <c r="C96" t="s">
        <v>371</v>
      </c>
      <c r="D96">
        <v>2</v>
      </c>
      <c r="E96" s="53" t="s">
        <v>71</v>
      </c>
      <c r="F96">
        <v>122</v>
      </c>
    </row>
    <row r="97" spans="1:6" x14ac:dyDescent="0.35">
      <c r="A97" s="53" t="s">
        <v>44</v>
      </c>
      <c r="B97" s="53" t="s">
        <v>71</v>
      </c>
      <c r="C97" t="s">
        <v>146</v>
      </c>
      <c r="D97">
        <v>48</v>
      </c>
      <c r="E97" s="53" t="s">
        <v>71</v>
      </c>
      <c r="F97">
        <v>122</v>
      </c>
    </row>
    <row r="98" spans="1:6" x14ac:dyDescent="0.35">
      <c r="A98" s="53" t="s">
        <v>44</v>
      </c>
      <c r="B98" s="53" t="s">
        <v>71</v>
      </c>
      <c r="C98" t="s">
        <v>201</v>
      </c>
      <c r="D98">
        <v>1</v>
      </c>
      <c r="E98" s="53" t="s">
        <v>71</v>
      </c>
      <c r="F98">
        <v>122</v>
      </c>
    </row>
    <row r="99" spans="1:6" x14ac:dyDescent="0.35">
      <c r="A99" s="53" t="s">
        <v>44</v>
      </c>
      <c r="B99" s="53" t="s">
        <v>71</v>
      </c>
      <c r="C99" t="s">
        <v>344</v>
      </c>
      <c r="D99">
        <v>6</v>
      </c>
      <c r="E99" s="53" t="s">
        <v>71</v>
      </c>
      <c r="F99">
        <v>122</v>
      </c>
    </row>
    <row r="100" spans="1:6" x14ac:dyDescent="0.35">
      <c r="A100" s="53" t="s">
        <v>44</v>
      </c>
      <c r="B100" s="53" t="s">
        <v>71</v>
      </c>
      <c r="C100" t="s">
        <v>145</v>
      </c>
      <c r="D100">
        <v>3</v>
      </c>
      <c r="E100" s="53" t="s">
        <v>71</v>
      </c>
      <c r="F100">
        <v>122</v>
      </c>
    </row>
    <row r="101" spans="1:6" x14ac:dyDescent="0.35">
      <c r="A101" s="53" t="s">
        <v>44</v>
      </c>
      <c r="B101" s="53" t="s">
        <v>71</v>
      </c>
      <c r="C101" t="s">
        <v>377</v>
      </c>
      <c r="D101">
        <v>1</v>
      </c>
      <c r="E101" s="53" t="s">
        <v>71</v>
      </c>
      <c r="F101">
        <v>122</v>
      </c>
    </row>
    <row r="102" spans="1:6" x14ac:dyDescent="0.35">
      <c r="A102" s="53" t="s">
        <v>44</v>
      </c>
      <c r="B102" s="53" t="s">
        <v>71</v>
      </c>
      <c r="C102" t="s">
        <v>211</v>
      </c>
      <c r="D102">
        <v>7</v>
      </c>
      <c r="E102" s="53" t="s">
        <v>71</v>
      </c>
      <c r="F102">
        <v>122</v>
      </c>
    </row>
    <row r="103" spans="1:6" x14ac:dyDescent="0.35">
      <c r="A103" s="53" t="s">
        <v>44</v>
      </c>
      <c r="B103" s="53" t="s">
        <v>71</v>
      </c>
      <c r="C103" t="s">
        <v>343</v>
      </c>
      <c r="D103">
        <v>1</v>
      </c>
      <c r="E103" s="53" t="s">
        <v>71</v>
      </c>
      <c r="F103">
        <v>122</v>
      </c>
    </row>
    <row r="104" spans="1:6" x14ac:dyDescent="0.35">
      <c r="A104" s="53" t="s">
        <v>44</v>
      </c>
      <c r="B104" s="53" t="s">
        <v>71</v>
      </c>
      <c r="C104" t="s">
        <v>228</v>
      </c>
      <c r="D104">
        <v>6</v>
      </c>
      <c r="E104" s="53" t="s">
        <v>71</v>
      </c>
      <c r="F104">
        <v>122</v>
      </c>
    </row>
    <row r="105" spans="1:6" x14ac:dyDescent="0.35">
      <c r="A105" s="53" t="s">
        <v>44</v>
      </c>
      <c r="B105" s="53" t="s">
        <v>72</v>
      </c>
      <c r="C105" t="s">
        <v>146</v>
      </c>
      <c r="D105">
        <v>1</v>
      </c>
      <c r="E105" s="53" t="s">
        <v>71</v>
      </c>
      <c r="F105">
        <v>122</v>
      </c>
    </row>
    <row r="106" spans="1:6" x14ac:dyDescent="0.35">
      <c r="A106" s="53" t="s">
        <v>44</v>
      </c>
      <c r="B106" s="53" t="s">
        <v>72</v>
      </c>
      <c r="C106" t="s">
        <v>339</v>
      </c>
      <c r="D106">
        <v>2</v>
      </c>
      <c r="E106" s="53" t="s">
        <v>71</v>
      </c>
      <c r="F106">
        <v>122</v>
      </c>
    </row>
    <row r="107" spans="1:6" x14ac:dyDescent="0.35">
      <c r="A107" s="53" t="s">
        <v>44</v>
      </c>
      <c r="B107" s="53" t="s">
        <v>72</v>
      </c>
      <c r="C107" t="s">
        <v>278</v>
      </c>
      <c r="D107">
        <v>3</v>
      </c>
      <c r="E107" s="53" t="s">
        <v>71</v>
      </c>
      <c r="F107">
        <v>122</v>
      </c>
    </row>
    <row r="108" spans="1:6" x14ac:dyDescent="0.35">
      <c r="A108" s="53" t="s">
        <v>44</v>
      </c>
      <c r="B108" s="53" t="s">
        <v>72</v>
      </c>
      <c r="C108" t="s">
        <v>211</v>
      </c>
      <c r="D108">
        <v>2</v>
      </c>
      <c r="E108" s="53" t="s">
        <v>71</v>
      </c>
      <c r="F108">
        <v>122</v>
      </c>
    </row>
    <row r="109" spans="1:6" x14ac:dyDescent="0.35">
      <c r="A109" s="53" t="s">
        <v>44</v>
      </c>
      <c r="B109" s="53" t="s">
        <v>72</v>
      </c>
      <c r="C109" t="s">
        <v>139</v>
      </c>
      <c r="D109">
        <v>202</v>
      </c>
      <c r="E109" s="53" t="s">
        <v>72</v>
      </c>
      <c r="F109">
        <v>61</v>
      </c>
    </row>
    <row r="110" spans="1:6" x14ac:dyDescent="0.35">
      <c r="A110" s="53" t="s">
        <v>44</v>
      </c>
      <c r="B110" s="53" t="s">
        <v>72</v>
      </c>
      <c r="C110" t="s">
        <v>228</v>
      </c>
      <c r="D110">
        <v>5</v>
      </c>
      <c r="E110" s="53" t="s">
        <v>71</v>
      </c>
      <c r="F110">
        <v>122</v>
      </c>
    </row>
    <row r="111" spans="1:6" x14ac:dyDescent="0.35">
      <c r="A111" s="53" t="s">
        <v>44</v>
      </c>
      <c r="B111" s="53" t="s">
        <v>45</v>
      </c>
      <c r="C111" t="s">
        <v>164</v>
      </c>
      <c r="D111">
        <v>52</v>
      </c>
      <c r="E111" s="53" t="s">
        <v>45</v>
      </c>
    </row>
    <row r="112" spans="1:6" x14ac:dyDescent="0.35">
      <c r="A112" s="53" t="s">
        <v>44</v>
      </c>
      <c r="B112" s="53" t="s">
        <v>45</v>
      </c>
      <c r="C112" t="s">
        <v>327</v>
      </c>
      <c r="D112">
        <v>14</v>
      </c>
      <c r="E112" s="53" t="s">
        <v>45</v>
      </c>
    </row>
    <row r="113" spans="1:5" x14ac:dyDescent="0.35">
      <c r="A113" s="53" t="s">
        <v>44</v>
      </c>
      <c r="B113" s="53" t="s">
        <v>45</v>
      </c>
      <c r="C113" t="s">
        <v>340</v>
      </c>
      <c r="D113">
        <v>26</v>
      </c>
      <c r="E113" s="53" t="s">
        <v>45</v>
      </c>
    </row>
    <row r="114" spans="1:5" x14ac:dyDescent="0.35">
      <c r="A114" s="53" t="s">
        <v>44</v>
      </c>
      <c r="B114" s="53" t="s">
        <v>45</v>
      </c>
      <c r="C114" t="s">
        <v>345</v>
      </c>
      <c r="D114">
        <v>12</v>
      </c>
      <c r="E114" s="53" t="s">
        <v>45</v>
      </c>
    </row>
    <row r="115" spans="1:5" x14ac:dyDescent="0.35">
      <c r="A115" s="53" t="s">
        <v>44</v>
      </c>
      <c r="B115" s="53" t="s">
        <v>45</v>
      </c>
      <c r="C115" t="s">
        <v>321</v>
      </c>
      <c r="D115">
        <v>3</v>
      </c>
      <c r="E115" s="53" t="s">
        <v>45</v>
      </c>
    </row>
    <row r="116" spans="1:5" x14ac:dyDescent="0.35">
      <c r="A116" s="53" t="s">
        <v>44</v>
      </c>
      <c r="B116" s="53" t="s">
        <v>45</v>
      </c>
      <c r="C116" t="s">
        <v>342</v>
      </c>
      <c r="D116">
        <v>22</v>
      </c>
      <c r="E116" s="53" t="s">
        <v>45</v>
      </c>
    </row>
    <row r="117" spans="1:5" x14ac:dyDescent="0.35">
      <c r="A117" s="53" t="s">
        <v>44</v>
      </c>
      <c r="B117" s="53" t="s">
        <v>45</v>
      </c>
      <c r="C117" t="s">
        <v>341</v>
      </c>
      <c r="D117">
        <v>4</v>
      </c>
      <c r="E117" s="53" t="s">
        <v>45</v>
      </c>
    </row>
    <row r="118" spans="1:5" x14ac:dyDescent="0.35">
      <c r="A118" s="53" t="s">
        <v>44</v>
      </c>
      <c r="B118" s="53" t="s">
        <v>45</v>
      </c>
      <c r="C118" t="s">
        <v>371</v>
      </c>
      <c r="D118">
        <v>3</v>
      </c>
      <c r="E118" s="53" t="s">
        <v>45</v>
      </c>
    </row>
    <row r="119" spans="1:5" x14ac:dyDescent="0.35">
      <c r="A119" s="53" t="s">
        <v>44</v>
      </c>
      <c r="B119" s="53" t="s">
        <v>45</v>
      </c>
      <c r="C119" t="s">
        <v>323</v>
      </c>
      <c r="D119">
        <v>2</v>
      </c>
      <c r="E119" s="53" t="s">
        <v>45</v>
      </c>
    </row>
    <row r="120" spans="1:5" x14ac:dyDescent="0.35">
      <c r="A120" s="53" t="s">
        <v>44</v>
      </c>
      <c r="B120" s="53" t="s">
        <v>45</v>
      </c>
      <c r="C120" t="s">
        <v>146</v>
      </c>
      <c r="D120">
        <v>11</v>
      </c>
      <c r="E120" s="53" t="s">
        <v>45</v>
      </c>
    </row>
    <row r="121" spans="1:5" x14ac:dyDescent="0.35">
      <c r="A121" s="53" t="s">
        <v>44</v>
      </c>
      <c r="B121" s="53" t="s">
        <v>45</v>
      </c>
      <c r="C121" t="s">
        <v>339</v>
      </c>
      <c r="D121">
        <v>2</v>
      </c>
      <c r="E121" s="53" t="s">
        <v>45</v>
      </c>
    </row>
    <row r="122" spans="1:5" x14ac:dyDescent="0.35">
      <c r="A122" s="53" t="s">
        <v>44</v>
      </c>
      <c r="B122" s="53" t="s">
        <v>45</v>
      </c>
      <c r="C122" t="s">
        <v>201</v>
      </c>
      <c r="D122">
        <v>3</v>
      </c>
      <c r="E122" s="53" t="s">
        <v>45</v>
      </c>
    </row>
    <row r="123" spans="1:5" x14ac:dyDescent="0.35">
      <c r="A123" s="53" t="s">
        <v>44</v>
      </c>
      <c r="B123" s="53" t="s">
        <v>45</v>
      </c>
      <c r="C123" t="s">
        <v>328</v>
      </c>
      <c r="D123">
        <v>1</v>
      </c>
      <c r="E123" s="53" t="s">
        <v>45</v>
      </c>
    </row>
    <row r="124" spans="1:5" x14ac:dyDescent="0.35">
      <c r="A124" s="53" t="s">
        <v>44</v>
      </c>
      <c r="B124" s="53" t="s">
        <v>45</v>
      </c>
      <c r="C124" t="s">
        <v>344</v>
      </c>
      <c r="D124">
        <v>7</v>
      </c>
      <c r="E124" s="53" t="s">
        <v>45</v>
      </c>
    </row>
    <row r="125" spans="1:5" x14ac:dyDescent="0.35">
      <c r="A125" s="53" t="s">
        <v>44</v>
      </c>
      <c r="B125" s="53" t="s">
        <v>45</v>
      </c>
      <c r="C125" t="s">
        <v>211</v>
      </c>
      <c r="D125">
        <v>14</v>
      </c>
      <c r="E125" s="53" t="s">
        <v>45</v>
      </c>
    </row>
    <row r="126" spans="1:5" x14ac:dyDescent="0.35">
      <c r="A126" s="53" t="s">
        <v>44</v>
      </c>
      <c r="B126" s="53" t="s">
        <v>45</v>
      </c>
      <c r="C126" t="s">
        <v>139</v>
      </c>
      <c r="D126">
        <v>46</v>
      </c>
      <c r="E126" s="53" t="s">
        <v>45</v>
      </c>
    </row>
    <row r="127" spans="1:5" x14ac:dyDescent="0.35">
      <c r="A127" s="54" t="s">
        <v>44</v>
      </c>
      <c r="B127" s="53" t="s">
        <v>45</v>
      </c>
      <c r="C127" t="s">
        <v>228</v>
      </c>
      <c r="D127">
        <v>4</v>
      </c>
      <c r="E127" s="53" t="s">
        <v>45</v>
      </c>
    </row>
    <row r="128" spans="1:5" x14ac:dyDescent="0.35">
      <c r="A128" s="53" t="s">
        <v>46</v>
      </c>
      <c r="B128" s="53" t="s">
        <v>47</v>
      </c>
      <c r="C128" t="s">
        <v>363</v>
      </c>
      <c r="D128">
        <v>1</v>
      </c>
    </row>
    <row r="129" spans="1:4" x14ac:dyDescent="0.35">
      <c r="A129" s="53" t="s">
        <v>46</v>
      </c>
      <c r="B129" s="53" t="s">
        <v>47</v>
      </c>
      <c r="C129" t="s">
        <v>337</v>
      </c>
      <c r="D129">
        <v>6</v>
      </c>
    </row>
    <row r="130" spans="1:4" x14ac:dyDescent="0.35">
      <c r="A130" s="53" t="s">
        <v>46</v>
      </c>
      <c r="B130" s="53" t="s">
        <v>47</v>
      </c>
      <c r="C130" t="s">
        <v>324</v>
      </c>
      <c r="D130">
        <v>3</v>
      </c>
    </row>
    <row r="131" spans="1:4" x14ac:dyDescent="0.35">
      <c r="A131" s="53" t="s">
        <v>46</v>
      </c>
      <c r="B131" s="53" t="s">
        <v>47</v>
      </c>
      <c r="C131" t="s">
        <v>333</v>
      </c>
      <c r="D131">
        <v>3</v>
      </c>
    </row>
    <row r="132" spans="1:4" x14ac:dyDescent="0.35">
      <c r="A132" s="53" t="s">
        <v>46</v>
      </c>
      <c r="B132" s="53" t="s">
        <v>47</v>
      </c>
      <c r="C132" t="s">
        <v>346</v>
      </c>
      <c r="D132">
        <v>2</v>
      </c>
    </row>
    <row r="133" spans="1:4" x14ac:dyDescent="0.35">
      <c r="A133" s="53" t="s">
        <v>46</v>
      </c>
      <c r="B133" s="53" t="s">
        <v>47</v>
      </c>
      <c r="C133" t="s">
        <v>367</v>
      </c>
      <c r="D133">
        <v>8</v>
      </c>
    </row>
    <row r="134" spans="1:4" x14ac:dyDescent="0.35">
      <c r="A134" s="53" t="s">
        <v>46</v>
      </c>
      <c r="B134" s="53" t="s">
        <v>47</v>
      </c>
      <c r="C134" t="s">
        <v>320</v>
      </c>
      <c r="D134">
        <v>2</v>
      </c>
    </row>
    <row r="135" spans="1:4" x14ac:dyDescent="0.35">
      <c r="A135" s="53" t="s">
        <v>46</v>
      </c>
      <c r="B135" s="53" t="s">
        <v>47</v>
      </c>
      <c r="C135" t="s">
        <v>212</v>
      </c>
      <c r="D135">
        <v>2</v>
      </c>
    </row>
    <row r="136" spans="1:4" x14ac:dyDescent="0.35">
      <c r="A136" s="53" t="s">
        <v>46</v>
      </c>
      <c r="B136" s="53" t="s">
        <v>47</v>
      </c>
      <c r="C136" t="s">
        <v>360</v>
      </c>
      <c r="D136">
        <v>4</v>
      </c>
    </row>
    <row r="137" spans="1:4" x14ac:dyDescent="0.35">
      <c r="A137" s="53" t="s">
        <v>46</v>
      </c>
      <c r="B137" s="53" t="s">
        <v>47</v>
      </c>
      <c r="C137" t="s">
        <v>364</v>
      </c>
      <c r="D137">
        <v>1</v>
      </c>
    </row>
    <row r="138" spans="1:4" x14ac:dyDescent="0.35">
      <c r="A138" s="53" t="s">
        <v>46</v>
      </c>
      <c r="B138" s="53" t="s">
        <v>47</v>
      </c>
      <c r="C138" t="s">
        <v>338</v>
      </c>
      <c r="D138">
        <v>5</v>
      </c>
    </row>
    <row r="139" spans="1:4" x14ac:dyDescent="0.35">
      <c r="A139" s="53" t="s">
        <v>46</v>
      </c>
      <c r="B139" s="53" t="s">
        <v>47</v>
      </c>
      <c r="C139" t="s">
        <v>316</v>
      </c>
      <c r="D139">
        <v>5</v>
      </c>
    </row>
    <row r="140" spans="1:4" x14ac:dyDescent="0.35">
      <c r="A140" s="53" t="s">
        <v>46</v>
      </c>
      <c r="B140" s="53" t="s">
        <v>47</v>
      </c>
      <c r="C140" t="s">
        <v>322</v>
      </c>
      <c r="D140">
        <v>4</v>
      </c>
    </row>
    <row r="141" spans="1:4" x14ac:dyDescent="0.35">
      <c r="A141" s="53" t="s">
        <v>46</v>
      </c>
      <c r="B141" s="53" t="s">
        <v>47</v>
      </c>
      <c r="C141" t="s">
        <v>201</v>
      </c>
      <c r="D141">
        <v>56</v>
      </c>
    </row>
    <row r="142" spans="1:4" x14ac:dyDescent="0.35">
      <c r="A142" s="53" t="s">
        <v>46</v>
      </c>
      <c r="B142" s="53" t="s">
        <v>47</v>
      </c>
      <c r="C142" t="s">
        <v>361</v>
      </c>
      <c r="D142">
        <v>1</v>
      </c>
    </row>
    <row r="143" spans="1:4" x14ac:dyDescent="0.35">
      <c r="A143" s="53" t="s">
        <v>46</v>
      </c>
      <c r="B143" s="53" t="s">
        <v>47</v>
      </c>
      <c r="C143" t="s">
        <v>376</v>
      </c>
      <c r="D143">
        <v>1</v>
      </c>
    </row>
    <row r="144" spans="1:4" x14ac:dyDescent="0.35">
      <c r="A144" s="53" t="s">
        <v>46</v>
      </c>
      <c r="B144" s="53" t="s">
        <v>47</v>
      </c>
      <c r="C144" t="s">
        <v>329</v>
      </c>
      <c r="D144">
        <v>4</v>
      </c>
    </row>
    <row r="145" spans="1:6" x14ac:dyDescent="0.35">
      <c r="A145" s="53" t="s">
        <v>46</v>
      </c>
      <c r="B145" s="53" t="s">
        <v>47</v>
      </c>
      <c r="C145" t="s">
        <v>330</v>
      </c>
      <c r="D145">
        <v>2</v>
      </c>
    </row>
    <row r="146" spans="1:6" x14ac:dyDescent="0.35">
      <c r="A146" s="53" t="s">
        <v>46</v>
      </c>
      <c r="B146" s="53" t="s">
        <v>47</v>
      </c>
      <c r="C146" t="s">
        <v>335</v>
      </c>
      <c r="D146">
        <v>2</v>
      </c>
    </row>
    <row r="147" spans="1:6" x14ac:dyDescent="0.35">
      <c r="A147" s="53" t="s">
        <v>46</v>
      </c>
      <c r="B147" s="53" t="s">
        <v>47</v>
      </c>
      <c r="C147" t="s">
        <v>366</v>
      </c>
      <c r="D147">
        <v>1</v>
      </c>
    </row>
    <row r="148" spans="1:6" x14ac:dyDescent="0.35">
      <c r="A148" s="53" t="s">
        <v>46</v>
      </c>
      <c r="B148" s="53" t="s">
        <v>47</v>
      </c>
      <c r="C148" t="s">
        <v>319</v>
      </c>
      <c r="D148">
        <v>2</v>
      </c>
    </row>
    <row r="149" spans="1:6" x14ac:dyDescent="0.35">
      <c r="A149" s="53" t="s">
        <v>46</v>
      </c>
      <c r="B149" s="53" t="s">
        <v>47</v>
      </c>
      <c r="C149" t="s">
        <v>149</v>
      </c>
      <c r="D149">
        <v>5</v>
      </c>
    </row>
    <row r="150" spans="1:6" x14ac:dyDescent="0.35">
      <c r="A150" s="53" t="s">
        <v>46</v>
      </c>
      <c r="B150" s="53" t="s">
        <v>47</v>
      </c>
      <c r="C150" t="s">
        <v>317</v>
      </c>
      <c r="D150">
        <v>2</v>
      </c>
    </row>
    <row r="151" spans="1:6" x14ac:dyDescent="0.35">
      <c r="A151" s="53" t="s">
        <v>46</v>
      </c>
      <c r="B151" s="53" t="s">
        <v>47</v>
      </c>
      <c r="C151" t="s">
        <v>255</v>
      </c>
      <c r="D151">
        <v>1</v>
      </c>
    </row>
    <row r="152" spans="1:6" x14ac:dyDescent="0.35">
      <c r="A152" s="53" t="s">
        <v>46</v>
      </c>
      <c r="B152" s="53" t="s">
        <v>47</v>
      </c>
      <c r="C152" t="s">
        <v>343</v>
      </c>
      <c r="D152">
        <v>11</v>
      </c>
    </row>
    <row r="153" spans="1:6" x14ac:dyDescent="0.35">
      <c r="A153" s="53" t="s">
        <v>46</v>
      </c>
      <c r="B153" s="53" t="s">
        <v>47</v>
      </c>
      <c r="C153" t="s">
        <v>336</v>
      </c>
      <c r="D153">
        <v>3</v>
      </c>
    </row>
    <row r="154" spans="1:6" x14ac:dyDescent="0.35">
      <c r="A154" s="53" t="s">
        <v>46</v>
      </c>
      <c r="B154" s="53" t="s">
        <v>47</v>
      </c>
      <c r="C154" t="s">
        <v>362</v>
      </c>
      <c r="D154">
        <v>1</v>
      </c>
    </row>
    <row r="155" spans="1:6" x14ac:dyDescent="0.35">
      <c r="A155" s="53" t="s">
        <v>46</v>
      </c>
      <c r="B155" s="53" t="s">
        <v>47</v>
      </c>
      <c r="C155" t="s">
        <v>332</v>
      </c>
      <c r="D155">
        <v>4</v>
      </c>
    </row>
    <row r="156" spans="1:6" x14ac:dyDescent="0.35">
      <c r="A156" s="53" t="s">
        <v>46</v>
      </c>
      <c r="B156" s="53" t="s">
        <v>47</v>
      </c>
      <c r="C156" t="s">
        <v>318</v>
      </c>
      <c r="D156">
        <v>1</v>
      </c>
    </row>
    <row r="157" spans="1:6" x14ac:dyDescent="0.35">
      <c r="A157" s="53" t="s">
        <v>46</v>
      </c>
      <c r="B157" s="53" t="s">
        <v>47</v>
      </c>
      <c r="C157" t="s">
        <v>334</v>
      </c>
      <c r="D157">
        <v>4</v>
      </c>
    </row>
    <row r="158" spans="1:6" x14ac:dyDescent="0.35">
      <c r="A158" s="53" t="s">
        <v>46</v>
      </c>
      <c r="B158" s="53" t="s">
        <v>67</v>
      </c>
      <c r="C158" t="s">
        <v>363</v>
      </c>
      <c r="D158">
        <v>1</v>
      </c>
      <c r="E158" s="53" t="s">
        <v>67</v>
      </c>
      <c r="F158">
        <v>64</v>
      </c>
    </row>
    <row r="159" spans="1:6" x14ac:dyDescent="0.35">
      <c r="A159" s="53" t="s">
        <v>46</v>
      </c>
      <c r="B159" s="53" t="s">
        <v>67</v>
      </c>
      <c r="C159" t="s">
        <v>235</v>
      </c>
      <c r="D159">
        <v>6</v>
      </c>
      <c r="E159" s="53" t="s">
        <v>67</v>
      </c>
      <c r="F159">
        <v>64</v>
      </c>
    </row>
    <row r="160" spans="1:6" x14ac:dyDescent="0.35">
      <c r="A160" s="53" t="s">
        <v>46</v>
      </c>
      <c r="B160" s="53" t="s">
        <v>67</v>
      </c>
      <c r="C160" t="s">
        <v>320</v>
      </c>
      <c r="D160">
        <v>1</v>
      </c>
      <c r="E160" t="s">
        <v>320</v>
      </c>
      <c r="F160">
        <v>64</v>
      </c>
    </row>
    <row r="161" spans="1:6" x14ac:dyDescent="0.35">
      <c r="A161" s="53" t="s">
        <v>46</v>
      </c>
      <c r="B161" s="53" t="s">
        <v>67</v>
      </c>
      <c r="C161" t="s">
        <v>212</v>
      </c>
      <c r="D161">
        <v>1</v>
      </c>
      <c r="E161" t="s">
        <v>212</v>
      </c>
      <c r="F161">
        <v>64</v>
      </c>
    </row>
    <row r="162" spans="1:6" x14ac:dyDescent="0.35">
      <c r="A162" s="53" t="s">
        <v>46</v>
      </c>
      <c r="B162" s="53" t="s">
        <v>67</v>
      </c>
      <c r="C162" t="s">
        <v>293</v>
      </c>
      <c r="D162">
        <v>2</v>
      </c>
      <c r="E162" t="s">
        <v>293</v>
      </c>
      <c r="F162">
        <v>64</v>
      </c>
    </row>
    <row r="163" spans="1:6" x14ac:dyDescent="0.35">
      <c r="A163" s="53" t="s">
        <v>46</v>
      </c>
      <c r="B163" s="53" t="s">
        <v>67</v>
      </c>
      <c r="C163" t="s">
        <v>316</v>
      </c>
      <c r="D163">
        <v>15</v>
      </c>
      <c r="E163" t="s">
        <v>316</v>
      </c>
      <c r="F163">
        <v>64</v>
      </c>
    </row>
    <row r="164" spans="1:6" x14ac:dyDescent="0.35">
      <c r="A164" s="53" t="s">
        <v>46</v>
      </c>
      <c r="B164" s="53" t="s">
        <v>67</v>
      </c>
      <c r="C164" t="s">
        <v>312</v>
      </c>
      <c r="D164">
        <v>1</v>
      </c>
      <c r="E164" t="s">
        <v>312</v>
      </c>
      <c r="F164">
        <v>64</v>
      </c>
    </row>
    <row r="165" spans="1:6" x14ac:dyDescent="0.35">
      <c r="A165" s="53" t="s">
        <v>46</v>
      </c>
      <c r="B165" s="53" t="s">
        <v>67</v>
      </c>
      <c r="C165" t="s">
        <v>322</v>
      </c>
      <c r="D165">
        <v>4</v>
      </c>
      <c r="E165" t="s">
        <v>322</v>
      </c>
      <c r="F165">
        <v>64</v>
      </c>
    </row>
    <row r="166" spans="1:6" x14ac:dyDescent="0.35">
      <c r="A166" s="53" t="s">
        <v>46</v>
      </c>
      <c r="B166" s="53" t="s">
        <v>67</v>
      </c>
      <c r="C166" t="s">
        <v>138</v>
      </c>
      <c r="D166">
        <v>16</v>
      </c>
      <c r="E166" t="s">
        <v>138</v>
      </c>
      <c r="F166">
        <v>64</v>
      </c>
    </row>
    <row r="167" spans="1:6" x14ac:dyDescent="0.35">
      <c r="A167" s="53" t="s">
        <v>46</v>
      </c>
      <c r="B167" s="53" t="s">
        <v>67</v>
      </c>
      <c r="C167" t="s">
        <v>201</v>
      </c>
      <c r="D167">
        <v>27</v>
      </c>
      <c r="E167" t="s">
        <v>201</v>
      </c>
      <c r="F167">
        <v>64</v>
      </c>
    </row>
    <row r="168" spans="1:6" x14ac:dyDescent="0.35">
      <c r="A168" s="53" t="s">
        <v>46</v>
      </c>
      <c r="B168" s="53" t="s">
        <v>67</v>
      </c>
      <c r="C168" t="s">
        <v>329</v>
      </c>
      <c r="D168">
        <v>3</v>
      </c>
      <c r="E168" t="s">
        <v>329</v>
      </c>
      <c r="F168">
        <v>64</v>
      </c>
    </row>
    <row r="169" spans="1:6" x14ac:dyDescent="0.35">
      <c r="A169" s="53" t="s">
        <v>46</v>
      </c>
      <c r="B169" s="53" t="s">
        <v>67</v>
      </c>
      <c r="C169" t="s">
        <v>330</v>
      </c>
      <c r="D169">
        <v>2</v>
      </c>
      <c r="E169" t="s">
        <v>330</v>
      </c>
      <c r="F169">
        <v>64</v>
      </c>
    </row>
    <row r="170" spans="1:6" x14ac:dyDescent="0.35">
      <c r="A170" s="53" t="s">
        <v>46</v>
      </c>
      <c r="B170" s="53" t="s">
        <v>67</v>
      </c>
      <c r="C170" t="s">
        <v>335</v>
      </c>
      <c r="D170">
        <v>3</v>
      </c>
      <c r="E170" t="s">
        <v>335</v>
      </c>
      <c r="F170">
        <v>64</v>
      </c>
    </row>
    <row r="171" spans="1:6" x14ac:dyDescent="0.35">
      <c r="A171" s="53" t="s">
        <v>46</v>
      </c>
      <c r="B171" s="53" t="s">
        <v>67</v>
      </c>
      <c r="C171" t="s">
        <v>145</v>
      </c>
      <c r="D171">
        <v>5</v>
      </c>
      <c r="E171" t="s">
        <v>145</v>
      </c>
      <c r="F171">
        <v>64</v>
      </c>
    </row>
    <row r="172" spans="1:6" x14ac:dyDescent="0.35">
      <c r="A172" s="53" t="s">
        <v>46</v>
      </c>
      <c r="B172" s="53" t="s">
        <v>67</v>
      </c>
      <c r="C172" t="s">
        <v>210</v>
      </c>
      <c r="D172">
        <v>3</v>
      </c>
      <c r="E172" t="s">
        <v>210</v>
      </c>
      <c r="F172">
        <v>64</v>
      </c>
    </row>
    <row r="173" spans="1:6" x14ac:dyDescent="0.35">
      <c r="A173" s="53" t="s">
        <v>46</v>
      </c>
      <c r="B173" s="53" t="s">
        <v>67</v>
      </c>
      <c r="C173" t="s">
        <v>319</v>
      </c>
      <c r="D173">
        <v>4</v>
      </c>
      <c r="E173" t="s">
        <v>319</v>
      </c>
      <c r="F173">
        <v>64</v>
      </c>
    </row>
    <row r="174" spans="1:6" x14ac:dyDescent="0.35">
      <c r="A174" s="53" t="s">
        <v>46</v>
      </c>
      <c r="B174" s="53" t="s">
        <v>67</v>
      </c>
      <c r="C174" t="s">
        <v>149</v>
      </c>
      <c r="D174">
        <v>1</v>
      </c>
      <c r="E174" t="s">
        <v>149</v>
      </c>
      <c r="F174">
        <v>64</v>
      </c>
    </row>
    <row r="175" spans="1:6" x14ac:dyDescent="0.35">
      <c r="A175" s="53" t="s">
        <v>46</v>
      </c>
      <c r="B175" s="53" t="s">
        <v>67</v>
      </c>
      <c r="C175" t="s">
        <v>317</v>
      </c>
      <c r="D175">
        <v>3</v>
      </c>
      <c r="E175" t="s">
        <v>317</v>
      </c>
      <c r="F175">
        <v>64</v>
      </c>
    </row>
    <row r="176" spans="1:6" x14ac:dyDescent="0.35">
      <c r="A176" s="53" t="s">
        <v>46</v>
      </c>
      <c r="B176" s="53" t="s">
        <v>67</v>
      </c>
      <c r="C176" t="s">
        <v>336</v>
      </c>
      <c r="D176">
        <v>2</v>
      </c>
      <c r="E176" t="s">
        <v>336</v>
      </c>
      <c r="F176">
        <v>64</v>
      </c>
    </row>
    <row r="177" spans="1:6" x14ac:dyDescent="0.35">
      <c r="A177" s="53" t="s">
        <v>46</v>
      </c>
      <c r="B177" s="53" t="s">
        <v>67</v>
      </c>
      <c r="C177" t="s">
        <v>195</v>
      </c>
      <c r="D177">
        <v>3</v>
      </c>
      <c r="E177" t="s">
        <v>195</v>
      </c>
      <c r="F177">
        <v>64</v>
      </c>
    </row>
    <row r="178" spans="1:6" x14ac:dyDescent="0.35">
      <c r="A178" s="53" t="s">
        <v>46</v>
      </c>
      <c r="B178" s="53" t="s">
        <v>67</v>
      </c>
      <c r="C178" t="s">
        <v>353</v>
      </c>
      <c r="D178">
        <v>1</v>
      </c>
      <c r="E178" t="s">
        <v>353</v>
      </c>
      <c r="F178">
        <v>64</v>
      </c>
    </row>
    <row r="179" spans="1:6" x14ac:dyDescent="0.35">
      <c r="A179" s="54" t="s">
        <v>46</v>
      </c>
      <c r="B179" s="53" t="s">
        <v>67</v>
      </c>
      <c r="C179" t="s">
        <v>334</v>
      </c>
      <c r="D179">
        <v>6</v>
      </c>
      <c r="E179" t="s">
        <v>334</v>
      </c>
      <c r="F179">
        <v>64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6154-22C7-4494-97A4-9EB07DADAC33}">
  <sheetPr filterMode="1"/>
  <dimension ref="A1:K161"/>
  <sheetViews>
    <sheetView workbookViewId="0">
      <selection activeCell="K3" sqref="K3:K153"/>
    </sheetView>
  </sheetViews>
  <sheetFormatPr baseColWidth="10" defaultRowHeight="14.5" x14ac:dyDescent="0.35"/>
  <cols>
    <col min="1" max="1" width="37.1796875" bestFit="1" customWidth="1"/>
    <col min="2" max="2" width="24.26953125" customWidth="1"/>
  </cols>
  <sheetData>
    <row r="1" spans="1:11" x14ac:dyDescent="0.35">
      <c r="A1" t="s">
        <v>49</v>
      </c>
      <c r="B1" t="s">
        <v>9</v>
      </c>
      <c r="D1" t="s">
        <v>14</v>
      </c>
      <c r="E1" t="s">
        <v>13</v>
      </c>
      <c r="F1" t="s">
        <v>391</v>
      </c>
      <c r="G1" t="s">
        <v>92</v>
      </c>
      <c r="H1" t="s">
        <v>381</v>
      </c>
      <c r="I1" t="s">
        <v>382</v>
      </c>
      <c r="J1" t="s">
        <v>383</v>
      </c>
      <c r="K1" t="s">
        <v>91</v>
      </c>
    </row>
    <row r="2" spans="1:11" hidden="1" x14ac:dyDescent="0.35">
      <c r="A2" t="s">
        <v>53</v>
      </c>
      <c r="B2" t="s">
        <v>54</v>
      </c>
      <c r="C2" t="s">
        <v>389</v>
      </c>
      <c r="D2">
        <v>0.7</v>
      </c>
      <c r="E2">
        <v>0.9</v>
      </c>
      <c r="F2">
        <v>0.125</v>
      </c>
      <c r="G2">
        <v>0.1</v>
      </c>
      <c r="H2">
        <v>0</v>
      </c>
      <c r="I2">
        <v>12</v>
      </c>
      <c r="J2">
        <v>9</v>
      </c>
      <c r="K2">
        <v>30</v>
      </c>
    </row>
    <row r="3" spans="1:11" x14ac:dyDescent="0.35">
      <c r="A3" t="s">
        <v>53</v>
      </c>
      <c r="B3" t="s">
        <v>29</v>
      </c>
      <c r="C3" t="s">
        <v>389</v>
      </c>
      <c r="D3">
        <v>1.8</v>
      </c>
      <c r="E3">
        <v>0.9</v>
      </c>
      <c r="F3">
        <v>0.125</v>
      </c>
      <c r="G3">
        <v>0.1</v>
      </c>
      <c r="H3">
        <v>0</v>
      </c>
      <c r="I3">
        <v>11</v>
      </c>
      <c r="J3">
        <v>7</v>
      </c>
      <c r="K3">
        <v>10</v>
      </c>
    </row>
    <row r="4" spans="1:11" hidden="1" x14ac:dyDescent="0.35">
      <c r="A4" t="s">
        <v>53</v>
      </c>
      <c r="B4" t="s">
        <v>10</v>
      </c>
      <c r="C4" t="s">
        <v>389</v>
      </c>
      <c r="D4">
        <v>0</v>
      </c>
      <c r="E4">
        <v>0.9</v>
      </c>
      <c r="F4">
        <v>0.125</v>
      </c>
      <c r="G4">
        <v>0.1</v>
      </c>
      <c r="H4">
        <v>0</v>
      </c>
      <c r="I4">
        <v>0</v>
      </c>
      <c r="J4">
        <v>0</v>
      </c>
      <c r="K4">
        <v>1</v>
      </c>
    </row>
    <row r="5" spans="1:11" hidden="1" x14ac:dyDescent="0.35">
      <c r="A5" t="s">
        <v>53</v>
      </c>
      <c r="B5" t="s">
        <v>11</v>
      </c>
      <c r="C5" t="s">
        <v>389</v>
      </c>
      <c r="D5" t="s">
        <v>390</v>
      </c>
      <c r="E5">
        <v>0.9</v>
      </c>
      <c r="F5">
        <v>0</v>
      </c>
      <c r="G5">
        <v>0.2</v>
      </c>
      <c r="H5">
        <v>0</v>
      </c>
      <c r="I5">
        <v>0</v>
      </c>
      <c r="J5">
        <v>0</v>
      </c>
      <c r="K5">
        <v>0</v>
      </c>
    </row>
    <row r="6" spans="1:11" hidden="1" x14ac:dyDescent="0.35">
      <c r="A6" t="s">
        <v>53</v>
      </c>
      <c r="B6" t="s">
        <v>12</v>
      </c>
      <c r="C6" t="s">
        <v>389</v>
      </c>
      <c r="D6">
        <v>0</v>
      </c>
      <c r="E6">
        <v>0.9</v>
      </c>
      <c r="F6">
        <v>0.125</v>
      </c>
      <c r="G6">
        <v>0.1</v>
      </c>
      <c r="H6">
        <v>0</v>
      </c>
      <c r="I6">
        <v>0</v>
      </c>
      <c r="J6">
        <v>0</v>
      </c>
      <c r="K6">
        <v>292</v>
      </c>
    </row>
    <row r="7" spans="1:11" hidden="1" x14ac:dyDescent="0.35">
      <c r="A7" t="s">
        <v>53</v>
      </c>
      <c r="B7" t="s">
        <v>88</v>
      </c>
      <c r="C7" t="s">
        <v>389</v>
      </c>
      <c r="D7">
        <v>0</v>
      </c>
      <c r="E7">
        <v>0.9</v>
      </c>
      <c r="F7">
        <v>0.125</v>
      </c>
      <c r="G7">
        <v>0.1</v>
      </c>
      <c r="H7">
        <v>0</v>
      </c>
      <c r="I7">
        <v>0</v>
      </c>
      <c r="J7">
        <v>0</v>
      </c>
      <c r="K7" t="s">
        <v>390</v>
      </c>
    </row>
    <row r="8" spans="1:11" hidden="1" x14ac:dyDescent="0.35">
      <c r="A8" t="s">
        <v>53</v>
      </c>
      <c r="B8" t="s">
        <v>89</v>
      </c>
      <c r="C8" t="s">
        <v>389</v>
      </c>
      <c r="D8">
        <v>0</v>
      </c>
      <c r="E8">
        <v>0.9</v>
      </c>
      <c r="F8">
        <v>0.125</v>
      </c>
      <c r="G8">
        <v>0.1</v>
      </c>
      <c r="H8">
        <v>0</v>
      </c>
      <c r="I8">
        <v>0</v>
      </c>
      <c r="J8">
        <v>0</v>
      </c>
      <c r="K8" t="s">
        <v>390</v>
      </c>
    </row>
    <row r="9" spans="1:11" hidden="1" x14ac:dyDescent="0.35">
      <c r="A9" t="s">
        <v>53</v>
      </c>
      <c r="B9" t="s">
        <v>97</v>
      </c>
      <c r="C9" t="s">
        <v>389</v>
      </c>
      <c r="D9">
        <v>0</v>
      </c>
      <c r="E9">
        <v>0.9</v>
      </c>
      <c r="F9">
        <v>0.125</v>
      </c>
      <c r="G9">
        <v>0.1</v>
      </c>
      <c r="H9">
        <v>0</v>
      </c>
      <c r="I9">
        <v>0</v>
      </c>
      <c r="J9">
        <v>0</v>
      </c>
      <c r="K9">
        <v>3.5</v>
      </c>
    </row>
    <row r="10" spans="1:11" hidden="1" x14ac:dyDescent="0.35">
      <c r="A10" t="s">
        <v>53</v>
      </c>
      <c r="B10" t="s">
        <v>93</v>
      </c>
      <c r="C10" t="s">
        <v>389</v>
      </c>
      <c r="D10">
        <v>0</v>
      </c>
      <c r="E10">
        <v>0.9</v>
      </c>
      <c r="F10">
        <v>6.25E-2</v>
      </c>
      <c r="G10">
        <v>0.05</v>
      </c>
      <c r="H10">
        <v>0</v>
      </c>
      <c r="I10">
        <v>0</v>
      </c>
      <c r="J10">
        <v>0</v>
      </c>
    </row>
    <row r="11" spans="1:11" hidden="1" x14ac:dyDescent="0.35">
      <c r="A11" t="s">
        <v>53</v>
      </c>
      <c r="B11" t="s">
        <v>24</v>
      </c>
      <c r="C11" t="s">
        <v>389</v>
      </c>
      <c r="D11">
        <v>0</v>
      </c>
      <c r="E11">
        <v>0.9</v>
      </c>
      <c r="F11">
        <v>6.25E-2</v>
      </c>
      <c r="G11">
        <v>0.05</v>
      </c>
      <c r="H11">
        <v>0</v>
      </c>
      <c r="I11">
        <v>0</v>
      </c>
      <c r="J11">
        <v>0</v>
      </c>
      <c r="K11">
        <v>3</v>
      </c>
    </row>
    <row r="12" spans="1:11" hidden="1" x14ac:dyDescent="0.35">
      <c r="A12" t="s">
        <v>73</v>
      </c>
      <c r="B12" t="s">
        <v>54</v>
      </c>
      <c r="C12" t="s">
        <v>389</v>
      </c>
      <c r="D12">
        <v>0</v>
      </c>
      <c r="E12">
        <v>0.9</v>
      </c>
      <c r="F12">
        <v>0.125</v>
      </c>
      <c r="G12">
        <v>0.1</v>
      </c>
      <c r="H12">
        <v>0</v>
      </c>
      <c r="I12">
        <v>0</v>
      </c>
      <c r="J12">
        <v>0</v>
      </c>
      <c r="K12">
        <v>180</v>
      </c>
    </row>
    <row r="13" spans="1:11" x14ac:dyDescent="0.35">
      <c r="A13" t="s">
        <v>73</v>
      </c>
      <c r="B13" t="s">
        <v>29</v>
      </c>
      <c r="C13" t="s">
        <v>389</v>
      </c>
      <c r="D13">
        <v>0</v>
      </c>
      <c r="E13">
        <v>0.9</v>
      </c>
      <c r="F13">
        <v>0.125</v>
      </c>
      <c r="G13">
        <v>0.1</v>
      </c>
      <c r="H13">
        <v>0</v>
      </c>
      <c r="I13">
        <v>0</v>
      </c>
      <c r="J13">
        <v>0</v>
      </c>
      <c r="K13">
        <v>10</v>
      </c>
    </row>
    <row r="14" spans="1:11" hidden="1" x14ac:dyDescent="0.35">
      <c r="A14" t="s">
        <v>73</v>
      </c>
      <c r="B14" t="s">
        <v>10</v>
      </c>
      <c r="C14" t="s">
        <v>389</v>
      </c>
      <c r="D14">
        <v>0</v>
      </c>
      <c r="E14">
        <v>0.9</v>
      </c>
      <c r="F14">
        <v>0.125</v>
      </c>
      <c r="G14">
        <v>0.1</v>
      </c>
      <c r="H14">
        <v>0</v>
      </c>
      <c r="I14">
        <v>0</v>
      </c>
      <c r="J14">
        <v>0</v>
      </c>
      <c r="K14">
        <v>1</v>
      </c>
    </row>
    <row r="15" spans="1:11" hidden="1" x14ac:dyDescent="0.35">
      <c r="A15" t="s">
        <v>73</v>
      </c>
      <c r="B15" t="s">
        <v>11</v>
      </c>
      <c r="C15" t="s">
        <v>389</v>
      </c>
      <c r="D15" t="s">
        <v>390</v>
      </c>
      <c r="E15">
        <v>0.9</v>
      </c>
      <c r="F15">
        <v>0</v>
      </c>
      <c r="G15">
        <v>0.2</v>
      </c>
      <c r="H15">
        <v>0</v>
      </c>
      <c r="I15">
        <v>0</v>
      </c>
      <c r="J15">
        <v>0</v>
      </c>
      <c r="K15">
        <v>0</v>
      </c>
    </row>
    <row r="16" spans="1:11" hidden="1" x14ac:dyDescent="0.35">
      <c r="A16" t="s">
        <v>73</v>
      </c>
      <c r="B16" t="s">
        <v>12</v>
      </c>
      <c r="C16" t="s">
        <v>389</v>
      </c>
      <c r="D16">
        <v>0</v>
      </c>
      <c r="E16">
        <v>0.9</v>
      </c>
      <c r="F16">
        <v>0.125</v>
      </c>
      <c r="G16">
        <v>0.1</v>
      </c>
      <c r="H16">
        <v>0</v>
      </c>
      <c r="I16">
        <v>0</v>
      </c>
      <c r="J16">
        <v>0</v>
      </c>
      <c r="K16">
        <v>292</v>
      </c>
    </row>
    <row r="17" spans="1:11" hidden="1" x14ac:dyDescent="0.35">
      <c r="A17" t="s">
        <v>73</v>
      </c>
      <c r="B17" t="s">
        <v>88</v>
      </c>
      <c r="C17" t="s">
        <v>389</v>
      </c>
      <c r="D17">
        <v>0</v>
      </c>
      <c r="E17">
        <v>0.9</v>
      </c>
      <c r="F17">
        <v>0.125</v>
      </c>
      <c r="G17">
        <v>0.1</v>
      </c>
      <c r="H17">
        <v>0</v>
      </c>
      <c r="I17">
        <v>0</v>
      </c>
      <c r="J17">
        <v>0</v>
      </c>
      <c r="K17" t="s">
        <v>390</v>
      </c>
    </row>
    <row r="18" spans="1:11" hidden="1" x14ac:dyDescent="0.35">
      <c r="A18" t="s">
        <v>73</v>
      </c>
      <c r="B18" t="s">
        <v>89</v>
      </c>
      <c r="C18" t="s">
        <v>389</v>
      </c>
      <c r="D18">
        <v>0</v>
      </c>
      <c r="E18">
        <v>0.9</v>
      </c>
      <c r="F18">
        <v>0.125</v>
      </c>
      <c r="G18">
        <v>0.1</v>
      </c>
      <c r="H18">
        <v>0</v>
      </c>
      <c r="I18">
        <v>0</v>
      </c>
      <c r="J18">
        <v>0</v>
      </c>
      <c r="K18" t="s">
        <v>390</v>
      </c>
    </row>
    <row r="19" spans="1:11" hidden="1" x14ac:dyDescent="0.35">
      <c r="A19" t="s">
        <v>73</v>
      </c>
      <c r="B19" t="s">
        <v>97</v>
      </c>
      <c r="C19" t="s">
        <v>389</v>
      </c>
      <c r="D19">
        <v>0</v>
      </c>
      <c r="E19">
        <v>0.9</v>
      </c>
      <c r="F19">
        <v>0.125</v>
      </c>
      <c r="G19">
        <v>0.1</v>
      </c>
      <c r="H19">
        <v>0</v>
      </c>
      <c r="I19">
        <v>0</v>
      </c>
      <c r="J19">
        <v>0</v>
      </c>
      <c r="K19" s="55"/>
    </row>
    <row r="20" spans="1:11" hidden="1" x14ac:dyDescent="0.35">
      <c r="A20" t="s">
        <v>73</v>
      </c>
      <c r="B20" t="s">
        <v>93</v>
      </c>
      <c r="C20" t="s">
        <v>389</v>
      </c>
      <c r="D20">
        <v>0</v>
      </c>
      <c r="E20">
        <v>0.9</v>
      </c>
      <c r="F20">
        <v>6.25E-2</v>
      </c>
      <c r="G20">
        <v>0.05</v>
      </c>
      <c r="H20">
        <v>0</v>
      </c>
      <c r="I20">
        <v>0</v>
      </c>
      <c r="J20">
        <v>0</v>
      </c>
      <c r="K20">
        <v>90</v>
      </c>
    </row>
    <row r="21" spans="1:11" hidden="1" x14ac:dyDescent="0.35">
      <c r="A21" t="s">
        <v>73</v>
      </c>
      <c r="B21" t="s">
        <v>24</v>
      </c>
      <c r="C21" t="s">
        <v>389</v>
      </c>
      <c r="D21">
        <v>0</v>
      </c>
      <c r="E21">
        <v>0.9</v>
      </c>
      <c r="F21">
        <v>6.25E-2</v>
      </c>
      <c r="G21">
        <v>0.05</v>
      </c>
      <c r="H21">
        <v>0</v>
      </c>
      <c r="I21">
        <v>0</v>
      </c>
      <c r="J21">
        <v>0</v>
      </c>
      <c r="K21">
        <v>3</v>
      </c>
    </row>
    <row r="22" spans="1:11" hidden="1" x14ac:dyDescent="0.35">
      <c r="A22" t="s">
        <v>38</v>
      </c>
      <c r="B22" t="s">
        <v>54</v>
      </c>
      <c r="C22" t="s">
        <v>389</v>
      </c>
      <c r="D22">
        <v>0.24102564102564103</v>
      </c>
      <c r="E22">
        <v>0.9</v>
      </c>
      <c r="F22">
        <v>0.1</v>
      </c>
      <c r="G22">
        <v>0.1</v>
      </c>
      <c r="H22">
        <v>0</v>
      </c>
      <c r="I22">
        <v>21</v>
      </c>
      <c r="J22">
        <v>26</v>
      </c>
      <c r="K22">
        <v>195</v>
      </c>
    </row>
    <row r="23" spans="1:11" x14ac:dyDescent="0.35">
      <c r="A23" t="s">
        <v>38</v>
      </c>
      <c r="B23" t="s">
        <v>29</v>
      </c>
      <c r="C23" t="s">
        <v>389</v>
      </c>
      <c r="D23">
        <v>0.64615384615384619</v>
      </c>
      <c r="E23">
        <v>0.9</v>
      </c>
      <c r="F23">
        <v>0.1</v>
      </c>
      <c r="G23">
        <v>0.1</v>
      </c>
      <c r="H23">
        <v>0</v>
      </c>
      <c r="I23">
        <v>20</v>
      </c>
      <c r="J23">
        <v>22</v>
      </c>
      <c r="K23">
        <v>65</v>
      </c>
    </row>
    <row r="24" spans="1:11" hidden="1" x14ac:dyDescent="0.35">
      <c r="A24" t="s">
        <v>38</v>
      </c>
      <c r="B24" t="s">
        <v>10</v>
      </c>
      <c r="C24" t="s">
        <v>389</v>
      </c>
      <c r="D24">
        <v>0.375</v>
      </c>
      <c r="E24">
        <v>0.9</v>
      </c>
      <c r="F24">
        <v>0.1</v>
      </c>
      <c r="G24">
        <v>0.1</v>
      </c>
      <c r="H24">
        <v>6</v>
      </c>
      <c r="I24">
        <v>6</v>
      </c>
      <c r="J24">
        <v>6</v>
      </c>
      <c r="K24">
        <v>16</v>
      </c>
    </row>
    <row r="25" spans="1:11" hidden="1" x14ac:dyDescent="0.35">
      <c r="A25" t="s">
        <v>38</v>
      </c>
      <c r="B25" t="s">
        <v>11</v>
      </c>
      <c r="C25" t="s">
        <v>389</v>
      </c>
      <c r="D25">
        <v>0</v>
      </c>
      <c r="E25">
        <v>0.9</v>
      </c>
      <c r="F25">
        <v>0.2</v>
      </c>
      <c r="G25">
        <v>0.2</v>
      </c>
      <c r="H25">
        <v>0</v>
      </c>
      <c r="I25">
        <v>0</v>
      </c>
      <c r="J25">
        <v>0</v>
      </c>
      <c r="K25">
        <v>624282058</v>
      </c>
    </row>
    <row r="26" spans="1:11" hidden="1" x14ac:dyDescent="0.35">
      <c r="A26" t="s">
        <v>38</v>
      </c>
      <c r="B26" t="s">
        <v>12</v>
      </c>
      <c r="C26" t="s">
        <v>389</v>
      </c>
      <c r="D26">
        <v>0</v>
      </c>
      <c r="E26">
        <v>0.9</v>
      </c>
      <c r="F26">
        <v>0.1</v>
      </c>
      <c r="G26">
        <v>0.1</v>
      </c>
      <c r="H26">
        <v>0</v>
      </c>
      <c r="I26">
        <v>0</v>
      </c>
      <c r="J26">
        <v>0</v>
      </c>
      <c r="K26">
        <v>292</v>
      </c>
    </row>
    <row r="27" spans="1:11" hidden="1" x14ac:dyDescent="0.35">
      <c r="A27" t="s">
        <v>38</v>
      </c>
      <c r="B27" t="s">
        <v>88</v>
      </c>
      <c r="C27" t="s">
        <v>389</v>
      </c>
      <c r="D27">
        <v>0</v>
      </c>
      <c r="E27">
        <v>0.9</v>
      </c>
      <c r="F27">
        <v>0.1</v>
      </c>
      <c r="G27">
        <v>0.1</v>
      </c>
      <c r="H27">
        <v>0</v>
      </c>
      <c r="I27">
        <v>0</v>
      </c>
      <c r="J27">
        <v>0</v>
      </c>
      <c r="K27" t="s">
        <v>390</v>
      </c>
    </row>
    <row r="28" spans="1:11" hidden="1" x14ac:dyDescent="0.35">
      <c r="A28" t="s">
        <v>38</v>
      </c>
      <c r="B28" t="s">
        <v>89</v>
      </c>
      <c r="C28" t="s">
        <v>389</v>
      </c>
      <c r="D28">
        <v>0</v>
      </c>
      <c r="E28">
        <v>0.9</v>
      </c>
      <c r="F28">
        <v>0.1</v>
      </c>
      <c r="G28">
        <v>0.1</v>
      </c>
      <c r="H28">
        <v>0</v>
      </c>
      <c r="I28">
        <v>0</v>
      </c>
      <c r="J28">
        <v>0</v>
      </c>
      <c r="K28" t="s">
        <v>390</v>
      </c>
    </row>
    <row r="29" spans="1:11" hidden="1" x14ac:dyDescent="0.35">
      <c r="A29" t="s">
        <v>38</v>
      </c>
      <c r="B29" t="s">
        <v>97</v>
      </c>
      <c r="C29" t="s">
        <v>389</v>
      </c>
      <c r="D29">
        <v>1.5</v>
      </c>
      <c r="E29">
        <v>0.9</v>
      </c>
      <c r="F29">
        <v>0.1</v>
      </c>
      <c r="G29">
        <v>0.1</v>
      </c>
      <c r="H29">
        <v>0</v>
      </c>
      <c r="I29">
        <v>1</v>
      </c>
      <c r="J29">
        <v>15</v>
      </c>
      <c r="K29">
        <v>3.5</v>
      </c>
    </row>
    <row r="30" spans="1:11" hidden="1" x14ac:dyDescent="0.35">
      <c r="A30" t="s">
        <v>38</v>
      </c>
      <c r="B30" t="s">
        <v>93</v>
      </c>
      <c r="C30" t="s">
        <v>389</v>
      </c>
      <c r="D30">
        <v>1.5</v>
      </c>
      <c r="E30">
        <v>0.9</v>
      </c>
      <c r="F30">
        <v>0.05</v>
      </c>
      <c r="G30">
        <v>0.05</v>
      </c>
    </row>
    <row r="31" spans="1:11" hidden="1" x14ac:dyDescent="0.35">
      <c r="A31" t="s">
        <v>38</v>
      </c>
      <c r="B31" t="s">
        <v>24</v>
      </c>
      <c r="C31" t="s">
        <v>389</v>
      </c>
      <c r="D31">
        <v>0.33333333333333331</v>
      </c>
      <c r="E31">
        <v>0.9</v>
      </c>
      <c r="F31">
        <v>0.05</v>
      </c>
      <c r="G31">
        <v>0.05</v>
      </c>
      <c r="H31">
        <v>0</v>
      </c>
      <c r="I31">
        <v>1</v>
      </c>
      <c r="J31">
        <v>0</v>
      </c>
      <c r="K31">
        <v>3</v>
      </c>
    </row>
    <row r="32" spans="1:11" hidden="1" x14ac:dyDescent="0.35">
      <c r="A32" t="s">
        <v>188</v>
      </c>
      <c r="B32" t="s">
        <v>54</v>
      </c>
      <c r="C32" t="s">
        <v>389</v>
      </c>
      <c r="D32">
        <v>0.2388888888888889</v>
      </c>
      <c r="E32">
        <v>0.9</v>
      </c>
      <c r="F32">
        <v>0.1</v>
      </c>
      <c r="G32">
        <v>0.1</v>
      </c>
      <c r="H32">
        <v>0</v>
      </c>
      <c r="I32">
        <v>17</v>
      </c>
      <c r="J32">
        <v>26</v>
      </c>
      <c r="K32">
        <v>180</v>
      </c>
    </row>
    <row r="33" spans="1:11" x14ac:dyDescent="0.35">
      <c r="A33" t="s">
        <v>188</v>
      </c>
      <c r="B33" t="s">
        <v>29</v>
      </c>
      <c r="C33" t="s">
        <v>389</v>
      </c>
      <c r="D33">
        <v>0.13750000000000001</v>
      </c>
      <c r="E33">
        <v>0.9</v>
      </c>
      <c r="F33">
        <v>0.1</v>
      </c>
      <c r="G33">
        <v>0.1</v>
      </c>
      <c r="H33">
        <v>0</v>
      </c>
      <c r="I33">
        <v>13</v>
      </c>
      <c r="J33">
        <v>9</v>
      </c>
      <c r="K33">
        <v>160</v>
      </c>
    </row>
    <row r="34" spans="1:11" hidden="1" x14ac:dyDescent="0.35">
      <c r="A34" t="s">
        <v>188</v>
      </c>
      <c r="B34" t="s">
        <v>10</v>
      </c>
      <c r="C34" t="s">
        <v>389</v>
      </c>
      <c r="D34">
        <v>0</v>
      </c>
      <c r="E34">
        <v>0.9</v>
      </c>
      <c r="F34">
        <v>0.1</v>
      </c>
      <c r="G34">
        <v>0.1</v>
      </c>
      <c r="H34">
        <v>0</v>
      </c>
      <c r="I34">
        <v>0</v>
      </c>
      <c r="J34">
        <v>0</v>
      </c>
      <c r="K34">
        <v>1</v>
      </c>
    </row>
    <row r="35" spans="1:11" hidden="1" x14ac:dyDescent="0.35">
      <c r="A35" t="s">
        <v>188</v>
      </c>
      <c r="B35" t="s">
        <v>11</v>
      </c>
      <c r="C35" t="s">
        <v>389</v>
      </c>
      <c r="D35">
        <v>0</v>
      </c>
      <c r="E35">
        <v>0.9</v>
      </c>
      <c r="F35">
        <v>0.2</v>
      </c>
      <c r="G35">
        <v>0.2</v>
      </c>
      <c r="H35">
        <v>0</v>
      </c>
      <c r="I35">
        <v>0</v>
      </c>
      <c r="J35">
        <v>0</v>
      </c>
      <c r="K35" s="55"/>
    </row>
    <row r="36" spans="1:11" hidden="1" x14ac:dyDescent="0.35">
      <c r="A36" t="s">
        <v>188</v>
      </c>
      <c r="B36" t="s">
        <v>12</v>
      </c>
      <c r="C36" t="s">
        <v>389</v>
      </c>
      <c r="D36">
        <v>0</v>
      </c>
      <c r="E36">
        <v>0.9</v>
      </c>
      <c r="F36">
        <v>0.1</v>
      </c>
      <c r="G36">
        <v>0.1</v>
      </c>
      <c r="H36">
        <v>0</v>
      </c>
      <c r="I36">
        <v>0</v>
      </c>
      <c r="J36">
        <v>0</v>
      </c>
      <c r="K36">
        <v>292</v>
      </c>
    </row>
    <row r="37" spans="1:11" hidden="1" x14ac:dyDescent="0.35">
      <c r="A37" t="s">
        <v>188</v>
      </c>
      <c r="B37" t="s">
        <v>88</v>
      </c>
      <c r="C37" t="s">
        <v>389</v>
      </c>
      <c r="D37">
        <v>1</v>
      </c>
      <c r="E37">
        <v>0.9</v>
      </c>
      <c r="F37">
        <v>0.1</v>
      </c>
      <c r="G37">
        <v>0.1</v>
      </c>
      <c r="H37">
        <v>1</v>
      </c>
      <c r="I37">
        <v>0</v>
      </c>
      <c r="J37">
        <v>0</v>
      </c>
      <c r="K37">
        <v>1</v>
      </c>
    </row>
    <row r="38" spans="1:11" hidden="1" x14ac:dyDescent="0.35">
      <c r="A38" t="s">
        <v>188</v>
      </c>
      <c r="B38" t="s">
        <v>89</v>
      </c>
      <c r="C38" t="s">
        <v>389</v>
      </c>
      <c r="D38">
        <v>0</v>
      </c>
      <c r="E38">
        <v>0.9</v>
      </c>
      <c r="F38">
        <v>0.1</v>
      </c>
      <c r="G38">
        <v>0.1</v>
      </c>
      <c r="H38">
        <v>0</v>
      </c>
      <c r="I38">
        <v>0</v>
      </c>
      <c r="J38">
        <v>0</v>
      </c>
      <c r="K38">
        <v>0</v>
      </c>
    </row>
    <row r="39" spans="1:11" hidden="1" x14ac:dyDescent="0.35">
      <c r="A39" t="s">
        <v>188</v>
      </c>
      <c r="B39" t="s">
        <v>97</v>
      </c>
      <c r="C39" t="s">
        <v>389</v>
      </c>
      <c r="D39">
        <v>1.5</v>
      </c>
      <c r="E39">
        <v>0.9</v>
      </c>
      <c r="F39">
        <v>0.1</v>
      </c>
      <c r="G39">
        <v>0.1</v>
      </c>
      <c r="H39">
        <v>0</v>
      </c>
      <c r="I39">
        <v>1</v>
      </c>
      <c r="J39">
        <v>15</v>
      </c>
      <c r="K39" s="55"/>
    </row>
    <row r="40" spans="1:11" hidden="1" x14ac:dyDescent="0.35">
      <c r="A40" t="s">
        <v>188</v>
      </c>
      <c r="B40" t="s">
        <v>93</v>
      </c>
      <c r="C40" t="s">
        <v>389</v>
      </c>
      <c r="D40">
        <v>1.5</v>
      </c>
      <c r="E40">
        <v>0.9</v>
      </c>
      <c r="F40">
        <v>0.05</v>
      </c>
      <c r="G40">
        <v>0.05</v>
      </c>
      <c r="H40">
        <v>0</v>
      </c>
      <c r="I40">
        <v>799</v>
      </c>
      <c r="J40">
        <v>0</v>
      </c>
      <c r="K40">
        <v>90</v>
      </c>
    </row>
    <row r="41" spans="1:11" hidden="1" x14ac:dyDescent="0.35">
      <c r="A41" t="s">
        <v>188</v>
      </c>
      <c r="B41" t="s">
        <v>24</v>
      </c>
      <c r="C41" t="s">
        <v>389</v>
      </c>
      <c r="D41">
        <v>0.33333333333333331</v>
      </c>
      <c r="E41">
        <v>0.9</v>
      </c>
      <c r="F41">
        <v>0.05</v>
      </c>
      <c r="G41">
        <v>0.05</v>
      </c>
      <c r="H41">
        <v>0</v>
      </c>
      <c r="I41">
        <v>1</v>
      </c>
      <c r="J41">
        <v>0</v>
      </c>
      <c r="K41">
        <v>3</v>
      </c>
    </row>
    <row r="42" spans="1:11" hidden="1" x14ac:dyDescent="0.35">
      <c r="A42" t="s">
        <v>36</v>
      </c>
      <c r="B42" t="s">
        <v>54</v>
      </c>
      <c r="C42" t="s">
        <v>389</v>
      </c>
      <c r="D42">
        <v>0.58333333333333337</v>
      </c>
      <c r="E42">
        <v>0.9</v>
      </c>
      <c r="F42">
        <v>0.1</v>
      </c>
      <c r="G42">
        <v>0.1</v>
      </c>
      <c r="H42">
        <v>18</v>
      </c>
      <c r="I42">
        <v>71</v>
      </c>
      <c r="J42">
        <v>58</v>
      </c>
      <c r="K42">
        <v>252</v>
      </c>
    </row>
    <row r="43" spans="1:11" x14ac:dyDescent="0.35">
      <c r="A43" t="s">
        <v>36</v>
      </c>
      <c r="B43" t="s">
        <v>29</v>
      </c>
      <c r="C43" t="s">
        <v>389</v>
      </c>
      <c r="D43">
        <v>1.3809523809523809</v>
      </c>
      <c r="E43">
        <v>0.9</v>
      </c>
      <c r="F43">
        <v>0.1</v>
      </c>
      <c r="G43">
        <v>0.1</v>
      </c>
      <c r="H43">
        <v>16</v>
      </c>
      <c r="I43">
        <v>55</v>
      </c>
      <c r="J43">
        <v>45</v>
      </c>
      <c r="K43">
        <v>84</v>
      </c>
    </row>
    <row r="44" spans="1:11" hidden="1" x14ac:dyDescent="0.35">
      <c r="A44" t="s">
        <v>36</v>
      </c>
      <c r="B44" t="s">
        <v>10</v>
      </c>
      <c r="C44" t="s">
        <v>389</v>
      </c>
      <c r="D44">
        <v>1.3333333333333333</v>
      </c>
      <c r="E44">
        <v>0.9</v>
      </c>
      <c r="F44">
        <v>0.1</v>
      </c>
      <c r="G44">
        <v>0.1</v>
      </c>
      <c r="H44">
        <v>8</v>
      </c>
      <c r="I44">
        <v>5</v>
      </c>
      <c r="J44">
        <v>5</v>
      </c>
      <c r="K44">
        <v>6</v>
      </c>
    </row>
    <row r="45" spans="1:11" hidden="1" x14ac:dyDescent="0.35">
      <c r="A45" t="s">
        <v>36</v>
      </c>
      <c r="B45" t="s">
        <v>11</v>
      </c>
      <c r="C45" t="s">
        <v>389</v>
      </c>
      <c r="D45">
        <v>0</v>
      </c>
      <c r="E45">
        <v>0.9</v>
      </c>
      <c r="F45">
        <v>0.2</v>
      </c>
      <c r="G45">
        <v>0.2</v>
      </c>
      <c r="H45">
        <v>0</v>
      </c>
      <c r="I45">
        <v>0</v>
      </c>
      <c r="J45">
        <v>0</v>
      </c>
      <c r="K45">
        <v>2559481741</v>
      </c>
    </row>
    <row r="46" spans="1:11" hidden="1" x14ac:dyDescent="0.35">
      <c r="A46" t="s">
        <v>36</v>
      </c>
      <c r="B46" t="s">
        <v>12</v>
      </c>
      <c r="C46" t="s">
        <v>389</v>
      </c>
      <c r="D46">
        <v>0</v>
      </c>
      <c r="E46">
        <v>0.9</v>
      </c>
      <c r="F46">
        <v>0.1</v>
      </c>
      <c r="G46">
        <v>0.1</v>
      </c>
      <c r="H46">
        <v>0</v>
      </c>
      <c r="I46">
        <v>0</v>
      </c>
      <c r="J46">
        <v>0</v>
      </c>
      <c r="K46">
        <v>292</v>
      </c>
    </row>
    <row r="47" spans="1:11" hidden="1" x14ac:dyDescent="0.35">
      <c r="A47" t="s">
        <v>36</v>
      </c>
      <c r="B47" t="s">
        <v>88</v>
      </c>
      <c r="C47" t="s">
        <v>389</v>
      </c>
      <c r="D47">
        <v>0</v>
      </c>
      <c r="E47">
        <v>0.9</v>
      </c>
      <c r="F47">
        <v>0.1</v>
      </c>
      <c r="G47">
        <v>0.1</v>
      </c>
      <c r="H47">
        <v>0</v>
      </c>
      <c r="I47">
        <v>0</v>
      </c>
      <c r="J47">
        <v>0</v>
      </c>
      <c r="K47" t="s">
        <v>390</v>
      </c>
    </row>
    <row r="48" spans="1:11" hidden="1" x14ac:dyDescent="0.35">
      <c r="A48" t="s">
        <v>36</v>
      </c>
      <c r="B48" t="s">
        <v>89</v>
      </c>
      <c r="C48" t="s">
        <v>389</v>
      </c>
      <c r="D48">
        <v>0</v>
      </c>
      <c r="E48">
        <v>0.9</v>
      </c>
      <c r="F48">
        <v>0.1</v>
      </c>
      <c r="G48">
        <v>0.1</v>
      </c>
      <c r="H48">
        <v>0</v>
      </c>
      <c r="I48">
        <v>0</v>
      </c>
      <c r="J48">
        <v>0</v>
      </c>
      <c r="K48" t="s">
        <v>390</v>
      </c>
    </row>
    <row r="49" spans="1:11" hidden="1" x14ac:dyDescent="0.35">
      <c r="A49" t="s">
        <v>36</v>
      </c>
      <c r="B49" t="s">
        <v>97</v>
      </c>
      <c r="C49" t="s">
        <v>389</v>
      </c>
      <c r="D49">
        <v>0.5714285714285714</v>
      </c>
      <c r="E49">
        <v>0.9</v>
      </c>
      <c r="F49">
        <v>0.1</v>
      </c>
      <c r="G49">
        <v>0.1</v>
      </c>
      <c r="H49">
        <v>0</v>
      </c>
      <c r="I49">
        <v>0</v>
      </c>
      <c r="J49">
        <v>2</v>
      </c>
      <c r="K49">
        <v>3.5</v>
      </c>
    </row>
    <row r="50" spans="1:11" hidden="1" x14ac:dyDescent="0.35">
      <c r="A50" t="s">
        <v>36</v>
      </c>
      <c r="B50" t="s">
        <v>93</v>
      </c>
      <c r="C50" t="s">
        <v>389</v>
      </c>
      <c r="D50">
        <v>0</v>
      </c>
      <c r="E50">
        <v>0.9</v>
      </c>
      <c r="F50">
        <v>0.05</v>
      </c>
      <c r="G50">
        <v>0.05</v>
      </c>
    </row>
    <row r="51" spans="1:11" hidden="1" x14ac:dyDescent="0.35">
      <c r="A51" t="s">
        <v>36</v>
      </c>
      <c r="B51" t="s">
        <v>24</v>
      </c>
      <c r="C51" t="s">
        <v>389</v>
      </c>
      <c r="D51">
        <v>0</v>
      </c>
      <c r="E51">
        <v>0.9</v>
      </c>
      <c r="F51">
        <v>0.05</v>
      </c>
      <c r="G51">
        <v>0.05</v>
      </c>
      <c r="H51">
        <v>0</v>
      </c>
      <c r="I51">
        <v>0</v>
      </c>
      <c r="J51">
        <v>0</v>
      </c>
      <c r="K51">
        <v>3</v>
      </c>
    </row>
    <row r="52" spans="1:11" hidden="1" x14ac:dyDescent="0.35">
      <c r="A52" t="s">
        <v>66</v>
      </c>
      <c r="B52" t="s">
        <v>54</v>
      </c>
      <c r="C52" t="s">
        <v>389</v>
      </c>
      <c r="D52">
        <v>0.2</v>
      </c>
      <c r="E52">
        <v>0.9</v>
      </c>
      <c r="F52">
        <v>0.1</v>
      </c>
      <c r="G52">
        <v>0.1</v>
      </c>
      <c r="H52">
        <v>0</v>
      </c>
      <c r="I52">
        <v>0</v>
      </c>
      <c r="J52">
        <v>36</v>
      </c>
      <c r="K52">
        <v>180</v>
      </c>
    </row>
    <row r="53" spans="1:11" x14ac:dyDescent="0.35">
      <c r="A53" t="s">
        <v>66</v>
      </c>
      <c r="B53" t="s">
        <v>29</v>
      </c>
      <c r="C53" t="s">
        <v>389</v>
      </c>
      <c r="D53">
        <v>9.0476190476190474E-2</v>
      </c>
      <c r="E53">
        <v>0.9</v>
      </c>
      <c r="F53">
        <v>0.1</v>
      </c>
      <c r="G53">
        <v>0.1</v>
      </c>
      <c r="H53">
        <v>0</v>
      </c>
      <c r="I53">
        <v>0</v>
      </c>
      <c r="J53">
        <v>19</v>
      </c>
      <c r="K53">
        <v>210</v>
      </c>
    </row>
    <row r="54" spans="1:11" hidden="1" x14ac:dyDescent="0.35">
      <c r="A54" t="s">
        <v>66</v>
      </c>
      <c r="B54" t="s">
        <v>10</v>
      </c>
      <c r="C54" t="s">
        <v>389</v>
      </c>
      <c r="D54">
        <v>0</v>
      </c>
      <c r="E54">
        <v>0.9</v>
      </c>
      <c r="F54">
        <v>0.1</v>
      </c>
      <c r="G54">
        <v>0.1</v>
      </c>
      <c r="H54">
        <v>0</v>
      </c>
      <c r="I54">
        <v>0</v>
      </c>
      <c r="J54">
        <v>0</v>
      </c>
      <c r="K54">
        <v>1</v>
      </c>
    </row>
    <row r="55" spans="1:11" hidden="1" x14ac:dyDescent="0.35">
      <c r="A55" t="s">
        <v>66</v>
      </c>
      <c r="B55" t="s">
        <v>11</v>
      </c>
      <c r="C55" t="s">
        <v>389</v>
      </c>
      <c r="D55">
        <v>0</v>
      </c>
      <c r="E55">
        <v>0.9</v>
      </c>
      <c r="F55">
        <v>0.2</v>
      </c>
      <c r="G55">
        <v>0.2</v>
      </c>
      <c r="H55">
        <v>0</v>
      </c>
      <c r="I55">
        <v>0</v>
      </c>
      <c r="J55">
        <v>0</v>
      </c>
      <c r="K55" s="55"/>
    </row>
    <row r="56" spans="1:11" hidden="1" x14ac:dyDescent="0.35">
      <c r="A56" t="s">
        <v>66</v>
      </c>
      <c r="B56" t="s">
        <v>12</v>
      </c>
      <c r="C56" t="s">
        <v>389</v>
      </c>
      <c r="D56">
        <v>0</v>
      </c>
      <c r="E56">
        <v>0.9</v>
      </c>
      <c r="F56">
        <v>0.1</v>
      </c>
      <c r="G56">
        <v>0.1</v>
      </c>
      <c r="H56">
        <v>0</v>
      </c>
      <c r="I56">
        <v>0</v>
      </c>
      <c r="J56">
        <v>0</v>
      </c>
      <c r="K56">
        <v>292</v>
      </c>
    </row>
    <row r="57" spans="1:11" hidden="1" x14ac:dyDescent="0.35">
      <c r="A57" t="s">
        <v>66</v>
      </c>
      <c r="B57" t="s">
        <v>88</v>
      </c>
      <c r="C57" t="s">
        <v>389</v>
      </c>
      <c r="D57">
        <v>0</v>
      </c>
      <c r="E57">
        <v>0.9</v>
      </c>
      <c r="F57">
        <v>0.1</v>
      </c>
      <c r="G57">
        <v>0.1</v>
      </c>
      <c r="H57">
        <v>0</v>
      </c>
      <c r="I57">
        <v>0</v>
      </c>
      <c r="J57">
        <v>0</v>
      </c>
      <c r="K57" t="s">
        <v>390</v>
      </c>
    </row>
    <row r="58" spans="1:11" hidden="1" x14ac:dyDescent="0.35">
      <c r="A58" t="s">
        <v>66</v>
      </c>
      <c r="B58" t="s">
        <v>89</v>
      </c>
      <c r="C58" t="s">
        <v>389</v>
      </c>
      <c r="D58">
        <v>0</v>
      </c>
      <c r="E58">
        <v>0.9</v>
      </c>
      <c r="F58">
        <v>0.1</v>
      </c>
      <c r="G58">
        <v>0.1</v>
      </c>
      <c r="H58">
        <v>0</v>
      </c>
      <c r="I58">
        <v>0</v>
      </c>
      <c r="J58">
        <v>0</v>
      </c>
      <c r="K58" t="s">
        <v>390</v>
      </c>
    </row>
    <row r="59" spans="1:11" hidden="1" x14ac:dyDescent="0.35">
      <c r="A59" t="s">
        <v>66</v>
      </c>
      <c r="B59" t="s">
        <v>97</v>
      </c>
      <c r="C59" t="s">
        <v>389</v>
      </c>
      <c r="D59">
        <v>0.5714285714285714</v>
      </c>
      <c r="E59">
        <v>0.9</v>
      </c>
      <c r="F59">
        <v>0.1</v>
      </c>
      <c r="G59">
        <v>0.1</v>
      </c>
      <c r="H59">
        <v>0</v>
      </c>
      <c r="I59">
        <v>0</v>
      </c>
      <c r="J59">
        <v>2</v>
      </c>
      <c r="K59" s="55"/>
    </row>
    <row r="60" spans="1:11" hidden="1" x14ac:dyDescent="0.35">
      <c r="A60" t="s">
        <v>66</v>
      </c>
      <c r="B60" t="s">
        <v>93</v>
      </c>
      <c r="C60" t="s">
        <v>389</v>
      </c>
      <c r="D60">
        <v>0</v>
      </c>
      <c r="E60">
        <v>0.9</v>
      </c>
      <c r="F60">
        <v>0.05</v>
      </c>
      <c r="G60">
        <v>0.05</v>
      </c>
      <c r="H60">
        <v>0</v>
      </c>
      <c r="I60">
        <v>0</v>
      </c>
      <c r="J60">
        <v>0</v>
      </c>
      <c r="K60">
        <v>90</v>
      </c>
    </row>
    <row r="61" spans="1:11" hidden="1" x14ac:dyDescent="0.35">
      <c r="A61" t="s">
        <v>66</v>
      </c>
      <c r="B61" t="s">
        <v>24</v>
      </c>
      <c r="C61" t="s">
        <v>389</v>
      </c>
      <c r="D61">
        <v>0</v>
      </c>
      <c r="E61">
        <v>0.9</v>
      </c>
      <c r="F61">
        <v>0.05</v>
      </c>
      <c r="G61">
        <v>0.05</v>
      </c>
      <c r="H61">
        <v>0</v>
      </c>
      <c r="I61">
        <v>0</v>
      </c>
      <c r="J61">
        <v>0</v>
      </c>
      <c r="K61">
        <v>3</v>
      </c>
    </row>
    <row r="62" spans="1:11" hidden="1" x14ac:dyDescent="0.35">
      <c r="A62" t="s">
        <v>41</v>
      </c>
      <c r="B62" t="s">
        <v>54</v>
      </c>
      <c r="C62" t="s">
        <v>389</v>
      </c>
      <c r="D62">
        <v>1.7521367521367521</v>
      </c>
      <c r="E62">
        <v>0.9</v>
      </c>
      <c r="F62">
        <v>0.1</v>
      </c>
      <c r="G62">
        <v>0.1</v>
      </c>
      <c r="H62">
        <v>28</v>
      </c>
      <c r="I62">
        <v>78</v>
      </c>
      <c r="J62">
        <v>99</v>
      </c>
      <c r="K62">
        <v>117</v>
      </c>
    </row>
    <row r="63" spans="1:11" x14ac:dyDescent="0.35">
      <c r="A63" t="s">
        <v>41</v>
      </c>
      <c r="B63" t="s">
        <v>29</v>
      </c>
      <c r="C63" t="s">
        <v>389</v>
      </c>
      <c r="D63">
        <v>1.9743589743589745</v>
      </c>
      <c r="E63">
        <v>0.9</v>
      </c>
      <c r="F63">
        <v>0.1</v>
      </c>
      <c r="G63">
        <v>0.1</v>
      </c>
      <c r="H63">
        <v>14</v>
      </c>
      <c r="I63">
        <v>30</v>
      </c>
      <c r="J63">
        <v>33</v>
      </c>
      <c r="K63">
        <v>39</v>
      </c>
    </row>
    <row r="64" spans="1:11" hidden="1" x14ac:dyDescent="0.35">
      <c r="A64" t="s">
        <v>41</v>
      </c>
      <c r="B64" t="s">
        <v>10</v>
      </c>
      <c r="C64" t="s">
        <v>389</v>
      </c>
      <c r="D64">
        <v>0.5</v>
      </c>
      <c r="E64">
        <v>0.9</v>
      </c>
      <c r="F64">
        <v>0.1</v>
      </c>
      <c r="G64">
        <v>0.1</v>
      </c>
      <c r="H64">
        <v>1</v>
      </c>
      <c r="I64">
        <v>1</v>
      </c>
      <c r="J64">
        <v>1</v>
      </c>
      <c r="K64">
        <v>2</v>
      </c>
    </row>
    <row r="65" spans="1:11" hidden="1" x14ac:dyDescent="0.35">
      <c r="A65" t="s">
        <v>41</v>
      </c>
      <c r="B65" t="s">
        <v>11</v>
      </c>
      <c r="C65" t="s">
        <v>389</v>
      </c>
      <c r="D65">
        <v>0</v>
      </c>
      <c r="E65">
        <v>0.9</v>
      </c>
      <c r="F65">
        <v>0.2</v>
      </c>
      <c r="G65">
        <v>0.2</v>
      </c>
      <c r="H65">
        <v>0</v>
      </c>
      <c r="I65">
        <v>0</v>
      </c>
      <c r="J65">
        <v>0</v>
      </c>
      <c r="K65">
        <v>2560058204</v>
      </c>
    </row>
    <row r="66" spans="1:11" hidden="1" x14ac:dyDescent="0.35">
      <c r="A66" t="s">
        <v>41</v>
      </c>
      <c r="B66" t="s">
        <v>12</v>
      </c>
      <c r="C66" t="s">
        <v>389</v>
      </c>
      <c r="D66">
        <v>0</v>
      </c>
      <c r="E66">
        <v>0.9</v>
      </c>
      <c r="F66">
        <v>0.1</v>
      </c>
      <c r="G66">
        <v>0.1</v>
      </c>
      <c r="H66">
        <v>0</v>
      </c>
      <c r="I66">
        <v>0</v>
      </c>
      <c r="J66">
        <v>0</v>
      </c>
      <c r="K66">
        <v>292</v>
      </c>
    </row>
    <row r="67" spans="1:11" hidden="1" x14ac:dyDescent="0.35">
      <c r="A67" t="s">
        <v>41</v>
      </c>
      <c r="B67" t="s">
        <v>88</v>
      </c>
      <c r="C67" t="s">
        <v>389</v>
      </c>
      <c r="D67">
        <v>0</v>
      </c>
      <c r="E67">
        <v>0.9</v>
      </c>
      <c r="F67">
        <v>0.1</v>
      </c>
      <c r="G67">
        <v>0.1</v>
      </c>
      <c r="H67">
        <v>0</v>
      </c>
      <c r="I67">
        <v>0</v>
      </c>
      <c r="J67">
        <v>0</v>
      </c>
      <c r="K67" t="s">
        <v>390</v>
      </c>
    </row>
    <row r="68" spans="1:11" hidden="1" x14ac:dyDescent="0.35">
      <c r="A68" t="s">
        <v>41</v>
      </c>
      <c r="B68" t="s">
        <v>89</v>
      </c>
      <c r="C68" t="s">
        <v>389</v>
      </c>
      <c r="D68">
        <v>0</v>
      </c>
      <c r="E68">
        <v>0.9</v>
      </c>
      <c r="F68">
        <v>0.1</v>
      </c>
      <c r="G68">
        <v>0.1</v>
      </c>
      <c r="H68">
        <v>0</v>
      </c>
      <c r="I68">
        <v>0</v>
      </c>
      <c r="J68">
        <v>0</v>
      </c>
      <c r="K68" t="s">
        <v>390</v>
      </c>
    </row>
    <row r="69" spans="1:11" hidden="1" x14ac:dyDescent="0.35">
      <c r="A69" t="s">
        <v>41</v>
      </c>
      <c r="B69" t="s">
        <v>97</v>
      </c>
      <c r="C69" t="s">
        <v>389</v>
      </c>
      <c r="D69">
        <v>0.14285714285714285</v>
      </c>
      <c r="E69">
        <v>0.9</v>
      </c>
      <c r="F69">
        <v>0.1</v>
      </c>
      <c r="G69">
        <v>0.1</v>
      </c>
      <c r="H69">
        <v>1</v>
      </c>
      <c r="I69">
        <v>0</v>
      </c>
      <c r="J69">
        <v>0</v>
      </c>
      <c r="K69">
        <v>7</v>
      </c>
    </row>
    <row r="70" spans="1:11" hidden="1" x14ac:dyDescent="0.35">
      <c r="A70" t="s">
        <v>41</v>
      </c>
      <c r="B70" t="s">
        <v>93</v>
      </c>
      <c r="C70" t="s">
        <v>389</v>
      </c>
      <c r="D70">
        <v>0.19444444444444445</v>
      </c>
      <c r="E70">
        <v>0.9</v>
      </c>
      <c r="F70">
        <v>0.05</v>
      </c>
      <c r="G70">
        <v>0.05</v>
      </c>
    </row>
    <row r="71" spans="1:11" hidden="1" x14ac:dyDescent="0.35">
      <c r="A71" t="s">
        <v>41</v>
      </c>
      <c r="B71" t="s">
        <v>24</v>
      </c>
      <c r="C71" t="s">
        <v>389</v>
      </c>
      <c r="D71">
        <v>1.5</v>
      </c>
      <c r="E71">
        <v>0.9</v>
      </c>
      <c r="F71">
        <v>0.05</v>
      </c>
      <c r="G71">
        <v>0.05</v>
      </c>
      <c r="H71">
        <v>2</v>
      </c>
      <c r="I71">
        <v>6</v>
      </c>
      <c r="J71">
        <v>3</v>
      </c>
      <c r="K71">
        <v>6</v>
      </c>
    </row>
    <row r="72" spans="1:11" hidden="1" x14ac:dyDescent="0.35">
      <c r="A72" t="s">
        <v>68</v>
      </c>
      <c r="B72" t="s">
        <v>54</v>
      </c>
      <c r="C72" t="s">
        <v>389</v>
      </c>
      <c r="D72">
        <v>0.53888888888888886</v>
      </c>
      <c r="E72">
        <v>0.9</v>
      </c>
      <c r="F72">
        <v>0.1</v>
      </c>
      <c r="G72">
        <v>0.1</v>
      </c>
      <c r="H72">
        <v>0</v>
      </c>
      <c r="I72">
        <v>32</v>
      </c>
      <c r="J72">
        <v>65</v>
      </c>
      <c r="K72">
        <v>180</v>
      </c>
    </row>
    <row r="73" spans="1:11" x14ac:dyDescent="0.35">
      <c r="A73" t="s">
        <v>68</v>
      </c>
      <c r="B73" t="s">
        <v>29</v>
      </c>
      <c r="C73" t="s">
        <v>389</v>
      </c>
      <c r="D73">
        <v>2.3235294117647061</v>
      </c>
      <c r="E73">
        <v>0.9</v>
      </c>
      <c r="F73">
        <v>0.1</v>
      </c>
      <c r="G73">
        <v>0.1</v>
      </c>
      <c r="H73">
        <v>0</v>
      </c>
      <c r="I73">
        <v>26</v>
      </c>
      <c r="J73">
        <v>53</v>
      </c>
      <c r="K73">
        <v>34</v>
      </c>
    </row>
    <row r="74" spans="1:11" hidden="1" x14ac:dyDescent="0.35">
      <c r="A74" t="s">
        <v>68</v>
      </c>
      <c r="B74" t="s">
        <v>10</v>
      </c>
      <c r="C74" t="s">
        <v>389</v>
      </c>
      <c r="D74">
        <v>0</v>
      </c>
      <c r="E74">
        <v>0.9</v>
      </c>
      <c r="F74">
        <v>0.1</v>
      </c>
      <c r="G74">
        <v>0.1</v>
      </c>
      <c r="H74">
        <v>0</v>
      </c>
      <c r="I74">
        <v>0</v>
      </c>
      <c r="J74">
        <v>0</v>
      </c>
      <c r="K74">
        <v>1</v>
      </c>
    </row>
    <row r="75" spans="1:11" hidden="1" x14ac:dyDescent="0.35">
      <c r="A75" t="s">
        <v>68</v>
      </c>
      <c r="B75" t="s">
        <v>11</v>
      </c>
      <c r="C75" t="s">
        <v>389</v>
      </c>
      <c r="D75">
        <v>0</v>
      </c>
      <c r="E75">
        <v>0.9</v>
      </c>
      <c r="F75">
        <v>0.2</v>
      </c>
      <c r="G75">
        <v>0.2</v>
      </c>
      <c r="H75">
        <v>0</v>
      </c>
      <c r="I75">
        <v>0</v>
      </c>
      <c r="J75">
        <v>0</v>
      </c>
      <c r="K75" s="55"/>
    </row>
    <row r="76" spans="1:11" hidden="1" x14ac:dyDescent="0.35">
      <c r="A76" t="s">
        <v>68</v>
      </c>
      <c r="B76" t="s">
        <v>12</v>
      </c>
      <c r="C76" t="s">
        <v>389</v>
      </c>
      <c r="D76">
        <v>0</v>
      </c>
      <c r="E76">
        <v>0.9</v>
      </c>
      <c r="F76">
        <v>0.1</v>
      </c>
      <c r="G76">
        <v>0.1</v>
      </c>
      <c r="H76">
        <v>0</v>
      </c>
      <c r="I76">
        <v>0</v>
      </c>
      <c r="J76">
        <v>0</v>
      </c>
      <c r="K76">
        <v>292</v>
      </c>
    </row>
    <row r="77" spans="1:11" hidden="1" x14ac:dyDescent="0.35">
      <c r="A77" t="s">
        <v>68</v>
      </c>
      <c r="B77" t="s">
        <v>88</v>
      </c>
      <c r="C77" t="s">
        <v>389</v>
      </c>
      <c r="D77">
        <v>1.1666666666666667</v>
      </c>
      <c r="E77">
        <v>0.9</v>
      </c>
      <c r="F77">
        <v>0.1</v>
      </c>
      <c r="G77">
        <v>0.1</v>
      </c>
      <c r="H77">
        <v>0</v>
      </c>
      <c r="I77">
        <v>6</v>
      </c>
      <c r="J77">
        <v>1</v>
      </c>
      <c r="K77">
        <v>6</v>
      </c>
    </row>
    <row r="78" spans="1:11" hidden="1" x14ac:dyDescent="0.35">
      <c r="A78" t="s">
        <v>68</v>
      </c>
      <c r="B78" t="s">
        <v>89</v>
      </c>
      <c r="C78" t="s">
        <v>389</v>
      </c>
      <c r="D78">
        <v>0</v>
      </c>
      <c r="E78">
        <v>0.9</v>
      </c>
      <c r="F78">
        <v>0.1</v>
      </c>
      <c r="G78">
        <v>0.1</v>
      </c>
      <c r="H78">
        <v>0</v>
      </c>
      <c r="I78">
        <v>0</v>
      </c>
      <c r="J78">
        <v>0</v>
      </c>
      <c r="K78">
        <v>0</v>
      </c>
    </row>
    <row r="79" spans="1:11" hidden="1" x14ac:dyDescent="0.35">
      <c r="A79" t="s">
        <v>68</v>
      </c>
      <c r="B79" t="s">
        <v>97</v>
      </c>
      <c r="C79" t="s">
        <v>389</v>
      </c>
      <c r="D79">
        <v>0.14285714285714285</v>
      </c>
      <c r="E79">
        <v>0.9</v>
      </c>
      <c r="F79">
        <v>0.1</v>
      </c>
      <c r="G79">
        <v>0.1</v>
      </c>
      <c r="H79">
        <v>1</v>
      </c>
      <c r="I79">
        <v>0</v>
      </c>
      <c r="J79">
        <v>0</v>
      </c>
      <c r="K79" s="55"/>
    </row>
    <row r="80" spans="1:11" hidden="1" x14ac:dyDescent="0.35">
      <c r="A80" t="s">
        <v>68</v>
      </c>
      <c r="B80" t="s">
        <v>93</v>
      </c>
      <c r="C80" t="s">
        <v>389</v>
      </c>
      <c r="D80">
        <v>0.19444444444444445</v>
      </c>
      <c r="E80">
        <v>0.9</v>
      </c>
      <c r="F80">
        <v>0.05</v>
      </c>
      <c r="G80">
        <v>0.05</v>
      </c>
      <c r="H80">
        <v>7</v>
      </c>
      <c r="I80">
        <v>18</v>
      </c>
      <c r="J80">
        <v>10</v>
      </c>
      <c r="K80">
        <v>180</v>
      </c>
    </row>
    <row r="81" spans="1:11" hidden="1" x14ac:dyDescent="0.35">
      <c r="A81" t="s">
        <v>68</v>
      </c>
      <c r="B81" t="s">
        <v>24</v>
      </c>
      <c r="C81" t="s">
        <v>389</v>
      </c>
      <c r="D81">
        <v>1.5</v>
      </c>
      <c r="E81">
        <v>0.9</v>
      </c>
      <c r="F81">
        <v>0.05</v>
      </c>
      <c r="G81">
        <v>0.05</v>
      </c>
      <c r="H81">
        <v>2</v>
      </c>
      <c r="I81">
        <v>6</v>
      </c>
      <c r="J81">
        <v>3</v>
      </c>
      <c r="K81">
        <v>6</v>
      </c>
    </row>
    <row r="82" spans="1:11" hidden="1" x14ac:dyDescent="0.35">
      <c r="A82" t="s">
        <v>69</v>
      </c>
      <c r="B82" t="s">
        <v>54</v>
      </c>
      <c r="C82" t="s">
        <v>389</v>
      </c>
      <c r="D82">
        <v>0.72777777777777775</v>
      </c>
      <c r="E82">
        <v>0.9</v>
      </c>
      <c r="F82">
        <v>0.1</v>
      </c>
      <c r="G82">
        <v>0.1</v>
      </c>
      <c r="H82">
        <v>40</v>
      </c>
      <c r="I82">
        <v>6</v>
      </c>
      <c r="J82">
        <v>85</v>
      </c>
      <c r="K82">
        <v>180</v>
      </c>
    </row>
    <row r="83" spans="1:11" x14ac:dyDescent="0.35">
      <c r="A83" t="s">
        <v>69</v>
      </c>
      <c r="B83" t="s">
        <v>29</v>
      </c>
      <c r="C83" t="s">
        <v>389</v>
      </c>
      <c r="D83">
        <v>0.26209677419354838</v>
      </c>
      <c r="E83">
        <v>0.9</v>
      </c>
      <c r="F83">
        <v>0.1</v>
      </c>
      <c r="G83">
        <v>0.1</v>
      </c>
      <c r="H83">
        <v>17</v>
      </c>
      <c r="I83">
        <v>4</v>
      </c>
      <c r="J83">
        <v>44</v>
      </c>
      <c r="K83">
        <v>248</v>
      </c>
    </row>
    <row r="84" spans="1:11" hidden="1" x14ac:dyDescent="0.35">
      <c r="A84" t="s">
        <v>69</v>
      </c>
      <c r="B84" t="s">
        <v>10</v>
      </c>
      <c r="C84" t="s">
        <v>389</v>
      </c>
      <c r="D84">
        <v>0</v>
      </c>
      <c r="E84">
        <v>0.9</v>
      </c>
      <c r="F84">
        <v>0.1</v>
      </c>
      <c r="G84">
        <v>0.1</v>
      </c>
      <c r="H84">
        <v>0</v>
      </c>
      <c r="I84">
        <v>0</v>
      </c>
      <c r="J84">
        <v>0</v>
      </c>
      <c r="K84">
        <v>1</v>
      </c>
    </row>
    <row r="85" spans="1:11" hidden="1" x14ac:dyDescent="0.35">
      <c r="A85" t="s">
        <v>69</v>
      </c>
      <c r="B85" t="s">
        <v>11</v>
      </c>
      <c r="C85" t="s">
        <v>389</v>
      </c>
      <c r="D85">
        <v>0</v>
      </c>
      <c r="E85">
        <v>0.9</v>
      </c>
      <c r="F85">
        <v>0.2</v>
      </c>
      <c r="G85">
        <v>0.2</v>
      </c>
      <c r="H85">
        <v>0</v>
      </c>
      <c r="I85">
        <v>0</v>
      </c>
      <c r="J85">
        <v>0</v>
      </c>
      <c r="K85" s="55"/>
    </row>
    <row r="86" spans="1:11" hidden="1" x14ac:dyDescent="0.35">
      <c r="A86" t="s">
        <v>69</v>
      </c>
      <c r="B86" t="s">
        <v>12</v>
      </c>
      <c r="C86" t="s">
        <v>389</v>
      </c>
      <c r="D86">
        <v>0</v>
      </c>
      <c r="E86">
        <v>0.9</v>
      </c>
      <c r="F86">
        <v>0.1</v>
      </c>
      <c r="G86">
        <v>0.1</v>
      </c>
      <c r="H86">
        <v>0</v>
      </c>
      <c r="I86">
        <v>0</v>
      </c>
      <c r="J86">
        <v>0</v>
      </c>
      <c r="K86">
        <v>292</v>
      </c>
    </row>
    <row r="87" spans="1:11" hidden="1" x14ac:dyDescent="0.35">
      <c r="A87" t="s">
        <v>69</v>
      </c>
      <c r="B87" t="s">
        <v>88</v>
      </c>
      <c r="C87" t="s">
        <v>389</v>
      </c>
      <c r="D87">
        <v>0</v>
      </c>
      <c r="E87">
        <v>0.9</v>
      </c>
      <c r="F87">
        <v>0.1</v>
      </c>
      <c r="G87">
        <v>0.1</v>
      </c>
      <c r="H87">
        <v>0</v>
      </c>
      <c r="I87">
        <v>0</v>
      </c>
      <c r="J87">
        <v>0</v>
      </c>
      <c r="K87" t="s">
        <v>390</v>
      </c>
    </row>
    <row r="88" spans="1:11" hidden="1" x14ac:dyDescent="0.35">
      <c r="A88" t="s">
        <v>69</v>
      </c>
      <c r="B88" t="s">
        <v>89</v>
      </c>
      <c r="C88" t="s">
        <v>389</v>
      </c>
      <c r="D88">
        <v>0</v>
      </c>
      <c r="E88">
        <v>0.9</v>
      </c>
      <c r="F88">
        <v>0.1</v>
      </c>
      <c r="G88">
        <v>0.1</v>
      </c>
      <c r="H88">
        <v>0</v>
      </c>
      <c r="I88">
        <v>0</v>
      </c>
      <c r="J88">
        <v>0</v>
      </c>
      <c r="K88" t="s">
        <v>390</v>
      </c>
    </row>
    <row r="89" spans="1:11" hidden="1" x14ac:dyDescent="0.35">
      <c r="A89" t="s">
        <v>69</v>
      </c>
      <c r="B89" t="s">
        <v>97</v>
      </c>
      <c r="C89" t="s">
        <v>389</v>
      </c>
      <c r="D89">
        <v>0.14285714285714285</v>
      </c>
      <c r="E89">
        <v>0.9</v>
      </c>
      <c r="F89">
        <v>0.1</v>
      </c>
      <c r="G89">
        <v>0.1</v>
      </c>
      <c r="H89">
        <v>1</v>
      </c>
      <c r="I89">
        <v>0</v>
      </c>
      <c r="J89">
        <v>0</v>
      </c>
      <c r="K89" s="55"/>
    </row>
    <row r="90" spans="1:11" hidden="1" x14ac:dyDescent="0.35">
      <c r="A90" t="s">
        <v>69</v>
      </c>
      <c r="B90" t="s">
        <v>93</v>
      </c>
      <c r="C90" t="s">
        <v>389</v>
      </c>
      <c r="D90">
        <v>0.19444444444444445</v>
      </c>
      <c r="E90">
        <v>0.9</v>
      </c>
      <c r="F90">
        <v>0.05</v>
      </c>
      <c r="G90">
        <v>0.05</v>
      </c>
    </row>
    <row r="91" spans="1:11" hidden="1" x14ac:dyDescent="0.35">
      <c r="A91" t="s">
        <v>69</v>
      </c>
      <c r="B91" t="s">
        <v>24</v>
      </c>
      <c r="C91" t="s">
        <v>389</v>
      </c>
      <c r="D91">
        <v>1.5</v>
      </c>
      <c r="E91">
        <v>0.9</v>
      </c>
      <c r="F91">
        <v>0.05</v>
      </c>
      <c r="G91">
        <v>0.05</v>
      </c>
      <c r="H91">
        <v>2</v>
      </c>
      <c r="I91">
        <v>6</v>
      </c>
      <c r="J91">
        <v>3</v>
      </c>
      <c r="K91">
        <v>6</v>
      </c>
    </row>
    <row r="92" spans="1:11" hidden="1" x14ac:dyDescent="0.35">
      <c r="A92" t="s">
        <v>43</v>
      </c>
      <c r="B92" t="s">
        <v>54</v>
      </c>
      <c r="C92" t="s">
        <v>389</v>
      </c>
      <c r="D92">
        <v>2.506849315068493</v>
      </c>
      <c r="E92">
        <v>0.9</v>
      </c>
      <c r="F92">
        <v>0.1</v>
      </c>
      <c r="G92">
        <v>0.1</v>
      </c>
      <c r="H92">
        <v>39</v>
      </c>
      <c r="I92">
        <v>64</v>
      </c>
      <c r="J92">
        <v>80</v>
      </c>
      <c r="K92">
        <v>73</v>
      </c>
    </row>
    <row r="93" spans="1:11" x14ac:dyDescent="0.35">
      <c r="A93" t="s">
        <v>43</v>
      </c>
      <c r="B93" t="s">
        <v>29</v>
      </c>
      <c r="C93" t="s">
        <v>389</v>
      </c>
      <c r="D93">
        <v>2.4657534246575343</v>
      </c>
      <c r="E93">
        <v>0.9</v>
      </c>
      <c r="F93">
        <v>0.1</v>
      </c>
      <c r="G93">
        <v>0.1</v>
      </c>
      <c r="H93">
        <v>17</v>
      </c>
      <c r="I93">
        <v>22</v>
      </c>
      <c r="J93">
        <v>21</v>
      </c>
      <c r="K93">
        <v>24.333333333333332</v>
      </c>
    </row>
    <row r="94" spans="1:11" hidden="1" x14ac:dyDescent="0.35">
      <c r="A94" t="s">
        <v>43</v>
      </c>
      <c r="B94" t="s">
        <v>10</v>
      </c>
      <c r="C94" t="s">
        <v>389</v>
      </c>
      <c r="D94">
        <v>2</v>
      </c>
      <c r="E94">
        <v>0.9</v>
      </c>
      <c r="F94">
        <v>0.1</v>
      </c>
      <c r="G94">
        <v>0.1</v>
      </c>
      <c r="H94">
        <v>2</v>
      </c>
      <c r="I94">
        <v>3</v>
      </c>
      <c r="J94">
        <v>3</v>
      </c>
      <c r="K94">
        <v>1</v>
      </c>
    </row>
    <row r="95" spans="1:11" hidden="1" x14ac:dyDescent="0.35">
      <c r="A95" t="s">
        <v>43</v>
      </c>
      <c r="B95" t="s">
        <v>11</v>
      </c>
      <c r="C95" t="s">
        <v>389</v>
      </c>
      <c r="D95">
        <v>0.21181468917632798</v>
      </c>
      <c r="E95">
        <v>0.9</v>
      </c>
      <c r="F95">
        <v>0.2</v>
      </c>
      <c r="G95">
        <v>0.2</v>
      </c>
      <c r="H95" s="55"/>
      <c r="I95" s="55"/>
      <c r="J95" s="55"/>
      <c r="K95" s="55"/>
    </row>
    <row r="96" spans="1:11" hidden="1" x14ac:dyDescent="0.35">
      <c r="A96" t="s">
        <v>43</v>
      </c>
      <c r="B96" t="s">
        <v>12</v>
      </c>
      <c r="C96" t="s">
        <v>389</v>
      </c>
      <c r="D96">
        <v>0.37671232876712329</v>
      </c>
      <c r="E96">
        <v>0.9</v>
      </c>
      <c r="F96">
        <v>0.1</v>
      </c>
      <c r="G96">
        <v>0.1</v>
      </c>
      <c r="H96">
        <v>37</v>
      </c>
      <c r="I96">
        <v>35</v>
      </c>
      <c r="J96">
        <v>38</v>
      </c>
      <c r="K96">
        <v>292</v>
      </c>
    </row>
    <row r="97" spans="1:11" hidden="1" x14ac:dyDescent="0.35">
      <c r="A97" t="s">
        <v>43</v>
      </c>
      <c r="B97" t="s">
        <v>88</v>
      </c>
      <c r="C97" t="s">
        <v>389</v>
      </c>
      <c r="D97">
        <v>0</v>
      </c>
      <c r="E97">
        <v>0.9</v>
      </c>
      <c r="F97">
        <v>0.1</v>
      </c>
      <c r="G97">
        <v>0.1</v>
      </c>
      <c r="H97">
        <v>0</v>
      </c>
      <c r="I97">
        <v>0</v>
      </c>
      <c r="J97">
        <v>0</v>
      </c>
      <c r="K97" t="s">
        <v>390</v>
      </c>
    </row>
    <row r="98" spans="1:11" hidden="1" x14ac:dyDescent="0.35">
      <c r="A98" t="s">
        <v>43</v>
      </c>
      <c r="B98" t="s">
        <v>89</v>
      </c>
      <c r="C98" t="s">
        <v>389</v>
      </c>
      <c r="D98">
        <v>0</v>
      </c>
      <c r="E98">
        <v>0.9</v>
      </c>
      <c r="F98">
        <v>0.1</v>
      </c>
      <c r="G98">
        <v>0.1</v>
      </c>
      <c r="H98">
        <v>0</v>
      </c>
      <c r="I98">
        <v>0</v>
      </c>
      <c r="J98">
        <v>0</v>
      </c>
      <c r="K98" t="s">
        <v>390</v>
      </c>
    </row>
    <row r="99" spans="1:11" hidden="1" x14ac:dyDescent="0.35">
      <c r="A99" t="s">
        <v>43</v>
      </c>
      <c r="B99" t="s">
        <v>97</v>
      </c>
      <c r="C99" t="s">
        <v>389</v>
      </c>
      <c r="D99">
        <v>0.8571428571428571</v>
      </c>
      <c r="E99">
        <v>0.9</v>
      </c>
      <c r="F99">
        <v>0.1</v>
      </c>
      <c r="G99">
        <v>0.1</v>
      </c>
      <c r="H99">
        <v>0</v>
      </c>
      <c r="I99">
        <v>2</v>
      </c>
      <c r="J99">
        <v>1</v>
      </c>
      <c r="K99">
        <v>3.5</v>
      </c>
    </row>
    <row r="100" spans="1:11" hidden="1" x14ac:dyDescent="0.35">
      <c r="A100" t="s">
        <v>43</v>
      </c>
      <c r="B100" t="s">
        <v>93</v>
      </c>
      <c r="C100" t="s">
        <v>389</v>
      </c>
      <c r="D100">
        <v>1.5</v>
      </c>
      <c r="E100">
        <v>0.9</v>
      </c>
      <c r="F100">
        <v>0.05</v>
      </c>
      <c r="G100">
        <v>0.05</v>
      </c>
    </row>
    <row r="101" spans="1:11" hidden="1" x14ac:dyDescent="0.35">
      <c r="A101" t="s">
        <v>43</v>
      </c>
      <c r="B101" t="s">
        <v>24</v>
      </c>
      <c r="C101" t="s">
        <v>389</v>
      </c>
      <c r="D101">
        <v>1.5</v>
      </c>
      <c r="E101">
        <v>0.9</v>
      </c>
      <c r="F101">
        <v>0.05</v>
      </c>
      <c r="G101">
        <v>0.05</v>
      </c>
      <c r="H101">
        <v>8</v>
      </c>
      <c r="I101">
        <v>5</v>
      </c>
      <c r="J101">
        <v>0</v>
      </c>
      <c r="K101">
        <v>3</v>
      </c>
    </row>
    <row r="102" spans="1:11" hidden="1" x14ac:dyDescent="0.35">
      <c r="A102" t="s">
        <v>70</v>
      </c>
      <c r="B102" t="s">
        <v>54</v>
      </c>
      <c r="C102" t="s">
        <v>389</v>
      </c>
      <c r="D102">
        <v>1.35</v>
      </c>
      <c r="E102">
        <v>0.9</v>
      </c>
      <c r="F102">
        <v>0.1</v>
      </c>
      <c r="G102">
        <v>0.1</v>
      </c>
      <c r="H102">
        <v>70</v>
      </c>
      <c r="I102">
        <v>84</v>
      </c>
      <c r="J102">
        <v>89</v>
      </c>
      <c r="K102">
        <v>180</v>
      </c>
    </row>
    <row r="103" spans="1:11" x14ac:dyDescent="0.35">
      <c r="A103" t="s">
        <v>70</v>
      </c>
      <c r="B103" t="s">
        <v>29</v>
      </c>
      <c r="C103" t="s">
        <v>389</v>
      </c>
      <c r="D103">
        <v>1.452054794520548</v>
      </c>
      <c r="E103">
        <v>0.9</v>
      </c>
      <c r="F103">
        <v>0.1</v>
      </c>
      <c r="G103">
        <v>0.1</v>
      </c>
      <c r="H103">
        <v>65</v>
      </c>
      <c r="I103">
        <v>77</v>
      </c>
      <c r="J103">
        <v>70</v>
      </c>
      <c r="K103">
        <v>146</v>
      </c>
    </row>
    <row r="104" spans="1:11" hidden="1" x14ac:dyDescent="0.35">
      <c r="A104" t="s">
        <v>70</v>
      </c>
      <c r="B104" t="s">
        <v>10</v>
      </c>
      <c r="C104" t="s">
        <v>389</v>
      </c>
      <c r="D104">
        <v>1</v>
      </c>
      <c r="E104">
        <v>0.9</v>
      </c>
      <c r="F104">
        <v>0.1</v>
      </c>
      <c r="G104">
        <v>0.1</v>
      </c>
      <c r="H104">
        <v>1</v>
      </c>
      <c r="I104">
        <v>1</v>
      </c>
      <c r="J104">
        <v>1</v>
      </c>
      <c r="K104">
        <v>1</v>
      </c>
    </row>
    <row r="105" spans="1:11" hidden="1" x14ac:dyDescent="0.35">
      <c r="A105" t="s">
        <v>70</v>
      </c>
      <c r="B105" t="s">
        <v>11</v>
      </c>
      <c r="C105" t="s">
        <v>389</v>
      </c>
      <c r="D105">
        <v>0.21181468917632798</v>
      </c>
      <c r="E105">
        <v>0.9</v>
      </c>
      <c r="F105">
        <v>0.2</v>
      </c>
      <c r="G105">
        <v>0.2</v>
      </c>
      <c r="H105">
        <v>103546174</v>
      </c>
      <c r="I105">
        <v>237904874</v>
      </c>
      <c r="J105">
        <v>229557100</v>
      </c>
      <c r="K105">
        <v>2695791072</v>
      </c>
    </row>
    <row r="106" spans="1:11" hidden="1" x14ac:dyDescent="0.35">
      <c r="A106" t="s">
        <v>70</v>
      </c>
      <c r="B106" t="s">
        <v>12</v>
      </c>
      <c r="C106" t="s">
        <v>389</v>
      </c>
      <c r="D106">
        <v>0.37671232876712329</v>
      </c>
      <c r="E106">
        <v>0.9</v>
      </c>
      <c r="F106">
        <v>0.1</v>
      </c>
      <c r="G106">
        <v>0.1</v>
      </c>
      <c r="H106" s="55"/>
      <c r="I106" s="55"/>
      <c r="J106" s="55"/>
      <c r="K106">
        <v>292</v>
      </c>
    </row>
    <row r="107" spans="1:11" hidden="1" x14ac:dyDescent="0.35">
      <c r="A107" t="s">
        <v>70</v>
      </c>
      <c r="B107" t="s">
        <v>88</v>
      </c>
      <c r="C107" t="s">
        <v>389</v>
      </c>
      <c r="D107">
        <v>1</v>
      </c>
      <c r="E107">
        <v>0.9</v>
      </c>
      <c r="F107">
        <v>0.1</v>
      </c>
      <c r="G107">
        <v>0.1</v>
      </c>
      <c r="H107">
        <v>1</v>
      </c>
      <c r="I107">
        <v>0</v>
      </c>
      <c r="J107">
        <v>0</v>
      </c>
      <c r="K107">
        <v>1</v>
      </c>
    </row>
    <row r="108" spans="1:11" hidden="1" x14ac:dyDescent="0.35">
      <c r="A108" t="s">
        <v>70</v>
      </c>
      <c r="B108" t="s">
        <v>89</v>
      </c>
      <c r="C108" t="s">
        <v>389</v>
      </c>
      <c r="D108">
        <v>1</v>
      </c>
      <c r="E108">
        <v>0.9</v>
      </c>
      <c r="F108">
        <v>0.1</v>
      </c>
      <c r="G108">
        <v>0.1</v>
      </c>
      <c r="H108">
        <v>1</v>
      </c>
      <c r="I108">
        <v>0</v>
      </c>
      <c r="J108">
        <v>0</v>
      </c>
      <c r="K108">
        <v>1</v>
      </c>
    </row>
    <row r="109" spans="1:11" hidden="1" x14ac:dyDescent="0.35">
      <c r="A109" t="s">
        <v>70</v>
      </c>
      <c r="B109" t="s">
        <v>97</v>
      </c>
      <c r="C109" t="s">
        <v>389</v>
      </c>
      <c r="D109">
        <v>0.8571428571428571</v>
      </c>
      <c r="E109">
        <v>0.9</v>
      </c>
      <c r="F109">
        <v>0.1</v>
      </c>
      <c r="G109">
        <v>0.1</v>
      </c>
      <c r="H109">
        <v>0</v>
      </c>
      <c r="I109">
        <v>2</v>
      </c>
      <c r="J109">
        <v>1</v>
      </c>
      <c r="K109" s="55"/>
    </row>
    <row r="110" spans="1:11" hidden="1" x14ac:dyDescent="0.35">
      <c r="A110" t="s">
        <v>70</v>
      </c>
      <c r="B110" t="s">
        <v>93</v>
      </c>
      <c r="C110" t="s">
        <v>389</v>
      </c>
      <c r="D110">
        <v>1.5</v>
      </c>
      <c r="E110">
        <v>0.9</v>
      </c>
      <c r="F110">
        <v>0.05</v>
      </c>
      <c r="G110">
        <v>0.05</v>
      </c>
      <c r="H110">
        <v>111</v>
      </c>
      <c r="I110">
        <v>63</v>
      </c>
      <c r="J110">
        <v>0</v>
      </c>
      <c r="K110">
        <v>90</v>
      </c>
    </row>
    <row r="111" spans="1:11" hidden="1" x14ac:dyDescent="0.35">
      <c r="A111" t="s">
        <v>70</v>
      </c>
      <c r="B111" t="s">
        <v>24</v>
      </c>
      <c r="C111" t="s">
        <v>389</v>
      </c>
      <c r="D111">
        <v>1.5</v>
      </c>
      <c r="E111">
        <v>0.9</v>
      </c>
      <c r="F111">
        <v>0.05</v>
      </c>
      <c r="G111">
        <v>0.05</v>
      </c>
      <c r="H111">
        <v>8</v>
      </c>
      <c r="I111">
        <v>5</v>
      </c>
      <c r="J111">
        <v>0</v>
      </c>
      <c r="K111">
        <v>3</v>
      </c>
    </row>
    <row r="112" spans="1:11" hidden="1" x14ac:dyDescent="0.35">
      <c r="A112" t="s">
        <v>45</v>
      </c>
      <c r="B112" t="s">
        <v>54</v>
      </c>
      <c r="C112" t="s">
        <v>389</v>
      </c>
      <c r="D112">
        <v>0.9570815450643777</v>
      </c>
      <c r="E112">
        <v>0.9</v>
      </c>
      <c r="F112">
        <v>0.1</v>
      </c>
      <c r="G112">
        <v>0.1</v>
      </c>
      <c r="H112">
        <v>42</v>
      </c>
      <c r="I112">
        <v>92</v>
      </c>
      <c r="J112">
        <v>89</v>
      </c>
      <c r="K112">
        <v>233</v>
      </c>
    </row>
    <row r="113" spans="1:11" x14ac:dyDescent="0.35">
      <c r="A113" t="s">
        <v>45</v>
      </c>
      <c r="B113" t="s">
        <v>29</v>
      </c>
      <c r="C113" t="s">
        <v>389</v>
      </c>
      <c r="D113">
        <v>1.6094420600858368</v>
      </c>
      <c r="E113">
        <v>0.9</v>
      </c>
      <c r="F113">
        <v>0.1</v>
      </c>
      <c r="G113">
        <v>0.1</v>
      </c>
      <c r="H113">
        <v>23</v>
      </c>
      <c r="I113">
        <v>55</v>
      </c>
      <c r="J113">
        <v>47</v>
      </c>
      <c r="K113">
        <v>77.666666666666671</v>
      </c>
    </row>
    <row r="114" spans="1:11" hidden="1" x14ac:dyDescent="0.35">
      <c r="A114" t="s">
        <v>45</v>
      </c>
      <c r="B114" t="s">
        <v>10</v>
      </c>
      <c r="C114" t="s">
        <v>389</v>
      </c>
      <c r="D114">
        <v>2.2000000000000002</v>
      </c>
      <c r="E114">
        <v>0.9</v>
      </c>
      <c r="F114">
        <v>0.1</v>
      </c>
      <c r="G114">
        <v>0.1</v>
      </c>
      <c r="H114">
        <v>11</v>
      </c>
      <c r="I114">
        <v>11</v>
      </c>
      <c r="J114">
        <v>11</v>
      </c>
      <c r="K114">
        <v>5</v>
      </c>
    </row>
    <row r="115" spans="1:11" hidden="1" x14ac:dyDescent="0.35">
      <c r="A115" t="s">
        <v>45</v>
      </c>
      <c r="B115" t="s">
        <v>11</v>
      </c>
      <c r="C115" t="s">
        <v>389</v>
      </c>
      <c r="D115">
        <v>0.43489242588479821</v>
      </c>
      <c r="E115">
        <v>0.9</v>
      </c>
      <c r="F115">
        <v>0.2</v>
      </c>
      <c r="G115">
        <v>0.2</v>
      </c>
      <c r="H115">
        <v>584151700</v>
      </c>
      <c r="I115">
        <v>341746835</v>
      </c>
      <c r="J115">
        <v>160159400</v>
      </c>
      <c r="K115">
        <v>2497302483</v>
      </c>
    </row>
    <row r="116" spans="1:11" hidden="1" x14ac:dyDescent="0.35">
      <c r="A116" t="s">
        <v>45</v>
      </c>
      <c r="B116" t="s">
        <v>12</v>
      </c>
      <c r="C116" t="s">
        <v>389</v>
      </c>
      <c r="D116">
        <v>0.28767123287671231</v>
      </c>
      <c r="E116">
        <v>0.9</v>
      </c>
      <c r="F116">
        <v>0.1</v>
      </c>
      <c r="G116">
        <v>0.1</v>
      </c>
      <c r="H116">
        <v>36</v>
      </c>
      <c r="I116">
        <v>32</v>
      </c>
      <c r="J116">
        <v>16</v>
      </c>
      <c r="K116">
        <v>292</v>
      </c>
    </row>
    <row r="117" spans="1:11" hidden="1" x14ac:dyDescent="0.35">
      <c r="A117" t="s">
        <v>45</v>
      </c>
      <c r="B117" t="s">
        <v>88</v>
      </c>
      <c r="C117" t="s">
        <v>389</v>
      </c>
      <c r="D117">
        <v>0</v>
      </c>
      <c r="E117">
        <v>0.9</v>
      </c>
      <c r="F117">
        <v>0.1</v>
      </c>
      <c r="G117">
        <v>0.1</v>
      </c>
      <c r="H117">
        <v>0</v>
      </c>
      <c r="I117">
        <v>0</v>
      </c>
      <c r="J117">
        <v>0</v>
      </c>
      <c r="K117" t="s">
        <v>390</v>
      </c>
    </row>
    <row r="118" spans="1:11" hidden="1" x14ac:dyDescent="0.35">
      <c r="A118" t="s">
        <v>45</v>
      </c>
      <c r="B118" t="s">
        <v>89</v>
      </c>
      <c r="C118" t="s">
        <v>389</v>
      </c>
      <c r="D118">
        <v>0</v>
      </c>
      <c r="E118">
        <v>0.9</v>
      </c>
      <c r="F118">
        <v>0.1</v>
      </c>
      <c r="G118">
        <v>0.1</v>
      </c>
      <c r="H118">
        <v>0</v>
      </c>
      <c r="I118">
        <v>0</v>
      </c>
      <c r="J118">
        <v>0</v>
      </c>
      <c r="K118" t="s">
        <v>390</v>
      </c>
    </row>
    <row r="119" spans="1:11" hidden="1" x14ac:dyDescent="0.35">
      <c r="A119" t="s">
        <v>45</v>
      </c>
      <c r="B119" t="s">
        <v>97</v>
      </c>
      <c r="C119" t="s">
        <v>389</v>
      </c>
      <c r="D119">
        <v>1.5</v>
      </c>
      <c r="E119">
        <v>0.9</v>
      </c>
      <c r="F119">
        <v>0.1</v>
      </c>
      <c r="G119">
        <v>0.1</v>
      </c>
      <c r="H119">
        <v>1</v>
      </c>
      <c r="I119">
        <v>4</v>
      </c>
      <c r="J119">
        <v>6</v>
      </c>
      <c r="K119">
        <v>7</v>
      </c>
    </row>
    <row r="120" spans="1:11" hidden="1" x14ac:dyDescent="0.35">
      <c r="A120" t="s">
        <v>45</v>
      </c>
      <c r="B120" t="s">
        <v>93</v>
      </c>
      <c r="C120" t="s">
        <v>389</v>
      </c>
      <c r="D120">
        <v>1.5</v>
      </c>
      <c r="E120">
        <v>0.9</v>
      </c>
      <c r="F120">
        <v>0.05</v>
      </c>
      <c r="G120">
        <v>0.05</v>
      </c>
    </row>
    <row r="121" spans="1:11" hidden="1" x14ac:dyDescent="0.35">
      <c r="A121" t="s">
        <v>45</v>
      </c>
      <c r="B121" t="s">
        <v>24</v>
      </c>
      <c r="C121" t="s">
        <v>389</v>
      </c>
      <c r="D121">
        <v>1.5</v>
      </c>
      <c r="E121">
        <v>0.9</v>
      </c>
      <c r="F121">
        <v>0.05</v>
      </c>
      <c r="G121">
        <v>0.05</v>
      </c>
      <c r="H121">
        <v>5</v>
      </c>
      <c r="I121">
        <v>6</v>
      </c>
      <c r="J121">
        <v>5</v>
      </c>
      <c r="K121">
        <v>6</v>
      </c>
    </row>
    <row r="122" spans="1:11" hidden="1" x14ac:dyDescent="0.35">
      <c r="A122" t="s">
        <v>71</v>
      </c>
      <c r="B122" t="s">
        <v>54</v>
      </c>
      <c r="C122" t="s">
        <v>389</v>
      </c>
      <c r="D122">
        <v>0.74444444444444446</v>
      </c>
      <c r="E122">
        <v>0.9</v>
      </c>
      <c r="F122">
        <v>0.1</v>
      </c>
      <c r="G122">
        <v>0.1</v>
      </c>
      <c r="H122">
        <v>20</v>
      </c>
      <c r="I122">
        <v>55</v>
      </c>
      <c r="J122">
        <v>59</v>
      </c>
      <c r="K122">
        <v>180</v>
      </c>
    </row>
    <row r="123" spans="1:11" x14ac:dyDescent="0.35">
      <c r="A123" t="s">
        <v>71</v>
      </c>
      <c r="B123" t="s">
        <v>29</v>
      </c>
      <c r="C123" t="s">
        <v>389</v>
      </c>
      <c r="D123">
        <v>0.75409836065573765</v>
      </c>
      <c r="E123">
        <v>0.9</v>
      </c>
      <c r="F123">
        <v>0.1</v>
      </c>
      <c r="G123">
        <v>0.1</v>
      </c>
      <c r="H123">
        <v>16</v>
      </c>
      <c r="I123">
        <v>41</v>
      </c>
      <c r="J123">
        <v>35</v>
      </c>
      <c r="K123">
        <v>122</v>
      </c>
    </row>
    <row r="124" spans="1:11" hidden="1" x14ac:dyDescent="0.35">
      <c r="A124" t="s">
        <v>71</v>
      </c>
      <c r="B124" t="s">
        <v>10</v>
      </c>
      <c r="C124" t="s">
        <v>389</v>
      </c>
      <c r="D124">
        <v>0</v>
      </c>
      <c r="E124">
        <v>0.9</v>
      </c>
      <c r="F124">
        <v>0.1</v>
      </c>
      <c r="G124">
        <v>0.1</v>
      </c>
      <c r="H124">
        <v>0</v>
      </c>
      <c r="I124">
        <v>0</v>
      </c>
      <c r="J124">
        <v>0</v>
      </c>
      <c r="K124">
        <v>1</v>
      </c>
    </row>
    <row r="125" spans="1:11" hidden="1" x14ac:dyDescent="0.35">
      <c r="A125" t="s">
        <v>71</v>
      </c>
      <c r="B125" t="s">
        <v>11</v>
      </c>
      <c r="C125" t="s">
        <v>389</v>
      </c>
      <c r="D125">
        <v>0.43489242588479821</v>
      </c>
      <c r="E125">
        <v>0.9</v>
      </c>
      <c r="F125">
        <v>0.2</v>
      </c>
      <c r="G125">
        <v>0.2</v>
      </c>
      <c r="H125" s="55"/>
      <c r="I125" s="55"/>
      <c r="J125" s="55"/>
      <c r="K125" s="55"/>
    </row>
    <row r="126" spans="1:11" hidden="1" x14ac:dyDescent="0.35">
      <c r="A126" t="s">
        <v>71</v>
      </c>
      <c r="B126" t="s">
        <v>12</v>
      </c>
      <c r="C126" t="s">
        <v>389</v>
      </c>
      <c r="D126">
        <v>0.28767123287671231</v>
      </c>
      <c r="E126">
        <v>0.9</v>
      </c>
      <c r="F126">
        <v>0.1</v>
      </c>
      <c r="G126">
        <v>0.1</v>
      </c>
      <c r="H126" s="55"/>
      <c r="I126" s="55"/>
      <c r="J126" s="55"/>
      <c r="K126">
        <v>292</v>
      </c>
    </row>
    <row r="127" spans="1:11" hidden="1" x14ac:dyDescent="0.35">
      <c r="A127" t="s">
        <v>71</v>
      </c>
      <c r="B127" t="s">
        <v>88</v>
      </c>
      <c r="C127" t="s">
        <v>389</v>
      </c>
      <c r="D127">
        <v>1</v>
      </c>
      <c r="E127">
        <v>0.9</v>
      </c>
      <c r="F127">
        <v>0.1</v>
      </c>
      <c r="G127">
        <v>0.1</v>
      </c>
      <c r="H127">
        <v>9</v>
      </c>
      <c r="I127">
        <v>0</v>
      </c>
      <c r="J127">
        <v>0</v>
      </c>
      <c r="K127">
        <v>9</v>
      </c>
    </row>
    <row r="128" spans="1:11" hidden="1" x14ac:dyDescent="0.35">
      <c r="A128" t="s">
        <v>71</v>
      </c>
      <c r="B128" t="s">
        <v>89</v>
      </c>
      <c r="C128" t="s">
        <v>389</v>
      </c>
      <c r="D128">
        <v>0</v>
      </c>
      <c r="E128">
        <v>0.9</v>
      </c>
      <c r="F128">
        <v>0.1</v>
      </c>
      <c r="G128">
        <v>0.1</v>
      </c>
      <c r="H128">
        <v>0</v>
      </c>
      <c r="I128">
        <v>0</v>
      </c>
      <c r="J128">
        <v>0</v>
      </c>
      <c r="K128">
        <v>0</v>
      </c>
    </row>
    <row r="129" spans="1:11" hidden="1" x14ac:dyDescent="0.35">
      <c r="A129" t="s">
        <v>71</v>
      </c>
      <c r="B129" t="s">
        <v>97</v>
      </c>
      <c r="C129" t="s">
        <v>389</v>
      </c>
      <c r="D129">
        <v>1.5</v>
      </c>
      <c r="E129">
        <v>0.9</v>
      </c>
      <c r="F129">
        <v>0.1</v>
      </c>
      <c r="G129">
        <v>0.1</v>
      </c>
      <c r="H129">
        <v>1</v>
      </c>
      <c r="I129">
        <v>4</v>
      </c>
      <c r="J129">
        <v>6</v>
      </c>
      <c r="K129" s="55"/>
    </row>
    <row r="130" spans="1:11" hidden="1" x14ac:dyDescent="0.35">
      <c r="A130" t="s">
        <v>71</v>
      </c>
      <c r="B130" t="s">
        <v>93</v>
      </c>
      <c r="C130" t="s">
        <v>389</v>
      </c>
      <c r="D130">
        <v>1.5</v>
      </c>
      <c r="E130">
        <v>0.9</v>
      </c>
      <c r="F130">
        <v>0.05</v>
      </c>
      <c r="G130">
        <v>0.05</v>
      </c>
      <c r="H130">
        <v>90</v>
      </c>
      <c r="I130">
        <v>114</v>
      </c>
      <c r="J130">
        <v>823</v>
      </c>
      <c r="K130">
        <v>180</v>
      </c>
    </row>
    <row r="131" spans="1:11" hidden="1" x14ac:dyDescent="0.35">
      <c r="A131" t="s">
        <v>71</v>
      </c>
      <c r="B131" t="s">
        <v>24</v>
      </c>
      <c r="C131" t="s">
        <v>389</v>
      </c>
      <c r="D131">
        <v>1.5</v>
      </c>
      <c r="E131">
        <v>0.9</v>
      </c>
      <c r="F131">
        <v>0.05</v>
      </c>
      <c r="G131">
        <v>0.05</v>
      </c>
      <c r="H131">
        <v>5</v>
      </c>
      <c r="I131">
        <v>6</v>
      </c>
      <c r="J131">
        <v>5</v>
      </c>
      <c r="K131">
        <v>6</v>
      </c>
    </row>
    <row r="132" spans="1:11" hidden="1" x14ac:dyDescent="0.35">
      <c r="A132" t="s">
        <v>72</v>
      </c>
      <c r="B132" t="s">
        <v>54</v>
      </c>
      <c r="C132" t="s">
        <v>389</v>
      </c>
      <c r="D132">
        <v>1.2333333333333334</v>
      </c>
      <c r="E132">
        <v>0.9</v>
      </c>
      <c r="F132">
        <v>0.1</v>
      </c>
      <c r="G132">
        <v>0.1</v>
      </c>
      <c r="H132">
        <v>32</v>
      </c>
      <c r="I132">
        <v>78</v>
      </c>
      <c r="J132">
        <v>112</v>
      </c>
      <c r="K132">
        <v>180</v>
      </c>
    </row>
    <row r="133" spans="1:11" x14ac:dyDescent="0.35">
      <c r="A133" t="s">
        <v>72</v>
      </c>
      <c r="B133" t="s">
        <v>29</v>
      </c>
      <c r="C133" t="s">
        <v>389</v>
      </c>
      <c r="D133">
        <v>1.6065573770491803</v>
      </c>
      <c r="E133">
        <v>0.9</v>
      </c>
      <c r="F133">
        <v>0.1</v>
      </c>
      <c r="G133">
        <v>0.1</v>
      </c>
      <c r="H133">
        <v>10</v>
      </c>
      <c r="I133">
        <v>35</v>
      </c>
      <c r="J133">
        <v>53</v>
      </c>
      <c r="K133">
        <v>61</v>
      </c>
    </row>
    <row r="134" spans="1:11" hidden="1" x14ac:dyDescent="0.35">
      <c r="A134" t="s">
        <v>72</v>
      </c>
      <c r="B134" t="s">
        <v>10</v>
      </c>
      <c r="C134" t="s">
        <v>389</v>
      </c>
      <c r="D134">
        <v>0</v>
      </c>
      <c r="E134">
        <v>0.9</v>
      </c>
      <c r="F134">
        <v>0.1</v>
      </c>
      <c r="G134">
        <v>0.1</v>
      </c>
      <c r="H134">
        <v>0</v>
      </c>
      <c r="I134">
        <v>0</v>
      </c>
      <c r="J134">
        <v>0</v>
      </c>
      <c r="K134">
        <v>1</v>
      </c>
    </row>
    <row r="135" spans="1:11" hidden="1" x14ac:dyDescent="0.35">
      <c r="A135" t="s">
        <v>72</v>
      </c>
      <c r="B135" t="s">
        <v>11</v>
      </c>
      <c r="C135" t="s">
        <v>389</v>
      </c>
      <c r="D135">
        <v>0.43489242588479821</v>
      </c>
      <c r="E135">
        <v>0.9</v>
      </c>
      <c r="F135">
        <v>0.2</v>
      </c>
      <c r="G135">
        <v>0.2</v>
      </c>
      <c r="H135" s="55"/>
      <c r="I135" s="55"/>
      <c r="J135" s="55"/>
      <c r="K135" s="55"/>
    </row>
    <row r="136" spans="1:11" hidden="1" x14ac:dyDescent="0.35">
      <c r="A136" t="s">
        <v>72</v>
      </c>
      <c r="B136" t="s">
        <v>12</v>
      </c>
      <c r="C136" t="s">
        <v>389</v>
      </c>
      <c r="D136">
        <v>0.28767123287671231</v>
      </c>
      <c r="E136">
        <v>0.9</v>
      </c>
      <c r="F136">
        <v>0.1</v>
      </c>
      <c r="G136">
        <v>0.1</v>
      </c>
      <c r="H136" s="55"/>
      <c r="I136" s="55"/>
      <c r="J136" s="55"/>
      <c r="K136">
        <v>292</v>
      </c>
    </row>
    <row r="137" spans="1:11" hidden="1" x14ac:dyDescent="0.35">
      <c r="A137" t="s">
        <v>72</v>
      </c>
      <c r="B137" t="s">
        <v>88</v>
      </c>
      <c r="C137" t="s">
        <v>389</v>
      </c>
      <c r="D137">
        <v>0</v>
      </c>
      <c r="E137">
        <v>0.9</v>
      </c>
      <c r="F137">
        <v>0.1</v>
      </c>
      <c r="G137">
        <v>0.1</v>
      </c>
      <c r="H137">
        <v>0</v>
      </c>
      <c r="I137">
        <v>0</v>
      </c>
      <c r="J137">
        <v>0</v>
      </c>
      <c r="K137" t="s">
        <v>390</v>
      </c>
    </row>
    <row r="138" spans="1:11" hidden="1" x14ac:dyDescent="0.35">
      <c r="A138" t="s">
        <v>72</v>
      </c>
      <c r="B138" t="s">
        <v>89</v>
      </c>
      <c r="C138" t="s">
        <v>389</v>
      </c>
      <c r="D138">
        <v>0</v>
      </c>
      <c r="E138">
        <v>0.9</v>
      </c>
      <c r="F138">
        <v>0.1</v>
      </c>
      <c r="G138">
        <v>0.1</v>
      </c>
      <c r="H138">
        <v>0</v>
      </c>
      <c r="I138">
        <v>0</v>
      </c>
      <c r="J138">
        <v>0</v>
      </c>
      <c r="K138" t="s">
        <v>390</v>
      </c>
    </row>
    <row r="139" spans="1:11" hidden="1" x14ac:dyDescent="0.35">
      <c r="A139" t="s">
        <v>72</v>
      </c>
      <c r="B139" t="s">
        <v>97</v>
      </c>
      <c r="C139" t="s">
        <v>389</v>
      </c>
      <c r="D139">
        <v>1.5</v>
      </c>
      <c r="E139">
        <v>0.9</v>
      </c>
      <c r="F139">
        <v>0.1</v>
      </c>
      <c r="G139">
        <v>0.1</v>
      </c>
      <c r="H139">
        <v>1</v>
      </c>
      <c r="I139">
        <v>4</v>
      </c>
      <c r="J139">
        <v>6</v>
      </c>
      <c r="K139" s="55"/>
    </row>
    <row r="140" spans="1:11" hidden="1" x14ac:dyDescent="0.35">
      <c r="A140" t="s">
        <v>72</v>
      </c>
      <c r="B140" t="s">
        <v>93</v>
      </c>
      <c r="C140" t="s">
        <v>389</v>
      </c>
      <c r="D140">
        <v>1.5</v>
      </c>
      <c r="E140">
        <v>0.9</v>
      </c>
      <c r="F140">
        <v>0.05</v>
      </c>
      <c r="G140">
        <v>0.05</v>
      </c>
    </row>
    <row r="141" spans="1:11" hidden="1" x14ac:dyDescent="0.35">
      <c r="A141" t="s">
        <v>72</v>
      </c>
      <c r="B141" t="s">
        <v>24</v>
      </c>
      <c r="C141" t="s">
        <v>389</v>
      </c>
      <c r="D141">
        <v>1.5</v>
      </c>
      <c r="E141">
        <v>0.9</v>
      </c>
      <c r="F141">
        <v>0.05</v>
      </c>
      <c r="G141">
        <v>0.05</v>
      </c>
      <c r="H141">
        <v>5</v>
      </c>
      <c r="I141">
        <v>6</v>
      </c>
      <c r="J141">
        <v>5</v>
      </c>
      <c r="K141">
        <v>6</v>
      </c>
    </row>
    <row r="142" spans="1:11" hidden="1" x14ac:dyDescent="0.35">
      <c r="A142" t="s">
        <v>47</v>
      </c>
      <c r="B142" t="s">
        <v>54</v>
      </c>
      <c r="C142" t="s">
        <v>389</v>
      </c>
      <c r="D142">
        <v>0.54578754578754574</v>
      </c>
      <c r="E142">
        <v>0.9</v>
      </c>
      <c r="F142">
        <v>0.1</v>
      </c>
      <c r="G142">
        <v>0.1</v>
      </c>
      <c r="H142">
        <v>11</v>
      </c>
      <c r="I142">
        <v>82</v>
      </c>
      <c r="J142">
        <v>56</v>
      </c>
      <c r="K142">
        <v>273</v>
      </c>
    </row>
    <row r="143" spans="1:11" x14ac:dyDescent="0.35">
      <c r="A143" t="s">
        <v>47</v>
      </c>
      <c r="B143" t="s">
        <v>29</v>
      </c>
      <c r="C143" t="s">
        <v>389</v>
      </c>
      <c r="D143">
        <v>0.98901098901098905</v>
      </c>
      <c r="E143">
        <v>0.9</v>
      </c>
      <c r="F143">
        <v>0.1</v>
      </c>
      <c r="G143">
        <v>0.1</v>
      </c>
      <c r="H143">
        <v>8</v>
      </c>
      <c r="I143">
        <v>55</v>
      </c>
      <c r="J143">
        <v>27</v>
      </c>
      <c r="K143">
        <v>91</v>
      </c>
    </row>
    <row r="144" spans="1:11" hidden="1" x14ac:dyDescent="0.35">
      <c r="A144" t="s">
        <v>47</v>
      </c>
      <c r="B144" t="s">
        <v>10</v>
      </c>
      <c r="C144" t="s">
        <v>389</v>
      </c>
      <c r="D144">
        <v>1.5</v>
      </c>
      <c r="E144">
        <v>0.9</v>
      </c>
      <c r="F144">
        <v>0.1</v>
      </c>
      <c r="G144">
        <v>0.1</v>
      </c>
      <c r="H144">
        <v>12</v>
      </c>
      <c r="I144">
        <v>12</v>
      </c>
      <c r="J144">
        <v>12</v>
      </c>
      <c r="K144">
        <v>8</v>
      </c>
    </row>
    <row r="145" spans="1:11" hidden="1" x14ac:dyDescent="0.35">
      <c r="A145" t="s">
        <v>47</v>
      </c>
      <c r="B145" t="s">
        <v>11</v>
      </c>
      <c r="C145" t="s">
        <v>389</v>
      </c>
      <c r="D145">
        <v>3.1131907702059324E-2</v>
      </c>
      <c r="E145">
        <v>0.9</v>
      </c>
      <c r="F145">
        <v>0.2</v>
      </c>
      <c r="G145">
        <v>0.2</v>
      </c>
      <c r="H145">
        <v>11630400</v>
      </c>
      <c r="I145">
        <v>10010500</v>
      </c>
      <c r="J145">
        <v>3230200</v>
      </c>
      <c r="K145">
        <v>798894184</v>
      </c>
    </row>
    <row r="146" spans="1:11" hidden="1" x14ac:dyDescent="0.35">
      <c r="A146" t="s">
        <v>47</v>
      </c>
      <c r="B146" t="s">
        <v>12</v>
      </c>
      <c r="C146" t="s">
        <v>389</v>
      </c>
      <c r="D146">
        <v>0.2363013698630137</v>
      </c>
      <c r="E146">
        <v>0.9</v>
      </c>
      <c r="F146">
        <v>0.1</v>
      </c>
      <c r="G146">
        <v>0.1</v>
      </c>
      <c r="H146">
        <v>30</v>
      </c>
      <c r="I146">
        <v>27</v>
      </c>
      <c r="J146">
        <v>12</v>
      </c>
      <c r="K146">
        <v>292</v>
      </c>
    </row>
    <row r="147" spans="1:11" hidden="1" x14ac:dyDescent="0.35">
      <c r="A147" t="s">
        <v>47</v>
      </c>
      <c r="B147" t="s">
        <v>88</v>
      </c>
      <c r="C147" t="s">
        <v>389</v>
      </c>
      <c r="D147">
        <v>0</v>
      </c>
      <c r="E147">
        <v>0.9</v>
      </c>
      <c r="F147">
        <v>0.1</v>
      </c>
      <c r="G147">
        <v>0.1</v>
      </c>
      <c r="H147">
        <v>0</v>
      </c>
      <c r="I147">
        <v>0</v>
      </c>
      <c r="J147">
        <v>0</v>
      </c>
      <c r="K147" t="s">
        <v>390</v>
      </c>
    </row>
    <row r="148" spans="1:11" hidden="1" x14ac:dyDescent="0.35">
      <c r="A148" t="s">
        <v>47</v>
      </c>
      <c r="B148" t="s">
        <v>89</v>
      </c>
      <c r="C148" t="s">
        <v>389</v>
      </c>
      <c r="D148">
        <v>0</v>
      </c>
      <c r="E148">
        <v>0.9</v>
      </c>
      <c r="F148">
        <v>0.1</v>
      </c>
      <c r="G148">
        <v>0.1</v>
      </c>
      <c r="H148">
        <v>0</v>
      </c>
      <c r="I148">
        <v>0</v>
      </c>
      <c r="J148">
        <v>0</v>
      </c>
      <c r="K148" t="s">
        <v>390</v>
      </c>
    </row>
    <row r="149" spans="1:11" hidden="1" x14ac:dyDescent="0.35">
      <c r="A149" t="s">
        <v>47</v>
      </c>
      <c r="B149" t="s">
        <v>97</v>
      </c>
      <c r="C149" t="s">
        <v>389</v>
      </c>
      <c r="D149">
        <v>0.5714285714285714</v>
      </c>
      <c r="E149">
        <v>0.9</v>
      </c>
      <c r="F149">
        <v>0.1</v>
      </c>
      <c r="G149">
        <v>0.1</v>
      </c>
      <c r="H149">
        <v>0</v>
      </c>
      <c r="I149">
        <v>1</v>
      </c>
      <c r="J149">
        <v>1</v>
      </c>
      <c r="K149">
        <v>3.5</v>
      </c>
    </row>
    <row r="150" spans="1:11" hidden="1" x14ac:dyDescent="0.35">
      <c r="A150" t="s">
        <v>47</v>
      </c>
      <c r="B150" t="s">
        <v>93</v>
      </c>
      <c r="C150" t="s">
        <v>389</v>
      </c>
      <c r="D150">
        <v>0</v>
      </c>
      <c r="E150">
        <v>0.9</v>
      </c>
      <c r="F150">
        <v>0.05</v>
      </c>
      <c r="G150">
        <v>0.05</v>
      </c>
      <c r="H150">
        <v>0</v>
      </c>
      <c r="I150">
        <v>0</v>
      </c>
      <c r="J150">
        <v>0</v>
      </c>
    </row>
    <row r="151" spans="1:11" hidden="1" x14ac:dyDescent="0.35">
      <c r="A151" t="s">
        <v>47</v>
      </c>
      <c r="B151" t="s">
        <v>24</v>
      </c>
      <c r="C151" t="s">
        <v>389</v>
      </c>
      <c r="D151">
        <v>0</v>
      </c>
      <c r="E151">
        <v>0.9</v>
      </c>
      <c r="F151">
        <v>0.05</v>
      </c>
      <c r="G151">
        <v>0.05</v>
      </c>
      <c r="H151">
        <v>0</v>
      </c>
      <c r="I151">
        <v>0</v>
      </c>
      <c r="J151">
        <v>0</v>
      </c>
      <c r="K151">
        <v>3</v>
      </c>
    </row>
    <row r="152" spans="1:11" hidden="1" x14ac:dyDescent="0.35">
      <c r="A152" t="s">
        <v>67</v>
      </c>
      <c r="B152" t="s">
        <v>54</v>
      </c>
      <c r="C152" t="s">
        <v>389</v>
      </c>
      <c r="D152">
        <v>0.6166666666666667</v>
      </c>
      <c r="E152">
        <v>0.9</v>
      </c>
      <c r="F152">
        <v>0.1</v>
      </c>
      <c r="G152">
        <v>0.1</v>
      </c>
      <c r="H152">
        <v>11</v>
      </c>
      <c r="I152">
        <v>61</v>
      </c>
      <c r="J152">
        <v>39</v>
      </c>
      <c r="K152">
        <v>180</v>
      </c>
    </row>
    <row r="153" spans="1:11" x14ac:dyDescent="0.35">
      <c r="A153" t="s">
        <v>67</v>
      </c>
      <c r="B153" t="s">
        <v>29</v>
      </c>
      <c r="C153" t="s">
        <v>389</v>
      </c>
      <c r="D153">
        <v>0.5</v>
      </c>
      <c r="E153">
        <v>0.9</v>
      </c>
      <c r="F153">
        <v>0.1</v>
      </c>
      <c r="G153">
        <v>0.1</v>
      </c>
      <c r="H153">
        <v>1</v>
      </c>
      <c r="I153">
        <v>16</v>
      </c>
      <c r="J153">
        <v>4</v>
      </c>
      <c r="K153">
        <v>42</v>
      </c>
    </row>
    <row r="154" spans="1:11" hidden="1" x14ac:dyDescent="0.35">
      <c r="A154" t="s">
        <v>67</v>
      </c>
      <c r="B154" t="s">
        <v>10</v>
      </c>
      <c r="C154" t="s">
        <v>389</v>
      </c>
      <c r="D154">
        <v>0</v>
      </c>
      <c r="E154">
        <v>0.9</v>
      </c>
      <c r="F154">
        <v>0.1</v>
      </c>
      <c r="G154">
        <v>0.1</v>
      </c>
      <c r="H154">
        <v>0</v>
      </c>
      <c r="I154">
        <v>0</v>
      </c>
      <c r="J154">
        <v>0</v>
      </c>
      <c r="K154">
        <v>1</v>
      </c>
    </row>
    <row r="155" spans="1:11" hidden="1" x14ac:dyDescent="0.35">
      <c r="A155" t="s">
        <v>67</v>
      </c>
      <c r="B155" t="s">
        <v>11</v>
      </c>
      <c r="C155" t="s">
        <v>389</v>
      </c>
      <c r="D155">
        <v>3.1131907702059324E-2</v>
      </c>
      <c r="E155">
        <v>0.9</v>
      </c>
      <c r="F155">
        <v>0.2</v>
      </c>
      <c r="G155">
        <v>0.2</v>
      </c>
      <c r="H155" s="55"/>
      <c r="I155" s="55"/>
      <c r="J155" s="55"/>
      <c r="K155" s="55"/>
    </row>
    <row r="156" spans="1:11" hidden="1" x14ac:dyDescent="0.35">
      <c r="A156" t="s">
        <v>67</v>
      </c>
      <c r="B156" t="s">
        <v>12</v>
      </c>
      <c r="C156" t="s">
        <v>389</v>
      </c>
      <c r="D156">
        <v>0.2363013698630137</v>
      </c>
      <c r="E156">
        <v>0.9</v>
      </c>
      <c r="F156">
        <v>0.1</v>
      </c>
      <c r="G156">
        <v>0.1</v>
      </c>
      <c r="H156" s="55"/>
      <c r="I156" s="55"/>
      <c r="J156" s="55"/>
      <c r="K156">
        <v>292</v>
      </c>
    </row>
    <row r="157" spans="1:11" hidden="1" x14ac:dyDescent="0.35">
      <c r="A157" t="s">
        <v>67</v>
      </c>
      <c r="B157" t="s">
        <v>88</v>
      </c>
      <c r="C157" t="s">
        <v>389</v>
      </c>
      <c r="D157">
        <v>1</v>
      </c>
      <c r="E157">
        <v>0.9</v>
      </c>
      <c r="F157">
        <v>0.1</v>
      </c>
      <c r="G157">
        <v>0.1</v>
      </c>
      <c r="H157">
        <v>0</v>
      </c>
      <c r="I157">
        <v>1</v>
      </c>
      <c r="J157">
        <v>0</v>
      </c>
      <c r="K157">
        <v>1</v>
      </c>
    </row>
    <row r="158" spans="1:11" hidden="1" x14ac:dyDescent="0.35">
      <c r="A158" t="s">
        <v>67</v>
      </c>
      <c r="B158" t="s">
        <v>89</v>
      </c>
      <c r="C158" t="s">
        <v>389</v>
      </c>
      <c r="D158">
        <v>0</v>
      </c>
      <c r="E158">
        <v>0.9</v>
      </c>
      <c r="F158">
        <v>0.1</v>
      </c>
      <c r="G158">
        <v>0.1</v>
      </c>
      <c r="H158">
        <v>0</v>
      </c>
      <c r="I158">
        <v>0</v>
      </c>
      <c r="J158">
        <v>0</v>
      </c>
      <c r="K158">
        <v>0</v>
      </c>
    </row>
    <row r="159" spans="1:11" hidden="1" x14ac:dyDescent="0.35">
      <c r="A159" t="s">
        <v>67</v>
      </c>
      <c r="B159" t="s">
        <v>97</v>
      </c>
      <c r="C159" t="s">
        <v>389</v>
      </c>
      <c r="D159">
        <v>0.5714285714285714</v>
      </c>
      <c r="E159">
        <v>0.9</v>
      </c>
      <c r="F159">
        <v>0.1</v>
      </c>
      <c r="G159">
        <v>0.1</v>
      </c>
      <c r="H159">
        <v>0</v>
      </c>
      <c r="I159">
        <v>1</v>
      </c>
      <c r="J159">
        <v>1</v>
      </c>
      <c r="K159" s="55"/>
    </row>
    <row r="160" spans="1:11" hidden="1" x14ac:dyDescent="0.35">
      <c r="A160" t="s">
        <v>67</v>
      </c>
      <c r="B160" t="s">
        <v>93</v>
      </c>
      <c r="C160" t="s">
        <v>389</v>
      </c>
      <c r="D160">
        <v>0</v>
      </c>
      <c r="E160">
        <v>0.9</v>
      </c>
      <c r="F160">
        <v>0.05</v>
      </c>
      <c r="G160">
        <v>0.05</v>
      </c>
      <c r="H160">
        <v>0</v>
      </c>
      <c r="I160">
        <v>0</v>
      </c>
      <c r="J160">
        <v>0</v>
      </c>
      <c r="K160">
        <v>90</v>
      </c>
    </row>
    <row r="161" spans="1:11" hidden="1" x14ac:dyDescent="0.35">
      <c r="A161" t="s">
        <v>67</v>
      </c>
      <c r="B161" t="s">
        <v>24</v>
      </c>
      <c r="C161" t="s">
        <v>389</v>
      </c>
      <c r="D161">
        <v>0</v>
      </c>
      <c r="E161">
        <v>0.9</v>
      </c>
      <c r="F161">
        <v>0.05</v>
      </c>
      <c r="G161">
        <v>0.05</v>
      </c>
      <c r="H161">
        <v>0</v>
      </c>
      <c r="I161">
        <v>0</v>
      </c>
      <c r="J161">
        <v>0</v>
      </c>
      <c r="K161">
        <v>3</v>
      </c>
    </row>
  </sheetData>
  <autoFilter ref="A1:K161" xr:uid="{61CD6154-22C7-4494-97A4-9EB07DADAC33}">
    <filterColumn colId="1">
      <filters>
        <filter val="Cobertura Clientes"/>
      </filters>
    </filterColumn>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6F661-F495-4AEE-80E4-C9588AAE448E}">
  <dimension ref="A1:C13"/>
  <sheetViews>
    <sheetView workbookViewId="0">
      <selection activeCell="A10" sqref="A10:C13"/>
    </sheetView>
  </sheetViews>
  <sheetFormatPr baseColWidth="10" defaultRowHeight="14.5" x14ac:dyDescent="0.35"/>
  <cols>
    <col min="2" max="2" width="23.6328125" customWidth="1"/>
    <col min="3" max="3" width="95.54296875" customWidth="1"/>
  </cols>
  <sheetData>
    <row r="1" spans="1:3" x14ac:dyDescent="0.35">
      <c r="A1" t="s">
        <v>180</v>
      </c>
      <c r="B1" t="s">
        <v>181</v>
      </c>
      <c r="C1" t="s">
        <v>179</v>
      </c>
    </row>
    <row r="2" spans="1:3" ht="43.5" x14ac:dyDescent="0.35">
      <c r="A2" s="33">
        <v>0</v>
      </c>
      <c r="B2" t="s">
        <v>6</v>
      </c>
      <c r="C2" s="32" t="s">
        <v>170</v>
      </c>
    </row>
    <row r="3" spans="1:3" ht="43.5" x14ac:dyDescent="0.35">
      <c r="A3" s="33">
        <v>0.6</v>
      </c>
      <c r="B3" t="s">
        <v>6</v>
      </c>
      <c r="C3" s="32" t="s">
        <v>169</v>
      </c>
    </row>
    <row r="4" spans="1:3" ht="43.5" x14ac:dyDescent="0.35">
      <c r="A4" s="33">
        <v>0.75</v>
      </c>
      <c r="B4" t="s">
        <v>6</v>
      </c>
      <c r="C4" s="32" t="s">
        <v>168</v>
      </c>
    </row>
    <row r="5" spans="1:3" ht="29" x14ac:dyDescent="0.35">
      <c r="A5" s="33">
        <v>0.9</v>
      </c>
      <c r="B5" t="s">
        <v>6</v>
      </c>
      <c r="C5" s="32" t="s">
        <v>167</v>
      </c>
    </row>
    <row r="6" spans="1:3" ht="43.5" x14ac:dyDescent="0.35">
      <c r="A6" s="33">
        <v>0.9</v>
      </c>
      <c r="B6" t="s">
        <v>7</v>
      </c>
      <c r="C6" s="32" t="s">
        <v>171</v>
      </c>
    </row>
    <row r="7" spans="1:3" ht="43.5" x14ac:dyDescent="0.35">
      <c r="A7" s="33">
        <v>0.75</v>
      </c>
      <c r="B7" t="s">
        <v>7</v>
      </c>
      <c r="C7" s="32" t="s">
        <v>172</v>
      </c>
    </row>
    <row r="8" spans="1:3" ht="43.5" x14ac:dyDescent="0.35">
      <c r="A8" s="33">
        <v>0.6</v>
      </c>
      <c r="B8" t="s">
        <v>7</v>
      </c>
      <c r="C8" s="32" t="s">
        <v>173</v>
      </c>
    </row>
    <row r="9" spans="1:3" ht="43.5" x14ac:dyDescent="0.35">
      <c r="A9" s="33">
        <v>0</v>
      </c>
      <c r="B9" t="s">
        <v>7</v>
      </c>
      <c r="C9" s="32" t="s">
        <v>174</v>
      </c>
    </row>
    <row r="10" spans="1:3" ht="43.5" x14ac:dyDescent="0.35">
      <c r="A10" s="13" t="s">
        <v>182</v>
      </c>
      <c r="B10" t="s">
        <v>8</v>
      </c>
      <c r="C10" s="32" t="s">
        <v>175</v>
      </c>
    </row>
    <row r="11" spans="1:3" ht="43.5" x14ac:dyDescent="0.35">
      <c r="A11" s="13" t="s">
        <v>183</v>
      </c>
      <c r="B11" t="s">
        <v>8</v>
      </c>
      <c r="C11" s="32" t="s">
        <v>176</v>
      </c>
    </row>
    <row r="12" spans="1:3" ht="43.5" x14ac:dyDescent="0.35">
      <c r="A12" s="13" t="s">
        <v>184</v>
      </c>
      <c r="B12" t="s">
        <v>8</v>
      </c>
      <c r="C12" s="32" t="s">
        <v>177</v>
      </c>
    </row>
    <row r="13" spans="1:3" ht="43.5" x14ac:dyDescent="0.35">
      <c r="A13" s="13" t="s">
        <v>185</v>
      </c>
      <c r="B13" t="s">
        <v>8</v>
      </c>
      <c r="C13" s="32" t="s">
        <v>178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7</vt:i4>
      </vt:variant>
    </vt:vector>
  </HeadingPairs>
  <TitlesOfParts>
    <vt:vector size="19" baseType="lpstr">
      <vt:lpstr>Tabla dinam gestion comercial</vt:lpstr>
      <vt:lpstr>X territorio</vt:lpstr>
      <vt:lpstr>mensual</vt:lpstr>
      <vt:lpstr>Trimestre</vt:lpstr>
      <vt:lpstr>Fincas</vt:lpstr>
      <vt:lpstr>Act Campo</vt:lpstr>
      <vt:lpstr>Leads</vt:lpstr>
      <vt:lpstr>Director</vt:lpstr>
      <vt:lpstr>Tecnico</vt:lpstr>
      <vt:lpstr>Territorios</vt:lpstr>
      <vt:lpstr>base director</vt:lpstr>
      <vt:lpstr>Resumen ejecutivo</vt:lpstr>
      <vt:lpstr>Director!Área_de_impresión</vt:lpstr>
      <vt:lpstr>mensual!Área_de_impresión</vt:lpstr>
      <vt:lpstr>Trimestre!Área_de_impresión</vt:lpstr>
      <vt:lpstr>'X territorio'!Área_de_impresión</vt:lpstr>
      <vt:lpstr>Director!Títulos_a_imprimir</vt:lpstr>
      <vt:lpstr>mensual!Títulos_a_imprimir</vt:lpstr>
      <vt:lpstr>'X territorio'!Títulos_a_imprimir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Mario Andres Granada Guisao</dc:creator>
  <cp:lastModifiedBy>Mario Andres Granada Guisao</cp:lastModifiedBy>
  <cp:lastPrinted>2026-07-24T21:13:12Z</cp:lastPrinted>
  <dcterms:created xsi:type="dcterms:W3CDTF">2026-04-27T20:28:23Z</dcterms:created>
  <dcterms:modified xsi:type="dcterms:W3CDTF">2026-07-25T13:42:01Z</dcterms:modified>
</cp:coreProperties>
</file>