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Blunck\OSU\Teaching\ME 552\Winter 2017\Handouts\Uncertainty\"/>
    </mc:Choice>
  </mc:AlternateContent>
  <bookViews>
    <workbookView xWindow="0" yWindow="0" windowWidth="24675" windowHeight="15555" activeTab="2"/>
  </bookViews>
  <sheets>
    <sheet name="Repeated Measurements" sheetId="2" r:id="rId1"/>
    <sheet name="Manufacturer Uncertainty" sheetId="6" r:id="rId2"/>
    <sheet name="Uncertainty Analysis" sheetId="7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7" l="1"/>
  <c r="I2" i="7"/>
  <c r="J5" i="6"/>
  <c r="F3" i="7"/>
  <c r="F2" i="7"/>
  <c r="B20" i="7" s="1"/>
  <c r="E3" i="7"/>
  <c r="C3" i="7"/>
  <c r="D3" i="7"/>
  <c r="D2" i="7"/>
  <c r="B10" i="7" s="1"/>
  <c r="C2" i="7"/>
  <c r="J3" i="6"/>
  <c r="H5" i="6"/>
  <c r="G5" i="6"/>
  <c r="G4" i="6"/>
  <c r="H3" i="6"/>
  <c r="G3" i="6"/>
  <c r="E16" i="2"/>
  <c r="F16" i="2"/>
  <c r="F13" i="2"/>
  <c r="F11" i="2"/>
  <c r="E13" i="2"/>
  <c r="E11" i="2"/>
  <c r="F4" i="2"/>
  <c r="F5" i="2"/>
  <c r="F6" i="2"/>
  <c r="F7" i="2"/>
  <c r="F8" i="2"/>
  <c r="F9" i="2"/>
  <c r="F3" i="2"/>
  <c r="E4" i="2"/>
  <c r="E5" i="2"/>
  <c r="E6" i="2"/>
  <c r="E7" i="2"/>
  <c r="E8" i="2"/>
  <c r="E9" i="2"/>
  <c r="E3" i="2"/>
  <c r="G3" i="7" l="1"/>
  <c r="C10" i="7" s="1"/>
  <c r="G2" i="7"/>
  <c r="B8" i="7" l="1"/>
  <c r="C8" i="7" s="1"/>
  <c r="B11" i="7"/>
  <c r="C11" i="7" s="1"/>
  <c r="B9" i="7"/>
  <c r="C9" i="7" s="1"/>
  <c r="C14" i="7"/>
  <c r="B21" i="7" l="1"/>
  <c r="C21" i="7" s="1"/>
  <c r="C24" i="7"/>
  <c r="C13" i="7"/>
  <c r="C15" i="7" l="1"/>
  <c r="C20" i="7"/>
  <c r="C23" i="7" s="1"/>
  <c r="C25" i="7" s="1"/>
</calcChain>
</file>

<file path=xl/sharedStrings.xml><?xml version="1.0" encoding="utf-8"?>
<sst xmlns="http://schemas.openxmlformats.org/spreadsheetml/2006/main" count="62" uniqueCount="47">
  <si>
    <t xml:space="preserve">Set </t>
  </si>
  <si>
    <t>** Note that the values are hypothetical</t>
  </si>
  <si>
    <t>Po (PSIG), i.e., pressure tank</t>
  </si>
  <si>
    <t>To (oC), i.e., temperature in tank</t>
  </si>
  <si>
    <t>2.5 (linearity uncertainty)</t>
  </si>
  <si>
    <t>1% of full-scale (up to 30 psi)</t>
  </si>
  <si>
    <t>0.4 (manufacturer)</t>
  </si>
  <si>
    <r>
      <t xml:space="preserve">0.99  </t>
    </r>
    <r>
      <rPr>
        <u/>
        <sz val="8"/>
        <color theme="1"/>
        <rFont val="Calibri"/>
        <family val="2"/>
        <scheme val="minor"/>
      </rPr>
      <t>+</t>
    </r>
    <r>
      <rPr>
        <sz val="8"/>
        <color theme="1"/>
        <rFont val="Calibri"/>
        <family val="2"/>
        <scheme val="minor"/>
      </rPr>
      <t xml:space="preserve"> 0.01</t>
    </r>
  </si>
  <si>
    <t xml:space="preserve">C </t>
  </si>
  <si>
    <t>To (oC), i.e., temperature in tank (i.e., stagnation)</t>
  </si>
  <si>
    <t>Po (PSIG), i.e., pressure tank (i.e, stagnation)</t>
  </si>
  <si>
    <t>Mean</t>
  </si>
  <si>
    <t>Stdev</t>
  </si>
  <si>
    <t>student-t distribution (95% confidence)</t>
  </si>
  <si>
    <t>Note that this value is for 6 degrees of freedom (i.e., 7 samples)</t>
  </si>
  <si>
    <t>Precision Uncertainty</t>
  </si>
  <si>
    <t>Stagnation Pressure in kPa absolute</t>
  </si>
  <si>
    <t>Stagnation Temp. in Kelvin</t>
  </si>
  <si>
    <t>Bias Uncertainty</t>
  </si>
  <si>
    <t>C (discharge coefficient)</t>
  </si>
  <si>
    <t>D</t>
  </si>
  <si>
    <t>D (in)</t>
  </si>
  <si>
    <t>D (m)</t>
  </si>
  <si>
    <t>Avererage value</t>
  </si>
  <si>
    <t>Uncertainty</t>
  </si>
  <si>
    <t>Pressure (kPa)</t>
  </si>
  <si>
    <t>Temp (K)</t>
  </si>
  <si>
    <t>C</t>
  </si>
  <si>
    <t>Evaluation of uncertainty for mass flow rate (kg/s)</t>
  </si>
  <si>
    <t xml:space="preserve">Ratio of specific heats </t>
  </si>
  <si>
    <t>n/A</t>
  </si>
  <si>
    <t>area of throat (m^2)</t>
  </si>
  <si>
    <t>Viscosity (kg-m/s)</t>
  </si>
  <si>
    <t>Ideal gas constant  (kJ/kg-K)</t>
  </si>
  <si>
    <t>Constant for m_dot</t>
  </si>
  <si>
    <t>Sensitivity to independent  variable</t>
  </si>
  <si>
    <t>Uncertainty for that indepdent variable</t>
  </si>
  <si>
    <t>stag pressure</t>
  </si>
  <si>
    <t>Area of throat</t>
  </si>
  <si>
    <t>stag temp</t>
  </si>
  <si>
    <t>Uncertainty in mass flow rate</t>
  </si>
  <si>
    <t>Average mass flow rate</t>
  </si>
  <si>
    <t>Percent uncertainty</t>
  </si>
  <si>
    <t>Evaluation of uncertainty in Re</t>
  </si>
  <si>
    <t>m_dot</t>
  </si>
  <si>
    <t>Average Re</t>
  </si>
  <si>
    <r>
      <t xml:space="preserve">0.5 </t>
    </r>
    <r>
      <rPr>
        <u/>
        <sz val="8"/>
        <color theme="1"/>
        <rFont val="Calibri"/>
        <family val="2"/>
        <scheme val="minor"/>
      </rPr>
      <t>+</t>
    </r>
    <r>
      <rPr>
        <sz val="8"/>
        <color theme="1"/>
        <rFont val="Calibri"/>
        <family val="2"/>
        <scheme val="minor"/>
      </rPr>
      <t xml:space="preserve"> 0.01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</si>
</sst>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0" fillId="0" borderId="0" xfId="0" applyBorder="1"/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Border="1"/>
    <xf numFmtId="0" fontId="7" fillId="0" borderId="0" xfId="0" applyFont="1" applyBorder="1"/>
    <xf numFmtId="0" fontId="7" fillId="0" borderId="0" xfId="0" applyFont="1"/>
    <xf numFmtId="0" fontId="8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2" borderId="8" xfId="0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  <xf numFmtId="0" fontId="9" fillId="2" borderId="8" xfId="0" applyFont="1" applyFill="1" applyBorder="1" applyAlignment="1">
      <alignment horizontal="right" vertical="center"/>
    </xf>
    <xf numFmtId="0" fontId="9" fillId="2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right" vertical="center"/>
    </xf>
    <xf numFmtId="0" fontId="9" fillId="2" borderId="5" xfId="0" applyFont="1" applyFill="1" applyBorder="1" applyAlignment="1">
      <alignment horizontal="right"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9" sqref="G19"/>
    </sheetView>
  </sheetViews>
  <sheetFormatPr defaultColWidth="8.85546875" defaultRowHeight="15" x14ac:dyDescent="0.25"/>
  <cols>
    <col min="2" max="2" width="15.7109375" customWidth="1"/>
    <col min="3" max="3" width="36.42578125" customWidth="1"/>
    <col min="4" max="4" width="16.28515625" style="3" customWidth="1"/>
    <col min="5" max="5" width="19.7109375" style="3" customWidth="1"/>
    <col min="6" max="6" width="21.5703125" style="3" customWidth="1"/>
    <col min="7" max="7" width="17" style="3" bestFit="1" customWidth="1"/>
  </cols>
  <sheetData>
    <row r="1" spans="1:7" ht="15.75" thickBot="1" x14ac:dyDescent="0.3">
      <c r="A1" s="20"/>
      <c r="B1" s="20"/>
      <c r="C1" s="20"/>
      <c r="D1" s="19"/>
      <c r="E1" s="19"/>
      <c r="F1" s="19"/>
      <c r="G1" s="19"/>
    </row>
    <row r="2" spans="1:7" ht="33.75" customHeight="1" thickBot="1" x14ac:dyDescent="0.3">
      <c r="A2" s="21" t="s">
        <v>0</v>
      </c>
      <c r="B2" s="22" t="s">
        <v>10</v>
      </c>
      <c r="C2" s="23" t="s">
        <v>9</v>
      </c>
      <c r="D2" s="16"/>
      <c r="E2" s="16" t="s">
        <v>16</v>
      </c>
      <c r="F2" s="16" t="s">
        <v>17</v>
      </c>
      <c r="G2" s="16"/>
    </row>
    <row r="3" spans="1:7" x14ac:dyDescent="0.25">
      <c r="A3" s="24">
        <v>1</v>
      </c>
      <c r="B3" s="25">
        <v>25</v>
      </c>
      <c r="C3" s="26">
        <v>23.2</v>
      </c>
      <c r="D3" s="17"/>
      <c r="E3" s="17">
        <f>B3/0.145+101</f>
        <v>273.41379310344826</v>
      </c>
      <c r="F3" s="17">
        <f>C3+273</f>
        <v>296.2</v>
      </c>
      <c r="G3" s="17"/>
    </row>
    <row r="4" spans="1:7" x14ac:dyDescent="0.25">
      <c r="A4" s="24">
        <v>2</v>
      </c>
      <c r="B4" s="27">
        <v>22</v>
      </c>
      <c r="C4" s="28">
        <v>23.1</v>
      </c>
      <c r="D4" s="29"/>
      <c r="E4" s="17">
        <f t="shared" ref="E4:E9" si="0">B4/0.145+101</f>
        <v>252.72413793103451</v>
      </c>
      <c r="F4" s="17">
        <f t="shared" ref="F4:F9" si="1">C4+273</f>
        <v>296.10000000000002</v>
      </c>
      <c r="G4" s="29"/>
    </row>
    <row r="5" spans="1:7" x14ac:dyDescent="0.25">
      <c r="A5" s="24">
        <v>3</v>
      </c>
      <c r="B5" s="27">
        <v>32.700000000000003</v>
      </c>
      <c r="C5" s="28">
        <v>23.5</v>
      </c>
      <c r="D5" s="29"/>
      <c r="E5" s="17">
        <f t="shared" si="0"/>
        <v>326.51724137931035</v>
      </c>
      <c r="F5" s="17">
        <f t="shared" si="1"/>
        <v>296.5</v>
      </c>
      <c r="G5" s="29"/>
    </row>
    <row r="6" spans="1:7" x14ac:dyDescent="0.25">
      <c r="A6" s="24">
        <v>4</v>
      </c>
      <c r="B6" s="27">
        <v>21.2</v>
      </c>
      <c r="C6" s="28">
        <v>23.1</v>
      </c>
      <c r="D6" s="29"/>
      <c r="E6" s="17">
        <f t="shared" si="0"/>
        <v>247.20689655172416</v>
      </c>
      <c r="F6" s="17">
        <f t="shared" si="1"/>
        <v>296.10000000000002</v>
      </c>
      <c r="G6" s="29"/>
    </row>
    <row r="7" spans="1:7" x14ac:dyDescent="0.25">
      <c r="A7" s="24">
        <v>5</v>
      </c>
      <c r="B7" s="27">
        <v>26</v>
      </c>
      <c r="C7" s="28">
        <v>23.7</v>
      </c>
      <c r="D7" s="29"/>
      <c r="E7" s="17">
        <f t="shared" si="0"/>
        <v>280.31034482758622</v>
      </c>
      <c r="F7" s="17">
        <f t="shared" si="1"/>
        <v>296.7</v>
      </c>
      <c r="G7" s="29"/>
    </row>
    <row r="8" spans="1:7" x14ac:dyDescent="0.25">
      <c r="A8" s="24">
        <v>6</v>
      </c>
      <c r="B8" s="27">
        <v>29.1</v>
      </c>
      <c r="C8" s="28">
        <v>23.3</v>
      </c>
      <c r="D8" s="29"/>
      <c r="E8" s="17">
        <f t="shared" si="0"/>
        <v>301.68965517241384</v>
      </c>
      <c r="F8" s="17">
        <f t="shared" si="1"/>
        <v>296.3</v>
      </c>
      <c r="G8" s="29"/>
    </row>
    <row r="9" spans="1:7" ht="15.75" thickBot="1" x14ac:dyDescent="0.3">
      <c r="A9" s="24">
        <v>7</v>
      </c>
      <c r="B9" s="30">
        <v>25.2</v>
      </c>
      <c r="C9" s="31">
        <v>23.7</v>
      </c>
      <c r="D9" s="29"/>
      <c r="E9" s="17">
        <f t="shared" si="0"/>
        <v>274.79310344827587</v>
      </c>
      <c r="F9" s="17">
        <f t="shared" si="1"/>
        <v>296.7</v>
      </c>
      <c r="G9" s="29"/>
    </row>
    <row r="10" spans="1:7" x14ac:dyDescent="0.25">
      <c r="A10" s="24"/>
      <c r="B10" s="20"/>
      <c r="C10" s="20"/>
      <c r="D10" s="19"/>
      <c r="E10" s="18" t="s">
        <v>11</v>
      </c>
      <c r="F10" s="18" t="s">
        <v>11</v>
      </c>
      <c r="G10" s="19"/>
    </row>
    <row r="11" spans="1:7" x14ac:dyDescent="0.25">
      <c r="A11" s="20"/>
      <c r="B11" s="20" t="s">
        <v>1</v>
      </c>
      <c r="C11" s="20"/>
      <c r="D11" s="19"/>
      <c r="E11" s="17">
        <f>AVERAGE(E3:E9)</f>
        <v>279.52216748768473</v>
      </c>
      <c r="F11" s="17">
        <f>AVERAGE(F3:F9)</f>
        <v>296.37142857142857</v>
      </c>
      <c r="G11" s="19"/>
    </row>
    <row r="12" spans="1:7" x14ac:dyDescent="0.25">
      <c r="A12" s="20"/>
      <c r="B12" s="20"/>
      <c r="C12" s="20"/>
      <c r="D12" s="19"/>
      <c r="E12" s="19" t="s">
        <v>12</v>
      </c>
      <c r="F12" s="19" t="s">
        <v>12</v>
      </c>
      <c r="G12" s="19"/>
    </row>
    <row r="13" spans="1:7" x14ac:dyDescent="0.25">
      <c r="A13" s="20"/>
      <c r="B13" s="20"/>
      <c r="C13" s="20"/>
      <c r="D13" s="19"/>
      <c r="E13" s="19">
        <f>STDEV(E3:E9)</f>
        <v>27.454942214294697</v>
      </c>
      <c r="F13" s="19">
        <f>STDEV(F3:F9)</f>
        <v>0.26276913640610994</v>
      </c>
      <c r="G13" s="19"/>
    </row>
    <row r="14" spans="1:7" x14ac:dyDescent="0.25">
      <c r="A14" s="20"/>
      <c r="B14" s="20"/>
      <c r="C14" s="20" t="s">
        <v>13</v>
      </c>
      <c r="D14" s="19"/>
      <c r="E14" s="19"/>
      <c r="F14" s="19"/>
      <c r="G14" s="19"/>
    </row>
    <row r="15" spans="1:7" x14ac:dyDescent="0.25">
      <c r="A15" s="20"/>
      <c r="B15" s="20"/>
      <c r="C15" s="20">
        <v>2.4470000000000001</v>
      </c>
      <c r="D15" s="19"/>
      <c r="E15" s="19" t="s">
        <v>15</v>
      </c>
      <c r="F15" s="19" t="s">
        <v>15</v>
      </c>
      <c r="G15" s="19"/>
    </row>
    <row r="16" spans="1:7" x14ac:dyDescent="0.25">
      <c r="A16" s="20"/>
      <c r="B16" s="20"/>
      <c r="C16" s="20" t="s">
        <v>14</v>
      </c>
      <c r="D16" s="19"/>
      <c r="E16" s="19">
        <f>E13*$C$15/SQRT(7)</f>
        <v>25.392501297238898</v>
      </c>
      <c r="F16" s="19">
        <f>F13*$C$15/SQRT(7)</f>
        <v>0.24302967330932695</v>
      </c>
      <c r="G16" s="19"/>
    </row>
    <row r="17" spans="1:7" x14ac:dyDescent="0.25">
      <c r="A17" s="20"/>
      <c r="B17" s="20"/>
      <c r="C17" s="20"/>
      <c r="D17" s="19"/>
      <c r="E17" s="19"/>
      <c r="F17" s="19"/>
      <c r="G17" s="19"/>
    </row>
    <row r="18" spans="1:7" x14ac:dyDescent="0.25">
      <c r="A18" s="20"/>
      <c r="B18" s="20"/>
      <c r="C18" s="20"/>
      <c r="D18" s="19"/>
      <c r="E18" s="19"/>
      <c r="F18" s="19"/>
      <c r="G18" s="19"/>
    </row>
    <row r="19" spans="1:7" x14ac:dyDescent="0.25">
      <c r="A19" s="20"/>
      <c r="B19" s="20"/>
      <c r="C19" s="20"/>
      <c r="D19" s="19"/>
      <c r="E19" s="19"/>
      <c r="F19" s="19"/>
      <c r="G19" s="19"/>
    </row>
  </sheetData>
  <pageMargins left="0.7" right="0.7" top="0.75" bottom="0.75" header="0.3" footer="0.3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workbookViewId="0">
      <selection activeCell="F12" sqref="F12"/>
    </sheetView>
  </sheetViews>
  <sheetFormatPr defaultColWidth="8.85546875" defaultRowHeight="15" x14ac:dyDescent="0.25"/>
  <cols>
    <col min="2" max="2" width="37.140625" bestFit="1" customWidth="1"/>
    <col min="3" max="3" width="15.28515625" customWidth="1"/>
    <col min="4" max="4" width="12.140625" bestFit="1" customWidth="1"/>
    <col min="6" max="6" width="12.42578125" customWidth="1"/>
    <col min="7" max="7" width="15.5703125" customWidth="1"/>
    <col min="8" max="8" width="14.28515625" customWidth="1"/>
    <col min="9" max="9" width="16.42578125" customWidth="1"/>
    <col min="10" max="10" width="9.140625" customWidth="1"/>
  </cols>
  <sheetData>
    <row r="1" spans="1:10" ht="15.75" thickBot="1" x14ac:dyDescent="0.3"/>
    <row r="2" spans="1:10" s="5" customFormat="1" ht="23.25" thickBot="1" x14ac:dyDescent="0.3">
      <c r="A2" s="4" t="s">
        <v>0</v>
      </c>
      <c r="B2" s="9" t="s">
        <v>2</v>
      </c>
      <c r="C2" s="12" t="s">
        <v>3</v>
      </c>
      <c r="D2" s="9" t="s">
        <v>8</v>
      </c>
      <c r="E2" s="9" t="s">
        <v>21</v>
      </c>
      <c r="F2" s="7"/>
      <c r="G2" s="7" t="s">
        <v>16</v>
      </c>
      <c r="H2" s="7" t="s">
        <v>17</v>
      </c>
      <c r="I2" s="34" t="s">
        <v>19</v>
      </c>
      <c r="J2" s="34" t="s">
        <v>22</v>
      </c>
    </row>
    <row r="3" spans="1:10" ht="15.75" thickBot="1" x14ac:dyDescent="0.3">
      <c r="A3" s="32"/>
      <c r="B3" s="8" t="s">
        <v>4</v>
      </c>
      <c r="C3" s="13" t="s">
        <v>6</v>
      </c>
      <c r="D3" s="8" t="s">
        <v>7</v>
      </c>
      <c r="E3" s="15" t="s">
        <v>46</v>
      </c>
      <c r="F3" s="6"/>
      <c r="G3" s="6">
        <f>2.5/0.145</f>
        <v>17.241379310344829</v>
      </c>
      <c r="H3" s="6">
        <f>0.4</f>
        <v>0.4</v>
      </c>
      <c r="I3" s="32"/>
      <c r="J3" s="32">
        <f>0.3*0.0254</f>
        <v>7.6199999999999992E-3</v>
      </c>
    </row>
    <row r="4" spans="1:10" ht="15.75" thickBot="1" x14ac:dyDescent="0.3">
      <c r="A4" s="32"/>
      <c r="B4" s="14" t="s">
        <v>5</v>
      </c>
      <c r="C4" s="10"/>
      <c r="D4" s="14"/>
      <c r="E4" s="11"/>
      <c r="F4" s="2"/>
      <c r="G4" s="6">
        <f>0.3/0.145</f>
        <v>2.0689655172413794</v>
      </c>
      <c r="H4" s="32"/>
      <c r="I4" s="32"/>
      <c r="J4" s="32"/>
    </row>
    <row r="5" spans="1:10" x14ac:dyDescent="0.25">
      <c r="A5" s="32"/>
      <c r="B5" s="32"/>
      <c r="C5" s="32"/>
      <c r="D5" s="32"/>
      <c r="E5" s="32"/>
      <c r="F5" s="33" t="s">
        <v>18</v>
      </c>
      <c r="G5" s="32">
        <f>SQRT(G3^2+G4^2)</f>
        <v>17.365073533812652</v>
      </c>
      <c r="H5" s="32">
        <f>SQRT(H3^2+H4^2)</f>
        <v>0.4</v>
      </c>
      <c r="I5" s="32">
        <v>0.01</v>
      </c>
      <c r="J5" s="32">
        <f>0.01*0.0254</f>
        <v>2.5399999999999999E-4</v>
      </c>
    </row>
    <row r="6" spans="1:10" x14ac:dyDescent="0.25">
      <c r="A6" s="32"/>
      <c r="B6" s="32" t="s">
        <v>1</v>
      </c>
      <c r="C6" s="32"/>
      <c r="D6" s="32"/>
      <c r="E6" s="32"/>
      <c r="F6" s="32"/>
      <c r="G6" s="32"/>
      <c r="H6" s="32"/>
      <c r="I6" s="32"/>
      <c r="J6" s="32"/>
    </row>
  </sheetData>
  <pageMargins left="0.7" right="0.7" top="0.75" bottom="0.75" header="0.3" footer="0.3"/>
  <pageSetup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5"/>
  <sheetViews>
    <sheetView tabSelected="1" workbookViewId="0">
      <selection activeCell="E26" sqref="E26"/>
    </sheetView>
  </sheetViews>
  <sheetFormatPr defaultRowHeight="15" x14ac:dyDescent="0.25"/>
  <cols>
    <col min="1" max="1" width="14" customWidth="1"/>
    <col min="2" max="2" width="26" customWidth="1"/>
    <col min="3" max="3" width="16" customWidth="1"/>
    <col min="7" max="7" width="14.42578125" bestFit="1" customWidth="1"/>
    <col min="8" max="8" width="16.140625" customWidth="1"/>
    <col min="9" max="9" width="22.7109375" customWidth="1"/>
    <col min="10" max="10" width="19.7109375" customWidth="1"/>
  </cols>
  <sheetData>
    <row r="1" spans="1:39" x14ac:dyDescent="0.25">
      <c r="A1" s="32"/>
      <c r="B1" s="32"/>
      <c r="C1" s="32" t="s">
        <v>25</v>
      </c>
      <c r="D1" s="32" t="s">
        <v>26</v>
      </c>
      <c r="E1" s="32" t="s">
        <v>27</v>
      </c>
      <c r="F1" s="32" t="s">
        <v>22</v>
      </c>
      <c r="G1" s="32" t="s">
        <v>31</v>
      </c>
      <c r="H1" s="32" t="s">
        <v>29</v>
      </c>
      <c r="I1" s="32" t="s">
        <v>32</v>
      </c>
      <c r="J1" s="32" t="s">
        <v>33</v>
      </c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</row>
    <row r="2" spans="1:39" x14ac:dyDescent="0.25">
      <c r="A2" s="32"/>
      <c r="B2" s="32" t="s">
        <v>23</v>
      </c>
      <c r="C2" s="32">
        <f>'Repeated Measurements'!E11</f>
        <v>279.52216748768473</v>
      </c>
      <c r="D2" s="32">
        <f>'Repeated Measurements'!F11</f>
        <v>296.37142857142857</v>
      </c>
      <c r="E2" s="32">
        <v>0.99</v>
      </c>
      <c r="F2" s="32">
        <f>'Manufacturer Uncertainty'!J3</f>
        <v>7.6199999999999992E-3</v>
      </c>
      <c r="G2" s="32">
        <f>PI()*F2^2/4</f>
        <v>4.5603673118774786E-5</v>
      </c>
      <c r="H2" s="32">
        <v>1.4</v>
      </c>
      <c r="I2" s="35">
        <f>1.846*10^-5</f>
        <v>1.8460000000000003E-5</v>
      </c>
      <c r="J2" s="32">
        <v>0.28699999999999998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spans="1:39" x14ac:dyDescent="0.25">
      <c r="A3" s="32"/>
      <c r="B3" s="32" t="s">
        <v>24</v>
      </c>
      <c r="C3" s="32">
        <f>SQRT('Repeated Measurements'!E16^2+'Manufacturer Uncertainty'!G5^2)</f>
        <v>30.762394265807721</v>
      </c>
      <c r="D3" s="32">
        <f>SQRT('Repeated Measurements'!F16^2+'Manufacturer Uncertainty'!H5^2)</f>
        <v>0.46804211574263083</v>
      </c>
      <c r="E3" s="32">
        <f>0.01</f>
        <v>0.01</v>
      </c>
      <c r="F3" s="32">
        <f>'Manufacturer Uncertainty'!J5</f>
        <v>2.5399999999999999E-4</v>
      </c>
      <c r="G3" s="32">
        <f>2*PI()*F2/4*F3</f>
        <v>3.0402448745849856E-6</v>
      </c>
      <c r="H3" s="1" t="s">
        <v>30</v>
      </c>
      <c r="I3" s="1" t="s">
        <v>30</v>
      </c>
      <c r="J3" s="32" t="s">
        <v>30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</row>
    <row r="4" spans="1:39" x14ac:dyDescent="0.25">
      <c r="A4" s="32"/>
      <c r="B4" s="32"/>
      <c r="C4" s="32"/>
      <c r="D4" s="32"/>
      <c r="E4" s="32"/>
      <c r="F4" s="32"/>
      <c r="G4" s="32"/>
      <c r="H4" s="1"/>
      <c r="I4" s="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</row>
    <row r="5" spans="1:39" x14ac:dyDescent="0.25">
      <c r="A5" s="32"/>
      <c r="B5" s="32" t="s">
        <v>28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</row>
    <row r="6" spans="1:39" x14ac:dyDescent="0.25">
      <c r="A6" s="32"/>
      <c r="B6" s="32" t="s">
        <v>34</v>
      </c>
      <c r="C6" s="32">
        <f>SQRT((2*$H$2/(H2+1))*(2/(H2+1))^(2/(H2-1)))</f>
        <v>0.6847314563772704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spans="1:39" x14ac:dyDescent="0.25">
      <c r="A7" s="32"/>
      <c r="B7" s="32" t="s">
        <v>35</v>
      </c>
      <c r="C7" s="32" t="s">
        <v>36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</row>
    <row r="8" spans="1:39" x14ac:dyDescent="0.25">
      <c r="A8" s="32" t="s">
        <v>27</v>
      </c>
      <c r="B8" s="32">
        <f>C2*G2*C6/SQRT(J2*D2)</f>
        <v>9.4640547466299716E-4</v>
      </c>
      <c r="C8" s="32">
        <f>B8*E3</f>
        <v>9.464054746629972E-6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</row>
    <row r="9" spans="1:39" x14ac:dyDescent="0.25">
      <c r="A9" s="32" t="s">
        <v>37</v>
      </c>
      <c r="B9" s="32">
        <f>E2*G2*C6/SQRT(J2*D2)</f>
        <v>3.3519395915447292E-6</v>
      </c>
      <c r="C9" s="32">
        <f>B9*C3</f>
        <v>1.0311368727026945E-4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</row>
    <row r="10" spans="1:39" x14ac:dyDescent="0.25">
      <c r="A10" s="32" t="s">
        <v>38</v>
      </c>
      <c r="B10" s="32">
        <f>E2*C2*C6/SQRT(J2*D2)</f>
        <v>20.545306021208045</v>
      </c>
      <c r="C10" s="32">
        <f>B10*G3</f>
        <v>6.2462761327757808E-5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</row>
    <row r="11" spans="1:39" x14ac:dyDescent="0.25">
      <c r="A11" s="32" t="s">
        <v>39</v>
      </c>
      <c r="B11" s="32">
        <f>-E2*C2*G2*C6/(2*SQRT(J2)*D2^(3/2))</f>
        <v>-1.5806878288379846E-6</v>
      </c>
      <c r="C11" s="32">
        <f>B11*D3</f>
        <v>-7.398284757379558E-7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</row>
    <row r="12" spans="1:39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</row>
    <row r="13" spans="1:39" x14ac:dyDescent="0.25">
      <c r="A13" s="32"/>
      <c r="B13" s="36" t="s">
        <v>40</v>
      </c>
      <c r="C13" s="36">
        <f>SQRT(C8^2+C9^2+C10^2+C11^2)</f>
        <v>1.2093033008133272E-4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spans="1:39" x14ac:dyDescent="0.25">
      <c r="A14" s="32"/>
      <c r="B14" s="36" t="s">
        <v>41</v>
      </c>
      <c r="C14" s="36">
        <f>E2*C2*G2*C6/SQRT(J2*D2)</f>
        <v>9.3694141991636725E-4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spans="1:39" x14ac:dyDescent="0.25">
      <c r="A15" s="32"/>
      <c r="B15" s="36" t="s">
        <v>42</v>
      </c>
      <c r="C15" s="36">
        <f>C13/C14*100</f>
        <v>12.906925396907646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</row>
    <row r="16" spans="1:39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</row>
    <row r="17" spans="1:39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</row>
    <row r="18" spans="1:39" x14ac:dyDescent="0.25">
      <c r="A18" s="32"/>
      <c r="B18" s="32" t="s">
        <v>43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1:39" x14ac:dyDescent="0.25">
      <c r="A19" s="32"/>
      <c r="B19" s="32" t="s">
        <v>35</v>
      </c>
      <c r="C19" s="32" t="s">
        <v>36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</row>
    <row r="20" spans="1:39" x14ac:dyDescent="0.25">
      <c r="A20" s="32" t="s">
        <v>44</v>
      </c>
      <c r="B20" s="32">
        <f>4/(PI()*F2*I2)</f>
        <v>9051560.3342913724</v>
      </c>
      <c r="C20" s="32">
        <f>B20*C13</f>
        <v>1094.6081789769539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39" x14ac:dyDescent="0.25">
      <c r="A21" s="32" t="s">
        <v>20</v>
      </c>
      <c r="B21" s="32">
        <f>-4*C14/(PI()*F2^2*I2)</f>
        <v>-1112963.4897729168</v>
      </c>
      <c r="C21" s="32">
        <f>B21*F3</f>
        <v>-282.69272640232083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3" spans="1:39" x14ac:dyDescent="0.25">
      <c r="B23" s="36" t="s">
        <v>40</v>
      </c>
      <c r="C23" s="36">
        <f>SQRT(C20^2+C21^2)</f>
        <v>1130.5229953627747</v>
      </c>
    </row>
    <row r="24" spans="1:39" x14ac:dyDescent="0.25">
      <c r="B24" s="36" t="s">
        <v>45</v>
      </c>
      <c r="C24" s="36">
        <f>4*C14/(PI()*F2*I2)</f>
        <v>8480.7817920696252</v>
      </c>
    </row>
    <row r="25" spans="1:39" x14ac:dyDescent="0.25">
      <c r="B25" s="36" t="s">
        <v>42</v>
      </c>
      <c r="C25" s="36">
        <f>C23/C24*100</f>
        <v>13.330410132942298</v>
      </c>
    </row>
  </sheetData>
  <pageMargins left="0.25" right="0.25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Repeated Measurements</vt:lpstr>
      <vt:lpstr>Manufacturer Uncertainty</vt:lpstr>
      <vt:lpstr>Uncertainty Analysis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</cp:lastModifiedBy>
  <cp:lastPrinted>2017-01-18T21:32:54Z</cp:lastPrinted>
  <dcterms:created xsi:type="dcterms:W3CDTF">2012-01-25T07:03:00Z</dcterms:created>
  <dcterms:modified xsi:type="dcterms:W3CDTF">2017-01-23T19:11:56Z</dcterms:modified>
</cp:coreProperties>
</file>