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alder\Box\research_cosumnes\GWFlowModel\Morel-Seytoux_Stream_Aquifer\"/>
    </mc:Choice>
  </mc:AlternateContent>
  <xr:revisionPtr revIDLastSave="0" documentId="13_ncr:1_{4326BCA7-2F72-4FA9-A07A-F4E8B66AEFD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FR_edits" sheetId="2" r:id="rId1"/>
    <sheet name="safe_ex" sheetId="11" r:id="rId2"/>
    <sheet name="hubert_practical_considerat_01" sheetId="10" r:id="rId3"/>
    <sheet name="hubert_practical_consideration" sheetId="9" r:id="rId4"/>
    <sheet name="hubert_revised_to_robert" sheetId="7" r:id="rId5"/>
    <sheet name="hubert_example_GW2016" sheetId="1" r:id="rId6"/>
    <sheet name="Sheet3" sheetId="3" r:id="rId7"/>
  </sheets>
  <definedNames>
    <definedName name="solver_adj" localSheetId="1" hidden="1">safe_ex!$B$1:$B$8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safe_ex!$B$1</definedName>
    <definedName name="solver_lhs2" localSheetId="1" hidden="1">safe_ex!$B$2</definedName>
    <definedName name="solver_lhs3" localSheetId="1" hidden="1">safe_ex!$B$3</definedName>
    <definedName name="solver_lhs4" localSheetId="1" hidden="1">safe_ex!$B$4</definedName>
    <definedName name="solver_lhs5" localSheetId="1" hidden="1">safe_ex!$B$4</definedName>
    <definedName name="solver_lhs6" localSheetId="1" hidden="1">safe_ex!$B$6</definedName>
    <definedName name="solver_lhs7" localSheetId="1" hidden="1">safe_ex!$B$6</definedName>
    <definedName name="solver_lhs8" localSheetId="1" hidden="1">safe_ex!$B$7</definedName>
    <definedName name="solver_lhs9" localSheetId="1" hidden="1">safe_ex!$B$8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9</definedName>
    <definedName name="solver_nwt" localSheetId="1" hidden="1">1</definedName>
    <definedName name="solver_opt" localSheetId="1" hidden="1">safe_ex!$B$26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hs4" localSheetId="1" hidden="1">safe_ex!$B$5</definedName>
    <definedName name="solver_rhs5" localSheetId="1" hidden="1">safe_ex!$B$6</definedName>
    <definedName name="solver_rhs6" localSheetId="1" hidden="1">safe_ex!$B$4</definedName>
    <definedName name="solver_rhs7" localSheetId="1" hidden="1">0.00000001</definedName>
    <definedName name="solver_rhs8" localSheetId="1" hidden="1">0</definedName>
    <definedName name="solver_rhs9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1" l="1"/>
  <c r="B12" i="11" s="1"/>
  <c r="B13" i="11" s="1"/>
  <c r="D6" i="11"/>
  <c r="D5" i="11"/>
  <c r="D4" i="11"/>
  <c r="I12" i="11" l="1"/>
  <c r="J12" i="11" s="1"/>
  <c r="I11" i="11"/>
  <c r="J11" i="11" s="1"/>
  <c r="B9" i="11"/>
  <c r="B17" i="11" s="1"/>
  <c r="B10" i="11"/>
  <c r="B14" i="11" l="1"/>
  <c r="B15" i="11"/>
  <c r="B18" i="11"/>
  <c r="B19" i="11" s="1"/>
  <c r="C17" i="11"/>
  <c r="B22" i="11"/>
  <c r="B23" i="11" s="1"/>
  <c r="B16" i="11"/>
  <c r="C16" i="11" s="1"/>
  <c r="C10" i="10"/>
  <c r="C18" i="10" s="1"/>
  <c r="B20" i="11" l="1"/>
  <c r="H21" i="11" s="1"/>
  <c r="G16" i="11"/>
  <c r="H17" i="11"/>
  <c r="B21" i="11" l="1"/>
  <c r="B24" i="11" s="1"/>
  <c r="B25" i="11" s="1"/>
  <c r="B26" i="11" s="1"/>
  <c r="B7" i="10"/>
  <c r="B32" i="10" s="1"/>
  <c r="B33" i="10" s="1"/>
  <c r="C7" i="10"/>
  <c r="C32" i="10" s="1"/>
  <c r="C33" i="10" s="1"/>
  <c r="B5" i="10" l="1"/>
  <c r="B6" i="10"/>
  <c r="B12" i="10" s="1"/>
  <c r="B13" i="10" s="1"/>
  <c r="B16" i="10" s="1"/>
  <c r="C6" i="10"/>
  <c r="C5" i="10"/>
  <c r="C12" i="10" s="1"/>
  <c r="C13" i="10" s="1"/>
  <c r="C11" i="10"/>
  <c r="B10" i="10"/>
  <c r="B18" i="10" s="1"/>
  <c r="B11" i="10"/>
  <c r="B19" i="10" l="1"/>
  <c r="B20" i="10" s="1"/>
  <c r="C23" i="10"/>
  <c r="C24" i="10" s="1"/>
  <c r="C17" i="10"/>
  <c r="C19" i="10"/>
  <c r="C14" i="10"/>
  <c r="C15" i="10" s="1"/>
  <c r="C16" i="10"/>
  <c r="B14" i="10"/>
  <c r="B15" i="10" s="1"/>
  <c r="B23" i="10"/>
  <c r="B24" i="10" s="1"/>
  <c r="B17" i="10"/>
  <c r="B9" i="9"/>
  <c r="C20" i="10" l="1"/>
  <c r="C21" i="10" s="1"/>
  <c r="C22" i="10" s="1"/>
  <c r="C25" i="10" s="1"/>
  <c r="C26" i="10" s="1"/>
  <c r="C27" i="10" s="1"/>
  <c r="C29" i="10" s="1"/>
  <c r="C30" i="10" s="1"/>
  <c r="B21" i="10"/>
  <c r="H17" i="10"/>
  <c r="I18" i="10"/>
  <c r="B17" i="9"/>
  <c r="B11" i="9"/>
  <c r="B10" i="9"/>
  <c r="B18" i="9" s="1"/>
  <c r="I22" i="10" l="1"/>
  <c r="B22" i="10"/>
  <c r="B25" i="10" s="1"/>
  <c r="B26" i="10" s="1"/>
  <c r="B27" i="10" s="1"/>
  <c r="B12" i="9"/>
  <c r="B16" i="9"/>
  <c r="H17" i="9" s="1"/>
  <c r="B13" i="9" l="1"/>
  <c r="B14" i="9" s="1"/>
  <c r="B15" i="9"/>
  <c r="B29" i="10"/>
  <c r="B30" i="10" s="1"/>
  <c r="G16" i="9"/>
  <c r="B22" i="9"/>
  <c r="B23" i="9" s="1"/>
  <c r="B19" i="9"/>
  <c r="B20" i="9" s="1"/>
  <c r="B9" i="7"/>
  <c r="B11" i="7"/>
  <c r="B12" i="7" s="1"/>
  <c r="B15" i="7" s="1"/>
  <c r="B10" i="7"/>
  <c r="H21" i="9" l="1"/>
  <c r="B21" i="9"/>
  <c r="B24" i="9" s="1"/>
  <c r="B16" i="7"/>
  <c r="G16" i="7" s="1"/>
  <c r="B17" i="7"/>
  <c r="B13" i="7"/>
  <c r="B14" i="7" s="1"/>
  <c r="B22" i="7"/>
  <c r="B23" i="7" s="1"/>
  <c r="B18" i="7"/>
  <c r="B19" i="7" s="1"/>
  <c r="B20" i="7" l="1"/>
  <c r="B21" i="7" s="1"/>
  <c r="B24" i="7" s="1"/>
  <c r="B25" i="7" l="1"/>
  <c r="B26" i="7" s="1"/>
  <c r="B25" i="9"/>
  <c r="B26" i="9" s="1"/>
  <c r="B10" i="1"/>
  <c r="B9" i="1"/>
  <c r="B16" i="1" s="1"/>
  <c r="G16" i="1" s="1"/>
  <c r="B11" i="1"/>
  <c r="B12" i="1" s="1"/>
  <c r="B13" i="1" l="1"/>
  <c r="B14" i="1" s="1"/>
  <c r="B15" i="1"/>
  <c r="B22" i="1"/>
  <c r="B23" i="1" s="1"/>
  <c r="B17" i="1"/>
  <c r="B18" i="1"/>
  <c r="B19" i="1" s="1"/>
  <c r="B20" i="1" l="1"/>
  <c r="B21" i="1" s="1"/>
  <c r="B24" i="1" s="1"/>
  <c r="B25" i="1" s="1"/>
  <c r="B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</author>
  </authors>
  <commentList>
    <comment ref="B2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If WpN&gt;3, treat as flat which has a max value of 0.41 theoretically.  The opposite extreme is full penetration which is has a max theoretical value of 0.5, so there isn't a huge amount of variability in this value for the extreme cases.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</author>
  </authors>
  <commentList>
    <comment ref="B2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If WpN&gt;3, treat as flat which has a max value of 0.41 theoretically.  The opposite extreme is full penetration which is has a max theoretical value of 0.5, so there isn't a huge amount of variability in this value for the extreme cases.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</author>
  </authors>
  <commentList>
    <comment ref="B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If WpN&gt;3, treat as flat which has a max value of 0.41 theoretically.  The opposite extreme is full penetration which is has a max theoretical value of 0.5, so there isn't a huge amount of variability in this value for the extreme cases.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</author>
  </authors>
  <commentList>
    <comment ref="B20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If WpN&gt;3, treat as flat which has a max value of 0.41 theoretically.  The opposite extreme is full penetration which is has a max theoretical value of 0.5, so there isn't a huge amount of variability in this value for the extreme cases.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<sst xmlns="http://schemas.openxmlformats.org/spreadsheetml/2006/main" count="256" uniqueCount="71">
  <si>
    <t>Daq</t>
  </si>
  <si>
    <t>B</t>
  </si>
  <si>
    <t>H</t>
  </si>
  <si>
    <t>Aniso</t>
  </si>
  <si>
    <t>Kv</t>
  </si>
  <si>
    <t>Kh</t>
  </si>
  <si>
    <t>G</t>
  </si>
  <si>
    <t>delta</t>
  </si>
  <si>
    <t>rho</t>
  </si>
  <si>
    <t>standard far distance</t>
  </si>
  <si>
    <t>Kcl</t>
  </si>
  <si>
    <t>ecl</t>
  </si>
  <si>
    <t>WpN</t>
  </si>
  <si>
    <t>Gamma_flat</t>
  </si>
  <si>
    <t>kappa</t>
  </si>
  <si>
    <t>dpN</t>
  </si>
  <si>
    <t>a1</t>
  </si>
  <si>
    <t>a2</t>
  </si>
  <si>
    <t>Talbe 1 from Morel-Seytoux etal 2014</t>
  </si>
  <si>
    <t>Gamma_flat_rect</t>
  </si>
  <si>
    <t>equation 7 of morel seytoux etal 2014</t>
  </si>
  <si>
    <t>equation 8 of morel seytoux etal 2014</t>
  </si>
  <si>
    <t>equation 9 of morel seytoux etal 2014</t>
  </si>
  <si>
    <t>delta_standard</t>
  </si>
  <si>
    <t>Gamma_rect_iso_stand</t>
  </si>
  <si>
    <t>x</t>
  </si>
  <si>
    <t>equation 8 of morel seytoux etal 2016</t>
  </si>
  <si>
    <t>Reduction Factor</t>
  </si>
  <si>
    <t>Note - equation in text (eqn 26 of morel-seytoux 2016), does not match that in Figure 1</t>
  </si>
  <si>
    <t>Gamma_aniso_stand</t>
  </si>
  <si>
    <t>equation 3 of morel seytoux etal 2016</t>
  </si>
  <si>
    <t>equation 6 of morel seytoux etal 2016</t>
  </si>
  <si>
    <t>equation 18 of morel seytoux etal 2016</t>
  </si>
  <si>
    <t>based on equation 14 of morel seytoux etal 2016</t>
  </si>
  <si>
    <t>Says this is based on distance extension formula of morel seytoux 2009, but I don't see it. Just adjusting by 2*Daq</t>
  </si>
  <si>
    <t>Gamma_aniso_stand_delta</t>
  </si>
  <si>
    <t>Gamma_aniso_stand_delta_rcl</t>
  </si>
  <si>
    <t>correction for clogging layer</t>
  </si>
  <si>
    <t>correction grid distance exceeding the standard far distance</t>
  </si>
  <si>
    <t>Correct to standard distance from river bank</t>
  </si>
  <si>
    <t>e-mail to Robert says DG = (G/4-B)-2*Daq/sqrt(Ranis)</t>
  </si>
  <si>
    <t>equation 9 of morel seytoux etal 2019 - practical consideration (currenlty unpublished</t>
  </si>
  <si>
    <t>equation 8a,b of morel seytoux etal 2019 - practical consideration</t>
  </si>
  <si>
    <t>see eqn 12, 13 of "Practical considation…"</t>
  </si>
  <si>
    <t>equation 5 and 6 of morel seytoux etal 2016</t>
  </si>
  <si>
    <t>Q (m^3/d)</t>
  </si>
  <si>
    <t>for consistency the wetted perimeter used in the final discharge calculation is the same for both</t>
  </si>
  <si>
    <t>Conductance (m^2/d)</t>
  </si>
  <si>
    <t>Assuming stream top is datum, minimum h is -2 for SAFE</t>
  </si>
  <si>
    <t>Ha (m)</t>
  </si>
  <si>
    <t>MF Conductance (m^2/d)</t>
  </si>
  <si>
    <t>MF Q (m^3/d)</t>
  </si>
  <si>
    <t>WPN</t>
  </si>
  <si>
    <t>Call Safe Location</t>
  </si>
  <si>
    <t>Line</t>
  </si>
  <si>
    <t>C</t>
  </si>
  <si>
    <t>istsg</t>
  </si>
  <si>
    <t>wetperm</t>
  </si>
  <si>
    <t>strlen</t>
  </si>
  <si>
    <t>sbdthk</t>
  </si>
  <si>
    <t>avhc</t>
  </si>
  <si>
    <t>ir</t>
  </si>
  <si>
    <t>ic</t>
  </si>
  <si>
    <t>cstr</t>
  </si>
  <si>
    <t>Block</t>
  </si>
  <si>
    <t>Block is arbitrary to just group whether the subroutine calls are in the vicinity</t>
  </si>
  <si>
    <t>Note</t>
  </si>
  <si>
    <t>wetperm1+dlwp1*dlh</t>
  </si>
  <si>
    <t>wetperm2+dlwp2*dlh</t>
  </si>
  <si>
    <t>Appear to be in same block</t>
  </si>
  <si>
    <t>after END of Newton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</si>
</sst>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4" fillId="2" borderId="0" xfId="0" applyFont="1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A13" sqref="A13"/>
    </sheetView>
  </sheetViews>
  <sheetFormatPr defaultRowHeight="14.4" x14ac:dyDescent="0.3"/>
  <sheetData>
    <row r="1" spans="1:15" x14ac:dyDescent="0.3">
      <c r="A1" t="s">
        <v>53</v>
      </c>
    </row>
    <row r="2" spans="1:15" x14ac:dyDescent="0.3">
      <c r="A2" t="s">
        <v>54</v>
      </c>
      <c r="B2" t="s">
        <v>55</v>
      </c>
      <c r="C2" t="s">
        <v>64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66</v>
      </c>
      <c r="O2" t="s">
        <v>65</v>
      </c>
    </row>
    <row r="3" spans="1:15" x14ac:dyDescent="0.3">
      <c r="A3">
        <v>2507</v>
      </c>
      <c r="B3">
        <v>35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5" x14ac:dyDescent="0.3">
      <c r="A4">
        <v>2415</v>
      </c>
      <c r="B4">
        <v>29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5" x14ac:dyDescent="0.3">
      <c r="A5">
        <v>2774</v>
      </c>
      <c r="B5">
        <v>46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67</v>
      </c>
      <c r="M5" t="s">
        <v>69</v>
      </c>
    </row>
    <row r="6" spans="1:15" x14ac:dyDescent="0.3">
      <c r="A6">
        <v>2776</v>
      </c>
      <c r="B6">
        <v>46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68</v>
      </c>
      <c r="M6" t="s">
        <v>69</v>
      </c>
    </row>
    <row r="7" spans="1:15" x14ac:dyDescent="0.3">
      <c r="A7">
        <v>2831</v>
      </c>
      <c r="B7">
        <v>49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5" x14ac:dyDescent="0.3">
      <c r="A8">
        <v>2979</v>
      </c>
      <c r="B8">
        <v>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5" x14ac:dyDescent="0.3">
      <c r="A9">
        <v>3030</v>
      </c>
      <c r="B9">
        <v>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5" x14ac:dyDescent="0.3">
      <c r="A10">
        <v>3159</v>
      </c>
      <c r="B10">
        <v>64</v>
      </c>
      <c r="C10">
        <v>1</v>
      </c>
      <c r="M10" t="s">
        <v>70</v>
      </c>
    </row>
    <row r="11" spans="1:15" x14ac:dyDescent="0.3">
      <c r="A11">
        <v>3245</v>
      </c>
      <c r="B11">
        <v>66</v>
      </c>
      <c r="C11">
        <v>1</v>
      </c>
    </row>
    <row r="12" spans="1:15" x14ac:dyDescent="0.3">
      <c r="A12">
        <v>3274</v>
      </c>
      <c r="B12">
        <v>66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28.5546875" bestFit="1" customWidth="1"/>
    <col min="8" max="8" width="13.109375" bestFit="1" customWidth="1"/>
    <col min="10" max="10" width="16.33203125" customWidth="1"/>
  </cols>
  <sheetData>
    <row r="1" spans="1:10" x14ac:dyDescent="0.3">
      <c r="A1" s="1" t="s">
        <v>0</v>
      </c>
      <c r="B1" s="1">
        <v>24.999999929480094</v>
      </c>
      <c r="D1" s="1">
        <v>25</v>
      </c>
      <c r="F1" t="s">
        <v>18</v>
      </c>
    </row>
    <row r="2" spans="1:10" x14ac:dyDescent="0.3">
      <c r="A2" s="1" t="s">
        <v>1</v>
      </c>
      <c r="B2" s="1">
        <v>19.999999546292997</v>
      </c>
      <c r="D2" s="1">
        <v>20</v>
      </c>
      <c r="F2" t="s">
        <v>12</v>
      </c>
      <c r="G2" t="s">
        <v>15</v>
      </c>
      <c r="H2" t="s">
        <v>16</v>
      </c>
      <c r="I2" t="s">
        <v>17</v>
      </c>
    </row>
    <row r="3" spans="1:10" x14ac:dyDescent="0.3">
      <c r="A3" s="1" t="s">
        <v>2</v>
      </c>
      <c r="B3" s="1">
        <v>2.0000003876808243</v>
      </c>
      <c r="D3" s="1">
        <v>2</v>
      </c>
      <c r="F3">
        <v>1</v>
      </c>
      <c r="G3">
        <v>0.2</v>
      </c>
      <c r="H3">
        <v>0.89</v>
      </c>
      <c r="I3">
        <v>-2.4300000000000002</v>
      </c>
    </row>
    <row r="4" spans="1:10" x14ac:dyDescent="0.3">
      <c r="A4" s="1" t="s">
        <v>4</v>
      </c>
      <c r="B4" s="1">
        <v>9.3616407575495739E-4</v>
      </c>
      <c r="D4" s="1">
        <f>0.00086</f>
        <v>8.5999999999999998E-4</v>
      </c>
      <c r="F4">
        <v>1</v>
      </c>
      <c r="G4">
        <v>0.5</v>
      </c>
      <c r="H4">
        <v>0.53800000000000003</v>
      </c>
      <c r="I4">
        <v>-0.38700000000000001</v>
      </c>
    </row>
    <row r="5" spans="1:10" x14ac:dyDescent="0.3">
      <c r="A5" s="1" t="s">
        <v>5</v>
      </c>
      <c r="B5" s="1">
        <v>8.7952028575220553E-3</v>
      </c>
      <c r="D5" s="1">
        <f>0.0086</f>
        <v>8.6E-3</v>
      </c>
      <c r="F5">
        <v>3</v>
      </c>
      <c r="G5">
        <v>0.2</v>
      </c>
      <c r="H5">
        <v>0.81899999999999995</v>
      </c>
      <c r="I5">
        <v>-1.34</v>
      </c>
    </row>
    <row r="6" spans="1:10" x14ac:dyDescent="0.3">
      <c r="A6" s="1" t="s">
        <v>10</v>
      </c>
      <c r="B6" s="1">
        <v>9.3616407575495717E-4</v>
      </c>
      <c r="D6" s="1">
        <f>0.00086</f>
        <v>8.5999999999999998E-4</v>
      </c>
      <c r="F6">
        <v>3</v>
      </c>
      <c r="G6">
        <v>0.5</v>
      </c>
      <c r="H6">
        <v>0.67200000000000004</v>
      </c>
      <c r="I6">
        <v>-0.54200000000000004</v>
      </c>
    </row>
    <row r="7" spans="1:10" x14ac:dyDescent="0.3">
      <c r="A7" s="1" t="s">
        <v>11</v>
      </c>
      <c r="B7" s="1">
        <v>1.99999936437369</v>
      </c>
      <c r="D7" s="1">
        <v>2</v>
      </c>
      <c r="F7">
        <v>3</v>
      </c>
      <c r="G7">
        <v>0.9</v>
      </c>
      <c r="H7">
        <v>0.56699999999999995</v>
      </c>
      <c r="I7">
        <v>-0.33</v>
      </c>
    </row>
    <row r="8" spans="1:10" x14ac:dyDescent="0.3">
      <c r="A8" s="1" t="s">
        <v>6</v>
      </c>
      <c r="B8" s="1">
        <v>100.00000011333033</v>
      </c>
      <c r="D8" s="1">
        <v>100</v>
      </c>
    </row>
    <row r="9" spans="1:10" x14ac:dyDescent="0.3">
      <c r="A9" s="2" t="s">
        <v>12</v>
      </c>
      <c r="B9" s="2">
        <f>2*(B3+B2)/B1</f>
        <v>1.7599999996825071</v>
      </c>
      <c r="C9" t="s">
        <v>30</v>
      </c>
    </row>
    <row r="10" spans="1:10" x14ac:dyDescent="0.3">
      <c r="A10" s="2" t="s">
        <v>15</v>
      </c>
      <c r="B10" s="2">
        <f>B3/B1</f>
        <v>8.0000015732896723E-2</v>
      </c>
      <c r="H10" t="s">
        <v>52</v>
      </c>
      <c r="I10" t="s">
        <v>14</v>
      </c>
    </row>
    <row r="11" spans="1:10" x14ac:dyDescent="0.3">
      <c r="A11" s="2" t="s">
        <v>3</v>
      </c>
      <c r="B11" s="2">
        <f>B4/B5</f>
        <v>0.10644030512091117</v>
      </c>
      <c r="H11">
        <v>4</v>
      </c>
      <c r="I11">
        <f>EXP(-3.1415936535*H11/2)</f>
        <v>1.8674389971616264E-3</v>
      </c>
      <c r="J11">
        <f>1/(2*(1+1/PI()*LN(2/(1-I11))))</f>
        <v>0.40942309185586118</v>
      </c>
    </row>
    <row r="12" spans="1:10" x14ac:dyDescent="0.3">
      <c r="A12" s="2" t="s">
        <v>8</v>
      </c>
      <c r="B12" s="2">
        <f>SQRT(B11)</f>
        <v>0.32625190439430568</v>
      </c>
      <c r="C12" t="s">
        <v>31</v>
      </c>
      <c r="H12" s="6">
        <v>9.9999999999999998E-17</v>
      </c>
      <c r="I12">
        <f>EXP(-3.1415936535*H12/2)</f>
        <v>0.99999999999999989</v>
      </c>
      <c r="J12">
        <f>1/(2*(1+1/PI()*LN(2/(1-I12))))</f>
        <v>3.8716704151729321E-2</v>
      </c>
    </row>
    <row r="13" spans="1:10" x14ac:dyDescent="0.3">
      <c r="A13" s="2" t="s">
        <v>9</v>
      </c>
      <c r="B13" s="2">
        <f>2*B1/B12</f>
        <v>153.25580996005635</v>
      </c>
      <c r="C13" t="s">
        <v>44</v>
      </c>
    </row>
    <row r="14" spans="1:10" x14ac:dyDescent="0.3">
      <c r="A14" s="2" t="s">
        <v>23</v>
      </c>
      <c r="B14" s="2">
        <f>B13-2*B1</f>
        <v>103.25581010109616</v>
      </c>
      <c r="C14" t="s">
        <v>34</v>
      </c>
    </row>
    <row r="15" spans="1:10" x14ac:dyDescent="0.3">
      <c r="A15" s="2" t="s">
        <v>7</v>
      </c>
      <c r="B15" s="2">
        <f>B8/4-B2-2*B1/B12</f>
        <v>-148.25580947801677</v>
      </c>
      <c r="C15" t="s">
        <v>40</v>
      </c>
    </row>
    <row r="16" spans="1:10" x14ac:dyDescent="0.3">
      <c r="A16" s="2" t="s">
        <v>14</v>
      </c>
      <c r="B16">
        <f>EXP(-1*PI()*B9/2)</f>
        <v>6.3001198141002149E-2</v>
      </c>
      <c r="C16">
        <f>2/(1-B16)</f>
        <v>2.134474447600164</v>
      </c>
      <c r="D16" t="s">
        <v>41</v>
      </c>
      <c r="G16">
        <f>(2*(1+1/PI()*LN(2/(1-SQRT(B16)))))^-1</f>
        <v>0.38091392329987772</v>
      </c>
    </row>
    <row r="17" spans="1:9" x14ac:dyDescent="0.3">
      <c r="A17" s="2" t="s">
        <v>13</v>
      </c>
      <c r="B17">
        <f>1/(2*(1+1/PI()*LN(2/(1-EXP(-1*PI()*B9/2)))))</f>
        <v>0.40278759075167714</v>
      </c>
      <c r="C17">
        <f>LN(2/(1-EXP(-1*PI()*B9/2)))</f>
        <v>0.75822045600351951</v>
      </c>
      <c r="D17" t="s">
        <v>21</v>
      </c>
      <c r="H17">
        <f>1/(2*(1+1/PI()*LN(2/(1-B16))))</f>
        <v>0.40278759075167714</v>
      </c>
    </row>
    <row r="18" spans="1:9" x14ac:dyDescent="0.3">
      <c r="A18" s="2" t="s">
        <v>16</v>
      </c>
      <c r="B18">
        <f>IF(AND(B9&lt;F3,B10&lt;G3),H3,IF(AND(B9&lt;F4,B10&lt;G4),H4,IF(AND(B9&lt;F5,B10&lt;G5),H5,IF(AND(B9&lt;F6,B10&lt;G6),H6,IF(AND(B9&lt;F7,B10&lt;G7),H7)))))</f>
        <v>0.81899999999999995</v>
      </c>
    </row>
    <row r="19" spans="1:9" x14ac:dyDescent="0.3">
      <c r="A19" s="2" t="s">
        <v>17</v>
      </c>
      <c r="B19">
        <f>INDEX(H3:I7,MATCH(B18,H3:H7,0),2)</f>
        <v>-1.34</v>
      </c>
    </row>
    <row r="20" spans="1:9" x14ac:dyDescent="0.3">
      <c r="A20" s="2" t="s">
        <v>19</v>
      </c>
      <c r="B20">
        <f>IF(B9&gt;3,B17,B17*(1+B18*B10+B19*B10^2))</f>
        <v>0.42572393115080009</v>
      </c>
      <c r="C20" t="s">
        <v>42</v>
      </c>
    </row>
    <row r="21" spans="1:9" x14ac:dyDescent="0.3">
      <c r="A21" s="2" t="s">
        <v>24</v>
      </c>
      <c r="B21">
        <f>B20/(1+B20*B14/B1)</f>
        <v>0.1543406974330826</v>
      </c>
      <c r="C21" t="s">
        <v>39</v>
      </c>
      <c r="H21">
        <f>B20/(1+B20*(2/B12-2))</f>
        <v>0.15434069743308257</v>
      </c>
      <c r="I21" t="s">
        <v>43</v>
      </c>
    </row>
    <row r="22" spans="1:9" x14ac:dyDescent="0.3">
      <c r="A22" s="3" t="s">
        <v>25</v>
      </c>
      <c r="B22">
        <f>(1-SQRT(B10))*(1-B12)</f>
        <v>0.48318333798162572</v>
      </c>
      <c r="C22" t="s">
        <v>26</v>
      </c>
    </row>
    <row r="23" spans="1:9" x14ac:dyDescent="0.3">
      <c r="A23" s="2" t="s">
        <v>27</v>
      </c>
      <c r="B23">
        <f>1-0.333*B22-0.294*B22^2</f>
        <v>0.77046090384981725</v>
      </c>
      <c r="C23" t="s">
        <v>28</v>
      </c>
    </row>
    <row r="24" spans="1:9" x14ac:dyDescent="0.3">
      <c r="A24" s="2" t="s">
        <v>29</v>
      </c>
      <c r="B24">
        <f>B23*B21</f>
        <v>0.11891347324510398</v>
      </c>
      <c r="C24" t="s">
        <v>33</v>
      </c>
    </row>
    <row r="25" spans="1:9" x14ac:dyDescent="0.3">
      <c r="A25" s="2" t="s">
        <v>35</v>
      </c>
      <c r="B25">
        <f>B24/(1+B24*B15/B1)</f>
        <v>0.40334882625390589</v>
      </c>
      <c r="C25" t="s">
        <v>38</v>
      </c>
    </row>
    <row r="26" spans="1:9" x14ac:dyDescent="0.3">
      <c r="A26" s="2" t="s">
        <v>36</v>
      </c>
      <c r="B26">
        <f>B25/(1+B25*B5/B6*B7/(B2+B3))</f>
        <v>0.30000042994844783</v>
      </c>
      <c r="C26" t="s">
        <v>37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="145" zoomScaleNormal="145" workbookViewId="0">
      <selection activeCell="C18" sqref="C18"/>
    </sheetView>
  </sheetViews>
  <sheetFormatPr defaultRowHeight="14.4" x14ac:dyDescent="0.3"/>
  <cols>
    <col min="1" max="1" width="28.5546875" bestFit="1" customWidth="1"/>
  </cols>
  <sheetData>
    <row r="1" spans="1:10" x14ac:dyDescent="0.3">
      <c r="A1" s="1" t="s">
        <v>49</v>
      </c>
      <c r="B1" s="1">
        <v>0</v>
      </c>
      <c r="C1" s="1">
        <v>0</v>
      </c>
    </row>
    <row r="2" spans="1:10" x14ac:dyDescent="0.3">
      <c r="A2" s="1" t="s">
        <v>0</v>
      </c>
      <c r="B2" s="1">
        <v>50</v>
      </c>
      <c r="C2" s="1">
        <v>50</v>
      </c>
      <c r="G2" t="s">
        <v>18</v>
      </c>
    </row>
    <row r="3" spans="1:10" x14ac:dyDescent="0.3">
      <c r="A3" s="1" t="s">
        <v>1</v>
      </c>
      <c r="B3" s="4">
        <v>20</v>
      </c>
      <c r="C3" s="4">
        <v>30</v>
      </c>
      <c r="G3" t="s">
        <v>12</v>
      </c>
      <c r="H3" t="s">
        <v>15</v>
      </c>
      <c r="I3" t="s">
        <v>16</v>
      </c>
      <c r="J3" t="s">
        <v>17</v>
      </c>
    </row>
    <row r="4" spans="1:10" x14ac:dyDescent="0.3">
      <c r="A4" s="1" t="s">
        <v>2</v>
      </c>
      <c r="B4" s="4">
        <v>2</v>
      </c>
      <c r="C4" s="4">
        <v>5</v>
      </c>
      <c r="G4">
        <v>1</v>
      </c>
      <c r="H4">
        <v>0.2</v>
      </c>
      <c r="I4">
        <v>0.89</v>
      </c>
      <c r="J4">
        <v>-2.4300000000000002</v>
      </c>
    </row>
    <row r="5" spans="1:10" x14ac:dyDescent="0.3">
      <c r="A5" s="1" t="s">
        <v>4</v>
      </c>
      <c r="B5" s="1">
        <f>8.64*0.01</f>
        <v>8.6400000000000005E-2</v>
      </c>
      <c r="C5" s="1">
        <f>8.64*0.01</f>
        <v>8.6400000000000005E-2</v>
      </c>
      <c r="G5">
        <v>1</v>
      </c>
      <c r="H5">
        <v>0.5</v>
      </c>
      <c r="I5">
        <v>0.53800000000000003</v>
      </c>
      <c r="J5">
        <v>-0.38700000000000001</v>
      </c>
    </row>
    <row r="6" spans="1:10" x14ac:dyDescent="0.3">
      <c r="A6" s="1" t="s">
        <v>5</v>
      </c>
      <c r="B6" s="1">
        <f>8.64*0.1</f>
        <v>0.8640000000000001</v>
      </c>
      <c r="C6" s="1">
        <f>8.64*0.1</f>
        <v>0.8640000000000001</v>
      </c>
      <c r="G6">
        <v>3</v>
      </c>
      <c r="H6">
        <v>0.2</v>
      </c>
      <c r="I6">
        <v>0.81899999999999995</v>
      </c>
      <c r="J6">
        <v>-1.34</v>
      </c>
    </row>
    <row r="7" spans="1:10" x14ac:dyDescent="0.3">
      <c r="A7" s="1" t="s">
        <v>10</v>
      </c>
      <c r="B7" s="1">
        <f>8.64*0.01</f>
        <v>8.6400000000000005E-2</v>
      </c>
      <c r="C7" s="1">
        <f>8.64*0.01</f>
        <v>8.6400000000000005E-2</v>
      </c>
      <c r="G7">
        <v>3</v>
      </c>
      <c r="H7">
        <v>0.5</v>
      </c>
      <c r="I7">
        <v>0.67200000000000004</v>
      </c>
      <c r="J7">
        <v>-0.54200000000000004</v>
      </c>
    </row>
    <row r="8" spans="1:10" x14ac:dyDescent="0.3">
      <c r="A8" s="1" t="s">
        <v>11</v>
      </c>
      <c r="B8" s="1">
        <v>2</v>
      </c>
      <c r="C8" s="1">
        <v>2</v>
      </c>
      <c r="G8">
        <v>3</v>
      </c>
      <c r="H8">
        <v>0.9</v>
      </c>
      <c r="I8">
        <v>0.56699999999999995</v>
      </c>
      <c r="J8">
        <v>-0.33</v>
      </c>
    </row>
    <row r="9" spans="1:10" x14ac:dyDescent="0.3">
      <c r="A9" s="1" t="s">
        <v>6</v>
      </c>
      <c r="B9" s="1">
        <v>100</v>
      </c>
      <c r="C9" s="1">
        <v>100</v>
      </c>
    </row>
    <row r="10" spans="1:10" x14ac:dyDescent="0.3">
      <c r="A10" s="2" t="s">
        <v>12</v>
      </c>
      <c r="B10" s="2">
        <f>2*(B4+B3)/B2</f>
        <v>0.88</v>
      </c>
      <c r="C10" s="2">
        <f>2*(C4+C3)/C2</f>
        <v>1.4</v>
      </c>
      <c r="D10" t="s">
        <v>30</v>
      </c>
    </row>
    <row r="11" spans="1:10" x14ac:dyDescent="0.3">
      <c r="A11" s="2" t="s">
        <v>15</v>
      </c>
      <c r="B11" s="2">
        <f>B4/B2</f>
        <v>0.04</v>
      </c>
      <c r="C11" s="2">
        <f>C4/C2</f>
        <v>0.1</v>
      </c>
    </row>
    <row r="12" spans="1:10" x14ac:dyDescent="0.3">
      <c r="A12" s="2" t="s">
        <v>3</v>
      </c>
      <c r="B12" s="2">
        <f>B5/B6</f>
        <v>9.9999999999999992E-2</v>
      </c>
      <c r="C12" s="2">
        <f>C5/C6</f>
        <v>9.9999999999999992E-2</v>
      </c>
    </row>
    <row r="13" spans="1:10" x14ac:dyDescent="0.3">
      <c r="A13" s="2" t="s">
        <v>8</v>
      </c>
      <c r="B13" s="2">
        <f>SQRT(B12)</f>
        <v>0.31622776601683794</v>
      </c>
      <c r="C13" s="2">
        <f>SQRT(C12)</f>
        <v>0.31622776601683794</v>
      </c>
      <c r="D13" t="s">
        <v>31</v>
      </c>
    </row>
    <row r="14" spans="1:10" x14ac:dyDescent="0.3">
      <c r="A14" s="2" t="s">
        <v>9</v>
      </c>
      <c r="B14" s="2">
        <f>2*B2/B13</f>
        <v>316.2277660168379</v>
      </c>
      <c r="C14" s="2">
        <f>2*C2/C13</f>
        <v>316.2277660168379</v>
      </c>
      <c r="D14" t="s">
        <v>44</v>
      </c>
    </row>
    <row r="15" spans="1:10" x14ac:dyDescent="0.3">
      <c r="A15" s="2" t="s">
        <v>23</v>
      </c>
      <c r="B15" s="2">
        <f>B14-2*B2</f>
        <v>216.2277660168379</v>
      </c>
      <c r="C15" s="2">
        <f>C14-2*C2</f>
        <v>216.2277660168379</v>
      </c>
      <c r="D15" t="s">
        <v>34</v>
      </c>
    </row>
    <row r="16" spans="1:10" x14ac:dyDescent="0.3">
      <c r="A16" s="2" t="s">
        <v>7</v>
      </c>
      <c r="B16" s="2">
        <f>B9/4-B3-2*B2/B13</f>
        <v>-311.2277660168379</v>
      </c>
      <c r="C16" s="2">
        <f>C9/4-C3-2*C2/C13</f>
        <v>-321.2277660168379</v>
      </c>
      <c r="D16" t="s">
        <v>40</v>
      </c>
    </row>
    <row r="17" spans="1:10" x14ac:dyDescent="0.3">
      <c r="A17" s="2" t="s">
        <v>14</v>
      </c>
      <c r="B17">
        <f>EXP(-1*PI()*B10/2)</f>
        <v>0.25100039464029217</v>
      </c>
      <c r="C17">
        <f>EXP(-1*PI()*C10/2)</f>
        <v>0.11090127836419524</v>
      </c>
      <c r="D17" t="s">
        <v>41</v>
      </c>
      <c r="H17">
        <f>(2*(1+1/PI()*LN(2/(1-SQRT(B17)))))^-1</f>
        <v>0.34676274420898651</v>
      </c>
    </row>
    <row r="18" spans="1:10" x14ac:dyDescent="0.3">
      <c r="A18" s="2" t="s">
        <v>13</v>
      </c>
      <c r="B18">
        <f>1/(2*(1+1/PI()*LN(2/(1-EXP(-1*PI()*B10/2)))))</f>
        <v>0.38091392330759655</v>
      </c>
      <c r="C18">
        <f>1/(2*(1+1/PI()*LN(2/(1-EXP(-1*PI()*C10/2)))))</f>
        <v>0.39743986002154236</v>
      </c>
      <c r="D18" t="s">
        <v>21</v>
      </c>
      <c r="I18">
        <f>1/(2*(1+1/PI()*LN(2/(1-B17))))</f>
        <v>0.38091392330759655</v>
      </c>
    </row>
    <row r="19" spans="1:10" x14ac:dyDescent="0.3">
      <c r="A19" s="2" t="s">
        <v>16</v>
      </c>
      <c r="B19">
        <f>IF(AND(B10&lt;G4,B11&lt;H4),I4,IF(AND(B10&lt;G5,B11&lt;H5),I5,IF(AND(B10&lt;G6,B11&lt;H6),I6,IF(AND(B10&lt;G7,B11&lt;H7),I7,IF(AND(B10&lt;G8,B11&lt;H8),I8)))))</f>
        <v>0.89</v>
      </c>
      <c r="C19">
        <f>IF(AND(C10&lt;G4,C11&lt;H4),I4,IF(AND(C10&lt;G5,C11&lt;H5),I5,IF(AND(C10&lt;G6,C11&lt;H6),I6,IF(AND(C10&lt;G7,C11&lt;H7),I7,IF(AND(C10&lt;G8,C11&lt;H8),I8)))))</f>
        <v>0.81899999999999995</v>
      </c>
    </row>
    <row r="20" spans="1:10" x14ac:dyDescent="0.3">
      <c r="A20" s="2" t="s">
        <v>17</v>
      </c>
      <c r="B20">
        <f>INDEX(I4:J8,MATCH(B19,I4:I8,0),2)</f>
        <v>-2.4300000000000002</v>
      </c>
      <c r="C20">
        <f>INDEX(I4:J8,MATCH(C19,I4:I8,0),2)</f>
        <v>-1.34</v>
      </c>
    </row>
    <row r="21" spans="1:10" x14ac:dyDescent="0.3">
      <c r="A21" s="2" t="s">
        <v>19</v>
      </c>
      <c r="B21">
        <f>IF(B10&gt;3,B18,B18*(1+B19*B11+B20*B11^2))</f>
        <v>0.39299346564352711</v>
      </c>
      <c r="C21">
        <f>IF(C10&gt;3,C18,C18*(1+C19*C11+C20*C11^2))</f>
        <v>0.42466449043301802</v>
      </c>
      <c r="D21" t="s">
        <v>42</v>
      </c>
    </row>
    <row r="22" spans="1:10" x14ac:dyDescent="0.3">
      <c r="A22" s="2" t="s">
        <v>24</v>
      </c>
      <c r="B22">
        <f>B21/(1+B21*B15/B2)</f>
        <v>0.14557890921471492</v>
      </c>
      <c r="C22">
        <f>C21/(1+C21*C15/C2)</f>
        <v>0.14971504458412421</v>
      </c>
      <c r="D22" t="s">
        <v>39</v>
      </c>
      <c r="I22">
        <f>B21/(1+B21*(2/B13-2))</f>
        <v>0.14557890921471492</v>
      </c>
      <c r="J22" t="s">
        <v>43</v>
      </c>
    </row>
    <row r="23" spans="1:10" x14ac:dyDescent="0.3">
      <c r="A23" s="3" t="s">
        <v>25</v>
      </c>
      <c r="B23">
        <f>(1-SQRT(B11))*(1-B13)</f>
        <v>0.5470177871865296</v>
      </c>
      <c r="C23">
        <f>(1-SQRT(C11))*(1-C13)</f>
        <v>0.46754446796632404</v>
      </c>
      <c r="D23" t="s">
        <v>26</v>
      </c>
    </row>
    <row r="24" spans="1:10" x14ac:dyDescent="0.3">
      <c r="A24" s="2" t="s">
        <v>27</v>
      </c>
      <c r="B24">
        <f>1-0.333*B23-0.294*B23^2</f>
        <v>0.72986990977434207</v>
      </c>
      <c r="C24">
        <f>1-0.333*C23-0.294*C23^2</f>
        <v>0.78003993028659568</v>
      </c>
      <c r="D24" t="s">
        <v>28</v>
      </c>
    </row>
    <row r="25" spans="1:10" x14ac:dyDescent="0.3">
      <c r="A25" s="2" t="s">
        <v>29</v>
      </c>
      <c r="B25">
        <f>B24*B22</f>
        <v>0.10625366533359111</v>
      </c>
      <c r="C25">
        <f>C24*C22</f>
        <v>0.11678371294025482</v>
      </c>
      <c r="D25" t="s">
        <v>33</v>
      </c>
    </row>
    <row r="26" spans="1:10" x14ac:dyDescent="0.3">
      <c r="A26" s="2" t="s">
        <v>35</v>
      </c>
      <c r="B26">
        <f>B25/(1+B25*B16/B2)</f>
        <v>0.31378606033881595</v>
      </c>
      <c r="C26">
        <f>C25/(1+C25*C16/C2)</f>
        <v>0.4676650423081416</v>
      </c>
      <c r="D26" t="s">
        <v>38</v>
      </c>
    </row>
    <row r="27" spans="1:10" x14ac:dyDescent="0.3">
      <c r="A27" s="2" t="s">
        <v>36</v>
      </c>
      <c r="B27">
        <f>B26/(1+B26*B6/B7*B8/(B3+B4))</f>
        <v>0.24414207782610217</v>
      </c>
      <c r="C27">
        <f>C26/(1+C26*C6/C7*C8/(C3+C4))</f>
        <v>0.36904302878285178</v>
      </c>
      <c r="D27" t="s">
        <v>37</v>
      </c>
    </row>
    <row r="28" spans="1:10" x14ac:dyDescent="0.3">
      <c r="A28" s="5"/>
      <c r="B28" s="5"/>
      <c r="C28" s="5"/>
    </row>
    <row r="29" spans="1:10" x14ac:dyDescent="0.3">
      <c r="A29" s="2" t="s">
        <v>47</v>
      </c>
      <c r="B29">
        <f>2*100*B6*B27</f>
        <v>42.187751048350457</v>
      </c>
      <c r="C29">
        <f>2*100*C6*C27</f>
        <v>63.770635373676789</v>
      </c>
      <c r="E29" t="s">
        <v>48</v>
      </c>
    </row>
    <row r="30" spans="1:10" x14ac:dyDescent="0.3">
      <c r="A30" s="2" t="s">
        <v>45</v>
      </c>
      <c r="B30">
        <f>B29*(B4-C1)</f>
        <v>84.375502096700913</v>
      </c>
      <c r="C30">
        <f>C29*(C4-G30)</f>
        <v>318.85317686838397</v>
      </c>
    </row>
    <row r="31" spans="1:10" x14ac:dyDescent="0.3">
      <c r="A31" s="5"/>
      <c r="B31" s="5"/>
      <c r="C31" s="5"/>
      <c r="E31" t="s">
        <v>46</v>
      </c>
    </row>
    <row r="32" spans="1:10" x14ac:dyDescent="0.3">
      <c r="A32" s="2" t="s">
        <v>50</v>
      </c>
      <c r="B32">
        <f>B7*2*(B3+B4)*100/B8</f>
        <v>190.08</v>
      </c>
      <c r="C32">
        <f>C7*2*(C3+C4)*100/C8</f>
        <v>302.39999999999998</v>
      </c>
    </row>
    <row r="33" spans="1:3" x14ac:dyDescent="0.3">
      <c r="A33" s="2" t="s">
        <v>51</v>
      </c>
      <c r="B33">
        <f>B32*(B4-B1)</f>
        <v>380.16</v>
      </c>
      <c r="C33">
        <f>C32*(C4-C1)</f>
        <v>1512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zoomScale="130" zoomScaleNormal="130" workbookViewId="0">
      <selection activeCell="C25" sqref="C25"/>
    </sheetView>
  </sheetViews>
  <sheetFormatPr defaultRowHeight="14.4" x14ac:dyDescent="0.3"/>
  <cols>
    <col min="1" max="1" width="28.5546875" bestFit="1" customWidth="1"/>
  </cols>
  <sheetData>
    <row r="1" spans="1:9" x14ac:dyDescent="0.3">
      <c r="A1" s="1" t="s">
        <v>0</v>
      </c>
      <c r="B1" s="1">
        <v>20</v>
      </c>
      <c r="F1" t="s">
        <v>18</v>
      </c>
    </row>
    <row r="2" spans="1:9" x14ac:dyDescent="0.3">
      <c r="A2" s="1" t="s">
        <v>1</v>
      </c>
      <c r="B2" s="1">
        <v>10</v>
      </c>
      <c r="F2" t="s">
        <v>12</v>
      </c>
      <c r="G2" t="s">
        <v>15</v>
      </c>
      <c r="H2" t="s">
        <v>16</v>
      </c>
      <c r="I2" t="s">
        <v>17</v>
      </c>
    </row>
    <row r="3" spans="1:9" x14ac:dyDescent="0.3">
      <c r="A3" s="1" t="s">
        <v>2</v>
      </c>
      <c r="B3" s="1">
        <v>2</v>
      </c>
      <c r="F3">
        <v>1</v>
      </c>
      <c r="G3">
        <v>0.2</v>
      </c>
      <c r="H3">
        <v>0.89</v>
      </c>
      <c r="I3">
        <v>-2.4300000000000002</v>
      </c>
    </row>
    <row r="4" spans="1:9" x14ac:dyDescent="0.3">
      <c r="A4" s="1" t="s">
        <v>4</v>
      </c>
      <c r="B4" s="1">
        <v>0.2</v>
      </c>
      <c r="F4">
        <v>1</v>
      </c>
      <c r="G4">
        <v>0.5</v>
      </c>
      <c r="H4">
        <v>0.53800000000000003</v>
      </c>
      <c r="I4">
        <v>-0.38700000000000001</v>
      </c>
    </row>
    <row r="5" spans="1:9" x14ac:dyDescent="0.3">
      <c r="A5" s="1" t="s">
        <v>5</v>
      </c>
      <c r="B5" s="1">
        <v>2</v>
      </c>
      <c r="F5">
        <v>3</v>
      </c>
      <c r="G5">
        <v>0.2</v>
      </c>
      <c r="H5">
        <v>0.81899999999999995</v>
      </c>
      <c r="I5">
        <v>-1.34</v>
      </c>
    </row>
    <row r="6" spans="1:9" x14ac:dyDescent="0.3">
      <c r="A6" s="1" t="s">
        <v>10</v>
      </c>
      <c r="B6" s="1">
        <v>0.1</v>
      </c>
      <c r="F6">
        <v>3</v>
      </c>
      <c r="G6">
        <v>0.5</v>
      </c>
      <c r="H6">
        <v>0.67200000000000004</v>
      </c>
      <c r="I6">
        <v>-0.54200000000000004</v>
      </c>
    </row>
    <row r="7" spans="1:9" x14ac:dyDescent="0.3">
      <c r="A7" s="1" t="s">
        <v>11</v>
      </c>
      <c r="B7" s="1">
        <v>0.3</v>
      </c>
      <c r="F7">
        <v>3</v>
      </c>
      <c r="G7">
        <v>0.9</v>
      </c>
      <c r="H7">
        <v>0.56699999999999995</v>
      </c>
      <c r="I7">
        <v>-0.33</v>
      </c>
    </row>
    <row r="8" spans="1:9" x14ac:dyDescent="0.3">
      <c r="A8" s="1" t="s">
        <v>6</v>
      </c>
      <c r="B8" s="1">
        <v>300</v>
      </c>
    </row>
    <row r="9" spans="1:9" x14ac:dyDescent="0.3">
      <c r="A9" s="2" t="s">
        <v>12</v>
      </c>
      <c r="B9" s="2">
        <f>2*(B3+B2)/B1</f>
        <v>1.2</v>
      </c>
      <c r="C9" t="s">
        <v>30</v>
      </c>
    </row>
    <row r="10" spans="1:9" x14ac:dyDescent="0.3">
      <c r="A10" s="2" t="s">
        <v>15</v>
      </c>
      <c r="B10" s="2">
        <f>B3/B1</f>
        <v>0.1</v>
      </c>
    </row>
    <row r="11" spans="1:9" x14ac:dyDescent="0.3">
      <c r="A11" s="2" t="s">
        <v>3</v>
      </c>
      <c r="B11" s="2">
        <f>B4/B5</f>
        <v>0.1</v>
      </c>
    </row>
    <row r="12" spans="1:9" x14ac:dyDescent="0.3">
      <c r="A12" s="2" t="s">
        <v>8</v>
      </c>
      <c r="B12" s="2">
        <f>SQRT(B11)</f>
        <v>0.31622776601683794</v>
      </c>
      <c r="C12" t="s">
        <v>31</v>
      </c>
    </row>
    <row r="13" spans="1:9" x14ac:dyDescent="0.3">
      <c r="A13" s="2" t="s">
        <v>9</v>
      </c>
      <c r="B13" s="2">
        <f>2*B1/B12</f>
        <v>126.49110640673517</v>
      </c>
      <c r="C13" t="s">
        <v>44</v>
      </c>
    </row>
    <row r="14" spans="1:9" x14ac:dyDescent="0.3">
      <c r="A14" s="2" t="s">
        <v>23</v>
      </c>
      <c r="B14" s="2">
        <f>B13-2*B1</f>
        <v>86.49110640673517</v>
      </c>
      <c r="C14" t="s">
        <v>34</v>
      </c>
    </row>
    <row r="15" spans="1:9" x14ac:dyDescent="0.3">
      <c r="A15" s="2" t="s">
        <v>7</v>
      </c>
      <c r="B15" s="2">
        <f>B8/4-B2-2*B1/B12</f>
        <v>-61.49110640673517</v>
      </c>
      <c r="C15" t="s">
        <v>40</v>
      </c>
    </row>
    <row r="16" spans="1:9" x14ac:dyDescent="0.3">
      <c r="A16" s="2" t="s">
        <v>14</v>
      </c>
      <c r="B16">
        <f>EXP(-1*PI()*B9/2)</f>
        <v>0.15183580198064889</v>
      </c>
      <c r="C16" t="s">
        <v>41</v>
      </c>
      <c r="G16">
        <f>(2*(1+1/PI()*LN(2/(1-SQRT(B16)))))^-1</f>
        <v>0.36289783880472193</v>
      </c>
    </row>
    <row r="17" spans="1:9" x14ac:dyDescent="0.3">
      <c r="A17" s="2" t="s">
        <v>13</v>
      </c>
      <c r="B17">
        <f>1/(2*(1+1/PI()*LN(2/(1-EXP(-1*PI()*B9/2)))))</f>
        <v>0.39275594624549132</v>
      </c>
      <c r="C17" t="s">
        <v>21</v>
      </c>
      <c r="H17">
        <f>1/(2*(1+1/PI()*LN(2/(1-B16))))</f>
        <v>0.39275594624549132</v>
      </c>
    </row>
    <row r="18" spans="1:9" x14ac:dyDescent="0.3">
      <c r="A18" s="2" t="s">
        <v>16</v>
      </c>
      <c r="B18">
        <f>IF(AND(B9&lt;F3,B10&lt;G3),H3,IF(AND(B9&lt;F4,B10&lt;G4),H4,IF(AND(B9&lt;F5,B10&lt;G5),H5,IF(AND(B9&lt;F6,B10&lt;G6),H6,IF(AND(B9&lt;F7,B10&lt;G7),H7)))))</f>
        <v>0.81899999999999995</v>
      </c>
    </row>
    <row r="19" spans="1:9" x14ac:dyDescent="0.3">
      <c r="A19" s="2" t="s">
        <v>17</v>
      </c>
      <c r="B19">
        <f>INDEX(H3:I7,MATCH(B18,H3:H7,0),2)</f>
        <v>-1.34</v>
      </c>
    </row>
    <row r="20" spans="1:9" x14ac:dyDescent="0.3">
      <c r="A20" s="2" t="s">
        <v>19</v>
      </c>
      <c r="B20">
        <f>IF(B9&gt;3,B17,B17*(1+B18*B10+B19*B10^2))</f>
        <v>0.41965972856330747</v>
      </c>
      <c r="C20" t="s">
        <v>42</v>
      </c>
    </row>
    <row r="21" spans="1:9" x14ac:dyDescent="0.3">
      <c r="A21" s="2" t="s">
        <v>24</v>
      </c>
      <c r="B21">
        <f>B20/(1+B20*B14/B1)</f>
        <v>0.14908821579228362</v>
      </c>
      <c r="C21" t="s">
        <v>39</v>
      </c>
      <c r="H21">
        <f>B20/(1+B20*(2/B12-2))</f>
        <v>0.14908821579228365</v>
      </c>
      <c r="I21" t="s">
        <v>43</v>
      </c>
    </row>
    <row r="22" spans="1:9" x14ac:dyDescent="0.3">
      <c r="A22" s="3" t="s">
        <v>25</v>
      </c>
      <c r="B22">
        <f>(1-SQRT(B10))*(1-B12)</f>
        <v>0.46754446796632404</v>
      </c>
      <c r="C22" t="s">
        <v>26</v>
      </c>
    </row>
    <row r="23" spans="1:9" x14ac:dyDescent="0.3">
      <c r="A23" s="2" t="s">
        <v>27</v>
      </c>
      <c r="B23">
        <f>1-0.333*B22-0.294*B22^2</f>
        <v>0.78003993028659568</v>
      </c>
      <c r="C23" t="s">
        <v>28</v>
      </c>
    </row>
    <row r="24" spans="1:9" x14ac:dyDescent="0.3">
      <c r="A24" s="2" t="s">
        <v>29</v>
      </c>
      <c r="B24">
        <f>B23*B21</f>
        <v>0.11629476145316585</v>
      </c>
      <c r="C24" t="s">
        <v>33</v>
      </c>
    </row>
    <row r="25" spans="1:9" x14ac:dyDescent="0.3">
      <c r="A25" s="2" t="s">
        <v>35</v>
      </c>
      <c r="B25">
        <f>B24/(1+B24*B15/B1)</f>
        <v>0.18101892470823075</v>
      </c>
      <c r="C25" t="s">
        <v>38</v>
      </c>
    </row>
    <row r="26" spans="1:9" x14ac:dyDescent="0.3">
      <c r="A26" s="2" t="s">
        <v>36</v>
      </c>
      <c r="B26">
        <f>B25/(1+B25*B5/B6*B7/(B2+B3))</f>
        <v>0.16599482256436343</v>
      </c>
      <c r="C26" t="s">
        <v>37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zoomScale="130" zoomScaleNormal="130" workbookViewId="0">
      <selection activeCell="B16" sqref="B16"/>
    </sheetView>
  </sheetViews>
  <sheetFormatPr defaultRowHeight="14.4" x14ac:dyDescent="0.3"/>
  <cols>
    <col min="1" max="1" width="28.5546875" bestFit="1" customWidth="1"/>
  </cols>
  <sheetData>
    <row r="1" spans="1:9" x14ac:dyDescent="0.3">
      <c r="A1" s="1" t="s">
        <v>0</v>
      </c>
      <c r="B1" s="1">
        <v>10</v>
      </c>
      <c r="F1" t="s">
        <v>18</v>
      </c>
    </row>
    <row r="2" spans="1:9" x14ac:dyDescent="0.3">
      <c r="A2" s="1" t="s">
        <v>1</v>
      </c>
      <c r="B2" s="1">
        <v>10</v>
      </c>
      <c r="F2" t="s">
        <v>12</v>
      </c>
      <c r="G2" t="s">
        <v>15</v>
      </c>
      <c r="H2" t="s">
        <v>16</v>
      </c>
      <c r="I2" t="s">
        <v>17</v>
      </c>
    </row>
    <row r="3" spans="1:9" x14ac:dyDescent="0.3">
      <c r="A3" s="1" t="s">
        <v>2</v>
      </c>
      <c r="B3" s="1">
        <v>1.5</v>
      </c>
      <c r="F3">
        <v>1</v>
      </c>
      <c r="G3">
        <v>0.2</v>
      </c>
      <c r="H3">
        <v>0.89</v>
      </c>
      <c r="I3">
        <v>-2.4300000000000002</v>
      </c>
    </row>
    <row r="4" spans="1:9" x14ac:dyDescent="0.3">
      <c r="A4" s="1" t="s">
        <v>4</v>
      </c>
      <c r="B4" s="1">
        <v>0.5</v>
      </c>
      <c r="F4">
        <v>1</v>
      </c>
      <c r="G4">
        <v>0.5</v>
      </c>
      <c r="H4">
        <v>0.53800000000000003</v>
      </c>
      <c r="I4">
        <v>-0.38700000000000001</v>
      </c>
    </row>
    <row r="5" spans="1:9" x14ac:dyDescent="0.3">
      <c r="A5" s="1" t="s">
        <v>5</v>
      </c>
      <c r="B5" s="1">
        <v>10</v>
      </c>
      <c r="F5">
        <v>3</v>
      </c>
      <c r="G5">
        <v>0.2</v>
      </c>
      <c r="H5">
        <v>0.81899999999999995</v>
      </c>
      <c r="I5">
        <v>-1.34</v>
      </c>
    </row>
    <row r="6" spans="1:9" x14ac:dyDescent="0.3">
      <c r="A6" s="1" t="s">
        <v>10</v>
      </c>
      <c r="B6" s="1">
        <v>0.1</v>
      </c>
      <c r="F6">
        <v>3</v>
      </c>
      <c r="G6">
        <v>0.5</v>
      </c>
      <c r="H6">
        <v>0.67200000000000004</v>
      </c>
      <c r="I6">
        <v>-0.54200000000000004</v>
      </c>
    </row>
    <row r="7" spans="1:9" x14ac:dyDescent="0.3">
      <c r="A7" s="1" t="s">
        <v>11</v>
      </c>
      <c r="B7" s="1">
        <v>0.5</v>
      </c>
      <c r="F7">
        <v>3</v>
      </c>
      <c r="G7">
        <v>0.9</v>
      </c>
      <c r="H7">
        <v>0.56699999999999995</v>
      </c>
      <c r="I7">
        <v>-0.33</v>
      </c>
    </row>
    <row r="8" spans="1:9" x14ac:dyDescent="0.3">
      <c r="A8" s="1" t="s">
        <v>6</v>
      </c>
      <c r="B8" s="1">
        <v>120</v>
      </c>
    </row>
    <row r="9" spans="1:9" x14ac:dyDescent="0.3">
      <c r="A9" s="2" t="s">
        <v>12</v>
      </c>
      <c r="B9" s="2">
        <f>2*(B3+B2)/B1</f>
        <v>2.2999999999999998</v>
      </c>
      <c r="C9" t="s">
        <v>30</v>
      </c>
    </row>
    <row r="10" spans="1:9" x14ac:dyDescent="0.3">
      <c r="A10" s="2" t="s">
        <v>15</v>
      </c>
      <c r="B10" s="2">
        <f>B3/B1</f>
        <v>0.15</v>
      </c>
    </row>
    <row r="11" spans="1:9" x14ac:dyDescent="0.3">
      <c r="A11" s="2" t="s">
        <v>3</v>
      </c>
      <c r="B11" s="2">
        <f>B4/B5</f>
        <v>0.05</v>
      </c>
    </row>
    <row r="12" spans="1:9" x14ac:dyDescent="0.3">
      <c r="A12" s="2" t="s">
        <v>8</v>
      </c>
      <c r="B12" s="2">
        <f>SQRT(B11)</f>
        <v>0.22360679774997896</v>
      </c>
      <c r="C12" t="s">
        <v>31</v>
      </c>
    </row>
    <row r="13" spans="1:9" x14ac:dyDescent="0.3">
      <c r="A13" s="2" t="s">
        <v>9</v>
      </c>
      <c r="B13" s="2">
        <f>2*B1/B12</f>
        <v>89.442719099991592</v>
      </c>
      <c r="C13" t="s">
        <v>31</v>
      </c>
    </row>
    <row r="14" spans="1:9" x14ac:dyDescent="0.3">
      <c r="A14" s="2" t="s">
        <v>23</v>
      </c>
      <c r="B14" s="2">
        <f>B13-2*B1</f>
        <v>69.442719099991592</v>
      </c>
      <c r="C14" t="s">
        <v>34</v>
      </c>
    </row>
    <row r="15" spans="1:9" x14ac:dyDescent="0.3">
      <c r="A15" s="2" t="s">
        <v>7</v>
      </c>
      <c r="B15" s="2">
        <f>B8/4-B2-2*B1/B12</f>
        <v>-69.442719099991592</v>
      </c>
      <c r="C15" t="s">
        <v>40</v>
      </c>
    </row>
    <row r="16" spans="1:9" x14ac:dyDescent="0.3">
      <c r="A16" s="2" t="s">
        <v>14</v>
      </c>
      <c r="B16">
        <f>EXP(-1*PI()*B9)</f>
        <v>7.2766985882066033E-4</v>
      </c>
      <c r="C16" t="s">
        <v>22</v>
      </c>
      <c r="G16">
        <f>(2*(1+1/PI()*LN(2/(1-SQRT(B16)))))^-1</f>
        <v>0.40672228614530265</v>
      </c>
    </row>
    <row r="17" spans="1:3" x14ac:dyDescent="0.3">
      <c r="A17" s="2" t="s">
        <v>13</v>
      </c>
      <c r="B17">
        <f>1/(2*(1+1/PI()*LN(2/(1-SQRT(EXP(-1*PI()*B9))))))</f>
        <v>0.40672228614530265</v>
      </c>
      <c r="C17" t="s">
        <v>21</v>
      </c>
    </row>
    <row r="18" spans="1:3" x14ac:dyDescent="0.3">
      <c r="A18" s="2" t="s">
        <v>16</v>
      </c>
      <c r="B18">
        <f>IF(AND(B9&lt;F3,B10&lt;G3),H3,IF(AND(B9&lt;F4,B10&lt;G4),H4,IF(AND(B9&lt;F5,B10&lt;G5),H5,IF(AND(B9&lt;F6,B10&lt;G6),H6,IF(AND(B9&lt;F7,B10&lt;G7),H7)))))</f>
        <v>0.81899999999999995</v>
      </c>
    </row>
    <row r="19" spans="1:3" x14ac:dyDescent="0.3">
      <c r="A19" s="2" t="s">
        <v>17</v>
      </c>
      <c r="B19">
        <f>INDEX(H3:I7,MATCH(B18,H3:H7,0),2)</f>
        <v>-1.34</v>
      </c>
    </row>
    <row r="20" spans="1:3" x14ac:dyDescent="0.3">
      <c r="A20" s="2" t="s">
        <v>19</v>
      </c>
      <c r="B20">
        <f>IF(B9&gt;3,B17,B17*(1+B18*B10+B19*B10^2))</f>
        <v>0.44442544207097223</v>
      </c>
      <c r="C20" t="s">
        <v>20</v>
      </c>
    </row>
    <row r="21" spans="1:3" x14ac:dyDescent="0.3">
      <c r="A21" s="2" t="s">
        <v>24</v>
      </c>
      <c r="B21">
        <f>B20/(1+B20*B14/B1)</f>
        <v>0.10876223223190068</v>
      </c>
      <c r="C21" t="s">
        <v>39</v>
      </c>
    </row>
    <row r="22" spans="1:3" x14ac:dyDescent="0.3">
      <c r="A22" s="3" t="s">
        <v>25</v>
      </c>
      <c r="B22">
        <f>(1-SQRT(B10))*(1-B12)</f>
        <v>0.4756974080077232</v>
      </c>
      <c r="C22" t="s">
        <v>26</v>
      </c>
    </row>
    <row r="23" spans="1:3" x14ac:dyDescent="0.3">
      <c r="A23" s="2" t="s">
        <v>27</v>
      </c>
      <c r="B23">
        <f>1-0.333*B22-0.294*B22^2</f>
        <v>0.77506408408175986</v>
      </c>
      <c r="C23" t="s">
        <v>28</v>
      </c>
    </row>
    <row r="24" spans="1:3" x14ac:dyDescent="0.3">
      <c r="A24" s="2" t="s">
        <v>29</v>
      </c>
      <c r="B24">
        <f>B23*B21</f>
        <v>8.4297699907505755E-2</v>
      </c>
      <c r="C24" t="s">
        <v>33</v>
      </c>
    </row>
    <row r="25" spans="1:3" x14ac:dyDescent="0.3">
      <c r="A25" s="2" t="s">
        <v>35</v>
      </c>
      <c r="B25">
        <f>B24/(1+B24*B15/B1)</f>
        <v>0.20331616952748649</v>
      </c>
      <c r="C25" t="s">
        <v>38</v>
      </c>
    </row>
    <row r="26" spans="1:3" x14ac:dyDescent="0.3">
      <c r="A26" s="2" t="s">
        <v>36</v>
      </c>
      <c r="B26">
        <f>B25/(1+B25*B5/B6*B7/(B2+B3))</f>
        <v>0.10791824141322656</v>
      </c>
      <c r="C26" t="s">
        <v>37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zoomScale="130" zoomScaleNormal="130" workbookViewId="0">
      <selection activeCell="B16" sqref="B16"/>
    </sheetView>
  </sheetViews>
  <sheetFormatPr defaultRowHeight="14.4" x14ac:dyDescent="0.3"/>
  <cols>
    <col min="1" max="1" width="28.5546875" bestFit="1" customWidth="1"/>
  </cols>
  <sheetData>
    <row r="1" spans="1:9" x14ac:dyDescent="0.3">
      <c r="A1" s="1" t="s">
        <v>0</v>
      </c>
      <c r="B1" s="1">
        <v>10</v>
      </c>
      <c r="F1" t="s">
        <v>18</v>
      </c>
    </row>
    <row r="2" spans="1:9" x14ac:dyDescent="0.3">
      <c r="A2" s="1" t="s">
        <v>1</v>
      </c>
      <c r="B2" s="1">
        <v>10</v>
      </c>
      <c r="F2" t="s">
        <v>12</v>
      </c>
      <c r="G2" t="s">
        <v>15</v>
      </c>
      <c r="H2" t="s">
        <v>16</v>
      </c>
      <c r="I2" t="s">
        <v>17</v>
      </c>
    </row>
    <row r="3" spans="1:9" x14ac:dyDescent="0.3">
      <c r="A3" s="1" t="s">
        <v>2</v>
      </c>
      <c r="B3" s="1">
        <v>1.5</v>
      </c>
      <c r="F3">
        <v>1</v>
      </c>
      <c r="G3">
        <v>0.2</v>
      </c>
      <c r="H3">
        <v>0.89</v>
      </c>
      <c r="I3">
        <v>-2.4300000000000002</v>
      </c>
    </row>
    <row r="4" spans="1:9" x14ac:dyDescent="0.3">
      <c r="A4" s="1" t="s">
        <v>4</v>
      </c>
      <c r="B4" s="1">
        <v>0.5</v>
      </c>
      <c r="F4">
        <v>1</v>
      </c>
      <c r="G4">
        <v>0.5</v>
      </c>
      <c r="H4">
        <v>0.53800000000000003</v>
      </c>
      <c r="I4">
        <v>-0.38700000000000001</v>
      </c>
    </row>
    <row r="5" spans="1:9" x14ac:dyDescent="0.3">
      <c r="A5" s="1" t="s">
        <v>5</v>
      </c>
      <c r="B5" s="1">
        <v>10</v>
      </c>
      <c r="F5">
        <v>3</v>
      </c>
      <c r="G5">
        <v>0.2</v>
      </c>
      <c r="H5">
        <v>0.81899999999999995</v>
      </c>
      <c r="I5">
        <v>-1.34</v>
      </c>
    </row>
    <row r="6" spans="1:9" x14ac:dyDescent="0.3">
      <c r="A6" s="1" t="s">
        <v>10</v>
      </c>
      <c r="B6" s="1">
        <v>0.1</v>
      </c>
      <c r="F6">
        <v>3</v>
      </c>
      <c r="G6">
        <v>0.5</v>
      </c>
      <c r="H6">
        <v>0.67200000000000004</v>
      </c>
      <c r="I6">
        <v>-0.54200000000000004</v>
      </c>
    </row>
    <row r="7" spans="1:9" x14ac:dyDescent="0.3">
      <c r="A7" s="1" t="s">
        <v>11</v>
      </c>
      <c r="B7" s="1">
        <v>0.5</v>
      </c>
      <c r="F7">
        <v>3</v>
      </c>
      <c r="G7">
        <v>0.9</v>
      </c>
      <c r="H7">
        <v>0.56699999999999995</v>
      </c>
      <c r="I7">
        <v>-0.33</v>
      </c>
    </row>
    <row r="8" spans="1:9" x14ac:dyDescent="0.3">
      <c r="A8" s="1" t="s">
        <v>6</v>
      </c>
      <c r="B8" s="1">
        <v>120</v>
      </c>
    </row>
    <row r="9" spans="1:9" x14ac:dyDescent="0.3">
      <c r="A9" s="2" t="s">
        <v>12</v>
      </c>
      <c r="B9" s="2">
        <f>2*(B3+B2)/B1</f>
        <v>2.2999999999999998</v>
      </c>
      <c r="C9" t="s">
        <v>30</v>
      </c>
    </row>
    <row r="10" spans="1:9" x14ac:dyDescent="0.3">
      <c r="A10" s="2" t="s">
        <v>15</v>
      </c>
      <c r="B10" s="2">
        <f>B3/B1</f>
        <v>0.15</v>
      </c>
    </row>
    <row r="11" spans="1:9" x14ac:dyDescent="0.3">
      <c r="A11" s="2" t="s">
        <v>3</v>
      </c>
      <c r="B11" s="2">
        <f>B4/B5</f>
        <v>0.05</v>
      </c>
    </row>
    <row r="12" spans="1:9" x14ac:dyDescent="0.3">
      <c r="A12" s="2" t="s">
        <v>8</v>
      </c>
      <c r="B12" s="2">
        <f>SQRT(B11)</f>
        <v>0.22360679774997896</v>
      </c>
      <c r="C12" t="s">
        <v>31</v>
      </c>
    </row>
    <row r="13" spans="1:9" x14ac:dyDescent="0.3">
      <c r="A13" s="2" t="s">
        <v>9</v>
      </c>
      <c r="B13" s="2">
        <f>2*B1/B12</f>
        <v>89.442719099991592</v>
      </c>
      <c r="C13" t="s">
        <v>31</v>
      </c>
    </row>
    <row r="14" spans="1:9" x14ac:dyDescent="0.3">
      <c r="A14" s="2" t="s">
        <v>23</v>
      </c>
      <c r="B14" s="2">
        <f>B13-2*B1</f>
        <v>69.442719099991592</v>
      </c>
      <c r="C14" t="s">
        <v>34</v>
      </c>
    </row>
    <row r="15" spans="1:9" x14ac:dyDescent="0.3">
      <c r="A15" s="2" t="s">
        <v>7</v>
      </c>
      <c r="B15" s="2">
        <f>B8-(2/B12*B1+B2)</f>
        <v>20.557280900008408</v>
      </c>
      <c r="C15" t="s">
        <v>32</v>
      </c>
    </row>
    <row r="16" spans="1:9" x14ac:dyDescent="0.3">
      <c r="A16" s="2" t="s">
        <v>14</v>
      </c>
      <c r="B16">
        <f>EXP(-1*PI()*B9)</f>
        <v>7.2766985882066033E-4</v>
      </c>
      <c r="C16" t="s">
        <v>22</v>
      </c>
      <c r="G16">
        <f>(2*(1+1/PI()*LN(2/(1-SQRT(B16)))))^-1</f>
        <v>0.40672228614530265</v>
      </c>
    </row>
    <row r="17" spans="1:3" x14ac:dyDescent="0.3">
      <c r="A17" s="2" t="s">
        <v>13</v>
      </c>
      <c r="B17">
        <f>1/(2*(1+1/PI()*LN(2/(1-SQRT(EXP(-1*PI()*B9))))))</f>
        <v>0.40672228614530265</v>
      </c>
      <c r="C17" t="s">
        <v>21</v>
      </c>
    </row>
    <row r="18" spans="1:3" x14ac:dyDescent="0.3">
      <c r="A18" s="2" t="s">
        <v>16</v>
      </c>
      <c r="B18">
        <f>IF(AND(B9&lt;F3,B10&lt;G3),H3,IF(AND(B9&lt;F4,B10&lt;G4),H4,IF(AND(B9&lt;F5,B10&lt;G5),H5,IF(AND(B9&lt;F6,B10&lt;G6),H6,IF(AND(B9&lt;F7,B10&lt;G7),H7)))))</f>
        <v>0.81899999999999995</v>
      </c>
    </row>
    <row r="19" spans="1:3" x14ac:dyDescent="0.3">
      <c r="A19" s="2" t="s">
        <v>17</v>
      </c>
      <c r="B19">
        <f>INDEX(H3:I7,MATCH(B18,H3:H7,0),2)</f>
        <v>-1.34</v>
      </c>
    </row>
    <row r="20" spans="1:3" x14ac:dyDescent="0.3">
      <c r="A20" s="2" t="s">
        <v>19</v>
      </c>
      <c r="B20">
        <f>B17*(1+B18*B10+B19*B10^2)</f>
        <v>0.44442544207097223</v>
      </c>
      <c r="C20" t="s">
        <v>20</v>
      </c>
    </row>
    <row r="21" spans="1:3" x14ac:dyDescent="0.3">
      <c r="A21" s="2" t="s">
        <v>24</v>
      </c>
      <c r="B21">
        <f>B20/(1+B20*B14/B1)</f>
        <v>0.10876223223190068</v>
      </c>
      <c r="C21" t="s">
        <v>39</v>
      </c>
    </row>
    <row r="22" spans="1:3" x14ac:dyDescent="0.3">
      <c r="A22" s="3" t="s">
        <v>25</v>
      </c>
      <c r="B22">
        <f>(1-SQRT(B10))*(1-B12)</f>
        <v>0.4756974080077232</v>
      </c>
      <c r="C22" t="s">
        <v>26</v>
      </c>
    </row>
    <row r="23" spans="1:3" x14ac:dyDescent="0.3">
      <c r="A23" s="2" t="s">
        <v>27</v>
      </c>
      <c r="B23">
        <f>1-0.333*B22-0.294*B22^2</f>
        <v>0.77506408408175986</v>
      </c>
      <c r="C23" t="s">
        <v>28</v>
      </c>
    </row>
    <row r="24" spans="1:3" x14ac:dyDescent="0.3">
      <c r="A24" s="2" t="s">
        <v>29</v>
      </c>
      <c r="B24">
        <f>B23*B21</f>
        <v>8.4297699907505755E-2</v>
      </c>
      <c r="C24" t="s">
        <v>33</v>
      </c>
    </row>
    <row r="25" spans="1:3" x14ac:dyDescent="0.3">
      <c r="A25" s="2" t="s">
        <v>35</v>
      </c>
      <c r="B25">
        <f>B24/(1+B24*B15/B1)</f>
        <v>7.1847091184876435E-2</v>
      </c>
      <c r="C25" t="s">
        <v>38</v>
      </c>
    </row>
    <row r="26" spans="1:3" x14ac:dyDescent="0.3">
      <c r="A26" s="2" t="s">
        <v>36</v>
      </c>
      <c r="B26">
        <f>B25/(1+B25*B5/B6*B7/(B2+B3))</f>
        <v>5.4745702228418652E-2</v>
      </c>
      <c r="C26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SFR_edits</vt:lpstr>
      <vt:lpstr>safe_ex</vt:lpstr>
      <vt:lpstr>hubert_practical_considerat_01</vt:lpstr>
      <vt:lpstr>hubert_practical_consideration</vt:lpstr>
      <vt:lpstr>hubert_revised_to_robert</vt:lpstr>
      <vt:lpstr>hubert_example_GW2016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</dc:creator>
  <cp:lastModifiedBy>ajcalder</cp:lastModifiedBy>
  <dcterms:created xsi:type="dcterms:W3CDTF">2019-01-02T17:03:19Z</dcterms:created>
  <dcterms:modified xsi:type="dcterms:W3CDTF">2020-06-14T16:32:50Z</dcterms:modified>
</cp:coreProperties>
</file>