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OneDrive\ACM\ACM Football\Website\acm-football\"/>
    </mc:Choice>
  </mc:AlternateContent>
  <xr:revisionPtr revIDLastSave="0" documentId="13_ncr:1_{28CDBAFB-F818-4196-A24F-C28CE9916621}" xr6:coauthVersionLast="46" xr6:coauthVersionMax="46" xr10:uidLastSave="{00000000-0000-0000-0000-000000000000}"/>
  <bookViews>
    <workbookView xWindow="-120" yWindow="-120" windowWidth="29040" windowHeight="15840" xr2:uid="{70613D83-DF48-4072-9042-9203699C4B28}"/>
  </bookViews>
  <sheets>
    <sheet name="Data" sheetId="1" r:id="rId1"/>
    <sheet name="Part A" sheetId="3" r:id="rId2"/>
    <sheet name="Part B" sheetId="9" r:id="rId3"/>
    <sheet name="Part C" sheetId="7" r:id="rId4"/>
  </sheets>
  <externalReferences>
    <externalReference r:id="rId5"/>
  </externalReferences>
  <definedNames>
    <definedName name="Settings_DrawPoints">[1]Settings!$AL$6</definedName>
    <definedName name="Settings_LossPoints">[1]Settings!$AL$7</definedName>
    <definedName name="Settings_TableSeason">#REF!</definedName>
    <definedName name="Settings_WinPoints">[1]Settings!$AL$5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" i="7" l="1"/>
  <c r="Q17" i="7" a="1"/>
  <c r="P17" i="7"/>
  <c r="P17" i="7" a="1"/>
  <c r="D17" i="7"/>
  <c r="D17" i="7" a="1"/>
  <c r="C17" i="7"/>
  <c r="C17" i="7" a="1"/>
  <c r="P16" i="7"/>
  <c r="P16" i="7" a="1"/>
  <c r="C16" i="7"/>
  <c r="C16" i="7" a="1"/>
  <c r="AD14" i="9"/>
  <c r="AD14" i="9" a="1"/>
  <c r="AC14" i="9"/>
  <c r="AC14" i="9" a="1"/>
  <c r="Q14" i="9"/>
  <c r="Q14" i="9" a="1"/>
  <c r="P14" i="9"/>
  <c r="P14" i="9" a="1"/>
  <c r="L14" i="9"/>
  <c r="L14" i="9" a="1"/>
  <c r="K14" i="9"/>
  <c r="K14" i="9" a="1"/>
  <c r="J14" i="9"/>
  <c r="J14" i="9" a="1"/>
  <c r="I14" i="9"/>
  <c r="I14" i="9" a="1"/>
  <c r="H14" i="9"/>
  <c r="H14" i="9" a="1"/>
  <c r="G14" i="9"/>
  <c r="G14" i="9" a="1"/>
  <c r="F14" i="9"/>
  <c r="F14" i="9" a="1"/>
  <c r="E14" i="9"/>
  <c r="E14" i="9" a="1"/>
  <c r="D14" i="9"/>
  <c r="D14" i="9" a="1"/>
  <c r="C14" i="9"/>
  <c r="C14" i="9" a="1"/>
  <c r="AC13" i="9"/>
  <c r="AC13" i="9" a="1"/>
  <c r="P13" i="9"/>
  <c r="P13" i="9" a="1"/>
  <c r="C13" i="9"/>
  <c r="C13" i="9" a="1"/>
  <c r="AZ32" i="3"/>
  <c r="AZ32" i="3" a="1"/>
  <c r="AY32" i="3"/>
  <c r="AY32" i="3" a="1"/>
  <c r="AX32" i="3"/>
  <c r="AX32" i="3" a="1"/>
  <c r="AW32" i="3"/>
  <c r="AW32" i="3" a="1"/>
  <c r="AV32" i="3"/>
  <c r="AV32" i="3" a="1"/>
  <c r="AU32" i="3"/>
  <c r="AU32" i="3" a="1"/>
  <c r="AT32" i="3"/>
  <c r="AT32" i="3" a="1"/>
  <c r="AS32" i="3"/>
  <c r="AS32" i="3" a="1"/>
  <c r="AR32" i="3"/>
  <c r="AR32" i="3" a="1"/>
  <c r="AM32" i="3"/>
  <c r="AM32" i="3" a="1"/>
  <c r="AL32" i="3"/>
  <c r="AL32" i="3" a="1"/>
  <c r="AK32" i="3"/>
  <c r="AK32" i="3" a="1"/>
  <c r="AJ32" i="3"/>
  <c r="AJ32" i="3" a="1"/>
  <c r="AI32" i="3"/>
  <c r="AI32" i="3" a="1"/>
  <c r="AH32" i="3"/>
  <c r="AH32" i="3" a="1"/>
  <c r="AG32" i="3"/>
  <c r="AG32" i="3" a="1"/>
  <c r="AF32" i="3"/>
  <c r="AF32" i="3" a="1"/>
  <c r="AE32" i="3"/>
  <c r="Z32" i="3"/>
  <c r="Z32" i="3" a="1"/>
  <c r="Y32" i="3"/>
  <c r="Y32" i="3" a="1"/>
  <c r="X32" i="3"/>
  <c r="X32" i="3" a="1"/>
  <c r="W32" i="3"/>
  <c r="W32" i="3" a="1"/>
  <c r="V32" i="3"/>
  <c r="V32" i="3" a="1"/>
  <c r="U32" i="3"/>
  <c r="U32" i="3" a="1"/>
  <c r="T32" i="3"/>
  <c r="T32" i="3" a="1"/>
  <c r="S32" i="3"/>
  <c r="S32" i="3" a="1"/>
  <c r="R32" i="3"/>
  <c r="R32" i="3" a="1"/>
  <c r="M32" i="3"/>
  <c r="L32" i="3"/>
  <c r="K32" i="3"/>
  <c r="J32" i="3"/>
  <c r="I32" i="3"/>
  <c r="H32" i="3"/>
  <c r="G32" i="3"/>
  <c r="F32" i="3"/>
  <c r="C32" i="3"/>
  <c r="AZ31" i="3"/>
  <c r="AZ31" i="3" a="1"/>
  <c r="AY31" i="3"/>
  <c r="AY31" i="3" a="1"/>
  <c r="AX31" i="3"/>
  <c r="AX31" i="3" a="1"/>
  <c r="AW31" i="3"/>
  <c r="AW31" i="3" a="1"/>
  <c r="AV31" i="3"/>
  <c r="AV31" i="3" a="1"/>
  <c r="AU31" i="3"/>
  <c r="AU31" i="3" a="1"/>
  <c r="AT31" i="3"/>
  <c r="AT31" i="3" a="1"/>
  <c r="AS31" i="3"/>
  <c r="AS31" i="3" a="1"/>
  <c r="AR31" i="3"/>
  <c r="AR31" i="3" a="1"/>
  <c r="AM31" i="3"/>
  <c r="AM31" i="3" a="1"/>
  <c r="AL31" i="3"/>
  <c r="AL31" i="3" a="1"/>
  <c r="AK31" i="3"/>
  <c r="AK31" i="3" a="1"/>
  <c r="AJ31" i="3"/>
  <c r="AJ31" i="3" a="1"/>
  <c r="AI31" i="3"/>
  <c r="AI31" i="3" a="1"/>
  <c r="AH31" i="3"/>
  <c r="AH31" i="3" a="1"/>
  <c r="AG31" i="3"/>
  <c r="AG31" i="3" a="1"/>
  <c r="AF31" i="3"/>
  <c r="AF31" i="3" a="1"/>
  <c r="AE31" i="3"/>
  <c r="Z31" i="3"/>
  <c r="Z31" i="3" a="1"/>
  <c r="Y31" i="3"/>
  <c r="Y31" i="3" a="1"/>
  <c r="X31" i="3"/>
  <c r="X31" i="3" a="1"/>
  <c r="W31" i="3"/>
  <c r="W31" i="3" a="1"/>
  <c r="V31" i="3"/>
  <c r="V31" i="3" a="1"/>
  <c r="U31" i="3"/>
  <c r="U31" i="3" a="1"/>
  <c r="T31" i="3"/>
  <c r="T31" i="3" a="1"/>
  <c r="S31" i="3"/>
  <c r="S31" i="3" a="1"/>
  <c r="R31" i="3"/>
  <c r="R31" i="3" a="1"/>
  <c r="M31" i="3"/>
  <c r="L31" i="3"/>
  <c r="K31" i="3"/>
  <c r="J31" i="3"/>
  <c r="I31" i="3"/>
  <c r="H31" i="3"/>
  <c r="G31" i="3"/>
  <c r="F31" i="3"/>
  <c r="C31" i="3"/>
  <c r="AZ30" i="3"/>
  <c r="AZ30" i="3" a="1"/>
  <c r="AY30" i="3"/>
  <c r="AY30" i="3" a="1"/>
  <c r="AX30" i="3"/>
  <c r="AX30" i="3" a="1"/>
  <c r="AW30" i="3"/>
  <c r="AW30" i="3" a="1"/>
  <c r="AV30" i="3"/>
  <c r="AV30" i="3" a="1"/>
  <c r="AU30" i="3"/>
  <c r="AU30" i="3" a="1"/>
  <c r="AT30" i="3"/>
  <c r="AT30" i="3" a="1"/>
  <c r="AS30" i="3"/>
  <c r="AS30" i="3" a="1"/>
  <c r="AR30" i="3"/>
  <c r="AR30" i="3" a="1"/>
  <c r="AM30" i="3"/>
  <c r="AM30" i="3" a="1"/>
  <c r="AL30" i="3"/>
  <c r="AL30" i="3" a="1"/>
  <c r="AK30" i="3"/>
  <c r="AK30" i="3" a="1"/>
  <c r="AJ30" i="3"/>
  <c r="AJ30" i="3" a="1"/>
  <c r="AI30" i="3"/>
  <c r="AI30" i="3" a="1"/>
  <c r="AH30" i="3"/>
  <c r="AH30" i="3" a="1"/>
  <c r="AG30" i="3"/>
  <c r="AG30" i="3" a="1"/>
  <c r="AF30" i="3"/>
  <c r="AF30" i="3" a="1"/>
  <c r="AE30" i="3"/>
  <c r="Z30" i="3"/>
  <c r="Z30" i="3" a="1"/>
  <c r="Y30" i="3"/>
  <c r="Y30" i="3" a="1"/>
  <c r="X30" i="3"/>
  <c r="X30" i="3" a="1"/>
  <c r="W30" i="3"/>
  <c r="W30" i="3" a="1"/>
  <c r="V30" i="3"/>
  <c r="V30" i="3" a="1"/>
  <c r="U30" i="3"/>
  <c r="U30" i="3" a="1"/>
  <c r="T30" i="3"/>
  <c r="T30" i="3" a="1"/>
  <c r="S30" i="3"/>
  <c r="S30" i="3" a="1"/>
  <c r="R30" i="3"/>
  <c r="R30" i="3" a="1"/>
  <c r="M30" i="3"/>
  <c r="L30" i="3"/>
  <c r="K30" i="3"/>
  <c r="J30" i="3"/>
  <c r="I30" i="3"/>
  <c r="H30" i="3"/>
  <c r="G30" i="3"/>
  <c r="F30" i="3"/>
  <c r="C30" i="3"/>
  <c r="AZ29" i="3"/>
  <c r="AZ29" i="3" a="1"/>
  <c r="AY29" i="3"/>
  <c r="AY29" i="3" a="1"/>
  <c r="AX29" i="3"/>
  <c r="AX29" i="3" a="1"/>
  <c r="AW29" i="3"/>
  <c r="AW29" i="3" a="1"/>
  <c r="AV29" i="3"/>
  <c r="AV29" i="3" a="1"/>
  <c r="AU29" i="3"/>
  <c r="AU29" i="3" a="1"/>
  <c r="AT29" i="3"/>
  <c r="AT29" i="3" a="1"/>
  <c r="AS29" i="3"/>
  <c r="AS29" i="3" a="1"/>
  <c r="AR29" i="3"/>
  <c r="AR29" i="3" a="1"/>
  <c r="AM29" i="3"/>
  <c r="AM29" i="3" a="1"/>
  <c r="AL29" i="3"/>
  <c r="AL29" i="3" a="1"/>
  <c r="AK29" i="3"/>
  <c r="AK29" i="3" a="1"/>
  <c r="AJ29" i="3"/>
  <c r="AJ29" i="3" a="1"/>
  <c r="AI29" i="3"/>
  <c r="AI29" i="3" a="1"/>
  <c r="AH29" i="3"/>
  <c r="AH29" i="3" a="1"/>
  <c r="AG29" i="3"/>
  <c r="AG29" i="3" a="1"/>
  <c r="AF29" i="3"/>
  <c r="AF29" i="3" a="1"/>
  <c r="AE29" i="3"/>
  <c r="Z29" i="3"/>
  <c r="Z29" i="3" a="1"/>
  <c r="Y29" i="3"/>
  <c r="Y29" i="3" a="1"/>
  <c r="X29" i="3"/>
  <c r="X29" i="3" a="1"/>
  <c r="W29" i="3"/>
  <c r="W29" i="3" a="1"/>
  <c r="V29" i="3"/>
  <c r="V29" i="3" a="1"/>
  <c r="U29" i="3"/>
  <c r="U29" i="3" a="1"/>
  <c r="T29" i="3"/>
  <c r="T29" i="3" a="1"/>
  <c r="S29" i="3"/>
  <c r="S29" i="3" a="1"/>
  <c r="R29" i="3"/>
  <c r="R29" i="3" a="1"/>
  <c r="M29" i="3"/>
  <c r="L29" i="3"/>
  <c r="K29" i="3"/>
  <c r="J29" i="3"/>
  <c r="I29" i="3"/>
  <c r="H29" i="3"/>
  <c r="G29" i="3"/>
  <c r="F29" i="3"/>
  <c r="C29" i="3"/>
  <c r="AZ28" i="3"/>
  <c r="AZ28" i="3" a="1"/>
  <c r="AY28" i="3"/>
  <c r="AY28" i="3" a="1"/>
  <c r="AX28" i="3"/>
  <c r="AX28" i="3" a="1"/>
  <c r="AW28" i="3"/>
  <c r="AW28" i="3" a="1"/>
  <c r="AV28" i="3"/>
  <c r="AV28" i="3" a="1"/>
  <c r="AU28" i="3"/>
  <c r="AU28" i="3" a="1"/>
  <c r="AT28" i="3"/>
  <c r="AT28" i="3" a="1"/>
  <c r="AS28" i="3"/>
  <c r="AS28" i="3" a="1"/>
  <c r="AR28" i="3"/>
  <c r="AR28" i="3" a="1"/>
  <c r="AM28" i="3"/>
  <c r="AM28" i="3" a="1"/>
  <c r="AL28" i="3"/>
  <c r="AL28" i="3" a="1"/>
  <c r="AK28" i="3"/>
  <c r="AK28" i="3" a="1"/>
  <c r="AJ28" i="3"/>
  <c r="AJ28" i="3" a="1"/>
  <c r="AI28" i="3"/>
  <c r="AI28" i="3" a="1"/>
  <c r="AH28" i="3"/>
  <c r="AH28" i="3" a="1"/>
  <c r="AG28" i="3"/>
  <c r="AG28" i="3" a="1"/>
  <c r="AF28" i="3"/>
  <c r="AF28" i="3" a="1"/>
  <c r="AE28" i="3"/>
  <c r="Z28" i="3"/>
  <c r="Z28" i="3" a="1"/>
  <c r="Y28" i="3"/>
  <c r="Y28" i="3" a="1"/>
  <c r="X28" i="3"/>
  <c r="X28" i="3" a="1"/>
  <c r="W28" i="3"/>
  <c r="W28" i="3" a="1"/>
  <c r="V28" i="3"/>
  <c r="V28" i="3" a="1"/>
  <c r="U28" i="3"/>
  <c r="U28" i="3" a="1"/>
  <c r="T28" i="3"/>
  <c r="T28" i="3" a="1"/>
  <c r="S28" i="3"/>
  <c r="S28" i="3" a="1"/>
  <c r="R28" i="3"/>
  <c r="R28" i="3" a="1"/>
  <c r="M28" i="3"/>
  <c r="L28" i="3"/>
  <c r="K28" i="3"/>
  <c r="J28" i="3"/>
  <c r="I28" i="3"/>
  <c r="H28" i="3"/>
  <c r="G28" i="3"/>
  <c r="F28" i="3"/>
  <c r="C28" i="3"/>
  <c r="AZ27" i="3"/>
  <c r="AZ27" i="3" a="1"/>
  <c r="AY27" i="3"/>
  <c r="AY27" i="3" a="1"/>
  <c r="AX27" i="3"/>
  <c r="AX27" i="3" a="1"/>
  <c r="AW27" i="3"/>
  <c r="AW27" i="3" a="1"/>
  <c r="AV27" i="3"/>
  <c r="AV27" i="3" a="1"/>
  <c r="AU27" i="3"/>
  <c r="AU27" i="3" a="1"/>
  <c r="AT27" i="3"/>
  <c r="AT27" i="3" a="1"/>
  <c r="AS27" i="3"/>
  <c r="AS27" i="3" a="1"/>
  <c r="AR27" i="3"/>
  <c r="AR27" i="3" a="1"/>
  <c r="AM27" i="3"/>
  <c r="AM27" i="3" a="1"/>
  <c r="AL27" i="3"/>
  <c r="AL27" i="3" a="1"/>
  <c r="AK27" i="3"/>
  <c r="AK27" i="3" a="1"/>
  <c r="AJ27" i="3"/>
  <c r="AJ27" i="3" a="1"/>
  <c r="AI27" i="3"/>
  <c r="AI27" i="3" a="1"/>
  <c r="AH27" i="3"/>
  <c r="AH27" i="3" a="1"/>
  <c r="AG27" i="3"/>
  <c r="AG27" i="3" a="1"/>
  <c r="AF27" i="3"/>
  <c r="AF27" i="3" a="1"/>
  <c r="AE27" i="3"/>
  <c r="Z27" i="3"/>
  <c r="Z27" i="3" a="1"/>
  <c r="Y27" i="3"/>
  <c r="Y27" i="3" a="1"/>
  <c r="X27" i="3"/>
  <c r="X27" i="3" a="1"/>
  <c r="W27" i="3"/>
  <c r="W27" i="3" a="1"/>
  <c r="V27" i="3"/>
  <c r="V27" i="3" a="1"/>
  <c r="U27" i="3"/>
  <c r="U27" i="3" a="1"/>
  <c r="T27" i="3"/>
  <c r="T27" i="3" a="1"/>
  <c r="S27" i="3"/>
  <c r="S27" i="3" a="1"/>
  <c r="R27" i="3"/>
  <c r="R27" i="3" a="1"/>
  <c r="M27" i="3"/>
  <c r="L27" i="3"/>
  <c r="K27" i="3"/>
  <c r="J27" i="3"/>
  <c r="I27" i="3"/>
  <c r="H27" i="3"/>
  <c r="G27" i="3"/>
  <c r="F27" i="3"/>
  <c r="C27" i="3"/>
  <c r="AZ26" i="3"/>
  <c r="AZ26" i="3" a="1"/>
  <c r="AY26" i="3"/>
  <c r="AY26" i="3" a="1"/>
  <c r="AX26" i="3"/>
  <c r="AX26" i="3" a="1"/>
  <c r="AW26" i="3"/>
  <c r="AW26" i="3" a="1"/>
  <c r="AV26" i="3"/>
  <c r="AV26" i="3" a="1"/>
  <c r="AU26" i="3"/>
  <c r="AU26" i="3" a="1"/>
  <c r="AT26" i="3"/>
  <c r="AT26" i="3" a="1"/>
  <c r="AS26" i="3"/>
  <c r="AS26" i="3" a="1"/>
  <c r="AR26" i="3"/>
  <c r="AR26" i="3" a="1"/>
  <c r="AM26" i="3"/>
  <c r="AM26" i="3" a="1"/>
  <c r="AL26" i="3"/>
  <c r="AL26" i="3" a="1"/>
  <c r="AK26" i="3"/>
  <c r="AK26" i="3" a="1"/>
  <c r="AJ26" i="3"/>
  <c r="AJ26" i="3" a="1"/>
  <c r="AI26" i="3"/>
  <c r="AI26" i="3" a="1"/>
  <c r="AH26" i="3"/>
  <c r="AH26" i="3" a="1"/>
  <c r="AG26" i="3"/>
  <c r="AG26" i="3" a="1"/>
  <c r="AF26" i="3"/>
  <c r="AF26" i="3" a="1"/>
  <c r="AE26" i="3"/>
  <c r="Z26" i="3"/>
  <c r="Z26" i="3" a="1"/>
  <c r="Y26" i="3"/>
  <c r="Y26" i="3" a="1"/>
  <c r="X26" i="3"/>
  <c r="X26" i="3" a="1"/>
  <c r="W26" i="3"/>
  <c r="W26" i="3" a="1"/>
  <c r="V26" i="3"/>
  <c r="V26" i="3" a="1"/>
  <c r="U26" i="3"/>
  <c r="U26" i="3" a="1"/>
  <c r="T26" i="3"/>
  <c r="T26" i="3" a="1"/>
  <c r="S26" i="3"/>
  <c r="S26" i="3" a="1"/>
  <c r="R26" i="3"/>
  <c r="R26" i="3" a="1"/>
  <c r="M26" i="3"/>
  <c r="L26" i="3"/>
  <c r="K26" i="3"/>
  <c r="J26" i="3"/>
  <c r="I26" i="3"/>
  <c r="H26" i="3"/>
  <c r="G26" i="3"/>
  <c r="F26" i="3"/>
  <c r="C26" i="3"/>
  <c r="AZ25" i="3"/>
  <c r="AZ25" i="3" a="1"/>
  <c r="AY25" i="3"/>
  <c r="AY25" i="3" a="1"/>
  <c r="AX25" i="3"/>
  <c r="AX25" i="3" a="1"/>
  <c r="AW25" i="3"/>
  <c r="AW25" i="3" a="1"/>
  <c r="AV25" i="3"/>
  <c r="AV25" i="3" a="1"/>
  <c r="AU25" i="3"/>
  <c r="AU25" i="3" a="1"/>
  <c r="AT25" i="3"/>
  <c r="AT25" i="3" a="1"/>
  <c r="AS25" i="3"/>
  <c r="AS25" i="3" a="1"/>
  <c r="AR25" i="3"/>
  <c r="AR25" i="3" a="1"/>
  <c r="AM25" i="3"/>
  <c r="AM25" i="3" a="1"/>
  <c r="AL25" i="3"/>
  <c r="AL25" i="3" a="1"/>
  <c r="AK25" i="3"/>
  <c r="AK25" i="3" a="1"/>
  <c r="AJ25" i="3"/>
  <c r="AJ25" i="3" a="1"/>
  <c r="AI25" i="3"/>
  <c r="AI25" i="3" a="1"/>
  <c r="AH25" i="3"/>
  <c r="AH25" i="3" a="1"/>
  <c r="AG25" i="3"/>
  <c r="AG25" i="3" a="1"/>
  <c r="AF25" i="3"/>
  <c r="AF25" i="3" a="1"/>
  <c r="AE25" i="3"/>
  <c r="Z25" i="3"/>
  <c r="Z25" i="3" a="1"/>
  <c r="Y25" i="3"/>
  <c r="Y25" i="3" a="1"/>
  <c r="X25" i="3"/>
  <c r="X25" i="3" a="1"/>
  <c r="W25" i="3"/>
  <c r="W25" i="3" a="1"/>
  <c r="V25" i="3"/>
  <c r="V25" i="3" a="1"/>
  <c r="U25" i="3"/>
  <c r="U25" i="3" a="1"/>
  <c r="T25" i="3"/>
  <c r="T25" i="3" a="1"/>
  <c r="S25" i="3"/>
  <c r="S25" i="3" a="1"/>
  <c r="R25" i="3"/>
  <c r="R25" i="3" a="1"/>
  <c r="M25" i="3"/>
  <c r="L25" i="3"/>
  <c r="K25" i="3"/>
  <c r="J25" i="3"/>
  <c r="I25" i="3"/>
  <c r="H25" i="3"/>
  <c r="G25" i="3"/>
  <c r="F25" i="3"/>
  <c r="C25" i="3"/>
  <c r="AZ24" i="3"/>
  <c r="AZ24" i="3" a="1"/>
  <c r="AY24" i="3"/>
  <c r="AY24" i="3" a="1"/>
  <c r="AX24" i="3"/>
  <c r="AX24" i="3" a="1"/>
  <c r="AW24" i="3"/>
  <c r="AW24" i="3" a="1"/>
  <c r="AV24" i="3"/>
  <c r="AV24" i="3" a="1"/>
  <c r="AU24" i="3"/>
  <c r="AU24" i="3" a="1"/>
  <c r="AT24" i="3"/>
  <c r="AT24" i="3" a="1"/>
  <c r="AS24" i="3"/>
  <c r="AS24" i="3" a="1"/>
  <c r="AR24" i="3"/>
  <c r="AR24" i="3" a="1"/>
  <c r="AM24" i="3"/>
  <c r="AM24" i="3" a="1"/>
  <c r="AL24" i="3"/>
  <c r="AL24" i="3" a="1"/>
  <c r="AK24" i="3"/>
  <c r="AK24" i="3" a="1"/>
  <c r="AJ24" i="3"/>
  <c r="AJ24" i="3" a="1"/>
  <c r="AI24" i="3"/>
  <c r="AI24" i="3" a="1"/>
  <c r="AH24" i="3"/>
  <c r="AH24" i="3" a="1"/>
  <c r="AG24" i="3"/>
  <c r="AG24" i="3" a="1"/>
  <c r="AF24" i="3"/>
  <c r="AF24" i="3" a="1"/>
  <c r="AE24" i="3"/>
  <c r="Z24" i="3"/>
  <c r="Z24" i="3" a="1"/>
  <c r="Y24" i="3"/>
  <c r="Y24" i="3" a="1"/>
  <c r="X24" i="3"/>
  <c r="X24" i="3" a="1"/>
  <c r="W24" i="3"/>
  <c r="W24" i="3" a="1"/>
  <c r="V24" i="3"/>
  <c r="V24" i="3" a="1"/>
  <c r="U24" i="3"/>
  <c r="U24" i="3" a="1"/>
  <c r="T24" i="3"/>
  <c r="T24" i="3" a="1"/>
  <c r="S24" i="3"/>
  <c r="S24" i="3" a="1"/>
  <c r="R24" i="3"/>
  <c r="R24" i="3" a="1"/>
  <c r="M24" i="3"/>
  <c r="L24" i="3"/>
  <c r="K24" i="3"/>
  <c r="J24" i="3"/>
  <c r="I24" i="3"/>
  <c r="H24" i="3"/>
  <c r="G24" i="3"/>
  <c r="F24" i="3"/>
  <c r="C24" i="3"/>
  <c r="AZ23" i="3"/>
  <c r="AZ23" i="3" a="1"/>
  <c r="AY23" i="3"/>
  <c r="AY23" i="3" a="1"/>
  <c r="AX23" i="3"/>
  <c r="AX23" i="3" a="1"/>
  <c r="AW23" i="3"/>
  <c r="AW23" i="3" a="1"/>
  <c r="AV23" i="3"/>
  <c r="AV23" i="3" a="1"/>
  <c r="AU23" i="3"/>
  <c r="AU23" i="3" a="1"/>
  <c r="AT23" i="3"/>
  <c r="AT23" i="3" a="1"/>
  <c r="AS23" i="3"/>
  <c r="AS23" i="3" a="1"/>
  <c r="AR23" i="3"/>
  <c r="AR23" i="3" a="1"/>
  <c r="AM23" i="3"/>
  <c r="AM23" i="3" a="1"/>
  <c r="AL23" i="3"/>
  <c r="AL23" i="3" a="1"/>
  <c r="AK23" i="3"/>
  <c r="AK23" i="3" a="1"/>
  <c r="AJ23" i="3"/>
  <c r="AJ23" i="3" a="1"/>
  <c r="AI23" i="3"/>
  <c r="AI23" i="3" a="1"/>
  <c r="AH23" i="3"/>
  <c r="AH23" i="3" a="1"/>
  <c r="AG23" i="3"/>
  <c r="AG23" i="3" a="1"/>
  <c r="AF23" i="3"/>
  <c r="AF23" i="3" a="1"/>
  <c r="AE23" i="3"/>
  <c r="Z23" i="3"/>
  <c r="Z23" i="3" a="1"/>
  <c r="Y23" i="3"/>
  <c r="Y23" i="3" a="1"/>
  <c r="X23" i="3"/>
  <c r="X23" i="3" a="1"/>
  <c r="W23" i="3"/>
  <c r="W23" i="3" a="1"/>
  <c r="V23" i="3"/>
  <c r="V23" i="3" a="1"/>
  <c r="U23" i="3"/>
  <c r="U23" i="3" a="1"/>
  <c r="T23" i="3"/>
  <c r="T23" i="3" a="1"/>
  <c r="S23" i="3"/>
  <c r="S23" i="3" a="1"/>
  <c r="R23" i="3"/>
  <c r="R23" i="3" a="1"/>
  <c r="M23" i="3"/>
  <c r="L23" i="3"/>
  <c r="K23" i="3"/>
  <c r="J23" i="3"/>
  <c r="I23" i="3"/>
  <c r="H23" i="3"/>
  <c r="G23" i="3"/>
  <c r="F23" i="3"/>
  <c r="C23" i="3"/>
  <c r="AZ22" i="3"/>
  <c r="AZ22" i="3" a="1"/>
  <c r="AY22" i="3"/>
  <c r="AY22" i="3" a="1"/>
  <c r="AX22" i="3"/>
  <c r="AX22" i="3" a="1"/>
  <c r="AW22" i="3"/>
  <c r="AW22" i="3" a="1"/>
  <c r="AV22" i="3"/>
  <c r="AV22" i="3" a="1"/>
  <c r="AU22" i="3"/>
  <c r="AU22" i="3" a="1"/>
  <c r="AT22" i="3"/>
  <c r="AT22" i="3" a="1"/>
  <c r="AS22" i="3"/>
  <c r="AS22" i="3" a="1"/>
  <c r="AR22" i="3"/>
  <c r="AR22" i="3" a="1"/>
  <c r="AM22" i="3"/>
  <c r="AM22" i="3" a="1"/>
  <c r="AL22" i="3"/>
  <c r="AL22" i="3" a="1"/>
  <c r="AK22" i="3"/>
  <c r="AK22" i="3" a="1"/>
  <c r="AJ22" i="3"/>
  <c r="AJ22" i="3" a="1"/>
  <c r="AI22" i="3"/>
  <c r="AI22" i="3" a="1"/>
  <c r="AH22" i="3"/>
  <c r="AH22" i="3" a="1"/>
  <c r="AG22" i="3"/>
  <c r="AG22" i="3" a="1"/>
  <c r="AF22" i="3"/>
  <c r="AF22" i="3" a="1"/>
  <c r="AE22" i="3"/>
  <c r="Z22" i="3"/>
  <c r="Z22" i="3" a="1"/>
  <c r="Y22" i="3"/>
  <c r="Y22" i="3" a="1"/>
  <c r="X22" i="3"/>
  <c r="X22" i="3" a="1"/>
  <c r="W22" i="3"/>
  <c r="W22" i="3" a="1"/>
  <c r="V22" i="3"/>
  <c r="V22" i="3" a="1"/>
  <c r="U22" i="3"/>
  <c r="U22" i="3" a="1"/>
  <c r="T22" i="3"/>
  <c r="T22" i="3" a="1"/>
  <c r="S22" i="3"/>
  <c r="S22" i="3" a="1"/>
  <c r="R22" i="3"/>
  <c r="R22" i="3" a="1"/>
  <c r="M22" i="3"/>
  <c r="L22" i="3"/>
  <c r="K22" i="3"/>
  <c r="J22" i="3"/>
  <c r="I22" i="3"/>
  <c r="H22" i="3"/>
  <c r="G22" i="3"/>
  <c r="F22" i="3"/>
  <c r="C22" i="3"/>
  <c r="AZ21" i="3"/>
  <c r="AZ21" i="3" a="1"/>
  <c r="AY21" i="3"/>
  <c r="AY21" i="3" a="1"/>
  <c r="AX21" i="3"/>
  <c r="AX21" i="3" a="1"/>
  <c r="AW21" i="3"/>
  <c r="AW21" i="3" a="1"/>
  <c r="AV21" i="3"/>
  <c r="AV21" i="3" a="1"/>
  <c r="AU21" i="3"/>
  <c r="AU21" i="3" a="1"/>
  <c r="AT21" i="3"/>
  <c r="AT21" i="3" a="1"/>
  <c r="AS21" i="3"/>
  <c r="AS21" i="3" a="1"/>
  <c r="AR21" i="3"/>
  <c r="AR21" i="3" a="1"/>
  <c r="AM21" i="3"/>
  <c r="AM21" i="3" a="1"/>
  <c r="AL21" i="3"/>
  <c r="AL21" i="3" a="1"/>
  <c r="AK21" i="3"/>
  <c r="AK21" i="3" a="1"/>
  <c r="AJ21" i="3"/>
  <c r="AJ21" i="3" a="1"/>
  <c r="AI21" i="3"/>
  <c r="AI21" i="3" a="1"/>
  <c r="AH21" i="3"/>
  <c r="AH21" i="3" a="1"/>
  <c r="AG21" i="3"/>
  <c r="AG21" i="3" a="1"/>
  <c r="AF21" i="3"/>
  <c r="AF21" i="3" a="1"/>
  <c r="AE21" i="3"/>
  <c r="Z21" i="3"/>
  <c r="Z21" i="3" a="1"/>
  <c r="Y21" i="3"/>
  <c r="Y21" i="3" a="1"/>
  <c r="X21" i="3"/>
  <c r="X21" i="3" a="1"/>
  <c r="W21" i="3"/>
  <c r="W21" i="3" a="1"/>
  <c r="V21" i="3"/>
  <c r="V21" i="3" a="1"/>
  <c r="U21" i="3"/>
  <c r="U21" i="3" a="1"/>
  <c r="T21" i="3"/>
  <c r="T21" i="3" a="1"/>
  <c r="S21" i="3"/>
  <c r="S21" i="3" a="1"/>
  <c r="R21" i="3"/>
  <c r="R21" i="3" a="1"/>
  <c r="M21" i="3"/>
  <c r="L21" i="3"/>
  <c r="K21" i="3"/>
  <c r="J21" i="3"/>
  <c r="I21" i="3"/>
  <c r="H21" i="3"/>
  <c r="G21" i="3"/>
  <c r="F21" i="3"/>
  <c r="C21" i="3"/>
  <c r="AZ20" i="3"/>
  <c r="AZ20" i="3" a="1"/>
  <c r="AY20" i="3"/>
  <c r="AY20" i="3" a="1"/>
  <c r="AX20" i="3"/>
  <c r="AX20" i="3" a="1"/>
  <c r="AW20" i="3"/>
  <c r="AW20" i="3" a="1"/>
  <c r="AV20" i="3"/>
  <c r="AV20" i="3" a="1"/>
  <c r="AU20" i="3"/>
  <c r="AU20" i="3" a="1"/>
  <c r="AT20" i="3"/>
  <c r="AT20" i="3" a="1"/>
  <c r="AS20" i="3"/>
  <c r="AS20" i="3" a="1"/>
  <c r="AR20" i="3"/>
  <c r="AR20" i="3" a="1"/>
  <c r="AM20" i="3"/>
  <c r="AM20" i="3" a="1"/>
  <c r="AL20" i="3"/>
  <c r="AL20" i="3" a="1"/>
  <c r="AK20" i="3"/>
  <c r="AK20" i="3" a="1"/>
  <c r="AJ20" i="3"/>
  <c r="AJ20" i="3" a="1"/>
  <c r="AI20" i="3"/>
  <c r="AI20" i="3" a="1"/>
  <c r="AH20" i="3"/>
  <c r="AH20" i="3" a="1"/>
  <c r="AG20" i="3"/>
  <c r="AG20" i="3" a="1"/>
  <c r="AF20" i="3"/>
  <c r="AF20" i="3" a="1"/>
  <c r="AE20" i="3"/>
  <c r="Z20" i="3"/>
  <c r="Z20" i="3" a="1"/>
  <c r="Y20" i="3"/>
  <c r="Y20" i="3" a="1"/>
  <c r="X20" i="3"/>
  <c r="X20" i="3" a="1"/>
  <c r="W20" i="3"/>
  <c r="W20" i="3" a="1"/>
  <c r="V20" i="3"/>
  <c r="V20" i="3" a="1"/>
  <c r="U20" i="3"/>
  <c r="U20" i="3" a="1"/>
  <c r="T20" i="3"/>
  <c r="T20" i="3" a="1"/>
  <c r="S20" i="3"/>
  <c r="S20" i="3" a="1"/>
  <c r="R20" i="3"/>
  <c r="R20" i="3" a="1"/>
  <c r="M20" i="3"/>
  <c r="L20" i="3"/>
  <c r="K20" i="3"/>
  <c r="J20" i="3"/>
  <c r="I20" i="3"/>
  <c r="H20" i="3"/>
  <c r="G20" i="3"/>
  <c r="F20" i="3"/>
  <c r="C20" i="3"/>
  <c r="AZ19" i="3"/>
  <c r="AZ19" i="3" a="1"/>
  <c r="AY19" i="3"/>
  <c r="AY19" i="3" a="1"/>
  <c r="AX19" i="3"/>
  <c r="AX19" i="3" a="1"/>
  <c r="AW19" i="3"/>
  <c r="AW19" i="3" a="1"/>
  <c r="AV19" i="3"/>
  <c r="AV19" i="3" a="1"/>
  <c r="AU19" i="3"/>
  <c r="AU19" i="3" a="1"/>
  <c r="AT19" i="3"/>
  <c r="AT19" i="3" a="1"/>
  <c r="AS19" i="3"/>
  <c r="AS19" i="3" a="1"/>
  <c r="AR19" i="3"/>
  <c r="AR19" i="3" a="1"/>
  <c r="AM19" i="3"/>
  <c r="AM19" i="3" a="1"/>
  <c r="AL19" i="3"/>
  <c r="AL19" i="3" a="1"/>
  <c r="AK19" i="3"/>
  <c r="AK19" i="3" a="1"/>
  <c r="AJ19" i="3"/>
  <c r="AJ19" i="3" a="1"/>
  <c r="AI19" i="3"/>
  <c r="AI19" i="3" a="1"/>
  <c r="AH19" i="3"/>
  <c r="AH19" i="3" a="1"/>
  <c r="AG19" i="3"/>
  <c r="AG19" i="3" a="1"/>
  <c r="AF19" i="3"/>
  <c r="AF19" i="3" a="1"/>
  <c r="AE19" i="3"/>
  <c r="Z19" i="3"/>
  <c r="Z19" i="3" a="1"/>
  <c r="Y19" i="3"/>
  <c r="Y19" i="3" a="1"/>
  <c r="X19" i="3"/>
  <c r="X19" i="3" a="1"/>
  <c r="W19" i="3"/>
  <c r="W19" i="3" a="1"/>
  <c r="V19" i="3"/>
  <c r="V19" i="3" a="1"/>
  <c r="U19" i="3"/>
  <c r="U19" i="3" a="1"/>
  <c r="T19" i="3"/>
  <c r="T19" i="3" a="1"/>
  <c r="S19" i="3"/>
  <c r="S19" i="3" a="1"/>
  <c r="R19" i="3"/>
  <c r="R19" i="3" a="1"/>
  <c r="M19" i="3"/>
  <c r="L19" i="3"/>
  <c r="K19" i="3"/>
  <c r="J19" i="3"/>
  <c r="I19" i="3"/>
  <c r="H19" i="3"/>
  <c r="G19" i="3"/>
  <c r="F19" i="3"/>
  <c r="C19" i="3"/>
  <c r="AZ18" i="3"/>
  <c r="AZ18" i="3" a="1"/>
  <c r="AY18" i="3"/>
  <c r="AY18" i="3" a="1"/>
  <c r="AX18" i="3"/>
  <c r="AX18" i="3" a="1"/>
  <c r="AW18" i="3"/>
  <c r="AW18" i="3" a="1"/>
  <c r="AV18" i="3"/>
  <c r="AV18" i="3" a="1"/>
  <c r="AU18" i="3"/>
  <c r="AU18" i="3" a="1"/>
  <c r="AT18" i="3"/>
  <c r="AT18" i="3" a="1"/>
  <c r="AS18" i="3"/>
  <c r="AS18" i="3" a="1"/>
  <c r="AR18" i="3"/>
  <c r="AR18" i="3" a="1"/>
  <c r="AM18" i="3"/>
  <c r="AM18" i="3" a="1"/>
  <c r="AL18" i="3"/>
  <c r="AL18" i="3" a="1"/>
  <c r="AK18" i="3"/>
  <c r="AK18" i="3" a="1"/>
  <c r="AJ18" i="3"/>
  <c r="AJ18" i="3" a="1"/>
  <c r="AI18" i="3"/>
  <c r="AI18" i="3" a="1"/>
  <c r="AH18" i="3"/>
  <c r="AH18" i="3" a="1"/>
  <c r="AG18" i="3"/>
  <c r="AG18" i="3" a="1"/>
  <c r="AF18" i="3"/>
  <c r="AF18" i="3" a="1"/>
  <c r="AE18" i="3"/>
  <c r="Z18" i="3"/>
  <c r="Z18" i="3" a="1"/>
  <c r="Y18" i="3"/>
  <c r="Y18" i="3" a="1"/>
  <c r="X18" i="3"/>
  <c r="X18" i="3" a="1"/>
  <c r="W18" i="3"/>
  <c r="W18" i="3" a="1"/>
  <c r="V18" i="3"/>
  <c r="V18" i="3" a="1"/>
  <c r="U18" i="3"/>
  <c r="U18" i="3" a="1"/>
  <c r="T18" i="3"/>
  <c r="T18" i="3" a="1"/>
  <c r="S18" i="3"/>
  <c r="S18" i="3" a="1"/>
  <c r="R18" i="3"/>
  <c r="R18" i="3" a="1"/>
  <c r="M18" i="3"/>
  <c r="L18" i="3"/>
  <c r="K18" i="3"/>
  <c r="J18" i="3"/>
  <c r="I18" i="3"/>
  <c r="H18" i="3"/>
  <c r="G18" i="3"/>
  <c r="F18" i="3"/>
  <c r="C18" i="3"/>
  <c r="AZ17" i="3"/>
  <c r="AZ17" i="3" a="1"/>
  <c r="AY17" i="3"/>
  <c r="AY17" i="3" a="1"/>
  <c r="AX17" i="3"/>
  <c r="AX17" i="3" a="1"/>
  <c r="AW17" i="3"/>
  <c r="AW17" i="3" a="1"/>
  <c r="AV17" i="3"/>
  <c r="AV17" i="3" a="1"/>
  <c r="AU17" i="3"/>
  <c r="AU17" i="3" a="1"/>
  <c r="AT17" i="3"/>
  <c r="AT17" i="3" a="1"/>
  <c r="AS17" i="3"/>
  <c r="AS17" i="3" a="1"/>
  <c r="AR17" i="3"/>
  <c r="AR17" i="3" a="1"/>
  <c r="AM17" i="3"/>
  <c r="AM17" i="3" a="1"/>
  <c r="AL17" i="3"/>
  <c r="AL17" i="3" a="1"/>
  <c r="AK17" i="3"/>
  <c r="AK17" i="3" a="1"/>
  <c r="AJ17" i="3"/>
  <c r="AJ17" i="3" a="1"/>
  <c r="AI17" i="3"/>
  <c r="AI17" i="3" a="1"/>
  <c r="AH17" i="3"/>
  <c r="AH17" i="3" a="1"/>
  <c r="AG17" i="3"/>
  <c r="AG17" i="3" a="1"/>
  <c r="AF17" i="3"/>
  <c r="AF17" i="3" a="1"/>
  <c r="AE17" i="3"/>
  <c r="Z17" i="3"/>
  <c r="Z17" i="3" a="1"/>
  <c r="Y17" i="3"/>
  <c r="Y17" i="3" a="1"/>
  <c r="X17" i="3"/>
  <c r="X17" i="3" a="1"/>
  <c r="W17" i="3"/>
  <c r="W17" i="3" a="1"/>
  <c r="V17" i="3"/>
  <c r="V17" i="3" a="1"/>
  <c r="U17" i="3"/>
  <c r="U17" i="3" a="1"/>
  <c r="T17" i="3"/>
  <c r="T17" i="3" a="1"/>
  <c r="S17" i="3"/>
  <c r="S17" i="3" a="1"/>
  <c r="R17" i="3"/>
  <c r="R17" i="3" a="1"/>
  <c r="M17" i="3"/>
  <c r="L17" i="3"/>
  <c r="K17" i="3"/>
  <c r="J17" i="3"/>
  <c r="I17" i="3"/>
  <c r="H17" i="3"/>
  <c r="G17" i="3"/>
  <c r="F17" i="3"/>
  <c r="C17" i="3"/>
  <c r="AZ16" i="3"/>
  <c r="AZ16" i="3" a="1"/>
  <c r="AY16" i="3"/>
  <c r="AY16" i="3" a="1"/>
  <c r="AX16" i="3"/>
  <c r="AX16" i="3" a="1"/>
  <c r="AW16" i="3"/>
  <c r="AW16" i="3" a="1"/>
  <c r="AV16" i="3"/>
  <c r="AV16" i="3" a="1"/>
  <c r="AU16" i="3"/>
  <c r="AU16" i="3" a="1"/>
  <c r="AT16" i="3"/>
  <c r="AT16" i="3" a="1"/>
  <c r="AS16" i="3"/>
  <c r="AS16" i="3" a="1"/>
  <c r="AR16" i="3"/>
  <c r="AR16" i="3" a="1"/>
  <c r="AM16" i="3"/>
  <c r="AM16" i="3" a="1"/>
  <c r="AL16" i="3"/>
  <c r="AL16" i="3" a="1"/>
  <c r="AK16" i="3"/>
  <c r="AK16" i="3" a="1"/>
  <c r="AJ16" i="3"/>
  <c r="AJ16" i="3" a="1"/>
  <c r="AI16" i="3"/>
  <c r="AI16" i="3" a="1"/>
  <c r="AH16" i="3"/>
  <c r="AH16" i="3" a="1"/>
  <c r="AG16" i="3"/>
  <c r="AG16" i="3" a="1"/>
  <c r="AF16" i="3"/>
  <c r="AF16" i="3" a="1"/>
  <c r="AE16" i="3"/>
  <c r="Z16" i="3"/>
  <c r="Z16" i="3" a="1"/>
  <c r="Y16" i="3"/>
  <c r="Y16" i="3" a="1"/>
  <c r="X16" i="3"/>
  <c r="X16" i="3" a="1"/>
  <c r="W16" i="3"/>
  <c r="W16" i="3" a="1"/>
  <c r="V16" i="3"/>
  <c r="V16" i="3" a="1"/>
  <c r="U16" i="3"/>
  <c r="U16" i="3" a="1"/>
  <c r="T16" i="3"/>
  <c r="T16" i="3" a="1"/>
  <c r="S16" i="3"/>
  <c r="S16" i="3" a="1"/>
  <c r="R16" i="3"/>
  <c r="R16" i="3" a="1"/>
  <c r="M16" i="3"/>
  <c r="L16" i="3"/>
  <c r="K16" i="3"/>
  <c r="J16" i="3"/>
  <c r="I16" i="3"/>
  <c r="H16" i="3"/>
  <c r="G16" i="3"/>
  <c r="F16" i="3"/>
  <c r="C16" i="3"/>
  <c r="AZ15" i="3"/>
  <c r="AZ15" i="3" a="1"/>
  <c r="AY15" i="3"/>
  <c r="AY15" i="3" a="1"/>
  <c r="AX15" i="3"/>
  <c r="AX15" i="3" a="1"/>
  <c r="AW15" i="3"/>
  <c r="AW15" i="3" a="1"/>
  <c r="AV15" i="3"/>
  <c r="AV15" i="3" a="1"/>
  <c r="AU15" i="3"/>
  <c r="AU15" i="3" a="1"/>
  <c r="AT15" i="3"/>
  <c r="AT15" i="3" a="1"/>
  <c r="AS15" i="3"/>
  <c r="AS15" i="3" a="1"/>
  <c r="AR15" i="3"/>
  <c r="AR15" i="3" a="1"/>
  <c r="AM15" i="3"/>
  <c r="AM15" i="3" a="1"/>
  <c r="AL15" i="3"/>
  <c r="AL15" i="3" a="1"/>
  <c r="AK15" i="3"/>
  <c r="AK15" i="3" a="1"/>
  <c r="AJ15" i="3"/>
  <c r="AJ15" i="3" a="1"/>
  <c r="AI15" i="3"/>
  <c r="AI15" i="3" a="1"/>
  <c r="AH15" i="3"/>
  <c r="AH15" i="3" a="1"/>
  <c r="AG15" i="3"/>
  <c r="AG15" i="3" a="1"/>
  <c r="AF15" i="3"/>
  <c r="AF15" i="3" a="1"/>
  <c r="AE15" i="3"/>
  <c r="Z15" i="3"/>
  <c r="Z15" i="3" a="1"/>
  <c r="Y15" i="3"/>
  <c r="Y15" i="3" a="1"/>
  <c r="X15" i="3"/>
  <c r="X15" i="3" a="1"/>
  <c r="W15" i="3"/>
  <c r="W15" i="3" a="1"/>
  <c r="V15" i="3"/>
  <c r="V15" i="3" a="1"/>
  <c r="U15" i="3"/>
  <c r="U15" i="3" a="1"/>
  <c r="T15" i="3"/>
  <c r="T15" i="3" a="1"/>
  <c r="S15" i="3"/>
  <c r="S15" i="3" a="1"/>
  <c r="R15" i="3"/>
  <c r="R15" i="3" a="1"/>
  <c r="M15" i="3"/>
  <c r="L15" i="3"/>
  <c r="K15" i="3"/>
  <c r="J15" i="3"/>
  <c r="I15" i="3"/>
  <c r="H15" i="3"/>
  <c r="G15" i="3"/>
  <c r="F15" i="3"/>
  <c r="C15" i="3"/>
  <c r="AZ14" i="3"/>
  <c r="AZ14" i="3" a="1"/>
  <c r="AY14" i="3"/>
  <c r="AY14" i="3" a="1"/>
  <c r="AX14" i="3"/>
  <c r="AX14" i="3" a="1"/>
  <c r="AW14" i="3"/>
  <c r="AW14" i="3" a="1"/>
  <c r="AV14" i="3"/>
  <c r="AV14" i="3" a="1"/>
  <c r="AU14" i="3"/>
  <c r="AU14" i="3" a="1"/>
  <c r="AT14" i="3"/>
  <c r="AT14" i="3" a="1"/>
  <c r="AS14" i="3"/>
  <c r="AS14" i="3" a="1"/>
  <c r="AR14" i="3"/>
  <c r="AR14" i="3" a="1"/>
  <c r="AM14" i="3"/>
  <c r="AM14" i="3" a="1"/>
  <c r="AL14" i="3"/>
  <c r="AL14" i="3" a="1"/>
  <c r="AK14" i="3"/>
  <c r="AK14" i="3" a="1"/>
  <c r="AJ14" i="3"/>
  <c r="AJ14" i="3" a="1"/>
  <c r="AI14" i="3"/>
  <c r="AI14" i="3" a="1"/>
  <c r="AH14" i="3"/>
  <c r="AH14" i="3" a="1"/>
  <c r="AG14" i="3"/>
  <c r="AG14" i="3" a="1"/>
  <c r="AF14" i="3"/>
  <c r="AF14" i="3" a="1"/>
  <c r="AE14" i="3"/>
  <c r="Z14" i="3"/>
  <c r="Z14" i="3" a="1"/>
  <c r="Y14" i="3"/>
  <c r="Y14" i="3" a="1"/>
  <c r="X14" i="3"/>
  <c r="X14" i="3" a="1"/>
  <c r="W14" i="3"/>
  <c r="W14" i="3" a="1"/>
  <c r="V14" i="3"/>
  <c r="V14" i="3" a="1"/>
  <c r="U14" i="3"/>
  <c r="U14" i="3" a="1"/>
  <c r="T14" i="3"/>
  <c r="T14" i="3" a="1"/>
  <c r="S14" i="3"/>
  <c r="S14" i="3" a="1"/>
  <c r="R14" i="3"/>
  <c r="R14" i="3" a="1"/>
  <c r="M14" i="3"/>
  <c r="L14" i="3"/>
  <c r="K14" i="3"/>
  <c r="J14" i="3"/>
  <c r="I14" i="3"/>
  <c r="H14" i="3"/>
  <c r="G14" i="3"/>
  <c r="F14" i="3"/>
  <c r="C14" i="3"/>
  <c r="AZ13" i="3"/>
  <c r="AZ13" i="3" a="1"/>
  <c r="AY13" i="3"/>
  <c r="AY13" i="3" a="1"/>
  <c r="AX13" i="3"/>
  <c r="AX13" i="3" a="1"/>
  <c r="AW13" i="3"/>
  <c r="AW13" i="3" a="1"/>
  <c r="AV13" i="3"/>
  <c r="AV13" i="3" a="1"/>
  <c r="AU13" i="3"/>
  <c r="AU13" i="3" a="1"/>
  <c r="AT13" i="3"/>
  <c r="AT13" i="3" a="1"/>
  <c r="AS13" i="3"/>
  <c r="AS13" i="3" a="1"/>
  <c r="AR13" i="3"/>
  <c r="AR13" i="3" a="1"/>
  <c r="AM13" i="3"/>
  <c r="AM13" i="3" a="1"/>
  <c r="AL13" i="3"/>
  <c r="AL13" i="3" a="1"/>
  <c r="AK13" i="3"/>
  <c r="AK13" i="3" a="1"/>
  <c r="AJ13" i="3"/>
  <c r="AJ13" i="3" a="1"/>
  <c r="AI13" i="3"/>
  <c r="AI13" i="3" a="1"/>
  <c r="AH13" i="3"/>
  <c r="AH13" i="3" a="1"/>
  <c r="AG13" i="3"/>
  <c r="AG13" i="3" a="1"/>
  <c r="AF13" i="3"/>
  <c r="AF13" i="3" a="1"/>
  <c r="AE13" i="3"/>
  <c r="Z13" i="3"/>
  <c r="Z13" i="3" a="1"/>
  <c r="Y13" i="3"/>
  <c r="Y13" i="3" a="1"/>
  <c r="X13" i="3"/>
  <c r="X13" i="3" a="1"/>
  <c r="W13" i="3"/>
  <c r="W13" i="3" a="1"/>
  <c r="V13" i="3"/>
  <c r="V13" i="3" a="1"/>
  <c r="U13" i="3"/>
  <c r="U13" i="3" a="1"/>
  <c r="T13" i="3"/>
  <c r="T13" i="3" a="1"/>
  <c r="S13" i="3"/>
  <c r="S13" i="3" a="1"/>
  <c r="R13" i="3"/>
  <c r="R13" i="3" a="1"/>
  <c r="M13" i="3"/>
  <c r="L13" i="3"/>
  <c r="K13" i="3"/>
  <c r="J13" i="3"/>
  <c r="I13" i="3"/>
  <c r="H13" i="3"/>
  <c r="G13" i="3"/>
  <c r="F13" i="3"/>
  <c r="C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<sst xmlns="http://schemas.openxmlformats.org/spreadsheetml/2006/main" count="1647" uniqueCount="69">
  <si>
    <t>Liverpool</t>
  </si>
  <si>
    <t>Norwich City</t>
  </si>
  <si>
    <t>2019/20</t>
  </si>
  <si>
    <t>West Ham United</t>
  </si>
  <si>
    <t>Manchester City</t>
  </si>
  <si>
    <t>Bournemouth</t>
  </si>
  <si>
    <t>Sheffield United</t>
  </si>
  <si>
    <t>Burnley</t>
  </si>
  <si>
    <t>Southampton</t>
  </si>
  <si>
    <t>Crystal Palace</t>
  </si>
  <si>
    <t>Everton</t>
  </si>
  <si>
    <t>Leicester City</t>
  </si>
  <si>
    <t>Wolverhampton Wanderers</t>
  </si>
  <si>
    <t>Watford</t>
  </si>
  <si>
    <t>Brighton &amp; Hove Albion</t>
  </si>
  <si>
    <t>Tottenham Hotspur</t>
  </si>
  <si>
    <t>Aston Villa</t>
  </si>
  <si>
    <t>Newcastle United</t>
  </si>
  <si>
    <t>Arsenal</t>
  </si>
  <si>
    <t>Manchester United</t>
  </si>
  <si>
    <t>Chelsea</t>
  </si>
  <si>
    <t>team_home</t>
  </si>
  <si>
    <t>team_away</t>
  </si>
  <si>
    <t>home_goal</t>
  </si>
  <si>
    <t>away_goal</t>
  </si>
  <si>
    <t>played</t>
  </si>
  <si>
    <t>season</t>
  </si>
  <si>
    <t>date_time</t>
  </si>
  <si>
    <t>Result</t>
  </si>
  <si>
    <t>P</t>
  </si>
  <si>
    <t>W</t>
  </si>
  <si>
    <t>D</t>
  </si>
  <si>
    <t>L</t>
  </si>
  <si>
    <t>F</t>
  </si>
  <si>
    <t>A</t>
  </si>
  <si>
    <t>GD</t>
  </si>
  <si>
    <t>PTS</t>
  </si>
  <si>
    <t>RANK</t>
  </si>
  <si>
    <t>Part A</t>
  </si>
  <si>
    <t>Part B</t>
  </si>
  <si>
    <t>Part C</t>
  </si>
  <si>
    <t>POS</t>
  </si>
  <si>
    <t>Table A1 (Unordered)</t>
  </si>
  <si>
    <t>Table A2 (Ordered)</t>
  </si>
  <si>
    <t>Table A3 (Ordered)</t>
  </si>
  <si>
    <t>Table A4 (Ordered)</t>
  </si>
  <si>
    <t>Table B1 (Unordered)</t>
  </si>
  <si>
    <t>Table B2 (Ordered)</t>
  </si>
  <si>
    <t>Table B3 (Ordered)</t>
  </si>
  <si>
    <t>Table C2 (Ordered)</t>
  </si>
  <si>
    <t>Table C1 (Ordered)</t>
  </si>
  <si>
    <t>TEAM</t>
  </si>
  <si>
    <t>H</t>
  </si>
  <si>
    <t>Functions Used</t>
  </si>
  <si>
    <t>RANK.EQ</t>
  </si>
  <si>
    <t>COUNTIFS</t>
  </si>
  <si>
    <t>SUMIFS</t>
  </si>
  <si>
    <t>CODE</t>
  </si>
  <si>
    <t>VLOOKUP</t>
  </si>
  <si>
    <t>COLUMN</t>
  </si>
  <si>
    <t>INDEX</t>
  </si>
  <si>
    <t>MATCH</t>
  </si>
  <si>
    <t>XLOOKUP</t>
  </si>
  <si>
    <t>SEQUENCE</t>
  </si>
  <si>
    <t>COUNTA</t>
  </si>
  <si>
    <t>SORT</t>
  </si>
  <si>
    <t>UNIQUE</t>
  </si>
  <si>
    <t>CHOOSE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</si>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</sst>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\+0;\-0;0"/>
    <numFmt numFmtId="166" formatCode="0_ ;\-0\ "/>
  </numFmts>
  <fonts count="12" x14ac:knownFonts="1">
    <font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9"/>
      <name val="Calibri"/>
      <family val="2"/>
      <scheme val="minor"/>
    </font>
    <font>
      <b/>
      <sz val="15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9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theme="9" tint="0.39997558519241921"/>
      </right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rgb="FF92D050"/>
      </top>
      <bottom style="double">
        <color rgb="FF92D050"/>
      </bottom>
      <diagonal/>
    </border>
    <border>
      <left/>
      <right/>
      <top/>
      <bottom style="thick">
        <color rgb="FFFFC000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double">
        <color theme="1"/>
      </bottom>
      <diagonal/>
    </border>
    <border>
      <left style="thin">
        <color indexed="64"/>
      </left>
      <right style="thin">
        <color theme="9" tint="0.39997558519241921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0070C0"/>
      </bottom>
      <diagonal/>
    </border>
    <border>
      <left/>
      <right/>
      <top/>
      <bottom style="double">
        <color rgb="FF92D050"/>
      </bottom>
      <diagonal/>
    </border>
    <border>
      <left/>
      <right/>
      <top style="thick">
        <color rgb="FFFFC000"/>
      </top>
      <bottom/>
      <diagonal/>
    </border>
  </borders>
  <cellStyleXfs count="17">
    <xf numFmtId="0" fontId="0" fillId="0" borderId="0"/>
    <xf numFmtId="0" fontId="1" fillId="0" borderId="1" applyNumberFormat="0" applyFill="0" applyAlignment="0" applyProtection="0"/>
    <xf numFmtId="0" fontId="4" fillId="0" borderId="0"/>
    <xf numFmtId="0" fontId="7" fillId="0" borderId="8" applyNumberFormat="0" applyFill="0" applyAlignment="0" applyProtection="0"/>
    <xf numFmtId="0" fontId="8" fillId="0" borderId="12">
      <alignment horizontal="center"/>
    </xf>
    <xf numFmtId="0" fontId="6" fillId="0" borderId="27" applyFill="0" applyProtection="0">
      <alignment horizontal="center" vertical="center" wrapText="1"/>
    </xf>
    <xf numFmtId="0" fontId="6" fillId="0" borderId="0"/>
    <xf numFmtId="0" fontId="4" fillId="0" borderId="0"/>
    <xf numFmtId="0" fontId="6" fillId="0" borderId="25">
      <alignment horizontal="center" vertical="center" wrapText="1"/>
    </xf>
    <xf numFmtId="0" fontId="1" fillId="0" borderId="16" applyFill="0" applyAlignment="0" applyProtection="0"/>
    <xf numFmtId="0" fontId="6" fillId="0" borderId="0"/>
    <xf numFmtId="0" fontId="4" fillId="0" borderId="0"/>
    <xf numFmtId="0" fontId="6" fillId="0" borderId="15" applyFill="0" applyProtection="0">
      <alignment horizontal="center" vertical="center" wrapText="1"/>
    </xf>
    <xf numFmtId="0" fontId="9" fillId="0" borderId="21">
      <alignment horizontal="center"/>
    </xf>
    <xf numFmtId="0" fontId="6" fillId="0" borderId="23" applyFill="0" applyProtection="0">
      <alignment horizontal="center" vertical="center" wrapText="1"/>
    </xf>
    <xf numFmtId="0" fontId="6" fillId="0" borderId="26">
      <alignment horizontal="center" vertical="center" wrapText="1"/>
    </xf>
    <xf numFmtId="0" fontId="11" fillId="0" borderId="0" applyNumberFormat="0" applyFill="0" applyBorder="0" applyAlignment="0" applyProtection="0"/>
  </cellStyleXfs>
  <cellXfs count="91">
    <xf numFmtId="0" fontId="0" fillId="0" borderId="0" xfId="0"/>
    <xf numFmtId="0" fontId="6" fillId="0" borderId="0" xfId="6"/>
    <xf numFmtId="0" fontId="6" fillId="0" borderId="25" xfId="8">
      <alignment horizontal="center" vertical="center" wrapText="1"/>
    </xf>
    <xf numFmtId="0" fontId="6" fillId="0" borderId="0" xfId="10"/>
    <xf numFmtId="0" fontId="5" fillId="0" borderId="5" xfId="11" applyFont="1" applyBorder="1" applyAlignment="1">
      <alignment horizontal="center"/>
    </xf>
    <xf numFmtId="0" fontId="5" fillId="0" borderId="6" xfId="11" applyFont="1" applyBorder="1" applyAlignment="1">
      <alignment horizontal="center"/>
    </xf>
    <xf numFmtId="1" fontId="6" fillId="0" borderId="0" xfId="10" applyNumberFormat="1"/>
    <xf numFmtId="0" fontId="3" fillId="0" borderId="0" xfId="11" applyFont="1" applyAlignment="1">
      <alignment horizontal="center"/>
    </xf>
    <xf numFmtId="0" fontId="2" fillId="0" borderId="10" xfId="11" applyFont="1" applyBorder="1" applyAlignment="1">
      <alignment horizontal="center" shrinkToFit="1"/>
    </xf>
    <xf numFmtId="0" fontId="3" fillId="0" borderId="10" xfId="11" applyFont="1" applyBorder="1" applyAlignment="1">
      <alignment horizontal="center"/>
    </xf>
    <xf numFmtId="0" fontId="2" fillId="0" borderId="10" xfId="11" applyFont="1" applyBorder="1" applyAlignment="1">
      <alignment horizontal="center" vertical="center" shrinkToFit="1"/>
    </xf>
    <xf numFmtId="0" fontId="3" fillId="4" borderId="0" xfId="10" applyFont="1" applyFill="1" applyAlignment="1">
      <alignment horizontal="center" vertical="center"/>
    </xf>
    <xf numFmtId="0" fontId="5" fillId="0" borderId="9" xfId="11" applyFont="1" applyBorder="1" applyAlignment="1">
      <alignment horizontal="center"/>
    </xf>
    <xf numFmtId="165" fontId="5" fillId="0" borderId="6" xfId="11" applyNumberFormat="1" applyFont="1" applyBorder="1" applyAlignment="1">
      <alignment horizontal="center"/>
    </xf>
    <xf numFmtId="1" fontId="5" fillId="0" borderId="6" xfId="11" applyNumberFormat="1" applyFont="1" applyBorder="1" applyAlignment="1">
      <alignment horizontal="center"/>
    </xf>
    <xf numFmtId="0" fontId="4" fillId="5" borderId="18" xfId="10" applyFont="1" applyFill="1" applyBorder="1" applyAlignment="1">
      <alignment horizontal="center" vertical="center"/>
    </xf>
    <xf numFmtId="0" fontId="4" fillId="0" borderId="17" xfId="10" applyFont="1" applyBorder="1" applyAlignment="1">
      <alignment horizontal="center" vertical="center"/>
    </xf>
    <xf numFmtId="0" fontId="4" fillId="5" borderId="17" xfId="10" applyFont="1" applyFill="1" applyBorder="1" applyAlignment="1">
      <alignment horizontal="center" vertical="center"/>
    </xf>
    <xf numFmtId="0" fontId="5" fillId="0" borderId="11" xfId="11" applyFont="1" applyBorder="1" applyAlignment="1">
      <alignment horizontal="center"/>
    </xf>
    <xf numFmtId="0" fontId="6" fillId="0" borderId="0" xfId="10" applyAlignment="1">
      <alignment horizontal="center" vertical="center"/>
    </xf>
    <xf numFmtId="0" fontId="3" fillId="0" borderId="0" xfId="11" applyFont="1" applyFill="1" applyAlignment="1">
      <alignment horizontal="center"/>
    </xf>
    <xf numFmtId="0" fontId="3" fillId="0" borderId="10" xfId="11" applyFont="1" applyFill="1" applyBorder="1" applyAlignment="1">
      <alignment horizontal="center"/>
    </xf>
    <xf numFmtId="0" fontId="5" fillId="0" borderId="6" xfId="11" applyFont="1" applyFill="1" applyBorder="1" applyAlignment="1">
      <alignment horizontal="center"/>
    </xf>
    <xf numFmtId="0" fontId="5" fillId="0" borderId="9" xfId="11" applyFont="1" applyFill="1" applyBorder="1" applyAlignment="1">
      <alignment horizontal="center"/>
    </xf>
    <xf numFmtId="0" fontId="5" fillId="0" borderId="5" xfId="11" applyFont="1" applyFill="1" applyBorder="1" applyAlignment="1">
      <alignment horizontal="center"/>
    </xf>
    <xf numFmtId="165" fontId="5" fillId="0" borderId="6" xfId="11" applyNumberFormat="1" applyFont="1" applyFill="1" applyBorder="1" applyAlignment="1">
      <alignment horizontal="center"/>
    </xf>
    <xf numFmtId="164" fontId="5" fillId="0" borderId="6" xfId="11" applyNumberFormat="1" applyFont="1" applyFill="1" applyBorder="1" applyAlignment="1">
      <alignment horizontal="center"/>
    </xf>
    <xf numFmtId="0" fontId="5" fillId="0" borderId="7" xfId="11" applyFont="1" applyFill="1" applyBorder="1" applyAlignment="1">
      <alignment horizontal="center"/>
    </xf>
    <xf numFmtId="0" fontId="2" fillId="6" borderId="19" xfId="11" applyNumberFormat="1" applyFont="1" applyFill="1" applyBorder="1" applyAlignment="1">
      <alignment horizontal="center" shrinkToFit="1"/>
    </xf>
    <xf numFmtId="0" fontId="3" fillId="6" borderId="20" xfId="11" applyNumberFormat="1" applyFont="1" applyFill="1" applyBorder="1" applyAlignment="1">
      <alignment horizontal="center"/>
    </xf>
    <xf numFmtId="0" fontId="3" fillId="6" borderId="19" xfId="11" applyNumberFormat="1" applyFont="1" applyFill="1" applyBorder="1" applyAlignment="1">
      <alignment horizontal="center"/>
    </xf>
    <xf numFmtId="0" fontId="2" fillId="6" borderId="19" xfId="11" applyNumberFormat="1" applyFont="1" applyFill="1" applyBorder="1" applyAlignment="1">
      <alignment horizontal="center" vertical="center" shrinkToFit="1"/>
    </xf>
    <xf numFmtId="0" fontId="5" fillId="7" borderId="6" xfId="11" applyNumberFormat="1" applyFont="1" applyFill="1" applyBorder="1" applyAlignment="1">
      <alignment horizontal="center"/>
    </xf>
    <xf numFmtId="0" fontId="5" fillId="7" borderId="20" xfId="11" applyNumberFormat="1" applyFont="1" applyFill="1" applyBorder="1" applyAlignment="1">
      <alignment horizontal="center"/>
    </xf>
    <xf numFmtId="0" fontId="5" fillId="7" borderId="19" xfId="11" applyNumberFormat="1" applyFont="1" applyFill="1" applyBorder="1" applyAlignment="1">
      <alignment horizontal="center"/>
    </xf>
    <xf numFmtId="165" fontId="5" fillId="7" borderId="6" xfId="11" applyNumberFormat="1" applyFont="1" applyFill="1" applyBorder="1" applyAlignment="1">
      <alignment horizontal="center"/>
    </xf>
    <xf numFmtId="0" fontId="5" fillId="0" borderId="6" xfId="11" applyNumberFormat="1" applyFont="1" applyBorder="1" applyAlignment="1">
      <alignment horizontal="center"/>
    </xf>
    <xf numFmtId="0" fontId="5" fillId="0" borderId="20" xfId="11" applyNumberFormat="1" applyFont="1" applyBorder="1" applyAlignment="1">
      <alignment horizontal="center"/>
    </xf>
    <xf numFmtId="0" fontId="5" fillId="0" borderId="19" xfId="11" applyNumberFormat="1" applyFont="1" applyBorder="1" applyAlignment="1">
      <alignment horizontal="center"/>
    </xf>
    <xf numFmtId="0" fontId="5" fillId="0" borderId="7" xfId="11" applyNumberFormat="1" applyFont="1" applyBorder="1" applyAlignment="1">
      <alignment horizontal="center"/>
    </xf>
    <xf numFmtId="166" fontId="5" fillId="7" borderId="6" xfId="11" applyNumberFormat="1" applyFont="1" applyFill="1" applyBorder="1" applyAlignment="1">
      <alignment horizontal="center" vertical="center"/>
    </xf>
    <xf numFmtId="166" fontId="5" fillId="0" borderId="6" xfId="11" applyNumberFormat="1" applyFont="1" applyBorder="1" applyAlignment="1">
      <alignment horizontal="center" vertical="center"/>
    </xf>
    <xf numFmtId="0" fontId="10" fillId="0" borderId="0" xfId="10" applyFont="1" applyAlignment="1">
      <alignment horizontal="center" vertical="center"/>
    </xf>
    <xf numFmtId="0" fontId="10" fillId="0" borderId="0" xfId="10" applyFont="1"/>
    <xf numFmtId="0" fontId="3" fillId="6" borderId="19" xfId="11" applyNumberFormat="1" applyFont="1" applyFill="1" applyBorder="1" applyAlignment="1">
      <alignment horizontal="center" shrinkToFit="1"/>
    </xf>
    <xf numFmtId="0" fontId="6" fillId="0" borderId="0" xfId="14" applyBorder="1" applyAlignment="1">
      <alignment vertical="center"/>
    </xf>
    <xf numFmtId="0" fontId="0" fillId="0" borderId="0" xfId="0" applyBorder="1"/>
    <xf numFmtId="0" fontId="6" fillId="0" borderId="0" xfId="12" applyBorder="1" applyAlignment="1">
      <alignment vertical="center"/>
    </xf>
    <xf numFmtId="0" fontId="3" fillId="3" borderId="13" xfId="11" applyNumberFormat="1" applyFont="1" applyFill="1" applyBorder="1" applyAlignment="1">
      <alignment horizontal="center"/>
    </xf>
    <xf numFmtId="0" fontId="2" fillId="3" borderId="13" xfId="11" applyNumberFormat="1" applyFont="1" applyFill="1" applyBorder="1" applyAlignment="1">
      <alignment horizontal="center" vertical="center" shrinkToFit="1"/>
    </xf>
    <xf numFmtId="0" fontId="2" fillId="3" borderId="13" xfId="11" applyNumberFormat="1" applyFont="1" applyFill="1" applyBorder="1" applyAlignment="1">
      <alignment horizontal="center" shrinkToFit="1"/>
    </xf>
    <xf numFmtId="0" fontId="2" fillId="3" borderId="14" xfId="11" applyNumberFormat="1" applyFont="1" applyFill="1" applyBorder="1" applyAlignment="1">
      <alignment horizontal="center" shrinkToFit="1"/>
    </xf>
    <xf numFmtId="0" fontId="5" fillId="2" borderId="13" xfId="11" applyNumberFormat="1" applyFont="1" applyFill="1" applyBorder="1" applyAlignment="1">
      <alignment horizontal="center"/>
    </xf>
    <xf numFmtId="0" fontId="5" fillId="2" borderId="14" xfId="11" applyNumberFormat="1" applyFont="1" applyFill="1" applyBorder="1" applyAlignment="1">
      <alignment horizontal="center"/>
    </xf>
    <xf numFmtId="0" fontId="5" fillId="0" borderId="13" xfId="11" applyNumberFormat="1" applyFont="1" applyBorder="1" applyAlignment="1">
      <alignment horizontal="center"/>
    </xf>
    <xf numFmtId="0" fontId="5" fillId="0" borderId="14" xfId="11" applyNumberFormat="1" applyFont="1" applyBorder="1" applyAlignment="1">
      <alignment horizontal="center"/>
    </xf>
    <xf numFmtId="0" fontId="5" fillId="0" borderId="24" xfId="11" applyNumberFormat="1" applyFont="1" applyBorder="1" applyAlignment="1">
      <alignment horizontal="center"/>
    </xf>
    <xf numFmtId="0" fontId="0" fillId="0" borderId="0" xfId="0" applyAlignment="1"/>
    <xf numFmtId="0" fontId="7" fillId="0" borderId="22" xfId="3" applyBorder="1" applyAlignment="1">
      <alignment vertical="center" wrapText="1"/>
    </xf>
    <xf numFmtId="0" fontId="6" fillId="0" borderId="22" xfId="3" applyFont="1" applyBorder="1" applyAlignment="1">
      <alignment vertical="center" wrapText="1"/>
    </xf>
    <xf numFmtId="0" fontId="0" fillId="0" borderId="0" xfId="0" applyFill="1"/>
    <xf numFmtId="0" fontId="6" fillId="0" borderId="28" xfId="8" applyBorder="1" applyAlignment="1">
      <alignment vertical="center" wrapText="1"/>
    </xf>
    <xf numFmtId="0" fontId="6" fillId="0" borderId="0" xfId="8" applyBorder="1" applyAlignment="1">
      <alignment vertical="center" wrapText="1"/>
    </xf>
    <xf numFmtId="0" fontId="3" fillId="0" borderId="10" xfId="11" applyFont="1" applyFill="1" applyBorder="1" applyAlignment="1">
      <alignment horizontal="center" shrinkToFit="1"/>
    </xf>
    <xf numFmtId="0" fontId="3" fillId="0" borderId="10" xfId="1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5" fillId="0" borderId="5" xfId="11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0" fontId="1" fillId="0" borderId="0" xfId="9" applyBorder="1" applyAlignment="1">
      <alignment horizontal="center"/>
    </xf>
    <xf numFmtId="0" fontId="5" fillId="0" borderId="0" xfId="10" applyFont="1" applyAlignment="1">
      <alignment vertical="center"/>
    </xf>
    <xf numFmtId="0" fontId="5" fillId="0" borderId="0" xfId="10" applyFont="1" applyAlignment="1">
      <alignment horizontal="center" vertical="center"/>
    </xf>
    <xf numFmtId="0" fontId="11" fillId="0" borderId="0" xfId="16" applyFont="1" applyAlignment="1">
      <alignment horizontal="center" vertical="center"/>
    </xf>
    <xf numFmtId="0" fontId="6" fillId="0" borderId="23" xfId="14">
      <alignment horizontal="center" vertical="center" wrapText="1"/>
    </xf>
    <xf numFmtId="0" fontId="1" fillId="0" borderId="1" xfId="1" applyAlignment="1">
      <alignment horizontal="center"/>
    </xf>
    <xf numFmtId="0" fontId="6" fillId="0" borderId="26" xfId="15">
      <alignment horizontal="center" vertical="center" wrapText="1"/>
    </xf>
    <xf numFmtId="0" fontId="9" fillId="0" borderId="21" xfId="13">
      <alignment horizontal="center"/>
    </xf>
    <xf numFmtId="0" fontId="6" fillId="0" borderId="26" xfId="15" applyAlignment="1">
      <alignment horizontal="center" vertical="center" wrapText="1"/>
    </xf>
    <xf numFmtId="0" fontId="11" fillId="0" borderId="0" xfId="16" applyFont="1" applyAlignment="1">
      <alignment horizontal="center"/>
    </xf>
    <xf numFmtId="0" fontId="11" fillId="0" borderId="23" xfId="16" applyBorder="1" applyAlignment="1">
      <alignment horizontal="center" vertical="center" wrapText="1"/>
    </xf>
    <xf numFmtId="0" fontId="8" fillId="0" borderId="12" xfId="4">
      <alignment horizontal="center"/>
    </xf>
    <xf numFmtId="0" fontId="6" fillId="0" borderId="27" xfId="5">
      <alignment horizontal="center" vertical="center" wrapText="1"/>
    </xf>
    <xf numFmtId="0" fontId="8" fillId="0" borderId="12" xfId="4" applyAlignment="1">
      <alignment horizontal="center"/>
    </xf>
    <xf numFmtId="0" fontId="11" fillId="0" borderId="0" xfId="16" applyAlignment="1">
      <alignment horizontal="center" vertical="center"/>
    </xf>
    <xf numFmtId="0" fontId="6" fillId="0" borderId="25" xfId="8">
      <alignment horizontal="center" vertical="center" wrapText="1"/>
    </xf>
    <xf numFmtId="0" fontId="1" fillId="0" borderId="16" xfId="9" applyAlignment="1">
      <alignment horizontal="center"/>
    </xf>
  </cellXfs>
  <cellStyles count="17">
    <cellStyle name="Heading 1" xfId="1" builtinId="16"/>
    <cellStyle name="Heading 1 Orange" xfId="9" xr:uid="{84866996-2E45-429C-ADB9-4272FC499D36}"/>
    <cellStyle name="Hyperlink" xfId="16" builtinId="8" customBuiltin="1"/>
    <cellStyle name="Normal" xfId="0" builtinId="0"/>
    <cellStyle name="Normal 2" xfId="2" xr:uid="{7403A600-CBC7-440F-953F-CDE4B7E4886D}"/>
    <cellStyle name="Normal 2 2" xfId="6" xr:uid="{02D34992-A67D-482B-9EAB-5127D7F67D7C}"/>
    <cellStyle name="Normal 2 2 2" xfId="7" xr:uid="{3B3B949B-E2B1-4FAC-A133-98A035A98DF1}"/>
    <cellStyle name="Normal 2 2 2 2" xfId="10" xr:uid="{C21A977D-7800-4FBA-B212-F360EF3DB73E}"/>
    <cellStyle name="Normal 2 2 2 2 2" xfId="11" xr:uid="{25526A7F-C845-4BE8-A64B-10D0A4E755F9}"/>
    <cellStyle name="Style 2" xfId="4" xr:uid="{90CE6D72-9829-4F0F-A13F-38DCB093AAF8}"/>
    <cellStyle name="Style 3" xfId="8" xr:uid="{82CA61DC-E53F-4F66-8C67-D5235EDF7DF8}"/>
    <cellStyle name="Style 4" xfId="13" xr:uid="{FD287F74-3C05-455F-8241-99B6D0A13BEF}"/>
    <cellStyle name="Style blue" xfId="15" xr:uid="{D47C4678-85FD-4BC8-AEFD-6E9090724419}"/>
    <cellStyle name="Total" xfId="3" builtinId="25"/>
    <cellStyle name="Total 2" xfId="5" xr:uid="{9353219E-A52C-4EE8-B701-69F1A273FCCA}"/>
    <cellStyle name="Total 2 2" xfId="12" xr:uid="{0E7CD287-E49C-4E84-8D18-043832BE62C9}"/>
    <cellStyle name="Total 5" xfId="14" xr:uid="{76950C01-9672-48AF-BE56-A4307766131C}"/>
  </cellStyles>
  <dxfs count="7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\+0;\-0;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alignment horizontal="center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\+0;\-0;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alignment horizontal="center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\+0;\-0;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0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\+0;\-0;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1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7" formatCode="dd/mm/yyyy\ hh:m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ACM/ACM%20Football/Development/ACM%20Footbal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Key"/>
      <sheetName val="Club Results"/>
      <sheetName val="Head-to-Head"/>
      <sheetName val="Tables"/>
      <sheetName val="Results Grid"/>
      <sheetName val="Sheet2"/>
      <sheetName val="Sheet1"/>
      <sheetName val="Settings"/>
      <sheetName val="Database"/>
    </sheetNames>
    <sheetDataSet>
      <sheetData sheetId="0"/>
      <sheetData sheetId="1"/>
      <sheetData sheetId="2"/>
      <sheetData sheetId="3">
        <row r="3">
          <cell r="Q3" t="str">
            <v>Manchester United</v>
          </cell>
        </row>
      </sheetData>
      <sheetData sheetId="4"/>
      <sheetData sheetId="5"/>
      <sheetData sheetId="6"/>
      <sheetData sheetId="7"/>
      <sheetData sheetId="8">
        <row r="5">
          <cell r="AL5">
            <v>3</v>
          </cell>
        </row>
        <row r="6">
          <cell r="AL6">
            <v>1</v>
          </cell>
        </row>
        <row r="7">
          <cell r="AL7">
            <v>0</v>
          </cell>
        </row>
      </sheetData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72CD9-A373-45F1-B065-2F2BBA5D9EBE}" name="DataTable" displayName="DataTable" ref="A1:H381" totalsRowShown="0" headerRowDxfId="69" dataDxfId="67" headerRowBorderDxfId="68" tableBorderDxfId="66" totalsRowBorderDxfId="65">
  <autoFilter ref="A1:H381" xr:uid="{FF14A4AD-0A7F-4A6D-9530-36C52C6A0B99}"/>
  <tableColumns count="8">
    <tableColumn id="1" xr3:uid="{6F3BAE2E-24CF-4753-927F-3961E3C2A0EA}" name="team_home" dataDxfId="64"/>
    <tableColumn id="2" xr3:uid="{E1D5A949-68D9-4358-ABE5-AE8C224ECCFA}" name="team_away" dataDxfId="63"/>
    <tableColumn id="3" xr3:uid="{7A3251E2-F4F8-41B4-8355-E12619EB3E26}" name="home_goal" dataDxfId="62"/>
    <tableColumn id="4" xr3:uid="{12590909-7C06-4844-8CD8-9B8884948202}" name="away_goal" dataDxfId="61"/>
    <tableColumn id="5" xr3:uid="{40431116-2BC8-4FB9-BC22-5C87F06BACD2}" name="played" dataDxfId="60"/>
    <tableColumn id="6" xr3:uid="{F9E2549E-7AE1-4BF1-9226-A34A088A4DF4}" name="season" dataDxfId="59"/>
    <tableColumn id="7" xr3:uid="{99C9E707-73FD-461B-9727-7B4712766FF1}" name="date_time" dataDxfId="58"/>
    <tableColumn id="8" xr3:uid="{E740A1A0-F877-4EAB-94A0-774C0BAC6E53}" name="Result" dataDxfId="5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2DF557-D1BB-4E47-AEE1-E7B5BD758AAB}" name="TableA1" displayName="TableA1" ref="C12:M32" totalsRowShown="0" headerRowDxfId="56" dataDxfId="55" tableBorderDxfId="54" headerRowCellStyle="Normal 2">
  <autoFilter ref="C12:M32" xr:uid="{71CBA44D-4235-4510-97D9-B64658F4CF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1" xr3:uid="{4FA8FFA0-8749-45B5-84FD-92F5FDD47A99}" name="RANK" dataDxfId="53" dataCellStyle="Normal 2 2 2 2 2">
      <calculatedColumnFormula>_xlfn.RANK.EQ(TableA1[[#This Row],[PTS]],TableA1[PTS])</calculatedColumnFormula>
    </tableColumn>
    <tableColumn id="1" xr3:uid="{4826B0DD-4C64-4660-94EB-0C8C05BDF14A}" name="POS" dataDxfId="52" dataCellStyle="Normal 2"/>
    <tableColumn id="2" xr3:uid="{78685AA5-5078-4C03-8A44-03F38A8B9C72}" name="TEAM" dataDxfId="51" dataCellStyle="Normal 2"/>
    <tableColumn id="3" xr3:uid="{A3E47E52-2A28-44B6-BCA1-516F68AE9E5D}" name="P" dataDxfId="50" dataCellStyle="Normal 2">
      <calculatedColumnFormula>COUNTIFS(DataTable[team_home],E13,DataTable[played],1)
+
COUNTIFS(DataTable[team_away],E13,DataTable[played],1)</calculatedColumnFormula>
    </tableColumn>
    <tableColumn id="4" xr3:uid="{09069391-ECF8-4543-84F0-9314238D9B73}" name="W" dataDxfId="49" dataCellStyle="Normal 2">
      <calculatedColumnFormula>COUNTIFS(DataTable[team_home],E13,DataTable[Result],"H")
+
COUNTIFS(DataTable[team_away],E13,DataTable[Result],"A")</calculatedColumnFormula>
    </tableColumn>
    <tableColumn id="5" xr3:uid="{B8022BA6-D36C-44A0-B91B-D50813B263FF}" name="D" dataDxfId="48" dataCellStyle="Normal 2">
      <calculatedColumnFormula>COUNTIFS(DataTable[team_home],E13,DataTable[Result],"D")
+
COUNTIFS(DataTable[team_away],E13,DataTable[Result],"D")</calculatedColumnFormula>
    </tableColumn>
    <tableColumn id="6" xr3:uid="{80850001-42F8-4A83-AEF2-FB2D1F5BF2AF}" name="L" dataDxfId="47" dataCellStyle="Normal 2">
      <calculatedColumnFormula>COUNTIFS(DataTable[team_home],E13,DataTable[Result],"A")
+
COUNTIFS(DataTable[team_away],E13,DataTable[Result],"H")</calculatedColumnFormula>
    </tableColumn>
    <tableColumn id="7" xr3:uid="{35EA562F-7136-4146-BC0B-7B5EDBD7859E}" name="F" dataDxfId="46" dataCellStyle="Normal 2">
      <calculatedColumnFormula>SUMIFS(DataTable[home_goal],DataTable[team_home],E13)
+
SUMIFS(DataTable[away_goal],DataTable[team_away],E13)</calculatedColumnFormula>
    </tableColumn>
    <tableColumn id="8" xr3:uid="{BFC6743B-3B64-4AB4-A9CF-63B14565EA26}" name="A" dataDxfId="45" dataCellStyle="Normal 2">
      <calculatedColumnFormula>SUMIFS(DataTable[home_goal],DataTable[team_away],E13)
+
SUMIFS(DataTable[away_goal],DataTable[team_home],E13)</calculatedColumnFormula>
    </tableColumn>
    <tableColumn id="9" xr3:uid="{A5E88D51-4BDE-478A-83D7-274A4A768270}" name="GD" dataDxfId="44" dataCellStyle="Normal 2">
      <calculatedColumnFormula>TableA1[[#This Row],[F]]-TableA1[[#This Row],[A]]</calculatedColumnFormula>
    </tableColumn>
    <tableColumn id="10" xr3:uid="{8FA5B526-4148-4614-AE81-ED36E0C1BDA7}" name="PTS" dataDxfId="43" dataCellStyle="Normal 2">
      <calculatedColumnFormula>(G13*3)+(H13*1)+(L13*0.00001)+(J13*0.0000001)-(CODE(LEFT(E13,1))/100*0.00000001)-(D13/100*0.000000001)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78CB2E-7F6F-4F14-BEDE-C7AF06FB6F3D}" name="TableA3" displayName="TableA3" ref="AD12:AM32" totalsRowShown="0" headerRowDxfId="42" dataDxfId="41" tableBorderDxfId="40" headerRowCellStyle="Normal 2" dataCellStyle="Normal 2">
  <autoFilter ref="AD12:AM32" xr:uid="{92FFFC23-B4D7-4EED-897F-194B8180FA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BF338B1-329B-4F03-BBA9-44654818C6D8}" name="POS" dataDxfId="39"/>
    <tableColumn id="2" xr3:uid="{6600495E-CC9A-435C-81EA-A06FD663634F}" name="TEAM" dataDxfId="38" dataCellStyle="Normal 2">
      <calculatedColumnFormula>INDEX(TableA1[TEAM],MATCH(TableA3[[#This Row],[POS]],TableA1[RANK],0))</calculatedColumnFormula>
    </tableColumn>
    <tableColumn id="3" xr3:uid="{67CB5862-E2C2-48DC-81DA-B5CBAE636E9B}" name="P" dataDxfId="37" dataCellStyle="Normal 2">
      <calculatedColumnFormula array="1">INDEX(TableA1[P],MATCH(TableA3[[#This Row],[POS]:[POS]],TableA1[[RANK]:[RANK]],0))</calculatedColumnFormula>
    </tableColumn>
    <tableColumn id="4" xr3:uid="{36A4CE8A-9BE6-46CB-AB0A-028907F6D004}" name="W" dataDxfId="36" dataCellStyle="Normal 2">
      <calculatedColumnFormula array="1">INDEX(TableA1[W],MATCH(TableA3[[#This Row],[POS]:[POS]],TableA1[[RANK]:[RANK]],0))</calculatedColumnFormula>
    </tableColumn>
    <tableColumn id="5" xr3:uid="{DA690ADE-EB88-4023-97EC-61A2D43DC0EF}" name="D" dataDxfId="35" dataCellStyle="Normal 2">
      <calculatedColumnFormula array="1">INDEX(TableA1[D],MATCH(TableA3[[#This Row],[POS]:[POS]],TableA1[[RANK]:[RANK]],0))</calculatedColumnFormula>
    </tableColumn>
    <tableColumn id="6" xr3:uid="{E125CC4F-E1BF-4CC7-85D6-02E8149101CD}" name="L" dataDxfId="34" dataCellStyle="Normal 2">
      <calculatedColumnFormula array="1">INDEX(TableA1[L],MATCH(TableA3[[#This Row],[POS]:[POS]],TableA1[[RANK]:[RANK]],0))</calculatedColumnFormula>
    </tableColumn>
    <tableColumn id="7" xr3:uid="{862897F7-FD33-47E8-8FC3-4C8AAA5EC67A}" name="F" dataDxfId="33" dataCellStyle="Normal 2">
      <calculatedColumnFormula array="1">INDEX(TableA1[F],MATCH(TableA3[[#This Row],[POS]:[POS]],TableA1[[RANK]:[RANK]],0))</calculatedColumnFormula>
    </tableColumn>
    <tableColumn id="8" xr3:uid="{32A7B997-36D3-474B-B85E-F799F3665CE6}" name="A" dataDxfId="32" dataCellStyle="Normal 2">
      <calculatedColumnFormula array="1">INDEX(TableA1[A],MATCH(TableA3[[#This Row],[POS]:[POS]],TableA1[[RANK]:[RANK]],0))</calculatedColumnFormula>
    </tableColumn>
    <tableColumn id="9" xr3:uid="{7EE84A8F-5BBE-4F6D-8300-BCAE8C87F796}" name="GD" dataDxfId="31" dataCellStyle="Normal 2">
      <calculatedColumnFormula array="1">INDEX(TableA1[GD],MATCH(TableA3[[#This Row],[POS]:[POS]],TableA1[[RANK]:[RANK]],0))</calculatedColumnFormula>
    </tableColumn>
    <tableColumn id="10" xr3:uid="{B1A00465-7E36-4CB3-88FD-E8516D2D11DE}" name="PTS" dataDxfId="30" dataCellStyle="Normal 2">
      <calculatedColumnFormula array="1">INDEX(TableA1[PTS],MATCH(TableA3[[#This Row],[POS]:[POS]],TableA1[[RANK]:[RANK]],0))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904E15D-B5C8-456C-86EB-18C96B7FBBF0}" name="TableA2" displayName="TableA2" ref="Q12:Z32" totalsRowShown="0" headerRowDxfId="29" dataDxfId="27" headerRowBorderDxfId="28" tableBorderDxfId="26" totalsRowBorderDxfId="25" headerRowCellStyle="Normal 2 2 2 2 2" dataCellStyle="Normal 2 2 2 2 2">
  <autoFilter ref="Q12:Z32" xr:uid="{9B6D874B-4ACF-4908-9568-C578E702846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E0B681DA-0583-46EE-B4FE-F738E3E6144C}" name="POS" dataDxfId="24" dataCellStyle="Normal 2 2 2 2 2"/>
    <tableColumn id="2" xr3:uid="{35B85F6C-AF5E-4B79-B699-CB53C6076B05}" name="TEAM" dataDxfId="23" dataCellStyle="Normal 2 2 2 2 2">
      <calculatedColumnFormula array="1">VLOOKUP($Q13,$C$13:$M$32,COLUMN(C:C),0)</calculatedColumnFormula>
    </tableColumn>
    <tableColumn id="3" xr3:uid="{5754BD50-7321-43AA-A2D7-E10395E00605}" name="P" dataDxfId="22" dataCellStyle="Normal 2 2 2 2 2">
      <calculatedColumnFormula array="1">VLOOKUP($Q13,$C$13:$M$32,COLUMN(D:D),0)</calculatedColumnFormula>
    </tableColumn>
    <tableColumn id="4" xr3:uid="{A4B685B4-00E1-4EB6-BC1D-30BB0D773057}" name="W" dataDxfId="21" dataCellStyle="Normal 2 2 2 2 2">
      <calculatedColumnFormula array="1">VLOOKUP($Q13,$C$13:$M$32,COLUMN(E:E),0)</calculatedColumnFormula>
    </tableColumn>
    <tableColumn id="5" xr3:uid="{A46B5221-F5C8-4D91-A295-13D3C225FC63}" name="D" dataDxfId="20" dataCellStyle="Normal 2 2 2 2 2">
      <calculatedColumnFormula array="1">VLOOKUP($Q13,$C$13:$M$32,COLUMN(F:F),0)</calculatedColumnFormula>
    </tableColumn>
    <tableColumn id="6" xr3:uid="{0B585F16-2885-41BC-B3B7-88ADA044106B}" name="L" dataDxfId="19" dataCellStyle="Normal 2 2 2 2 2">
      <calculatedColumnFormula array="1">VLOOKUP($Q13,$C$13:$M$32,COLUMN(G:G),0)</calculatedColumnFormula>
    </tableColumn>
    <tableColumn id="7" xr3:uid="{86CAC5EA-5443-4F27-8F13-D0E6FCDA9611}" name="F" dataDxfId="18" dataCellStyle="Normal 2 2 2 2 2">
      <calculatedColumnFormula array="1">VLOOKUP($Q13,$C$13:$M$32,COLUMN(H:H),0)</calculatedColumnFormula>
    </tableColumn>
    <tableColumn id="8" xr3:uid="{A9D2856F-003E-45DA-806A-FEAFE006064E}" name="A" dataDxfId="17" dataCellStyle="Normal 2 2 2 2 2">
      <calculatedColumnFormula array="1">VLOOKUP($Q13,$C$13:$M$32,COLUMN(I:I),0)</calculatedColumnFormula>
    </tableColumn>
    <tableColumn id="9" xr3:uid="{A17821B7-7865-43A0-9E6A-DF6B760FE48E}" name="GD" dataDxfId="16" dataCellStyle="Normal 2 2 2 2 2">
      <calculatedColumnFormula array="1">VLOOKUP($Q13,$C$13:$M$32,COLUMN(J:J),0)</calculatedColumnFormula>
    </tableColumn>
    <tableColumn id="10" xr3:uid="{68EE361A-5495-4724-B95F-E167DC267774}" name="PTS" dataDxfId="15" dataCellStyle="Normal 2 2 2 2 2">
      <calculatedColumnFormula array="1">VLOOKUP($Q13,$C$13:$M$32,COLUMN(K:K),0)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956A7FD-AA98-4187-9E0A-426F6C129B13}" name="OrderedTable3" displayName="OrderedTable3" ref="AQ12:AZ32" totalsRowShown="0" headerRowDxfId="14" dataDxfId="12" headerRowBorderDxfId="13" tableBorderDxfId="11" totalsRowBorderDxfId="10" headerRowCellStyle="Normal 2 2 2 2 2" dataCellStyle="Normal 2 2 2 2 2">
  <autoFilter ref="AQ12:AZ32" xr:uid="{516B2489-77C2-48E4-BECE-543A8E7B8E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C6A968B-BF04-49E8-A17E-7E967554CA15}" name="POS" dataDxfId="9" dataCellStyle="Normal 2 2 2 2 2"/>
    <tableColumn id="2" xr3:uid="{78288059-81C8-442B-A6D6-DE0BCC6BE68D}" name="TEAM" dataDxfId="8" dataCellStyle="Normal 2 2 2 2 2">
      <calculatedColumnFormula array="1">_xlfn.XLOOKUP(OrderedTable3[[#This Row],[POS]:[POS]],TableA1[[RANK]:[RANK]],TableA1[TEAM])</calculatedColumnFormula>
    </tableColumn>
    <tableColumn id="3" xr3:uid="{86A49A27-B1BD-4493-8D75-7D50F463797D}" name="P" dataDxfId="7" dataCellStyle="Normal 2 2 2 2 2">
      <calculatedColumnFormula array="1">_xlfn.XLOOKUP(OrderedTable3[[#This Row],[POS]:[POS]],TableA1[[RANK]:[RANK]],TableA1[P])</calculatedColumnFormula>
    </tableColumn>
    <tableColumn id="4" xr3:uid="{A2DB8836-F139-4163-8808-0347303E2D93}" name="W" dataDxfId="6" dataCellStyle="Normal 2 2 2 2 2">
      <calculatedColumnFormula array="1">_xlfn.XLOOKUP(OrderedTable3[[#This Row],[POS]:[POS]],TableA1[[RANK]:[RANK]],TableA1[W])</calculatedColumnFormula>
    </tableColumn>
    <tableColumn id="5" xr3:uid="{CC51F58F-4EDC-4ACF-80CD-B2C42B128A4A}" name="D" dataDxfId="5" dataCellStyle="Normal 2 2 2 2 2">
      <calculatedColumnFormula array="1">_xlfn.XLOOKUP(OrderedTable3[[#This Row],[POS]:[POS]],TableA1[[RANK]:[RANK]],TableA1[D])</calculatedColumnFormula>
    </tableColumn>
    <tableColumn id="6" xr3:uid="{7CA40FF4-4C8F-44D1-8A8D-91AC87F71A76}" name="L" dataDxfId="4" dataCellStyle="Normal 2 2 2 2 2">
      <calculatedColumnFormula array="1">_xlfn.XLOOKUP(OrderedTable3[[#This Row],[POS]:[POS]],TableA1[[RANK]:[RANK]],TableA1[L])</calculatedColumnFormula>
    </tableColumn>
    <tableColumn id="7" xr3:uid="{5C235D76-88B8-446D-A7A0-B68109DA3D78}" name="F" dataDxfId="3" dataCellStyle="Normal 2 2 2 2 2">
      <calculatedColumnFormula array="1">_xlfn.XLOOKUP(OrderedTable3[[#This Row],[POS]:[POS]],TableA1[[RANK]:[RANK]],TableA1[F])</calculatedColumnFormula>
    </tableColumn>
    <tableColumn id="8" xr3:uid="{56E95C4C-2917-460C-A077-8F8F99942783}" name="A" dataDxfId="2" dataCellStyle="Normal 2 2 2 2 2">
      <calculatedColumnFormula array="1">_xlfn.XLOOKUP(OrderedTable3[[#This Row],[POS]:[POS]],TableA1[[RANK]:[RANK]],TableA1[A])</calculatedColumnFormula>
    </tableColumn>
    <tableColumn id="9" xr3:uid="{6FBC18F6-F68E-4A27-A398-41F10EA18B47}" name="GD" dataDxfId="1" dataCellStyle="Normal 2 2 2 2 2">
      <calculatedColumnFormula array="1">_xlfn.XLOOKUP(OrderedTable3[[#This Row],[POS]:[POS]],TableA1[[RANK]:[RANK]],TableA1[GD])</calculatedColumnFormula>
    </tableColumn>
    <tableColumn id="10" xr3:uid="{B63FF398-9C16-4750-B54A-777741B28557}" name="PTS" dataDxfId="0" dataCellStyle="Normal 2 2 2 2 2">
      <calculatedColumnFormula array="1">_xlfn.XLOOKUP(OrderedTable3[[#This Row],[POS]:[POS]],TableA1[[RANK]:[RANK]],TableA1[PTS])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celjet.net/excel-functions/excel-match-function" TargetMode="External"/><Relationship Id="rId13" Type="http://schemas.openxmlformats.org/officeDocument/2006/relationships/table" Target="../tables/table4.xml"/><Relationship Id="rId3" Type="http://schemas.openxmlformats.org/officeDocument/2006/relationships/hyperlink" Target="https://exceljet.net/excel-functions/excel-sumifs-function" TargetMode="External"/><Relationship Id="rId7" Type="http://schemas.openxmlformats.org/officeDocument/2006/relationships/hyperlink" Target="https://exceljet.net/excel-functions/excel-index-function" TargetMode="External"/><Relationship Id="rId12" Type="http://schemas.openxmlformats.org/officeDocument/2006/relationships/table" Target="../tables/table3.xml"/><Relationship Id="rId2" Type="http://schemas.openxmlformats.org/officeDocument/2006/relationships/hyperlink" Target="https://exceljet.net/excel-functions/excel-countifs-function" TargetMode="External"/><Relationship Id="rId1" Type="http://schemas.openxmlformats.org/officeDocument/2006/relationships/hyperlink" Target="https://exceljet.net/excel-functions/excel-rank.eq-function" TargetMode="External"/><Relationship Id="rId6" Type="http://schemas.openxmlformats.org/officeDocument/2006/relationships/hyperlink" Target="https://exceljet.net/excel-functions/excel-column-function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exceljet.net/excel-functions/excel-vlookup-functio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xceljet.net/excel-functions/excel-code-function" TargetMode="External"/><Relationship Id="rId9" Type="http://schemas.openxmlformats.org/officeDocument/2006/relationships/hyperlink" Target="https://exceljet.net/excel-functions/excel-xlookup-function" TargetMode="External"/><Relationship Id="rId1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xceljet.net/excel-functions/excel-counta-function" TargetMode="External"/><Relationship Id="rId13" Type="http://schemas.openxmlformats.org/officeDocument/2006/relationships/hyperlink" Target="https://exceljet.net/excel-functions/excel-sort-function" TargetMode="External"/><Relationship Id="rId3" Type="http://schemas.openxmlformats.org/officeDocument/2006/relationships/hyperlink" Target="https://exceljet.net/excel-functions/excel-sort-function" TargetMode="External"/><Relationship Id="rId7" Type="http://schemas.openxmlformats.org/officeDocument/2006/relationships/hyperlink" Target="https://exceljet.net/excel-functions/excel-sequence-function" TargetMode="External"/><Relationship Id="rId12" Type="http://schemas.openxmlformats.org/officeDocument/2006/relationships/hyperlink" Target="https://exceljet.net/excel-functions/excel-counta-function" TargetMode="External"/><Relationship Id="rId2" Type="http://schemas.openxmlformats.org/officeDocument/2006/relationships/hyperlink" Target="https://exceljet.net/excel-functions/excel-counta-function" TargetMode="External"/><Relationship Id="rId1" Type="http://schemas.openxmlformats.org/officeDocument/2006/relationships/hyperlink" Target="https://exceljet.net/excel-functions/excel-sequence-function" TargetMode="External"/><Relationship Id="rId6" Type="http://schemas.openxmlformats.org/officeDocument/2006/relationships/hyperlink" Target="https://exceljet.net/excel-functions/excel-sumifs-function" TargetMode="External"/><Relationship Id="rId11" Type="http://schemas.openxmlformats.org/officeDocument/2006/relationships/hyperlink" Target="https://exceljet.net/excel-functions/excel-sequence-function" TargetMode="External"/><Relationship Id="rId5" Type="http://schemas.openxmlformats.org/officeDocument/2006/relationships/hyperlink" Target="https://exceljet.net/excel-functions/excel-countifs-function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exceljet.net/excel-functions/excel-choose-function" TargetMode="External"/><Relationship Id="rId4" Type="http://schemas.openxmlformats.org/officeDocument/2006/relationships/hyperlink" Target="https://exceljet.net/excel-functions/excel-unique-function" TargetMode="External"/><Relationship Id="rId9" Type="http://schemas.openxmlformats.org/officeDocument/2006/relationships/hyperlink" Target="https://exceljet.net/excel-functions/excel-sort-function" TargetMode="External"/><Relationship Id="rId14" Type="http://schemas.openxmlformats.org/officeDocument/2006/relationships/hyperlink" Target="https://exceljet.net/excel-functions/excel-switch-func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xceljet.net/excel-functions/excel-sumifs-function" TargetMode="External"/><Relationship Id="rId3" Type="http://schemas.openxmlformats.org/officeDocument/2006/relationships/hyperlink" Target="https://exceljet.net/excel-functions/excel-countifs-function" TargetMode="External"/><Relationship Id="rId7" Type="http://schemas.openxmlformats.org/officeDocument/2006/relationships/hyperlink" Target="https://exceljet.net/excel-functions/excel-countifs-function" TargetMode="External"/><Relationship Id="rId2" Type="http://schemas.openxmlformats.org/officeDocument/2006/relationships/hyperlink" Target="https://exceljet.net/excel-functions/excel-unique-function" TargetMode="External"/><Relationship Id="rId1" Type="http://schemas.openxmlformats.org/officeDocument/2006/relationships/hyperlink" Target="https://exceljet.net/excel-functions/excel-choose-function" TargetMode="External"/><Relationship Id="rId6" Type="http://schemas.openxmlformats.org/officeDocument/2006/relationships/hyperlink" Target="https://exceljet.net/excel-functions/excel-unique-function" TargetMode="External"/><Relationship Id="rId5" Type="http://schemas.openxmlformats.org/officeDocument/2006/relationships/hyperlink" Target="https://exceljet.net/excel-functions/excel-switch-function" TargetMode="External"/><Relationship Id="rId4" Type="http://schemas.openxmlformats.org/officeDocument/2006/relationships/hyperlink" Target="https://exceljet.net/excel-functions/excel-sumifs-function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2B69-996F-468E-A101-5DFB3C88DFDE}">
  <sheetPr codeName="Sheet1">
    <tabColor rgb="FFFFC000"/>
  </sheetPr>
  <dimension ref="A1:H381"/>
  <sheetViews>
    <sheetView tabSelected="1" zoomScaleNormal="100" workbookViewId="0"/>
  </sheetViews>
  <sheetFormatPr defaultRowHeight="12.75" x14ac:dyDescent="0.2"/>
  <cols>
    <col min="1" max="2" width="23.28515625" style="66" bestFit="1" customWidth="1"/>
    <col min="3" max="3" width="15.42578125" style="66" bestFit="1" customWidth="1"/>
    <col min="4" max="4" width="14.85546875" style="66" bestFit="1" customWidth="1"/>
    <col min="5" max="5" width="11.5703125" style="66" bestFit="1" customWidth="1"/>
    <col min="6" max="6" width="11.7109375" style="66" bestFit="1" customWidth="1"/>
    <col min="7" max="7" width="15.42578125" style="66" bestFit="1" customWidth="1"/>
    <col min="8" max="8" width="11.140625" style="60" bestFit="1" customWidth="1"/>
    <col min="9" max="16384" width="9.140625" style="60"/>
  </cols>
  <sheetData>
    <row r="1" spans="1:8" ht="15" x14ac:dyDescent="0.2">
      <c r="A1" s="65" t="s">
        <v>21</v>
      </c>
      <c r="B1" s="65" t="s">
        <v>22</v>
      </c>
      <c r="C1" s="65" t="s">
        <v>23</v>
      </c>
      <c r="D1" s="65" t="s">
        <v>24</v>
      </c>
      <c r="E1" s="65" t="s">
        <v>25</v>
      </c>
      <c r="F1" s="65" t="s">
        <v>26</v>
      </c>
      <c r="G1" s="65" t="s">
        <v>27</v>
      </c>
      <c r="H1" s="65" t="s">
        <v>28</v>
      </c>
    </row>
    <row r="2" spans="1:8" x14ac:dyDescent="0.2">
      <c r="A2" s="69" t="s">
        <v>0</v>
      </c>
      <c r="B2" s="69" t="s">
        <v>1</v>
      </c>
      <c r="C2" s="69">
        <v>4</v>
      </c>
      <c r="D2" s="69">
        <v>1</v>
      </c>
      <c r="E2" s="69">
        <v>1</v>
      </c>
      <c r="F2" s="69" t="s">
        <v>2</v>
      </c>
      <c r="G2" s="70">
        <v>43686.833333333336</v>
      </c>
      <c r="H2" s="71" t="s">
        <v>52</v>
      </c>
    </row>
    <row r="3" spans="1:8" x14ac:dyDescent="0.2">
      <c r="A3" s="69" t="s">
        <v>3</v>
      </c>
      <c r="B3" s="69" t="s">
        <v>4</v>
      </c>
      <c r="C3" s="69">
        <v>0</v>
      </c>
      <c r="D3" s="69">
        <v>5</v>
      </c>
      <c r="E3" s="69">
        <v>1</v>
      </c>
      <c r="F3" s="69" t="s">
        <v>2</v>
      </c>
      <c r="G3" s="70">
        <v>43687.520833333336</v>
      </c>
      <c r="H3" s="69" t="s">
        <v>34</v>
      </c>
    </row>
    <row r="4" spans="1:8" x14ac:dyDescent="0.2">
      <c r="A4" s="69" t="s">
        <v>5</v>
      </c>
      <c r="B4" s="69" t="s">
        <v>6</v>
      </c>
      <c r="C4" s="69">
        <v>1</v>
      </c>
      <c r="D4" s="69">
        <v>1</v>
      </c>
      <c r="E4" s="69">
        <v>1</v>
      </c>
      <c r="F4" s="69" t="s">
        <v>2</v>
      </c>
      <c r="G4" s="70">
        <v>43687.625</v>
      </c>
      <c r="H4" s="69" t="s">
        <v>31</v>
      </c>
    </row>
    <row r="5" spans="1:8" x14ac:dyDescent="0.2">
      <c r="A5" s="69" t="s">
        <v>7</v>
      </c>
      <c r="B5" s="69" t="s">
        <v>8</v>
      </c>
      <c r="C5" s="69">
        <v>3</v>
      </c>
      <c r="D5" s="69">
        <v>0</v>
      </c>
      <c r="E5" s="69">
        <v>1</v>
      </c>
      <c r="F5" s="69" t="s">
        <v>2</v>
      </c>
      <c r="G5" s="70">
        <v>43687.625</v>
      </c>
      <c r="H5" s="69" t="s">
        <v>52</v>
      </c>
    </row>
    <row r="6" spans="1:8" x14ac:dyDescent="0.2">
      <c r="A6" s="69" t="s">
        <v>9</v>
      </c>
      <c r="B6" s="69" t="s">
        <v>10</v>
      </c>
      <c r="C6" s="69">
        <v>0</v>
      </c>
      <c r="D6" s="69">
        <v>0</v>
      </c>
      <c r="E6" s="69">
        <v>1</v>
      </c>
      <c r="F6" s="69" t="s">
        <v>2</v>
      </c>
      <c r="G6" s="70">
        <v>43687.625</v>
      </c>
      <c r="H6" s="69" t="s">
        <v>31</v>
      </c>
    </row>
    <row r="7" spans="1:8" x14ac:dyDescent="0.2">
      <c r="A7" s="69" t="s">
        <v>13</v>
      </c>
      <c r="B7" s="69" t="s">
        <v>14</v>
      </c>
      <c r="C7" s="69">
        <v>0</v>
      </c>
      <c r="D7" s="69">
        <v>3</v>
      </c>
      <c r="E7" s="69">
        <v>1</v>
      </c>
      <c r="F7" s="69" t="s">
        <v>2</v>
      </c>
      <c r="G7" s="70">
        <v>43687.625</v>
      </c>
      <c r="H7" s="69" t="s">
        <v>34</v>
      </c>
    </row>
    <row r="8" spans="1:8" x14ac:dyDescent="0.2">
      <c r="A8" s="69" t="s">
        <v>15</v>
      </c>
      <c r="B8" s="69" t="s">
        <v>16</v>
      </c>
      <c r="C8" s="69">
        <v>3</v>
      </c>
      <c r="D8" s="69">
        <v>1</v>
      </c>
      <c r="E8" s="69">
        <v>1</v>
      </c>
      <c r="F8" s="69" t="s">
        <v>2</v>
      </c>
      <c r="G8" s="70">
        <v>43687.729166666664</v>
      </c>
      <c r="H8" s="69" t="s">
        <v>52</v>
      </c>
    </row>
    <row r="9" spans="1:8" x14ac:dyDescent="0.2">
      <c r="A9" s="69" t="s">
        <v>11</v>
      </c>
      <c r="B9" s="69" t="s">
        <v>12</v>
      </c>
      <c r="C9" s="69">
        <v>0</v>
      </c>
      <c r="D9" s="69">
        <v>0</v>
      </c>
      <c r="E9" s="69">
        <v>1</v>
      </c>
      <c r="F9" s="69" t="s">
        <v>2</v>
      </c>
      <c r="G9" s="70">
        <v>43688.583333333336</v>
      </c>
      <c r="H9" s="69" t="s">
        <v>31</v>
      </c>
    </row>
    <row r="10" spans="1:8" x14ac:dyDescent="0.2">
      <c r="A10" s="69" t="s">
        <v>17</v>
      </c>
      <c r="B10" s="69" t="s">
        <v>18</v>
      </c>
      <c r="C10" s="69">
        <v>0</v>
      </c>
      <c r="D10" s="69">
        <v>1</v>
      </c>
      <c r="E10" s="69">
        <v>1</v>
      </c>
      <c r="F10" s="69" t="s">
        <v>2</v>
      </c>
      <c r="G10" s="70">
        <v>43688.583333333336</v>
      </c>
      <c r="H10" s="69" t="s">
        <v>34</v>
      </c>
    </row>
    <row r="11" spans="1:8" x14ac:dyDescent="0.2">
      <c r="A11" s="69" t="s">
        <v>19</v>
      </c>
      <c r="B11" s="69" t="s">
        <v>20</v>
      </c>
      <c r="C11" s="69">
        <v>4</v>
      </c>
      <c r="D11" s="69">
        <v>0</v>
      </c>
      <c r="E11" s="69">
        <v>1</v>
      </c>
      <c r="F11" s="69" t="s">
        <v>2</v>
      </c>
      <c r="G11" s="70">
        <v>43688.6875</v>
      </c>
      <c r="H11" s="69" t="s">
        <v>52</v>
      </c>
    </row>
    <row r="12" spans="1:8" x14ac:dyDescent="0.2">
      <c r="A12" s="69" t="s">
        <v>18</v>
      </c>
      <c r="B12" s="69" t="s">
        <v>7</v>
      </c>
      <c r="C12" s="69">
        <v>2</v>
      </c>
      <c r="D12" s="69">
        <v>1</v>
      </c>
      <c r="E12" s="69">
        <v>1</v>
      </c>
      <c r="F12" s="69" t="s">
        <v>2</v>
      </c>
      <c r="G12" s="70">
        <v>43694.520833333336</v>
      </c>
      <c r="H12" s="69" t="s">
        <v>52</v>
      </c>
    </row>
    <row r="13" spans="1:8" x14ac:dyDescent="0.2">
      <c r="A13" s="69" t="s">
        <v>16</v>
      </c>
      <c r="B13" s="69" t="s">
        <v>5</v>
      </c>
      <c r="C13" s="69">
        <v>1</v>
      </c>
      <c r="D13" s="69">
        <v>2</v>
      </c>
      <c r="E13" s="69">
        <v>1</v>
      </c>
      <c r="F13" s="69" t="s">
        <v>2</v>
      </c>
      <c r="G13" s="70">
        <v>43694.625</v>
      </c>
      <c r="H13" s="69" t="s">
        <v>34</v>
      </c>
    </row>
    <row r="14" spans="1:8" x14ac:dyDescent="0.2">
      <c r="A14" s="69" t="s">
        <v>14</v>
      </c>
      <c r="B14" s="69" t="s">
        <v>3</v>
      </c>
      <c r="C14" s="69">
        <v>1</v>
      </c>
      <c r="D14" s="69">
        <v>1</v>
      </c>
      <c r="E14" s="69">
        <v>1</v>
      </c>
      <c r="F14" s="69" t="s">
        <v>2</v>
      </c>
      <c r="G14" s="70">
        <v>43694.625</v>
      </c>
      <c r="H14" s="69" t="s">
        <v>31</v>
      </c>
    </row>
    <row r="15" spans="1:8" x14ac:dyDescent="0.2">
      <c r="A15" s="69" t="s">
        <v>10</v>
      </c>
      <c r="B15" s="69" t="s">
        <v>13</v>
      </c>
      <c r="C15" s="69">
        <v>1</v>
      </c>
      <c r="D15" s="69">
        <v>0</v>
      </c>
      <c r="E15" s="69">
        <v>1</v>
      </c>
      <c r="F15" s="69" t="s">
        <v>2</v>
      </c>
      <c r="G15" s="70">
        <v>43694.625</v>
      </c>
      <c r="H15" s="69" t="s">
        <v>52</v>
      </c>
    </row>
    <row r="16" spans="1:8" x14ac:dyDescent="0.2">
      <c r="A16" s="69" t="s">
        <v>1</v>
      </c>
      <c r="B16" s="69" t="s">
        <v>17</v>
      </c>
      <c r="C16" s="69">
        <v>3</v>
      </c>
      <c r="D16" s="69">
        <v>1</v>
      </c>
      <c r="E16" s="69">
        <v>1</v>
      </c>
      <c r="F16" s="69" t="s">
        <v>2</v>
      </c>
      <c r="G16" s="70">
        <v>43694.625</v>
      </c>
      <c r="H16" s="69" t="s">
        <v>52</v>
      </c>
    </row>
    <row r="17" spans="1:8" x14ac:dyDescent="0.2">
      <c r="A17" s="69" t="s">
        <v>8</v>
      </c>
      <c r="B17" s="69" t="s">
        <v>0</v>
      </c>
      <c r="C17" s="69">
        <v>1</v>
      </c>
      <c r="D17" s="69">
        <v>2</v>
      </c>
      <c r="E17" s="69">
        <v>1</v>
      </c>
      <c r="F17" s="69" t="s">
        <v>2</v>
      </c>
      <c r="G17" s="70">
        <v>43694.625</v>
      </c>
      <c r="H17" s="69" t="s">
        <v>34</v>
      </c>
    </row>
    <row r="18" spans="1:8" x14ac:dyDescent="0.2">
      <c r="A18" s="69" t="s">
        <v>4</v>
      </c>
      <c r="B18" s="69" t="s">
        <v>15</v>
      </c>
      <c r="C18" s="69">
        <v>2</v>
      </c>
      <c r="D18" s="69">
        <v>2</v>
      </c>
      <c r="E18" s="69">
        <v>1</v>
      </c>
      <c r="F18" s="69" t="s">
        <v>2</v>
      </c>
      <c r="G18" s="70">
        <v>43694.729166666664</v>
      </c>
      <c r="H18" s="69" t="s">
        <v>31</v>
      </c>
    </row>
    <row r="19" spans="1:8" x14ac:dyDescent="0.2">
      <c r="A19" s="69" t="s">
        <v>6</v>
      </c>
      <c r="B19" s="69" t="s">
        <v>9</v>
      </c>
      <c r="C19" s="69">
        <v>1</v>
      </c>
      <c r="D19" s="69">
        <v>0</v>
      </c>
      <c r="E19" s="69">
        <v>1</v>
      </c>
      <c r="F19" s="69" t="s">
        <v>2</v>
      </c>
      <c r="G19" s="70">
        <v>43695.583333333336</v>
      </c>
      <c r="H19" s="69" t="s">
        <v>52</v>
      </c>
    </row>
    <row r="20" spans="1:8" x14ac:dyDescent="0.2">
      <c r="A20" s="69" t="s">
        <v>20</v>
      </c>
      <c r="B20" s="69" t="s">
        <v>11</v>
      </c>
      <c r="C20" s="69">
        <v>1</v>
      </c>
      <c r="D20" s="69">
        <v>1</v>
      </c>
      <c r="E20" s="69">
        <v>1</v>
      </c>
      <c r="F20" s="69" t="s">
        <v>2</v>
      </c>
      <c r="G20" s="70">
        <v>43695.6875</v>
      </c>
      <c r="H20" s="69" t="s">
        <v>31</v>
      </c>
    </row>
    <row r="21" spans="1:8" x14ac:dyDescent="0.2">
      <c r="A21" s="69" t="s">
        <v>12</v>
      </c>
      <c r="B21" s="69" t="s">
        <v>19</v>
      </c>
      <c r="C21" s="69">
        <v>1</v>
      </c>
      <c r="D21" s="69">
        <v>1</v>
      </c>
      <c r="E21" s="69">
        <v>1</v>
      </c>
      <c r="F21" s="69" t="s">
        <v>2</v>
      </c>
      <c r="G21" s="70">
        <v>43696.833333333336</v>
      </c>
      <c r="H21" s="69" t="s">
        <v>31</v>
      </c>
    </row>
    <row r="22" spans="1:8" x14ac:dyDescent="0.2">
      <c r="A22" s="69" t="s">
        <v>16</v>
      </c>
      <c r="B22" s="69" t="s">
        <v>10</v>
      </c>
      <c r="C22" s="69">
        <v>2</v>
      </c>
      <c r="D22" s="69">
        <v>0</v>
      </c>
      <c r="E22" s="69">
        <v>1</v>
      </c>
      <c r="F22" s="69" t="s">
        <v>2</v>
      </c>
      <c r="G22" s="70">
        <v>43700.833333333336</v>
      </c>
      <c r="H22" s="69" t="s">
        <v>52</v>
      </c>
    </row>
    <row r="23" spans="1:8" x14ac:dyDescent="0.2">
      <c r="A23" s="69" t="s">
        <v>1</v>
      </c>
      <c r="B23" s="69" t="s">
        <v>20</v>
      </c>
      <c r="C23" s="69">
        <v>2</v>
      </c>
      <c r="D23" s="69">
        <v>3</v>
      </c>
      <c r="E23" s="69">
        <v>1</v>
      </c>
      <c r="F23" s="69" t="s">
        <v>2</v>
      </c>
      <c r="G23" s="70">
        <v>43701.520833333336</v>
      </c>
      <c r="H23" s="69" t="s">
        <v>34</v>
      </c>
    </row>
    <row r="24" spans="1:8" x14ac:dyDescent="0.2">
      <c r="A24" s="69" t="s">
        <v>14</v>
      </c>
      <c r="B24" s="69" t="s">
        <v>8</v>
      </c>
      <c r="C24" s="69">
        <v>0</v>
      </c>
      <c r="D24" s="69">
        <v>2</v>
      </c>
      <c r="E24" s="69">
        <v>1</v>
      </c>
      <c r="F24" s="69" t="s">
        <v>2</v>
      </c>
      <c r="G24" s="70">
        <v>43701.625</v>
      </c>
      <c r="H24" s="69" t="s">
        <v>34</v>
      </c>
    </row>
    <row r="25" spans="1:8" x14ac:dyDescent="0.2">
      <c r="A25" s="69" t="s">
        <v>19</v>
      </c>
      <c r="B25" s="69" t="s">
        <v>9</v>
      </c>
      <c r="C25" s="69">
        <v>1</v>
      </c>
      <c r="D25" s="69">
        <v>2</v>
      </c>
      <c r="E25" s="69">
        <v>1</v>
      </c>
      <c r="F25" s="69" t="s">
        <v>2</v>
      </c>
      <c r="G25" s="70">
        <v>43701.625</v>
      </c>
      <c r="H25" s="69" t="s">
        <v>34</v>
      </c>
    </row>
    <row r="26" spans="1:8" x14ac:dyDescent="0.2">
      <c r="A26" s="69" t="s">
        <v>6</v>
      </c>
      <c r="B26" s="69" t="s">
        <v>11</v>
      </c>
      <c r="C26" s="69">
        <v>1</v>
      </c>
      <c r="D26" s="69">
        <v>2</v>
      </c>
      <c r="E26" s="69">
        <v>1</v>
      </c>
      <c r="F26" s="69" t="s">
        <v>2</v>
      </c>
      <c r="G26" s="70">
        <v>43701.625</v>
      </c>
      <c r="H26" s="69" t="s">
        <v>34</v>
      </c>
    </row>
    <row r="27" spans="1:8" x14ac:dyDescent="0.2">
      <c r="A27" s="69" t="s">
        <v>13</v>
      </c>
      <c r="B27" s="69" t="s">
        <v>3</v>
      </c>
      <c r="C27" s="69">
        <v>1</v>
      </c>
      <c r="D27" s="69">
        <v>3</v>
      </c>
      <c r="E27" s="69">
        <v>1</v>
      </c>
      <c r="F27" s="69" t="s">
        <v>2</v>
      </c>
      <c r="G27" s="70">
        <v>43701.625</v>
      </c>
      <c r="H27" s="69" t="s">
        <v>34</v>
      </c>
    </row>
    <row r="28" spans="1:8" x14ac:dyDescent="0.2">
      <c r="A28" s="69" t="s">
        <v>0</v>
      </c>
      <c r="B28" s="69" t="s">
        <v>18</v>
      </c>
      <c r="C28" s="69">
        <v>3</v>
      </c>
      <c r="D28" s="69">
        <v>1</v>
      </c>
      <c r="E28" s="69">
        <v>1</v>
      </c>
      <c r="F28" s="69" t="s">
        <v>2</v>
      </c>
      <c r="G28" s="70">
        <v>43701.729166666664</v>
      </c>
      <c r="H28" s="69" t="s">
        <v>52</v>
      </c>
    </row>
    <row r="29" spans="1:8" x14ac:dyDescent="0.2">
      <c r="A29" s="69" t="s">
        <v>5</v>
      </c>
      <c r="B29" s="69" t="s">
        <v>4</v>
      </c>
      <c r="C29" s="69">
        <v>1</v>
      </c>
      <c r="D29" s="69">
        <v>3</v>
      </c>
      <c r="E29" s="69">
        <v>1</v>
      </c>
      <c r="F29" s="69" t="s">
        <v>2</v>
      </c>
      <c r="G29" s="70">
        <v>43702.583333333336</v>
      </c>
      <c r="H29" s="69" t="s">
        <v>34</v>
      </c>
    </row>
    <row r="30" spans="1:8" x14ac:dyDescent="0.2">
      <c r="A30" s="69" t="s">
        <v>15</v>
      </c>
      <c r="B30" s="69" t="s">
        <v>17</v>
      </c>
      <c r="C30" s="69">
        <v>0</v>
      </c>
      <c r="D30" s="69">
        <v>1</v>
      </c>
      <c r="E30" s="69">
        <v>1</v>
      </c>
      <c r="F30" s="69" t="s">
        <v>2</v>
      </c>
      <c r="G30" s="70">
        <v>43702.6875</v>
      </c>
      <c r="H30" s="69" t="s">
        <v>34</v>
      </c>
    </row>
    <row r="31" spans="1:8" x14ac:dyDescent="0.2">
      <c r="A31" s="69" t="s">
        <v>12</v>
      </c>
      <c r="B31" s="69" t="s">
        <v>7</v>
      </c>
      <c r="C31" s="69">
        <v>1</v>
      </c>
      <c r="D31" s="69">
        <v>1</v>
      </c>
      <c r="E31" s="69">
        <v>1</v>
      </c>
      <c r="F31" s="69" t="s">
        <v>2</v>
      </c>
      <c r="G31" s="70">
        <v>43702.6875</v>
      </c>
      <c r="H31" s="69" t="s">
        <v>31</v>
      </c>
    </row>
    <row r="32" spans="1:8" x14ac:dyDescent="0.2">
      <c r="A32" s="69" t="s">
        <v>8</v>
      </c>
      <c r="B32" s="69" t="s">
        <v>19</v>
      </c>
      <c r="C32" s="69">
        <v>1</v>
      </c>
      <c r="D32" s="69">
        <v>1</v>
      </c>
      <c r="E32" s="69">
        <v>1</v>
      </c>
      <c r="F32" s="69" t="s">
        <v>2</v>
      </c>
      <c r="G32" s="70">
        <v>43708.520833333336</v>
      </c>
      <c r="H32" s="69" t="s">
        <v>31</v>
      </c>
    </row>
    <row r="33" spans="1:8" x14ac:dyDescent="0.2">
      <c r="A33" s="69" t="s">
        <v>20</v>
      </c>
      <c r="B33" s="69" t="s">
        <v>6</v>
      </c>
      <c r="C33" s="69">
        <v>2</v>
      </c>
      <c r="D33" s="69">
        <v>2</v>
      </c>
      <c r="E33" s="69">
        <v>1</v>
      </c>
      <c r="F33" s="69" t="s">
        <v>2</v>
      </c>
      <c r="G33" s="70">
        <v>43708.625</v>
      </c>
      <c r="H33" s="69" t="s">
        <v>31</v>
      </c>
    </row>
    <row r="34" spans="1:8" x14ac:dyDescent="0.2">
      <c r="A34" s="69" t="s">
        <v>9</v>
      </c>
      <c r="B34" s="69" t="s">
        <v>16</v>
      </c>
      <c r="C34" s="69">
        <v>1</v>
      </c>
      <c r="D34" s="69">
        <v>0</v>
      </c>
      <c r="E34" s="69">
        <v>1</v>
      </c>
      <c r="F34" s="69" t="s">
        <v>2</v>
      </c>
      <c r="G34" s="70">
        <v>43708.625</v>
      </c>
      <c r="H34" s="69" t="s">
        <v>52</v>
      </c>
    </row>
    <row r="35" spans="1:8" x14ac:dyDescent="0.2">
      <c r="A35" s="69" t="s">
        <v>11</v>
      </c>
      <c r="B35" s="69" t="s">
        <v>5</v>
      </c>
      <c r="C35" s="69">
        <v>3</v>
      </c>
      <c r="D35" s="69">
        <v>1</v>
      </c>
      <c r="E35" s="69">
        <v>1</v>
      </c>
      <c r="F35" s="69" t="s">
        <v>2</v>
      </c>
      <c r="G35" s="70">
        <v>43708.625</v>
      </c>
      <c r="H35" s="69" t="s">
        <v>52</v>
      </c>
    </row>
    <row r="36" spans="1:8" x14ac:dyDescent="0.2">
      <c r="A36" s="69" t="s">
        <v>4</v>
      </c>
      <c r="B36" s="69" t="s">
        <v>14</v>
      </c>
      <c r="C36" s="69">
        <v>4</v>
      </c>
      <c r="D36" s="69">
        <v>0</v>
      </c>
      <c r="E36" s="69">
        <v>1</v>
      </c>
      <c r="F36" s="69" t="s">
        <v>2</v>
      </c>
      <c r="G36" s="70">
        <v>43708.625</v>
      </c>
      <c r="H36" s="69" t="s">
        <v>52</v>
      </c>
    </row>
    <row r="37" spans="1:8" x14ac:dyDescent="0.2">
      <c r="A37" s="69" t="s">
        <v>17</v>
      </c>
      <c r="B37" s="69" t="s">
        <v>13</v>
      </c>
      <c r="C37" s="69">
        <v>1</v>
      </c>
      <c r="D37" s="69">
        <v>1</v>
      </c>
      <c r="E37" s="69">
        <v>1</v>
      </c>
      <c r="F37" s="69" t="s">
        <v>2</v>
      </c>
      <c r="G37" s="70">
        <v>43708.625</v>
      </c>
      <c r="H37" s="69" t="s">
        <v>31</v>
      </c>
    </row>
    <row r="38" spans="1:8" x14ac:dyDescent="0.2">
      <c r="A38" s="69" t="s">
        <v>3</v>
      </c>
      <c r="B38" s="69" t="s">
        <v>1</v>
      </c>
      <c r="C38" s="69">
        <v>2</v>
      </c>
      <c r="D38" s="69">
        <v>0</v>
      </c>
      <c r="E38" s="69">
        <v>1</v>
      </c>
      <c r="F38" s="69" t="s">
        <v>2</v>
      </c>
      <c r="G38" s="70">
        <v>43708.625</v>
      </c>
      <c r="H38" s="69" t="s">
        <v>52</v>
      </c>
    </row>
    <row r="39" spans="1:8" x14ac:dyDescent="0.2">
      <c r="A39" s="69" t="s">
        <v>7</v>
      </c>
      <c r="B39" s="69" t="s">
        <v>0</v>
      </c>
      <c r="C39" s="69">
        <v>0</v>
      </c>
      <c r="D39" s="69">
        <v>3</v>
      </c>
      <c r="E39" s="69">
        <v>1</v>
      </c>
      <c r="F39" s="69" t="s">
        <v>2</v>
      </c>
      <c r="G39" s="70">
        <v>43708.729166666664</v>
      </c>
      <c r="H39" s="69" t="s">
        <v>34</v>
      </c>
    </row>
    <row r="40" spans="1:8" x14ac:dyDescent="0.2">
      <c r="A40" s="69" t="s">
        <v>10</v>
      </c>
      <c r="B40" s="69" t="s">
        <v>12</v>
      </c>
      <c r="C40" s="69">
        <v>3</v>
      </c>
      <c r="D40" s="69">
        <v>2</v>
      </c>
      <c r="E40" s="69">
        <v>1</v>
      </c>
      <c r="F40" s="69" t="s">
        <v>2</v>
      </c>
      <c r="G40" s="70">
        <v>43709.583333333336</v>
      </c>
      <c r="H40" s="69" t="s">
        <v>52</v>
      </c>
    </row>
    <row r="41" spans="1:8" x14ac:dyDescent="0.2">
      <c r="A41" s="69" t="s">
        <v>18</v>
      </c>
      <c r="B41" s="69" t="s">
        <v>15</v>
      </c>
      <c r="C41" s="69">
        <v>2</v>
      </c>
      <c r="D41" s="69">
        <v>2</v>
      </c>
      <c r="E41" s="69">
        <v>1</v>
      </c>
      <c r="F41" s="69" t="s">
        <v>2</v>
      </c>
      <c r="G41" s="70">
        <v>43709.6875</v>
      </c>
      <c r="H41" s="69" t="s">
        <v>31</v>
      </c>
    </row>
    <row r="42" spans="1:8" x14ac:dyDescent="0.2">
      <c r="A42" s="69" t="s">
        <v>0</v>
      </c>
      <c r="B42" s="69" t="s">
        <v>17</v>
      </c>
      <c r="C42" s="69">
        <v>3</v>
      </c>
      <c r="D42" s="69">
        <v>1</v>
      </c>
      <c r="E42" s="69">
        <v>1</v>
      </c>
      <c r="F42" s="69" t="s">
        <v>2</v>
      </c>
      <c r="G42" s="70">
        <v>43722.520833333336</v>
      </c>
      <c r="H42" s="69" t="s">
        <v>52</v>
      </c>
    </row>
    <row r="43" spans="1:8" x14ac:dyDescent="0.2">
      <c r="A43" s="69" t="s">
        <v>14</v>
      </c>
      <c r="B43" s="69" t="s">
        <v>7</v>
      </c>
      <c r="C43" s="69">
        <v>1</v>
      </c>
      <c r="D43" s="69">
        <v>1</v>
      </c>
      <c r="E43" s="69">
        <v>1</v>
      </c>
      <c r="F43" s="69" t="s">
        <v>2</v>
      </c>
      <c r="G43" s="70">
        <v>43722.625</v>
      </c>
      <c r="H43" s="69" t="s">
        <v>31</v>
      </c>
    </row>
    <row r="44" spans="1:8" x14ac:dyDescent="0.2">
      <c r="A44" s="69" t="s">
        <v>19</v>
      </c>
      <c r="B44" s="69" t="s">
        <v>11</v>
      </c>
      <c r="C44" s="69">
        <v>1</v>
      </c>
      <c r="D44" s="69">
        <v>0</v>
      </c>
      <c r="E44" s="69">
        <v>1</v>
      </c>
      <c r="F44" s="69" t="s">
        <v>2</v>
      </c>
      <c r="G44" s="70">
        <v>43722.625</v>
      </c>
      <c r="H44" s="69" t="s">
        <v>52</v>
      </c>
    </row>
    <row r="45" spans="1:8" x14ac:dyDescent="0.2">
      <c r="A45" s="69" t="s">
        <v>6</v>
      </c>
      <c r="B45" s="69" t="s">
        <v>8</v>
      </c>
      <c r="C45" s="69">
        <v>0</v>
      </c>
      <c r="D45" s="69">
        <v>1</v>
      </c>
      <c r="E45" s="69">
        <v>1</v>
      </c>
      <c r="F45" s="69" t="s">
        <v>2</v>
      </c>
      <c r="G45" s="70">
        <v>43722.625</v>
      </c>
      <c r="H45" s="69" t="s">
        <v>34</v>
      </c>
    </row>
    <row r="46" spans="1:8" x14ac:dyDescent="0.2">
      <c r="A46" s="69" t="s">
        <v>15</v>
      </c>
      <c r="B46" s="69" t="s">
        <v>9</v>
      </c>
      <c r="C46" s="69">
        <v>4</v>
      </c>
      <c r="D46" s="69">
        <v>0</v>
      </c>
      <c r="E46" s="69">
        <v>1</v>
      </c>
      <c r="F46" s="69" t="s">
        <v>2</v>
      </c>
      <c r="G46" s="70">
        <v>43722.625</v>
      </c>
      <c r="H46" s="69" t="s">
        <v>52</v>
      </c>
    </row>
    <row r="47" spans="1:8" x14ac:dyDescent="0.2">
      <c r="A47" s="69" t="s">
        <v>12</v>
      </c>
      <c r="B47" s="69" t="s">
        <v>20</v>
      </c>
      <c r="C47" s="69">
        <v>2</v>
      </c>
      <c r="D47" s="69">
        <v>5</v>
      </c>
      <c r="E47" s="69">
        <v>1</v>
      </c>
      <c r="F47" s="69" t="s">
        <v>2</v>
      </c>
      <c r="G47" s="70">
        <v>43722.625</v>
      </c>
      <c r="H47" s="69" t="s">
        <v>34</v>
      </c>
    </row>
    <row r="48" spans="1:8" x14ac:dyDescent="0.2">
      <c r="A48" s="69" t="s">
        <v>1</v>
      </c>
      <c r="B48" s="69" t="s">
        <v>4</v>
      </c>
      <c r="C48" s="69">
        <v>3</v>
      </c>
      <c r="D48" s="69">
        <v>2</v>
      </c>
      <c r="E48" s="69">
        <v>1</v>
      </c>
      <c r="F48" s="69" t="s">
        <v>2</v>
      </c>
      <c r="G48" s="70">
        <v>43722.729166666664</v>
      </c>
      <c r="H48" s="69" t="s">
        <v>52</v>
      </c>
    </row>
    <row r="49" spans="1:8" x14ac:dyDescent="0.2">
      <c r="A49" s="69" t="s">
        <v>5</v>
      </c>
      <c r="B49" s="69" t="s">
        <v>10</v>
      </c>
      <c r="C49" s="69">
        <v>3</v>
      </c>
      <c r="D49" s="69">
        <v>1</v>
      </c>
      <c r="E49" s="69">
        <v>1</v>
      </c>
      <c r="F49" s="69" t="s">
        <v>2</v>
      </c>
      <c r="G49" s="70">
        <v>43723.583333333336</v>
      </c>
      <c r="H49" s="69" t="s">
        <v>52</v>
      </c>
    </row>
    <row r="50" spans="1:8" x14ac:dyDescent="0.2">
      <c r="A50" s="69" t="s">
        <v>13</v>
      </c>
      <c r="B50" s="69" t="s">
        <v>18</v>
      </c>
      <c r="C50" s="69">
        <v>2</v>
      </c>
      <c r="D50" s="69">
        <v>2</v>
      </c>
      <c r="E50" s="69">
        <v>1</v>
      </c>
      <c r="F50" s="69" t="s">
        <v>2</v>
      </c>
      <c r="G50" s="70">
        <v>43723.6875</v>
      </c>
      <c r="H50" s="69" t="s">
        <v>31</v>
      </c>
    </row>
    <row r="51" spans="1:8" x14ac:dyDescent="0.2">
      <c r="A51" s="69" t="s">
        <v>16</v>
      </c>
      <c r="B51" s="69" t="s">
        <v>3</v>
      </c>
      <c r="C51" s="69">
        <v>0</v>
      </c>
      <c r="D51" s="69">
        <v>0</v>
      </c>
      <c r="E51" s="69">
        <v>1</v>
      </c>
      <c r="F51" s="69" t="s">
        <v>2</v>
      </c>
      <c r="G51" s="70">
        <v>43724.833333333336</v>
      </c>
      <c r="H51" s="69" t="s">
        <v>31</v>
      </c>
    </row>
    <row r="52" spans="1:8" x14ac:dyDescent="0.2">
      <c r="A52" s="69" t="s">
        <v>8</v>
      </c>
      <c r="B52" s="69" t="s">
        <v>5</v>
      </c>
      <c r="C52" s="69">
        <v>1</v>
      </c>
      <c r="D52" s="69">
        <v>3</v>
      </c>
      <c r="E52" s="69">
        <v>1</v>
      </c>
      <c r="F52" s="69" t="s">
        <v>2</v>
      </c>
      <c r="G52" s="70">
        <v>43728.833333333336</v>
      </c>
      <c r="H52" s="69" t="s">
        <v>34</v>
      </c>
    </row>
    <row r="53" spans="1:8" x14ac:dyDescent="0.2">
      <c r="A53" s="69" t="s">
        <v>11</v>
      </c>
      <c r="B53" s="69" t="s">
        <v>15</v>
      </c>
      <c r="C53" s="69">
        <v>2</v>
      </c>
      <c r="D53" s="69">
        <v>1</v>
      </c>
      <c r="E53" s="69">
        <v>1</v>
      </c>
      <c r="F53" s="69" t="s">
        <v>2</v>
      </c>
      <c r="G53" s="70">
        <v>43729.520833333336</v>
      </c>
      <c r="H53" s="69" t="s">
        <v>52</v>
      </c>
    </row>
    <row r="54" spans="1:8" x14ac:dyDescent="0.2">
      <c r="A54" s="69" t="s">
        <v>7</v>
      </c>
      <c r="B54" s="69" t="s">
        <v>1</v>
      </c>
      <c r="C54" s="69">
        <v>2</v>
      </c>
      <c r="D54" s="69">
        <v>0</v>
      </c>
      <c r="E54" s="69">
        <v>1</v>
      </c>
      <c r="F54" s="69" t="s">
        <v>2</v>
      </c>
      <c r="G54" s="70">
        <v>43729.625</v>
      </c>
      <c r="H54" s="69" t="s">
        <v>52</v>
      </c>
    </row>
    <row r="55" spans="1:8" x14ac:dyDescent="0.2">
      <c r="A55" s="69" t="s">
        <v>10</v>
      </c>
      <c r="B55" s="69" t="s">
        <v>6</v>
      </c>
      <c r="C55" s="69">
        <v>0</v>
      </c>
      <c r="D55" s="69">
        <v>2</v>
      </c>
      <c r="E55" s="69">
        <v>1</v>
      </c>
      <c r="F55" s="69" t="s">
        <v>2</v>
      </c>
      <c r="G55" s="70">
        <v>43729.625</v>
      </c>
      <c r="H55" s="69" t="s">
        <v>34</v>
      </c>
    </row>
    <row r="56" spans="1:8" x14ac:dyDescent="0.2">
      <c r="A56" s="69" t="s">
        <v>4</v>
      </c>
      <c r="B56" s="69" t="s">
        <v>13</v>
      </c>
      <c r="C56" s="69">
        <v>8</v>
      </c>
      <c r="D56" s="69">
        <v>0</v>
      </c>
      <c r="E56" s="69">
        <v>1</v>
      </c>
      <c r="F56" s="69" t="s">
        <v>2</v>
      </c>
      <c r="G56" s="70">
        <v>43729.625</v>
      </c>
      <c r="H56" s="69" t="s">
        <v>52</v>
      </c>
    </row>
    <row r="57" spans="1:8" x14ac:dyDescent="0.2">
      <c r="A57" s="69" t="s">
        <v>17</v>
      </c>
      <c r="B57" s="69" t="s">
        <v>14</v>
      </c>
      <c r="C57" s="69">
        <v>0</v>
      </c>
      <c r="D57" s="69">
        <v>0</v>
      </c>
      <c r="E57" s="69">
        <v>1</v>
      </c>
      <c r="F57" s="69" t="s">
        <v>2</v>
      </c>
      <c r="G57" s="70">
        <v>43729.729166666664</v>
      </c>
      <c r="H57" s="69" t="s">
        <v>31</v>
      </c>
    </row>
    <row r="58" spans="1:8" x14ac:dyDescent="0.2">
      <c r="A58" s="69" t="s">
        <v>9</v>
      </c>
      <c r="B58" s="69" t="s">
        <v>12</v>
      </c>
      <c r="C58" s="69">
        <v>1</v>
      </c>
      <c r="D58" s="69">
        <v>1</v>
      </c>
      <c r="E58" s="69">
        <v>1</v>
      </c>
      <c r="F58" s="69" t="s">
        <v>2</v>
      </c>
      <c r="G58" s="70">
        <v>43730.583333333336</v>
      </c>
      <c r="H58" s="69" t="s">
        <v>31</v>
      </c>
    </row>
    <row r="59" spans="1:8" x14ac:dyDescent="0.2">
      <c r="A59" s="69" t="s">
        <v>3</v>
      </c>
      <c r="B59" s="69" t="s">
        <v>19</v>
      </c>
      <c r="C59" s="69">
        <v>2</v>
      </c>
      <c r="D59" s="69">
        <v>0</v>
      </c>
      <c r="E59" s="69">
        <v>1</v>
      </c>
      <c r="F59" s="69" t="s">
        <v>2</v>
      </c>
      <c r="G59" s="70">
        <v>43730.583333333336</v>
      </c>
      <c r="H59" s="69" t="s">
        <v>52</v>
      </c>
    </row>
    <row r="60" spans="1:8" x14ac:dyDescent="0.2">
      <c r="A60" s="69" t="s">
        <v>18</v>
      </c>
      <c r="B60" s="69" t="s">
        <v>16</v>
      </c>
      <c r="C60" s="69">
        <v>3</v>
      </c>
      <c r="D60" s="69">
        <v>2</v>
      </c>
      <c r="E60" s="69">
        <v>1</v>
      </c>
      <c r="F60" s="69" t="s">
        <v>2</v>
      </c>
      <c r="G60" s="70">
        <v>43730.6875</v>
      </c>
      <c r="H60" s="69" t="s">
        <v>52</v>
      </c>
    </row>
    <row r="61" spans="1:8" x14ac:dyDescent="0.2">
      <c r="A61" s="69" t="s">
        <v>20</v>
      </c>
      <c r="B61" s="69" t="s">
        <v>0</v>
      </c>
      <c r="C61" s="69">
        <v>1</v>
      </c>
      <c r="D61" s="69">
        <v>2</v>
      </c>
      <c r="E61" s="69">
        <v>1</v>
      </c>
      <c r="F61" s="69" t="s">
        <v>2</v>
      </c>
      <c r="G61" s="70">
        <v>43730.6875</v>
      </c>
      <c r="H61" s="69" t="s">
        <v>34</v>
      </c>
    </row>
    <row r="62" spans="1:8" x14ac:dyDescent="0.2">
      <c r="A62" s="69" t="s">
        <v>6</v>
      </c>
      <c r="B62" s="69" t="s">
        <v>0</v>
      </c>
      <c r="C62" s="69">
        <v>0</v>
      </c>
      <c r="D62" s="69">
        <v>1</v>
      </c>
      <c r="E62" s="69">
        <v>1</v>
      </c>
      <c r="F62" s="69" t="s">
        <v>2</v>
      </c>
      <c r="G62" s="70">
        <v>43736.520833333336</v>
      </c>
      <c r="H62" s="69" t="s">
        <v>34</v>
      </c>
    </row>
    <row r="63" spans="1:8" x14ac:dyDescent="0.2">
      <c r="A63" s="69" t="s">
        <v>16</v>
      </c>
      <c r="B63" s="69" t="s">
        <v>7</v>
      </c>
      <c r="C63" s="69">
        <v>2</v>
      </c>
      <c r="D63" s="69">
        <v>2</v>
      </c>
      <c r="E63" s="69">
        <v>1</v>
      </c>
      <c r="F63" s="69" t="s">
        <v>2</v>
      </c>
      <c r="G63" s="70">
        <v>43736.625</v>
      </c>
      <c r="H63" s="69" t="s">
        <v>31</v>
      </c>
    </row>
    <row r="64" spans="1:8" x14ac:dyDescent="0.2">
      <c r="A64" s="69" t="s">
        <v>5</v>
      </c>
      <c r="B64" s="69" t="s">
        <v>3</v>
      </c>
      <c r="C64" s="69">
        <v>2</v>
      </c>
      <c r="D64" s="69">
        <v>2</v>
      </c>
      <c r="E64" s="69">
        <v>1</v>
      </c>
      <c r="F64" s="69" t="s">
        <v>2</v>
      </c>
      <c r="G64" s="70">
        <v>43736.625</v>
      </c>
      <c r="H64" s="69" t="s">
        <v>31</v>
      </c>
    </row>
    <row r="65" spans="1:8" x14ac:dyDescent="0.2">
      <c r="A65" s="69" t="s">
        <v>20</v>
      </c>
      <c r="B65" s="69" t="s">
        <v>14</v>
      </c>
      <c r="C65" s="69">
        <v>2</v>
      </c>
      <c r="D65" s="69">
        <v>0</v>
      </c>
      <c r="E65" s="69">
        <v>1</v>
      </c>
      <c r="F65" s="69" t="s">
        <v>2</v>
      </c>
      <c r="G65" s="70">
        <v>43736.625</v>
      </c>
      <c r="H65" s="69" t="s">
        <v>52</v>
      </c>
    </row>
    <row r="66" spans="1:8" x14ac:dyDescent="0.2">
      <c r="A66" s="69" t="s">
        <v>9</v>
      </c>
      <c r="B66" s="69" t="s">
        <v>1</v>
      </c>
      <c r="C66" s="69">
        <v>2</v>
      </c>
      <c r="D66" s="69">
        <v>0</v>
      </c>
      <c r="E66" s="69">
        <v>1</v>
      </c>
      <c r="F66" s="69" t="s">
        <v>2</v>
      </c>
      <c r="G66" s="70">
        <v>43736.625</v>
      </c>
      <c r="H66" s="69" t="s">
        <v>52</v>
      </c>
    </row>
    <row r="67" spans="1:8" x14ac:dyDescent="0.2">
      <c r="A67" s="69" t="s">
        <v>15</v>
      </c>
      <c r="B67" s="69" t="s">
        <v>8</v>
      </c>
      <c r="C67" s="69">
        <v>2</v>
      </c>
      <c r="D67" s="69">
        <v>1</v>
      </c>
      <c r="E67" s="69">
        <v>1</v>
      </c>
      <c r="F67" s="69" t="s">
        <v>2</v>
      </c>
      <c r="G67" s="70">
        <v>43736.625</v>
      </c>
      <c r="H67" s="69" t="s">
        <v>52</v>
      </c>
    </row>
    <row r="68" spans="1:8" x14ac:dyDescent="0.2">
      <c r="A68" s="69" t="s">
        <v>12</v>
      </c>
      <c r="B68" s="69" t="s">
        <v>13</v>
      </c>
      <c r="C68" s="69">
        <v>2</v>
      </c>
      <c r="D68" s="69">
        <v>0</v>
      </c>
      <c r="E68" s="69">
        <v>1</v>
      </c>
      <c r="F68" s="69" t="s">
        <v>2</v>
      </c>
      <c r="G68" s="70">
        <v>43736.625</v>
      </c>
      <c r="H68" s="69" t="s">
        <v>52</v>
      </c>
    </row>
    <row r="69" spans="1:8" x14ac:dyDescent="0.2">
      <c r="A69" s="69" t="s">
        <v>10</v>
      </c>
      <c r="B69" s="69" t="s">
        <v>4</v>
      </c>
      <c r="C69" s="69">
        <v>1</v>
      </c>
      <c r="D69" s="69">
        <v>3</v>
      </c>
      <c r="E69" s="69">
        <v>1</v>
      </c>
      <c r="F69" s="69" t="s">
        <v>2</v>
      </c>
      <c r="G69" s="70">
        <v>43736.729166666664</v>
      </c>
      <c r="H69" s="69" t="s">
        <v>34</v>
      </c>
    </row>
    <row r="70" spans="1:8" x14ac:dyDescent="0.2">
      <c r="A70" s="69" t="s">
        <v>11</v>
      </c>
      <c r="B70" s="69" t="s">
        <v>17</v>
      </c>
      <c r="C70" s="69">
        <v>5</v>
      </c>
      <c r="D70" s="69">
        <v>0</v>
      </c>
      <c r="E70" s="69">
        <v>1</v>
      </c>
      <c r="F70" s="69" t="s">
        <v>2</v>
      </c>
      <c r="G70" s="70">
        <v>43737.6875</v>
      </c>
      <c r="H70" s="69" t="s">
        <v>52</v>
      </c>
    </row>
    <row r="71" spans="1:8" x14ac:dyDescent="0.2">
      <c r="A71" s="69" t="s">
        <v>19</v>
      </c>
      <c r="B71" s="69" t="s">
        <v>18</v>
      </c>
      <c r="C71" s="69">
        <v>1</v>
      </c>
      <c r="D71" s="69">
        <v>1</v>
      </c>
      <c r="E71" s="69">
        <v>1</v>
      </c>
      <c r="F71" s="69" t="s">
        <v>2</v>
      </c>
      <c r="G71" s="70">
        <v>43738.833333333336</v>
      </c>
      <c r="H71" s="69" t="s">
        <v>31</v>
      </c>
    </row>
    <row r="72" spans="1:8" x14ac:dyDescent="0.2">
      <c r="A72" s="69" t="s">
        <v>14</v>
      </c>
      <c r="B72" s="69" t="s">
        <v>15</v>
      </c>
      <c r="C72" s="69">
        <v>3</v>
      </c>
      <c r="D72" s="69">
        <v>0</v>
      </c>
      <c r="E72" s="69">
        <v>1</v>
      </c>
      <c r="F72" s="69" t="s">
        <v>2</v>
      </c>
      <c r="G72" s="70">
        <v>43743.520833333336</v>
      </c>
      <c r="H72" s="69" t="s">
        <v>52</v>
      </c>
    </row>
    <row r="73" spans="1:8" x14ac:dyDescent="0.2">
      <c r="A73" s="69" t="s">
        <v>7</v>
      </c>
      <c r="B73" s="69" t="s">
        <v>10</v>
      </c>
      <c r="C73" s="69">
        <v>1</v>
      </c>
      <c r="D73" s="69">
        <v>0</v>
      </c>
      <c r="E73" s="69">
        <v>1</v>
      </c>
      <c r="F73" s="69" t="s">
        <v>2</v>
      </c>
      <c r="G73" s="70">
        <v>43743.625</v>
      </c>
      <c r="H73" s="69" t="s">
        <v>52</v>
      </c>
    </row>
    <row r="74" spans="1:8" x14ac:dyDescent="0.2">
      <c r="A74" s="69" t="s">
        <v>0</v>
      </c>
      <c r="B74" s="69" t="s">
        <v>11</v>
      </c>
      <c r="C74" s="69">
        <v>2</v>
      </c>
      <c r="D74" s="69">
        <v>1</v>
      </c>
      <c r="E74" s="69">
        <v>1</v>
      </c>
      <c r="F74" s="69" t="s">
        <v>2</v>
      </c>
      <c r="G74" s="70">
        <v>43743.625</v>
      </c>
      <c r="H74" s="69" t="s">
        <v>52</v>
      </c>
    </row>
    <row r="75" spans="1:8" x14ac:dyDescent="0.2">
      <c r="A75" s="69" t="s">
        <v>1</v>
      </c>
      <c r="B75" s="69" t="s">
        <v>16</v>
      </c>
      <c r="C75" s="69">
        <v>1</v>
      </c>
      <c r="D75" s="69">
        <v>5</v>
      </c>
      <c r="E75" s="69">
        <v>1</v>
      </c>
      <c r="F75" s="69" t="s">
        <v>2</v>
      </c>
      <c r="G75" s="70">
        <v>43743.625</v>
      </c>
      <c r="H75" s="69" t="s">
        <v>34</v>
      </c>
    </row>
    <row r="76" spans="1:8" x14ac:dyDescent="0.2">
      <c r="A76" s="69" t="s">
        <v>13</v>
      </c>
      <c r="B76" s="69" t="s">
        <v>6</v>
      </c>
      <c r="C76" s="69">
        <v>0</v>
      </c>
      <c r="D76" s="69">
        <v>0</v>
      </c>
      <c r="E76" s="69">
        <v>1</v>
      </c>
      <c r="F76" s="69" t="s">
        <v>2</v>
      </c>
      <c r="G76" s="70">
        <v>43743.625</v>
      </c>
      <c r="H76" s="69" t="s">
        <v>31</v>
      </c>
    </row>
    <row r="77" spans="1:8" x14ac:dyDescent="0.2">
      <c r="A77" s="69" t="s">
        <v>3</v>
      </c>
      <c r="B77" s="69" t="s">
        <v>9</v>
      </c>
      <c r="C77" s="69">
        <v>1</v>
      </c>
      <c r="D77" s="69">
        <v>2</v>
      </c>
      <c r="E77" s="69">
        <v>1</v>
      </c>
      <c r="F77" s="69" t="s">
        <v>2</v>
      </c>
      <c r="G77" s="70">
        <v>43743.729166666664</v>
      </c>
      <c r="H77" s="69" t="s">
        <v>34</v>
      </c>
    </row>
    <row r="78" spans="1:8" x14ac:dyDescent="0.2">
      <c r="A78" s="69" t="s">
        <v>18</v>
      </c>
      <c r="B78" s="69" t="s">
        <v>5</v>
      </c>
      <c r="C78" s="69">
        <v>1</v>
      </c>
      <c r="D78" s="69">
        <v>0</v>
      </c>
      <c r="E78" s="69">
        <v>1</v>
      </c>
      <c r="F78" s="69" t="s">
        <v>2</v>
      </c>
      <c r="G78" s="70">
        <v>43744.583333333336</v>
      </c>
      <c r="H78" s="69" t="s">
        <v>52</v>
      </c>
    </row>
    <row r="79" spans="1:8" x14ac:dyDescent="0.2">
      <c r="A79" s="69" t="s">
        <v>4</v>
      </c>
      <c r="B79" s="69" t="s">
        <v>12</v>
      </c>
      <c r="C79" s="69">
        <v>0</v>
      </c>
      <c r="D79" s="69">
        <v>2</v>
      </c>
      <c r="E79" s="69">
        <v>1</v>
      </c>
      <c r="F79" s="69" t="s">
        <v>2</v>
      </c>
      <c r="G79" s="70">
        <v>43744.583333333336</v>
      </c>
      <c r="H79" s="69" t="s">
        <v>34</v>
      </c>
    </row>
    <row r="80" spans="1:8" x14ac:dyDescent="0.2">
      <c r="A80" s="69" t="s">
        <v>8</v>
      </c>
      <c r="B80" s="69" t="s">
        <v>20</v>
      </c>
      <c r="C80" s="69">
        <v>1</v>
      </c>
      <c r="D80" s="69">
        <v>4</v>
      </c>
      <c r="E80" s="69">
        <v>1</v>
      </c>
      <c r="F80" s="69" t="s">
        <v>2</v>
      </c>
      <c r="G80" s="70">
        <v>43744.583333333336</v>
      </c>
      <c r="H80" s="69" t="s">
        <v>34</v>
      </c>
    </row>
    <row r="81" spans="1:8" x14ac:dyDescent="0.2">
      <c r="A81" s="69" t="s">
        <v>17</v>
      </c>
      <c r="B81" s="69" t="s">
        <v>19</v>
      </c>
      <c r="C81" s="69">
        <v>1</v>
      </c>
      <c r="D81" s="69">
        <v>0</v>
      </c>
      <c r="E81" s="69">
        <v>1</v>
      </c>
      <c r="F81" s="69" t="s">
        <v>2</v>
      </c>
      <c r="G81" s="70">
        <v>43744.6875</v>
      </c>
      <c r="H81" s="69" t="s">
        <v>52</v>
      </c>
    </row>
    <row r="82" spans="1:8" x14ac:dyDescent="0.2">
      <c r="A82" s="69" t="s">
        <v>10</v>
      </c>
      <c r="B82" s="69" t="s">
        <v>3</v>
      </c>
      <c r="C82" s="69">
        <v>2</v>
      </c>
      <c r="D82" s="69">
        <v>0</v>
      </c>
      <c r="E82" s="69">
        <v>1</v>
      </c>
      <c r="F82" s="69" t="s">
        <v>2</v>
      </c>
      <c r="G82" s="70">
        <v>43757.520833333336</v>
      </c>
      <c r="H82" s="69" t="s">
        <v>52</v>
      </c>
    </row>
    <row r="83" spans="1:8" x14ac:dyDescent="0.2">
      <c r="A83" s="69" t="s">
        <v>16</v>
      </c>
      <c r="B83" s="69" t="s">
        <v>14</v>
      </c>
      <c r="C83" s="69">
        <v>2</v>
      </c>
      <c r="D83" s="69">
        <v>1</v>
      </c>
      <c r="E83" s="69">
        <v>1</v>
      </c>
      <c r="F83" s="69" t="s">
        <v>2</v>
      </c>
      <c r="G83" s="70">
        <v>43757.625</v>
      </c>
      <c r="H83" s="69" t="s">
        <v>52</v>
      </c>
    </row>
    <row r="84" spans="1:8" x14ac:dyDescent="0.2">
      <c r="A84" s="69" t="s">
        <v>5</v>
      </c>
      <c r="B84" s="69" t="s">
        <v>1</v>
      </c>
      <c r="C84" s="69">
        <v>0</v>
      </c>
      <c r="D84" s="69">
        <v>0</v>
      </c>
      <c r="E84" s="69">
        <v>1</v>
      </c>
      <c r="F84" s="69" t="s">
        <v>2</v>
      </c>
      <c r="G84" s="70">
        <v>43757.625</v>
      </c>
      <c r="H84" s="69" t="s">
        <v>31</v>
      </c>
    </row>
    <row r="85" spans="1:8" x14ac:dyDescent="0.2">
      <c r="A85" s="69" t="s">
        <v>20</v>
      </c>
      <c r="B85" s="69" t="s">
        <v>17</v>
      </c>
      <c r="C85" s="69">
        <v>1</v>
      </c>
      <c r="D85" s="69">
        <v>0</v>
      </c>
      <c r="E85" s="69">
        <v>1</v>
      </c>
      <c r="F85" s="69" t="s">
        <v>2</v>
      </c>
      <c r="G85" s="70">
        <v>43757.625</v>
      </c>
      <c r="H85" s="69" t="s">
        <v>52</v>
      </c>
    </row>
    <row r="86" spans="1:8" x14ac:dyDescent="0.2">
      <c r="A86" s="69" t="s">
        <v>11</v>
      </c>
      <c r="B86" s="69" t="s">
        <v>7</v>
      </c>
      <c r="C86" s="69">
        <v>2</v>
      </c>
      <c r="D86" s="69">
        <v>1</v>
      </c>
      <c r="E86" s="69">
        <v>1</v>
      </c>
      <c r="F86" s="69" t="s">
        <v>2</v>
      </c>
      <c r="G86" s="70">
        <v>43757.625</v>
      </c>
      <c r="H86" s="69" t="s">
        <v>52</v>
      </c>
    </row>
    <row r="87" spans="1:8" x14ac:dyDescent="0.2">
      <c r="A87" s="69" t="s">
        <v>15</v>
      </c>
      <c r="B87" s="69" t="s">
        <v>13</v>
      </c>
      <c r="C87" s="69">
        <v>1</v>
      </c>
      <c r="D87" s="69">
        <v>1</v>
      </c>
      <c r="E87" s="69">
        <v>1</v>
      </c>
      <c r="F87" s="69" t="s">
        <v>2</v>
      </c>
      <c r="G87" s="70">
        <v>43757.625</v>
      </c>
      <c r="H87" s="69" t="s">
        <v>31</v>
      </c>
    </row>
    <row r="88" spans="1:8" x14ac:dyDescent="0.2">
      <c r="A88" s="69" t="s">
        <v>12</v>
      </c>
      <c r="B88" s="69" t="s">
        <v>8</v>
      </c>
      <c r="C88" s="69">
        <v>1</v>
      </c>
      <c r="D88" s="69">
        <v>1</v>
      </c>
      <c r="E88" s="69">
        <v>1</v>
      </c>
      <c r="F88" s="69" t="s">
        <v>2</v>
      </c>
      <c r="G88" s="70">
        <v>43757.625</v>
      </c>
      <c r="H88" s="69" t="s">
        <v>31</v>
      </c>
    </row>
    <row r="89" spans="1:8" x14ac:dyDescent="0.2">
      <c r="A89" s="69" t="s">
        <v>9</v>
      </c>
      <c r="B89" s="69" t="s">
        <v>4</v>
      </c>
      <c r="C89" s="69">
        <v>0</v>
      </c>
      <c r="D89" s="69">
        <v>2</v>
      </c>
      <c r="E89" s="69">
        <v>1</v>
      </c>
      <c r="F89" s="69" t="s">
        <v>2</v>
      </c>
      <c r="G89" s="70">
        <v>43757.729166666664</v>
      </c>
      <c r="H89" s="69" t="s">
        <v>34</v>
      </c>
    </row>
    <row r="90" spans="1:8" x14ac:dyDescent="0.2">
      <c r="A90" s="69" t="s">
        <v>19</v>
      </c>
      <c r="B90" s="69" t="s">
        <v>0</v>
      </c>
      <c r="C90" s="69">
        <v>1</v>
      </c>
      <c r="D90" s="69">
        <v>1</v>
      </c>
      <c r="E90" s="69">
        <v>1</v>
      </c>
      <c r="F90" s="69" t="s">
        <v>2</v>
      </c>
      <c r="G90" s="70">
        <v>43758.6875</v>
      </c>
      <c r="H90" s="69" t="s">
        <v>31</v>
      </c>
    </row>
    <row r="91" spans="1:8" x14ac:dyDescent="0.2">
      <c r="A91" s="69" t="s">
        <v>6</v>
      </c>
      <c r="B91" s="69" t="s">
        <v>18</v>
      </c>
      <c r="C91" s="69">
        <v>1</v>
      </c>
      <c r="D91" s="69">
        <v>0</v>
      </c>
      <c r="E91" s="69">
        <v>1</v>
      </c>
      <c r="F91" s="69" t="s">
        <v>2</v>
      </c>
      <c r="G91" s="70">
        <v>43759.833333333336</v>
      </c>
      <c r="H91" s="69" t="s">
        <v>52</v>
      </c>
    </row>
    <row r="92" spans="1:8" x14ac:dyDescent="0.2">
      <c r="A92" s="69" t="s">
        <v>8</v>
      </c>
      <c r="B92" s="69" t="s">
        <v>11</v>
      </c>
      <c r="C92" s="69">
        <v>0</v>
      </c>
      <c r="D92" s="69">
        <v>9</v>
      </c>
      <c r="E92" s="69">
        <v>1</v>
      </c>
      <c r="F92" s="69" t="s">
        <v>2</v>
      </c>
      <c r="G92" s="70">
        <v>43763.833333333336</v>
      </c>
      <c r="H92" s="69" t="s">
        <v>34</v>
      </c>
    </row>
    <row r="93" spans="1:8" x14ac:dyDescent="0.2">
      <c r="A93" s="69" t="s">
        <v>4</v>
      </c>
      <c r="B93" s="69" t="s">
        <v>16</v>
      </c>
      <c r="C93" s="69">
        <v>3</v>
      </c>
      <c r="D93" s="69">
        <v>0</v>
      </c>
      <c r="E93" s="69">
        <v>1</v>
      </c>
      <c r="F93" s="69" t="s">
        <v>2</v>
      </c>
      <c r="G93" s="70">
        <v>43764.520833333336</v>
      </c>
      <c r="H93" s="69" t="s">
        <v>52</v>
      </c>
    </row>
    <row r="94" spans="1:8" x14ac:dyDescent="0.2">
      <c r="A94" s="69" t="s">
        <v>14</v>
      </c>
      <c r="B94" s="69" t="s">
        <v>10</v>
      </c>
      <c r="C94" s="69">
        <v>3</v>
      </c>
      <c r="D94" s="69">
        <v>2</v>
      </c>
      <c r="E94" s="69">
        <v>1</v>
      </c>
      <c r="F94" s="69" t="s">
        <v>2</v>
      </c>
      <c r="G94" s="70">
        <v>43764.625</v>
      </c>
      <c r="H94" s="69" t="s">
        <v>52</v>
      </c>
    </row>
    <row r="95" spans="1:8" x14ac:dyDescent="0.2">
      <c r="A95" s="69" t="s">
        <v>13</v>
      </c>
      <c r="B95" s="69" t="s">
        <v>5</v>
      </c>
      <c r="C95" s="69">
        <v>0</v>
      </c>
      <c r="D95" s="69">
        <v>0</v>
      </c>
      <c r="E95" s="69">
        <v>1</v>
      </c>
      <c r="F95" s="69" t="s">
        <v>2</v>
      </c>
      <c r="G95" s="70">
        <v>43764.625</v>
      </c>
      <c r="H95" s="69" t="s">
        <v>31</v>
      </c>
    </row>
    <row r="96" spans="1:8" x14ac:dyDescent="0.2">
      <c r="A96" s="69" t="s">
        <v>3</v>
      </c>
      <c r="B96" s="69" t="s">
        <v>6</v>
      </c>
      <c r="C96" s="69">
        <v>1</v>
      </c>
      <c r="D96" s="69">
        <v>1</v>
      </c>
      <c r="E96" s="69">
        <v>1</v>
      </c>
      <c r="F96" s="69" t="s">
        <v>2</v>
      </c>
      <c r="G96" s="70">
        <v>43764.625</v>
      </c>
      <c r="H96" s="69" t="s">
        <v>31</v>
      </c>
    </row>
    <row r="97" spans="1:8" x14ac:dyDescent="0.2">
      <c r="A97" s="69" t="s">
        <v>7</v>
      </c>
      <c r="B97" s="69" t="s">
        <v>20</v>
      </c>
      <c r="C97" s="69">
        <v>2</v>
      </c>
      <c r="D97" s="69">
        <v>4</v>
      </c>
      <c r="E97" s="69">
        <v>1</v>
      </c>
      <c r="F97" s="69" t="s">
        <v>2</v>
      </c>
      <c r="G97" s="70">
        <v>43764.729166666664</v>
      </c>
      <c r="H97" s="69" t="s">
        <v>34</v>
      </c>
    </row>
    <row r="98" spans="1:8" x14ac:dyDescent="0.2">
      <c r="A98" s="69" t="s">
        <v>17</v>
      </c>
      <c r="B98" s="69" t="s">
        <v>12</v>
      </c>
      <c r="C98" s="69">
        <v>1</v>
      </c>
      <c r="D98" s="69">
        <v>1</v>
      </c>
      <c r="E98" s="69">
        <v>1</v>
      </c>
      <c r="F98" s="69" t="s">
        <v>2</v>
      </c>
      <c r="G98" s="70">
        <v>43765.583333333336</v>
      </c>
      <c r="H98" s="69" t="s">
        <v>31</v>
      </c>
    </row>
    <row r="99" spans="1:8" x14ac:dyDescent="0.2">
      <c r="A99" s="69" t="s">
        <v>18</v>
      </c>
      <c r="B99" s="69" t="s">
        <v>9</v>
      </c>
      <c r="C99" s="69">
        <v>2</v>
      </c>
      <c r="D99" s="69">
        <v>2</v>
      </c>
      <c r="E99" s="69">
        <v>1</v>
      </c>
      <c r="F99" s="69" t="s">
        <v>2</v>
      </c>
      <c r="G99" s="70">
        <v>43765.6875</v>
      </c>
      <c r="H99" s="69" t="s">
        <v>31</v>
      </c>
    </row>
    <row r="100" spans="1:8" x14ac:dyDescent="0.2">
      <c r="A100" s="69" t="s">
        <v>0</v>
      </c>
      <c r="B100" s="69" t="s">
        <v>15</v>
      </c>
      <c r="C100" s="69">
        <v>2</v>
      </c>
      <c r="D100" s="69">
        <v>1</v>
      </c>
      <c r="E100" s="69">
        <v>1</v>
      </c>
      <c r="F100" s="69" t="s">
        <v>2</v>
      </c>
      <c r="G100" s="70">
        <v>43765.6875</v>
      </c>
      <c r="H100" s="69" t="s">
        <v>52</v>
      </c>
    </row>
    <row r="101" spans="1:8" x14ac:dyDescent="0.2">
      <c r="A101" s="69" t="s">
        <v>1</v>
      </c>
      <c r="B101" s="69" t="s">
        <v>19</v>
      </c>
      <c r="C101" s="69">
        <v>1</v>
      </c>
      <c r="D101" s="69">
        <v>3</v>
      </c>
      <c r="E101" s="69">
        <v>1</v>
      </c>
      <c r="F101" s="69" t="s">
        <v>2</v>
      </c>
      <c r="G101" s="70">
        <v>43765.6875</v>
      </c>
      <c r="H101" s="69" t="s">
        <v>34</v>
      </c>
    </row>
    <row r="102" spans="1:8" x14ac:dyDescent="0.2">
      <c r="A102" s="69" t="s">
        <v>5</v>
      </c>
      <c r="B102" s="69" t="s">
        <v>19</v>
      </c>
      <c r="C102" s="69">
        <v>1</v>
      </c>
      <c r="D102" s="69">
        <v>0</v>
      </c>
      <c r="E102" s="69">
        <v>1</v>
      </c>
      <c r="F102" s="69" t="s">
        <v>2</v>
      </c>
      <c r="G102" s="70">
        <v>43771.520833333336</v>
      </c>
      <c r="H102" s="69" t="s">
        <v>52</v>
      </c>
    </row>
    <row r="103" spans="1:8" x14ac:dyDescent="0.2">
      <c r="A103" s="69" t="s">
        <v>18</v>
      </c>
      <c r="B103" s="69" t="s">
        <v>12</v>
      </c>
      <c r="C103" s="69">
        <v>1</v>
      </c>
      <c r="D103" s="69">
        <v>1</v>
      </c>
      <c r="E103" s="69">
        <v>1</v>
      </c>
      <c r="F103" s="69" t="s">
        <v>2</v>
      </c>
      <c r="G103" s="70">
        <v>43771.625</v>
      </c>
      <c r="H103" s="69" t="s">
        <v>31</v>
      </c>
    </row>
    <row r="104" spans="1:8" x14ac:dyDescent="0.2">
      <c r="A104" s="69" t="s">
        <v>16</v>
      </c>
      <c r="B104" s="69" t="s">
        <v>0</v>
      </c>
      <c r="C104" s="69">
        <v>1</v>
      </c>
      <c r="D104" s="69">
        <v>2</v>
      </c>
      <c r="E104" s="69">
        <v>1</v>
      </c>
      <c r="F104" s="69" t="s">
        <v>2</v>
      </c>
      <c r="G104" s="70">
        <v>43771.625</v>
      </c>
      <c r="H104" s="69" t="s">
        <v>34</v>
      </c>
    </row>
    <row r="105" spans="1:8" x14ac:dyDescent="0.2">
      <c r="A105" s="69" t="s">
        <v>14</v>
      </c>
      <c r="B105" s="69" t="s">
        <v>1</v>
      </c>
      <c r="C105" s="69">
        <v>2</v>
      </c>
      <c r="D105" s="69">
        <v>0</v>
      </c>
      <c r="E105" s="69">
        <v>1</v>
      </c>
      <c r="F105" s="69" t="s">
        <v>2</v>
      </c>
      <c r="G105" s="70">
        <v>43771.625</v>
      </c>
      <c r="H105" s="69" t="s">
        <v>52</v>
      </c>
    </row>
    <row r="106" spans="1:8" x14ac:dyDescent="0.2">
      <c r="A106" s="69" t="s">
        <v>4</v>
      </c>
      <c r="B106" s="69" t="s">
        <v>8</v>
      </c>
      <c r="C106" s="69">
        <v>2</v>
      </c>
      <c r="D106" s="69">
        <v>1</v>
      </c>
      <c r="E106" s="69">
        <v>1</v>
      </c>
      <c r="F106" s="69" t="s">
        <v>2</v>
      </c>
      <c r="G106" s="70">
        <v>43771.625</v>
      </c>
      <c r="H106" s="69" t="s">
        <v>52</v>
      </c>
    </row>
    <row r="107" spans="1:8" x14ac:dyDescent="0.2">
      <c r="A107" s="69" t="s">
        <v>6</v>
      </c>
      <c r="B107" s="69" t="s">
        <v>7</v>
      </c>
      <c r="C107" s="69">
        <v>3</v>
      </c>
      <c r="D107" s="69">
        <v>0</v>
      </c>
      <c r="E107" s="69">
        <v>1</v>
      </c>
      <c r="F107" s="69" t="s">
        <v>2</v>
      </c>
      <c r="G107" s="70">
        <v>43771.625</v>
      </c>
      <c r="H107" s="69" t="s">
        <v>52</v>
      </c>
    </row>
    <row r="108" spans="1:8" x14ac:dyDescent="0.2">
      <c r="A108" s="69" t="s">
        <v>3</v>
      </c>
      <c r="B108" s="69" t="s">
        <v>17</v>
      </c>
      <c r="C108" s="69">
        <v>2</v>
      </c>
      <c r="D108" s="69">
        <v>3</v>
      </c>
      <c r="E108" s="69">
        <v>1</v>
      </c>
      <c r="F108" s="69" t="s">
        <v>2</v>
      </c>
      <c r="G108" s="70">
        <v>43771.625</v>
      </c>
      <c r="H108" s="69" t="s">
        <v>34</v>
      </c>
    </row>
    <row r="109" spans="1:8" x14ac:dyDescent="0.2">
      <c r="A109" s="69" t="s">
        <v>13</v>
      </c>
      <c r="B109" s="69" t="s">
        <v>20</v>
      </c>
      <c r="C109" s="69">
        <v>1</v>
      </c>
      <c r="D109" s="69">
        <v>2</v>
      </c>
      <c r="E109" s="69">
        <v>1</v>
      </c>
      <c r="F109" s="69" t="s">
        <v>2</v>
      </c>
      <c r="G109" s="70">
        <v>43771.729166666664</v>
      </c>
      <c r="H109" s="69" t="s">
        <v>34</v>
      </c>
    </row>
    <row r="110" spans="1:8" x14ac:dyDescent="0.2">
      <c r="A110" s="69" t="s">
        <v>9</v>
      </c>
      <c r="B110" s="69" t="s">
        <v>11</v>
      </c>
      <c r="C110" s="69">
        <v>0</v>
      </c>
      <c r="D110" s="69">
        <v>2</v>
      </c>
      <c r="E110" s="69">
        <v>1</v>
      </c>
      <c r="F110" s="69" t="s">
        <v>2</v>
      </c>
      <c r="G110" s="70">
        <v>43772.583333333336</v>
      </c>
      <c r="H110" s="69" t="s">
        <v>34</v>
      </c>
    </row>
    <row r="111" spans="1:8" x14ac:dyDescent="0.2">
      <c r="A111" s="69" t="s">
        <v>10</v>
      </c>
      <c r="B111" s="69" t="s">
        <v>15</v>
      </c>
      <c r="C111" s="69">
        <v>1</v>
      </c>
      <c r="D111" s="69">
        <v>1</v>
      </c>
      <c r="E111" s="69">
        <v>1</v>
      </c>
      <c r="F111" s="69" t="s">
        <v>2</v>
      </c>
      <c r="G111" s="70">
        <v>43772.6875</v>
      </c>
      <c r="H111" s="69" t="s">
        <v>31</v>
      </c>
    </row>
    <row r="112" spans="1:8" x14ac:dyDescent="0.2">
      <c r="A112" s="69" t="s">
        <v>1</v>
      </c>
      <c r="B112" s="69" t="s">
        <v>13</v>
      </c>
      <c r="C112" s="69">
        <v>0</v>
      </c>
      <c r="D112" s="69">
        <v>2</v>
      </c>
      <c r="E112" s="69">
        <v>1</v>
      </c>
      <c r="F112" s="69" t="s">
        <v>2</v>
      </c>
      <c r="G112" s="70">
        <v>43777.833333333336</v>
      </c>
      <c r="H112" s="69" t="s">
        <v>34</v>
      </c>
    </row>
    <row r="113" spans="1:8" x14ac:dyDescent="0.2">
      <c r="A113" s="69" t="s">
        <v>20</v>
      </c>
      <c r="B113" s="69" t="s">
        <v>9</v>
      </c>
      <c r="C113" s="69">
        <v>2</v>
      </c>
      <c r="D113" s="69">
        <v>0</v>
      </c>
      <c r="E113" s="69">
        <v>1</v>
      </c>
      <c r="F113" s="69" t="s">
        <v>2</v>
      </c>
      <c r="G113" s="70">
        <v>43778.520833333336</v>
      </c>
      <c r="H113" s="69" t="s">
        <v>52</v>
      </c>
    </row>
    <row r="114" spans="1:8" x14ac:dyDescent="0.2">
      <c r="A114" s="69" t="s">
        <v>7</v>
      </c>
      <c r="B114" s="69" t="s">
        <v>3</v>
      </c>
      <c r="C114" s="69">
        <v>3</v>
      </c>
      <c r="D114" s="69">
        <v>0</v>
      </c>
      <c r="E114" s="69">
        <v>1</v>
      </c>
      <c r="F114" s="69" t="s">
        <v>2</v>
      </c>
      <c r="G114" s="70">
        <v>43778.625</v>
      </c>
      <c r="H114" s="69" t="s">
        <v>52</v>
      </c>
    </row>
    <row r="115" spans="1:8" x14ac:dyDescent="0.2">
      <c r="A115" s="69" t="s">
        <v>17</v>
      </c>
      <c r="B115" s="69" t="s">
        <v>5</v>
      </c>
      <c r="C115" s="69">
        <v>2</v>
      </c>
      <c r="D115" s="69">
        <v>1</v>
      </c>
      <c r="E115" s="69">
        <v>1</v>
      </c>
      <c r="F115" s="69" t="s">
        <v>2</v>
      </c>
      <c r="G115" s="70">
        <v>43778.625</v>
      </c>
      <c r="H115" s="69" t="s">
        <v>52</v>
      </c>
    </row>
    <row r="116" spans="1:8" x14ac:dyDescent="0.2">
      <c r="A116" s="69" t="s">
        <v>8</v>
      </c>
      <c r="B116" s="69" t="s">
        <v>10</v>
      </c>
      <c r="C116" s="69">
        <v>1</v>
      </c>
      <c r="D116" s="69">
        <v>2</v>
      </c>
      <c r="E116" s="69">
        <v>1</v>
      </c>
      <c r="F116" s="69" t="s">
        <v>2</v>
      </c>
      <c r="G116" s="70">
        <v>43778.625</v>
      </c>
      <c r="H116" s="69" t="s">
        <v>34</v>
      </c>
    </row>
    <row r="117" spans="1:8" x14ac:dyDescent="0.2">
      <c r="A117" s="69" t="s">
        <v>15</v>
      </c>
      <c r="B117" s="69" t="s">
        <v>6</v>
      </c>
      <c r="C117" s="69">
        <v>1</v>
      </c>
      <c r="D117" s="69">
        <v>1</v>
      </c>
      <c r="E117" s="69">
        <v>1</v>
      </c>
      <c r="F117" s="69" t="s">
        <v>2</v>
      </c>
      <c r="G117" s="70">
        <v>43778.625</v>
      </c>
      <c r="H117" s="69" t="s">
        <v>31</v>
      </c>
    </row>
    <row r="118" spans="1:8" x14ac:dyDescent="0.2">
      <c r="A118" s="69" t="s">
        <v>11</v>
      </c>
      <c r="B118" s="69" t="s">
        <v>18</v>
      </c>
      <c r="C118" s="69">
        <v>2</v>
      </c>
      <c r="D118" s="69">
        <v>0</v>
      </c>
      <c r="E118" s="69">
        <v>1</v>
      </c>
      <c r="F118" s="69" t="s">
        <v>2</v>
      </c>
      <c r="G118" s="70">
        <v>43778.729166666664</v>
      </c>
      <c r="H118" s="69" t="s">
        <v>52</v>
      </c>
    </row>
    <row r="119" spans="1:8" x14ac:dyDescent="0.2">
      <c r="A119" s="69" t="s">
        <v>19</v>
      </c>
      <c r="B119" s="69" t="s">
        <v>14</v>
      </c>
      <c r="C119" s="69">
        <v>3</v>
      </c>
      <c r="D119" s="69">
        <v>1</v>
      </c>
      <c r="E119" s="69">
        <v>1</v>
      </c>
      <c r="F119" s="69" t="s">
        <v>2</v>
      </c>
      <c r="G119" s="70">
        <v>43779.583333333336</v>
      </c>
      <c r="H119" s="69" t="s">
        <v>52</v>
      </c>
    </row>
    <row r="120" spans="1:8" x14ac:dyDescent="0.2">
      <c r="A120" s="69" t="s">
        <v>12</v>
      </c>
      <c r="B120" s="69" t="s">
        <v>16</v>
      </c>
      <c r="C120" s="69">
        <v>2</v>
      </c>
      <c r="D120" s="69">
        <v>1</v>
      </c>
      <c r="E120" s="69">
        <v>1</v>
      </c>
      <c r="F120" s="69" t="s">
        <v>2</v>
      </c>
      <c r="G120" s="70">
        <v>43779.583333333336</v>
      </c>
      <c r="H120" s="69" t="s">
        <v>52</v>
      </c>
    </row>
    <row r="121" spans="1:8" x14ac:dyDescent="0.2">
      <c r="A121" s="69" t="s">
        <v>0</v>
      </c>
      <c r="B121" s="69" t="s">
        <v>4</v>
      </c>
      <c r="C121" s="69">
        <v>3</v>
      </c>
      <c r="D121" s="69">
        <v>1</v>
      </c>
      <c r="E121" s="69">
        <v>1</v>
      </c>
      <c r="F121" s="69" t="s">
        <v>2</v>
      </c>
      <c r="G121" s="70">
        <v>43779.6875</v>
      </c>
      <c r="H121" s="69" t="s">
        <v>52</v>
      </c>
    </row>
    <row r="122" spans="1:8" x14ac:dyDescent="0.2">
      <c r="A122" s="69" t="s">
        <v>3</v>
      </c>
      <c r="B122" s="69" t="s">
        <v>15</v>
      </c>
      <c r="C122" s="69">
        <v>2</v>
      </c>
      <c r="D122" s="69">
        <v>3</v>
      </c>
      <c r="E122" s="69">
        <v>1</v>
      </c>
      <c r="F122" s="69" t="s">
        <v>2</v>
      </c>
      <c r="G122" s="70">
        <v>43792.520833333336</v>
      </c>
      <c r="H122" s="69" t="s">
        <v>34</v>
      </c>
    </row>
    <row r="123" spans="1:8" x14ac:dyDescent="0.2">
      <c r="A123" s="69" t="s">
        <v>18</v>
      </c>
      <c r="B123" s="69" t="s">
        <v>8</v>
      </c>
      <c r="C123" s="69">
        <v>2</v>
      </c>
      <c r="D123" s="69">
        <v>2</v>
      </c>
      <c r="E123" s="69">
        <v>1</v>
      </c>
      <c r="F123" s="69" t="s">
        <v>2</v>
      </c>
      <c r="G123" s="70">
        <v>43792.625</v>
      </c>
      <c r="H123" s="69" t="s">
        <v>31</v>
      </c>
    </row>
    <row r="124" spans="1:8" x14ac:dyDescent="0.2">
      <c r="A124" s="69" t="s">
        <v>5</v>
      </c>
      <c r="B124" s="69" t="s">
        <v>12</v>
      </c>
      <c r="C124" s="69">
        <v>1</v>
      </c>
      <c r="D124" s="69">
        <v>2</v>
      </c>
      <c r="E124" s="69">
        <v>1</v>
      </c>
      <c r="F124" s="69" t="s">
        <v>2</v>
      </c>
      <c r="G124" s="70">
        <v>43792.625</v>
      </c>
      <c r="H124" s="69" t="s">
        <v>34</v>
      </c>
    </row>
    <row r="125" spans="1:8" x14ac:dyDescent="0.2">
      <c r="A125" s="69" t="s">
        <v>14</v>
      </c>
      <c r="B125" s="69" t="s">
        <v>11</v>
      </c>
      <c r="C125" s="69">
        <v>0</v>
      </c>
      <c r="D125" s="69">
        <v>2</v>
      </c>
      <c r="E125" s="69">
        <v>1</v>
      </c>
      <c r="F125" s="69" t="s">
        <v>2</v>
      </c>
      <c r="G125" s="70">
        <v>43792.625</v>
      </c>
      <c r="H125" s="69" t="s">
        <v>34</v>
      </c>
    </row>
    <row r="126" spans="1:8" x14ac:dyDescent="0.2">
      <c r="A126" s="69" t="s">
        <v>9</v>
      </c>
      <c r="B126" s="69" t="s">
        <v>0</v>
      </c>
      <c r="C126" s="69">
        <v>1</v>
      </c>
      <c r="D126" s="69">
        <v>2</v>
      </c>
      <c r="E126" s="69">
        <v>1</v>
      </c>
      <c r="F126" s="69" t="s">
        <v>2</v>
      </c>
      <c r="G126" s="70">
        <v>43792.625</v>
      </c>
      <c r="H126" s="69" t="s">
        <v>34</v>
      </c>
    </row>
    <row r="127" spans="1:8" x14ac:dyDescent="0.2">
      <c r="A127" s="69" t="s">
        <v>10</v>
      </c>
      <c r="B127" s="69" t="s">
        <v>1</v>
      </c>
      <c r="C127" s="69">
        <v>0</v>
      </c>
      <c r="D127" s="69">
        <v>2</v>
      </c>
      <c r="E127" s="69">
        <v>1</v>
      </c>
      <c r="F127" s="69" t="s">
        <v>2</v>
      </c>
      <c r="G127" s="70">
        <v>43792.625</v>
      </c>
      <c r="H127" s="69" t="s">
        <v>34</v>
      </c>
    </row>
    <row r="128" spans="1:8" x14ac:dyDescent="0.2">
      <c r="A128" s="69" t="s">
        <v>13</v>
      </c>
      <c r="B128" s="69" t="s">
        <v>7</v>
      </c>
      <c r="C128" s="69">
        <v>0</v>
      </c>
      <c r="D128" s="69">
        <v>3</v>
      </c>
      <c r="E128" s="69">
        <v>1</v>
      </c>
      <c r="F128" s="69" t="s">
        <v>2</v>
      </c>
      <c r="G128" s="70">
        <v>43792.625</v>
      </c>
      <c r="H128" s="69" t="s">
        <v>34</v>
      </c>
    </row>
    <row r="129" spans="1:8" x14ac:dyDescent="0.2">
      <c r="A129" s="69" t="s">
        <v>4</v>
      </c>
      <c r="B129" s="69" t="s">
        <v>20</v>
      </c>
      <c r="C129" s="69">
        <v>2</v>
      </c>
      <c r="D129" s="69">
        <v>1</v>
      </c>
      <c r="E129" s="69">
        <v>1</v>
      </c>
      <c r="F129" s="69" t="s">
        <v>2</v>
      </c>
      <c r="G129" s="70">
        <v>43792.729166666664</v>
      </c>
      <c r="H129" s="69" t="s">
        <v>52</v>
      </c>
    </row>
    <row r="130" spans="1:8" x14ac:dyDescent="0.2">
      <c r="A130" s="69" t="s">
        <v>6</v>
      </c>
      <c r="B130" s="69" t="s">
        <v>19</v>
      </c>
      <c r="C130" s="69">
        <v>3</v>
      </c>
      <c r="D130" s="69">
        <v>3</v>
      </c>
      <c r="E130" s="69">
        <v>1</v>
      </c>
      <c r="F130" s="69" t="s">
        <v>2</v>
      </c>
      <c r="G130" s="70">
        <v>43793.6875</v>
      </c>
      <c r="H130" s="69" t="s">
        <v>31</v>
      </c>
    </row>
    <row r="131" spans="1:8" x14ac:dyDescent="0.2">
      <c r="A131" s="69" t="s">
        <v>16</v>
      </c>
      <c r="B131" s="69" t="s">
        <v>17</v>
      </c>
      <c r="C131" s="69">
        <v>2</v>
      </c>
      <c r="D131" s="69">
        <v>0</v>
      </c>
      <c r="E131" s="69">
        <v>1</v>
      </c>
      <c r="F131" s="69" t="s">
        <v>2</v>
      </c>
      <c r="G131" s="70">
        <v>43794.833333333336</v>
      </c>
      <c r="H131" s="69" t="s">
        <v>52</v>
      </c>
    </row>
    <row r="132" spans="1:8" x14ac:dyDescent="0.2">
      <c r="A132" s="69" t="s">
        <v>17</v>
      </c>
      <c r="B132" s="69" t="s">
        <v>4</v>
      </c>
      <c r="C132" s="69">
        <v>2</v>
      </c>
      <c r="D132" s="69">
        <v>2</v>
      </c>
      <c r="E132" s="69">
        <v>1</v>
      </c>
      <c r="F132" s="69" t="s">
        <v>2</v>
      </c>
      <c r="G132" s="70">
        <v>43799.520833333336</v>
      </c>
      <c r="H132" s="69" t="s">
        <v>31</v>
      </c>
    </row>
    <row r="133" spans="1:8" x14ac:dyDescent="0.2">
      <c r="A133" s="69" t="s">
        <v>7</v>
      </c>
      <c r="B133" s="69" t="s">
        <v>9</v>
      </c>
      <c r="C133" s="69">
        <v>0</v>
      </c>
      <c r="D133" s="69">
        <v>2</v>
      </c>
      <c r="E133" s="69">
        <v>1</v>
      </c>
      <c r="F133" s="69" t="s">
        <v>2</v>
      </c>
      <c r="G133" s="70">
        <v>43799.625</v>
      </c>
      <c r="H133" s="69" t="s">
        <v>34</v>
      </c>
    </row>
    <row r="134" spans="1:8" x14ac:dyDescent="0.2">
      <c r="A134" s="69" t="s">
        <v>20</v>
      </c>
      <c r="B134" s="69" t="s">
        <v>3</v>
      </c>
      <c r="C134" s="69">
        <v>0</v>
      </c>
      <c r="D134" s="69">
        <v>1</v>
      </c>
      <c r="E134" s="69">
        <v>1</v>
      </c>
      <c r="F134" s="69" t="s">
        <v>2</v>
      </c>
      <c r="G134" s="70">
        <v>43799.625</v>
      </c>
      <c r="H134" s="69" t="s">
        <v>34</v>
      </c>
    </row>
    <row r="135" spans="1:8" x14ac:dyDescent="0.2">
      <c r="A135" s="69" t="s">
        <v>0</v>
      </c>
      <c r="B135" s="69" t="s">
        <v>14</v>
      </c>
      <c r="C135" s="69">
        <v>2</v>
      </c>
      <c r="D135" s="69">
        <v>1</v>
      </c>
      <c r="E135" s="69">
        <v>1</v>
      </c>
      <c r="F135" s="69" t="s">
        <v>2</v>
      </c>
      <c r="G135" s="70">
        <v>43799.625</v>
      </c>
      <c r="H135" s="69" t="s">
        <v>52</v>
      </c>
    </row>
    <row r="136" spans="1:8" x14ac:dyDescent="0.2">
      <c r="A136" s="69" t="s">
        <v>15</v>
      </c>
      <c r="B136" s="69" t="s">
        <v>5</v>
      </c>
      <c r="C136" s="69">
        <v>3</v>
      </c>
      <c r="D136" s="69">
        <v>2</v>
      </c>
      <c r="E136" s="69">
        <v>1</v>
      </c>
      <c r="F136" s="69" t="s">
        <v>2</v>
      </c>
      <c r="G136" s="70">
        <v>43799.625</v>
      </c>
      <c r="H136" s="69" t="s">
        <v>52</v>
      </c>
    </row>
    <row r="137" spans="1:8" x14ac:dyDescent="0.2">
      <c r="A137" s="69" t="s">
        <v>8</v>
      </c>
      <c r="B137" s="69" t="s">
        <v>13</v>
      </c>
      <c r="C137" s="69">
        <v>2</v>
      </c>
      <c r="D137" s="69">
        <v>1</v>
      </c>
      <c r="E137" s="69">
        <v>1</v>
      </c>
      <c r="F137" s="69" t="s">
        <v>2</v>
      </c>
      <c r="G137" s="70">
        <v>43799.729166666664</v>
      </c>
      <c r="H137" s="69" t="s">
        <v>52</v>
      </c>
    </row>
    <row r="138" spans="1:8" x14ac:dyDescent="0.2">
      <c r="A138" s="69" t="s">
        <v>1</v>
      </c>
      <c r="B138" s="69" t="s">
        <v>18</v>
      </c>
      <c r="C138" s="69">
        <v>2</v>
      </c>
      <c r="D138" s="69">
        <v>2</v>
      </c>
      <c r="E138" s="69">
        <v>1</v>
      </c>
      <c r="F138" s="69" t="s">
        <v>2</v>
      </c>
      <c r="G138" s="70">
        <v>43800.583333333336</v>
      </c>
      <c r="H138" s="69" t="s">
        <v>31</v>
      </c>
    </row>
    <row r="139" spans="1:8" x14ac:dyDescent="0.2">
      <c r="A139" s="69" t="s">
        <v>12</v>
      </c>
      <c r="B139" s="69" t="s">
        <v>6</v>
      </c>
      <c r="C139" s="69">
        <v>1</v>
      </c>
      <c r="D139" s="69">
        <v>1</v>
      </c>
      <c r="E139" s="69">
        <v>1</v>
      </c>
      <c r="F139" s="69" t="s">
        <v>2</v>
      </c>
      <c r="G139" s="70">
        <v>43800.583333333336</v>
      </c>
      <c r="H139" s="69" t="s">
        <v>31</v>
      </c>
    </row>
    <row r="140" spans="1:8" x14ac:dyDescent="0.2">
      <c r="A140" s="69" t="s">
        <v>11</v>
      </c>
      <c r="B140" s="69" t="s">
        <v>10</v>
      </c>
      <c r="C140" s="69">
        <v>2</v>
      </c>
      <c r="D140" s="69">
        <v>1</v>
      </c>
      <c r="E140" s="69">
        <v>1</v>
      </c>
      <c r="F140" s="69" t="s">
        <v>2</v>
      </c>
      <c r="G140" s="70">
        <v>43800.6875</v>
      </c>
      <c r="H140" s="69" t="s">
        <v>52</v>
      </c>
    </row>
    <row r="141" spans="1:8" x14ac:dyDescent="0.2">
      <c r="A141" s="69" t="s">
        <v>19</v>
      </c>
      <c r="B141" s="69" t="s">
        <v>16</v>
      </c>
      <c r="C141" s="69">
        <v>2</v>
      </c>
      <c r="D141" s="69">
        <v>2</v>
      </c>
      <c r="E141" s="69">
        <v>1</v>
      </c>
      <c r="F141" s="69" t="s">
        <v>2</v>
      </c>
      <c r="G141" s="70">
        <v>43800.6875</v>
      </c>
      <c r="H141" s="69" t="s">
        <v>31</v>
      </c>
    </row>
    <row r="142" spans="1:8" x14ac:dyDescent="0.2">
      <c r="A142" s="69" t="s">
        <v>9</v>
      </c>
      <c r="B142" s="69" t="s">
        <v>5</v>
      </c>
      <c r="C142" s="69">
        <v>1</v>
      </c>
      <c r="D142" s="69">
        <v>0</v>
      </c>
      <c r="E142" s="69">
        <v>1</v>
      </c>
      <c r="F142" s="69" t="s">
        <v>2</v>
      </c>
      <c r="G142" s="70">
        <v>43802.8125</v>
      </c>
      <c r="H142" s="69" t="s">
        <v>52</v>
      </c>
    </row>
    <row r="143" spans="1:8" x14ac:dyDescent="0.2">
      <c r="A143" s="69" t="s">
        <v>7</v>
      </c>
      <c r="B143" s="69" t="s">
        <v>4</v>
      </c>
      <c r="C143" s="69">
        <v>1</v>
      </c>
      <c r="D143" s="69">
        <v>4</v>
      </c>
      <c r="E143" s="69">
        <v>1</v>
      </c>
      <c r="F143" s="69" t="s">
        <v>2</v>
      </c>
      <c r="G143" s="70">
        <v>43802.84375</v>
      </c>
      <c r="H143" s="69" t="s">
        <v>34</v>
      </c>
    </row>
    <row r="144" spans="1:8" x14ac:dyDescent="0.2">
      <c r="A144" s="69" t="s">
        <v>20</v>
      </c>
      <c r="B144" s="69" t="s">
        <v>16</v>
      </c>
      <c r="C144" s="69">
        <v>2</v>
      </c>
      <c r="D144" s="69">
        <v>1</v>
      </c>
      <c r="E144" s="69">
        <v>1</v>
      </c>
      <c r="F144" s="69" t="s">
        <v>2</v>
      </c>
      <c r="G144" s="70">
        <v>43803.8125</v>
      </c>
      <c r="H144" s="69" t="s">
        <v>52</v>
      </c>
    </row>
    <row r="145" spans="1:8" x14ac:dyDescent="0.2">
      <c r="A145" s="69" t="s">
        <v>11</v>
      </c>
      <c r="B145" s="69" t="s">
        <v>13</v>
      </c>
      <c r="C145" s="69">
        <v>2</v>
      </c>
      <c r="D145" s="69">
        <v>0</v>
      </c>
      <c r="E145" s="69">
        <v>1</v>
      </c>
      <c r="F145" s="69" t="s">
        <v>2</v>
      </c>
      <c r="G145" s="70">
        <v>43803.8125</v>
      </c>
      <c r="H145" s="69" t="s">
        <v>52</v>
      </c>
    </row>
    <row r="146" spans="1:8" x14ac:dyDescent="0.2">
      <c r="A146" s="69" t="s">
        <v>19</v>
      </c>
      <c r="B146" s="69" t="s">
        <v>15</v>
      </c>
      <c r="C146" s="69">
        <v>2</v>
      </c>
      <c r="D146" s="69">
        <v>1</v>
      </c>
      <c r="E146" s="69">
        <v>1</v>
      </c>
      <c r="F146" s="69" t="s">
        <v>2</v>
      </c>
      <c r="G146" s="70">
        <v>43803.8125</v>
      </c>
      <c r="H146" s="69" t="s">
        <v>52</v>
      </c>
    </row>
    <row r="147" spans="1:8" x14ac:dyDescent="0.2">
      <c r="A147" s="69" t="s">
        <v>8</v>
      </c>
      <c r="B147" s="69" t="s">
        <v>1</v>
      </c>
      <c r="C147" s="69">
        <v>2</v>
      </c>
      <c r="D147" s="69">
        <v>1</v>
      </c>
      <c r="E147" s="69">
        <v>1</v>
      </c>
      <c r="F147" s="69" t="s">
        <v>2</v>
      </c>
      <c r="G147" s="70">
        <v>43803.8125</v>
      </c>
      <c r="H147" s="69" t="s">
        <v>52</v>
      </c>
    </row>
    <row r="148" spans="1:8" x14ac:dyDescent="0.2">
      <c r="A148" s="69" t="s">
        <v>12</v>
      </c>
      <c r="B148" s="69" t="s">
        <v>3</v>
      </c>
      <c r="C148" s="69">
        <v>2</v>
      </c>
      <c r="D148" s="69">
        <v>0</v>
      </c>
      <c r="E148" s="69">
        <v>1</v>
      </c>
      <c r="F148" s="69" t="s">
        <v>2</v>
      </c>
      <c r="G148" s="70">
        <v>43803.8125</v>
      </c>
      <c r="H148" s="69" t="s">
        <v>52</v>
      </c>
    </row>
    <row r="149" spans="1:8" x14ac:dyDescent="0.2">
      <c r="A149" s="69" t="s">
        <v>0</v>
      </c>
      <c r="B149" s="69" t="s">
        <v>10</v>
      </c>
      <c r="C149" s="69">
        <v>5</v>
      </c>
      <c r="D149" s="69">
        <v>2</v>
      </c>
      <c r="E149" s="69">
        <v>1</v>
      </c>
      <c r="F149" s="69" t="s">
        <v>2</v>
      </c>
      <c r="G149" s="70">
        <v>43803.84375</v>
      </c>
      <c r="H149" s="69" t="s">
        <v>52</v>
      </c>
    </row>
    <row r="150" spans="1:8" x14ac:dyDescent="0.2">
      <c r="A150" s="69" t="s">
        <v>6</v>
      </c>
      <c r="B150" s="69" t="s">
        <v>17</v>
      </c>
      <c r="C150" s="69">
        <v>0</v>
      </c>
      <c r="D150" s="69">
        <v>2</v>
      </c>
      <c r="E150" s="69">
        <v>1</v>
      </c>
      <c r="F150" s="69" t="s">
        <v>2</v>
      </c>
      <c r="G150" s="70">
        <v>43804.8125</v>
      </c>
      <c r="H150" s="69" t="s">
        <v>34</v>
      </c>
    </row>
    <row r="151" spans="1:8" x14ac:dyDescent="0.2">
      <c r="A151" s="69" t="s">
        <v>18</v>
      </c>
      <c r="B151" s="69" t="s">
        <v>14</v>
      </c>
      <c r="C151" s="69">
        <v>1</v>
      </c>
      <c r="D151" s="69">
        <v>2</v>
      </c>
      <c r="E151" s="69">
        <v>1</v>
      </c>
      <c r="F151" s="69" t="s">
        <v>2</v>
      </c>
      <c r="G151" s="70">
        <v>43804.84375</v>
      </c>
      <c r="H151" s="69" t="s">
        <v>34</v>
      </c>
    </row>
    <row r="152" spans="1:8" x14ac:dyDescent="0.2">
      <c r="A152" s="69" t="s">
        <v>10</v>
      </c>
      <c r="B152" s="69" t="s">
        <v>20</v>
      </c>
      <c r="C152" s="69">
        <v>3</v>
      </c>
      <c r="D152" s="69">
        <v>1</v>
      </c>
      <c r="E152" s="69">
        <v>1</v>
      </c>
      <c r="F152" s="69" t="s">
        <v>2</v>
      </c>
      <c r="G152" s="70">
        <v>43806.520833333336</v>
      </c>
      <c r="H152" s="69" t="s">
        <v>52</v>
      </c>
    </row>
    <row r="153" spans="1:8" x14ac:dyDescent="0.2">
      <c r="A153" s="69" t="s">
        <v>5</v>
      </c>
      <c r="B153" s="69" t="s">
        <v>0</v>
      </c>
      <c r="C153" s="69">
        <v>0</v>
      </c>
      <c r="D153" s="69">
        <v>3</v>
      </c>
      <c r="E153" s="69">
        <v>1</v>
      </c>
      <c r="F153" s="69" t="s">
        <v>2</v>
      </c>
      <c r="G153" s="70">
        <v>43806.625</v>
      </c>
      <c r="H153" s="69" t="s">
        <v>34</v>
      </c>
    </row>
    <row r="154" spans="1:8" x14ac:dyDescent="0.2">
      <c r="A154" s="69" t="s">
        <v>15</v>
      </c>
      <c r="B154" s="69" t="s">
        <v>7</v>
      </c>
      <c r="C154" s="69">
        <v>5</v>
      </c>
      <c r="D154" s="69">
        <v>0</v>
      </c>
      <c r="E154" s="69">
        <v>1</v>
      </c>
      <c r="F154" s="69" t="s">
        <v>2</v>
      </c>
      <c r="G154" s="70">
        <v>43806.625</v>
      </c>
      <c r="H154" s="69" t="s">
        <v>52</v>
      </c>
    </row>
    <row r="155" spans="1:8" x14ac:dyDescent="0.2">
      <c r="A155" s="69" t="s">
        <v>13</v>
      </c>
      <c r="B155" s="69" t="s">
        <v>9</v>
      </c>
      <c r="C155" s="69">
        <v>0</v>
      </c>
      <c r="D155" s="69">
        <v>0</v>
      </c>
      <c r="E155" s="69">
        <v>1</v>
      </c>
      <c r="F155" s="69" t="s">
        <v>2</v>
      </c>
      <c r="G155" s="70">
        <v>43806.625</v>
      </c>
      <c r="H155" s="69" t="s">
        <v>31</v>
      </c>
    </row>
    <row r="156" spans="1:8" x14ac:dyDescent="0.2">
      <c r="A156" s="69" t="s">
        <v>4</v>
      </c>
      <c r="B156" s="69" t="s">
        <v>19</v>
      </c>
      <c r="C156" s="69">
        <v>1</v>
      </c>
      <c r="D156" s="69">
        <v>2</v>
      </c>
      <c r="E156" s="69">
        <v>1</v>
      </c>
      <c r="F156" s="69" t="s">
        <v>2</v>
      </c>
      <c r="G156" s="70">
        <v>43806.729166666664</v>
      </c>
      <c r="H156" s="69" t="s">
        <v>34</v>
      </c>
    </row>
    <row r="157" spans="1:8" x14ac:dyDescent="0.2">
      <c r="A157" s="69" t="s">
        <v>16</v>
      </c>
      <c r="B157" s="69" t="s">
        <v>11</v>
      </c>
      <c r="C157" s="69">
        <v>1</v>
      </c>
      <c r="D157" s="69">
        <v>4</v>
      </c>
      <c r="E157" s="69">
        <v>1</v>
      </c>
      <c r="F157" s="69" t="s">
        <v>2</v>
      </c>
      <c r="G157" s="70">
        <v>43807.583333333336</v>
      </c>
      <c r="H157" s="69" t="s">
        <v>34</v>
      </c>
    </row>
    <row r="158" spans="1:8" x14ac:dyDescent="0.2">
      <c r="A158" s="69" t="s">
        <v>17</v>
      </c>
      <c r="B158" s="69" t="s">
        <v>8</v>
      </c>
      <c r="C158" s="69">
        <v>2</v>
      </c>
      <c r="D158" s="69">
        <v>1</v>
      </c>
      <c r="E158" s="69">
        <v>1</v>
      </c>
      <c r="F158" s="69" t="s">
        <v>2</v>
      </c>
      <c r="G158" s="70">
        <v>43807.583333333336</v>
      </c>
      <c r="H158" s="69" t="s">
        <v>52</v>
      </c>
    </row>
    <row r="159" spans="1:8" x14ac:dyDescent="0.2">
      <c r="A159" s="69" t="s">
        <v>1</v>
      </c>
      <c r="B159" s="69" t="s">
        <v>6</v>
      </c>
      <c r="C159" s="69">
        <v>1</v>
      </c>
      <c r="D159" s="69">
        <v>2</v>
      </c>
      <c r="E159" s="69">
        <v>1</v>
      </c>
      <c r="F159" s="69" t="s">
        <v>2</v>
      </c>
      <c r="G159" s="70">
        <v>43807.583333333336</v>
      </c>
      <c r="H159" s="69" t="s">
        <v>34</v>
      </c>
    </row>
    <row r="160" spans="1:8" x14ac:dyDescent="0.2">
      <c r="A160" s="69" t="s">
        <v>14</v>
      </c>
      <c r="B160" s="69" t="s">
        <v>12</v>
      </c>
      <c r="C160" s="69">
        <v>2</v>
      </c>
      <c r="D160" s="69">
        <v>2</v>
      </c>
      <c r="E160" s="69">
        <v>1</v>
      </c>
      <c r="F160" s="69" t="s">
        <v>2</v>
      </c>
      <c r="G160" s="70">
        <v>43807.6875</v>
      </c>
      <c r="H160" s="69" t="s">
        <v>31</v>
      </c>
    </row>
    <row r="161" spans="1:8" x14ac:dyDescent="0.2">
      <c r="A161" s="69" t="s">
        <v>3</v>
      </c>
      <c r="B161" s="69" t="s">
        <v>18</v>
      </c>
      <c r="C161" s="69">
        <v>1</v>
      </c>
      <c r="D161" s="69">
        <v>3</v>
      </c>
      <c r="E161" s="69">
        <v>1</v>
      </c>
      <c r="F161" s="69" t="s">
        <v>2</v>
      </c>
      <c r="G161" s="70">
        <v>43808.833333333336</v>
      </c>
      <c r="H161" s="69" t="s">
        <v>34</v>
      </c>
    </row>
    <row r="162" spans="1:8" x14ac:dyDescent="0.2">
      <c r="A162" s="69" t="s">
        <v>0</v>
      </c>
      <c r="B162" s="69" t="s">
        <v>13</v>
      </c>
      <c r="C162" s="69">
        <v>2</v>
      </c>
      <c r="D162" s="69">
        <v>0</v>
      </c>
      <c r="E162" s="69">
        <v>1</v>
      </c>
      <c r="F162" s="69" t="s">
        <v>2</v>
      </c>
      <c r="G162" s="70">
        <v>43813.520833333336</v>
      </c>
      <c r="H162" s="69" t="s">
        <v>52</v>
      </c>
    </row>
    <row r="163" spans="1:8" x14ac:dyDescent="0.2">
      <c r="A163" s="69" t="s">
        <v>7</v>
      </c>
      <c r="B163" s="69" t="s">
        <v>17</v>
      </c>
      <c r="C163" s="69">
        <v>1</v>
      </c>
      <c r="D163" s="69">
        <v>0</v>
      </c>
      <c r="E163" s="69">
        <v>1</v>
      </c>
      <c r="F163" s="69" t="s">
        <v>2</v>
      </c>
      <c r="G163" s="70">
        <v>43813.625</v>
      </c>
      <c r="H163" s="69" t="s">
        <v>52</v>
      </c>
    </row>
    <row r="164" spans="1:8" x14ac:dyDescent="0.2">
      <c r="A164" s="69" t="s">
        <v>20</v>
      </c>
      <c r="B164" s="69" t="s">
        <v>5</v>
      </c>
      <c r="C164" s="69">
        <v>0</v>
      </c>
      <c r="D164" s="69">
        <v>1</v>
      </c>
      <c r="E164" s="69">
        <v>1</v>
      </c>
      <c r="F164" s="69" t="s">
        <v>2</v>
      </c>
      <c r="G164" s="70">
        <v>43813.625</v>
      </c>
      <c r="H164" s="69" t="s">
        <v>34</v>
      </c>
    </row>
    <row r="165" spans="1:8" x14ac:dyDescent="0.2">
      <c r="A165" s="69" t="s">
        <v>11</v>
      </c>
      <c r="B165" s="69" t="s">
        <v>1</v>
      </c>
      <c r="C165" s="69">
        <v>1</v>
      </c>
      <c r="D165" s="69">
        <v>1</v>
      </c>
      <c r="E165" s="69">
        <v>1</v>
      </c>
      <c r="F165" s="69" t="s">
        <v>2</v>
      </c>
      <c r="G165" s="70">
        <v>43813.625</v>
      </c>
      <c r="H165" s="69" t="s">
        <v>31</v>
      </c>
    </row>
    <row r="166" spans="1:8" x14ac:dyDescent="0.2">
      <c r="A166" s="69" t="s">
        <v>6</v>
      </c>
      <c r="B166" s="69" t="s">
        <v>16</v>
      </c>
      <c r="C166" s="69">
        <v>2</v>
      </c>
      <c r="D166" s="69">
        <v>0</v>
      </c>
      <c r="E166" s="69">
        <v>1</v>
      </c>
      <c r="F166" s="69" t="s">
        <v>2</v>
      </c>
      <c r="G166" s="70">
        <v>43813.625</v>
      </c>
      <c r="H166" s="69" t="s">
        <v>52</v>
      </c>
    </row>
    <row r="167" spans="1:8" x14ac:dyDescent="0.2">
      <c r="A167" s="69" t="s">
        <v>8</v>
      </c>
      <c r="B167" s="69" t="s">
        <v>3</v>
      </c>
      <c r="C167" s="69">
        <v>0</v>
      </c>
      <c r="D167" s="69">
        <v>1</v>
      </c>
      <c r="E167" s="69">
        <v>1</v>
      </c>
      <c r="F167" s="69" t="s">
        <v>2</v>
      </c>
      <c r="G167" s="70">
        <v>43813.729166666664</v>
      </c>
      <c r="H167" s="69" t="s">
        <v>34</v>
      </c>
    </row>
    <row r="168" spans="1:8" x14ac:dyDescent="0.2">
      <c r="A168" s="69" t="s">
        <v>19</v>
      </c>
      <c r="B168" s="69" t="s">
        <v>10</v>
      </c>
      <c r="C168" s="69">
        <v>1</v>
      </c>
      <c r="D168" s="69">
        <v>1</v>
      </c>
      <c r="E168" s="69">
        <v>1</v>
      </c>
      <c r="F168" s="69" t="s">
        <v>2</v>
      </c>
      <c r="G168" s="70">
        <v>43814.583333333336</v>
      </c>
      <c r="H168" s="69" t="s">
        <v>31</v>
      </c>
    </row>
    <row r="169" spans="1:8" x14ac:dyDescent="0.2">
      <c r="A169" s="69" t="s">
        <v>12</v>
      </c>
      <c r="B169" s="69" t="s">
        <v>15</v>
      </c>
      <c r="C169" s="69">
        <v>1</v>
      </c>
      <c r="D169" s="69">
        <v>2</v>
      </c>
      <c r="E169" s="69">
        <v>1</v>
      </c>
      <c r="F169" s="69" t="s">
        <v>2</v>
      </c>
      <c r="G169" s="70">
        <v>43814.583333333336</v>
      </c>
      <c r="H169" s="69" t="s">
        <v>34</v>
      </c>
    </row>
    <row r="170" spans="1:8" x14ac:dyDescent="0.2">
      <c r="A170" s="69" t="s">
        <v>18</v>
      </c>
      <c r="B170" s="69" t="s">
        <v>4</v>
      </c>
      <c r="C170" s="69">
        <v>0</v>
      </c>
      <c r="D170" s="69">
        <v>3</v>
      </c>
      <c r="E170" s="69">
        <v>1</v>
      </c>
      <c r="F170" s="69" t="s">
        <v>2</v>
      </c>
      <c r="G170" s="70">
        <v>43814.6875</v>
      </c>
      <c r="H170" s="69" t="s">
        <v>34</v>
      </c>
    </row>
    <row r="171" spans="1:8" x14ac:dyDescent="0.2">
      <c r="A171" s="69" t="s">
        <v>9</v>
      </c>
      <c r="B171" s="69" t="s">
        <v>14</v>
      </c>
      <c r="C171" s="69">
        <v>1</v>
      </c>
      <c r="D171" s="69">
        <v>1</v>
      </c>
      <c r="E171" s="69">
        <v>1</v>
      </c>
      <c r="F171" s="69" t="s">
        <v>2</v>
      </c>
      <c r="G171" s="70">
        <v>43815.822916666664</v>
      </c>
      <c r="H171" s="69" t="s">
        <v>31</v>
      </c>
    </row>
    <row r="172" spans="1:8" x14ac:dyDescent="0.2">
      <c r="A172" s="69" t="s">
        <v>10</v>
      </c>
      <c r="B172" s="69" t="s">
        <v>18</v>
      </c>
      <c r="C172" s="69">
        <v>0</v>
      </c>
      <c r="D172" s="69">
        <v>0</v>
      </c>
      <c r="E172" s="69">
        <v>1</v>
      </c>
      <c r="F172" s="69" t="s">
        <v>2</v>
      </c>
      <c r="G172" s="70">
        <v>43820.520833333336</v>
      </c>
      <c r="H172" s="69" t="s">
        <v>31</v>
      </c>
    </row>
    <row r="173" spans="1:8" x14ac:dyDescent="0.2">
      <c r="A173" s="69" t="s">
        <v>16</v>
      </c>
      <c r="B173" s="69" t="s">
        <v>8</v>
      </c>
      <c r="C173" s="69">
        <v>1</v>
      </c>
      <c r="D173" s="69">
        <v>3</v>
      </c>
      <c r="E173" s="69">
        <v>1</v>
      </c>
      <c r="F173" s="69" t="s">
        <v>2</v>
      </c>
      <c r="G173" s="70">
        <v>43820.625</v>
      </c>
      <c r="H173" s="69" t="s">
        <v>34</v>
      </c>
    </row>
    <row r="174" spans="1:8" x14ac:dyDescent="0.2">
      <c r="A174" s="69" t="s">
        <v>5</v>
      </c>
      <c r="B174" s="69" t="s">
        <v>7</v>
      </c>
      <c r="C174" s="69">
        <v>0</v>
      </c>
      <c r="D174" s="69">
        <v>1</v>
      </c>
      <c r="E174" s="69">
        <v>1</v>
      </c>
      <c r="F174" s="69" t="s">
        <v>2</v>
      </c>
      <c r="G174" s="70">
        <v>43820.625</v>
      </c>
      <c r="H174" s="69" t="s">
        <v>34</v>
      </c>
    </row>
    <row r="175" spans="1:8" x14ac:dyDescent="0.2">
      <c r="A175" s="69" t="s">
        <v>14</v>
      </c>
      <c r="B175" s="69" t="s">
        <v>6</v>
      </c>
      <c r="C175" s="69">
        <v>0</v>
      </c>
      <c r="D175" s="69">
        <v>1</v>
      </c>
      <c r="E175" s="69">
        <v>1</v>
      </c>
      <c r="F175" s="69" t="s">
        <v>2</v>
      </c>
      <c r="G175" s="70">
        <v>43820.625</v>
      </c>
      <c r="H175" s="69" t="s">
        <v>34</v>
      </c>
    </row>
    <row r="176" spans="1:8" x14ac:dyDescent="0.2">
      <c r="A176" s="69" t="s">
        <v>17</v>
      </c>
      <c r="B176" s="69" t="s">
        <v>9</v>
      </c>
      <c r="C176" s="69">
        <v>1</v>
      </c>
      <c r="D176" s="69">
        <v>0</v>
      </c>
      <c r="E176" s="69">
        <v>1</v>
      </c>
      <c r="F176" s="69" t="s">
        <v>2</v>
      </c>
      <c r="G176" s="70">
        <v>43820.625</v>
      </c>
      <c r="H176" s="69" t="s">
        <v>52</v>
      </c>
    </row>
    <row r="177" spans="1:8" x14ac:dyDescent="0.2">
      <c r="A177" s="69" t="s">
        <v>1</v>
      </c>
      <c r="B177" s="69" t="s">
        <v>12</v>
      </c>
      <c r="C177" s="69">
        <v>1</v>
      </c>
      <c r="D177" s="69">
        <v>2</v>
      </c>
      <c r="E177" s="69">
        <v>1</v>
      </c>
      <c r="F177" s="69" t="s">
        <v>2</v>
      </c>
      <c r="G177" s="70">
        <v>43820.625</v>
      </c>
      <c r="H177" s="69" t="s">
        <v>34</v>
      </c>
    </row>
    <row r="178" spans="1:8" x14ac:dyDescent="0.2">
      <c r="A178" s="69" t="s">
        <v>4</v>
      </c>
      <c r="B178" s="69" t="s">
        <v>11</v>
      </c>
      <c r="C178" s="69">
        <v>3</v>
      </c>
      <c r="D178" s="69">
        <v>1</v>
      </c>
      <c r="E178" s="69">
        <v>1</v>
      </c>
      <c r="F178" s="69" t="s">
        <v>2</v>
      </c>
      <c r="G178" s="70">
        <v>43820.729166666664</v>
      </c>
      <c r="H178" s="69" t="s">
        <v>52</v>
      </c>
    </row>
    <row r="179" spans="1:8" x14ac:dyDescent="0.2">
      <c r="A179" s="69" t="s">
        <v>13</v>
      </c>
      <c r="B179" s="69" t="s">
        <v>19</v>
      </c>
      <c r="C179" s="69">
        <v>2</v>
      </c>
      <c r="D179" s="69">
        <v>0</v>
      </c>
      <c r="E179" s="69">
        <v>1</v>
      </c>
      <c r="F179" s="69" t="s">
        <v>2</v>
      </c>
      <c r="G179" s="70">
        <v>43821.583333333336</v>
      </c>
      <c r="H179" s="69" t="s">
        <v>52</v>
      </c>
    </row>
    <row r="180" spans="1:8" x14ac:dyDescent="0.2">
      <c r="A180" s="69" t="s">
        <v>15</v>
      </c>
      <c r="B180" s="69" t="s">
        <v>20</v>
      </c>
      <c r="C180" s="69">
        <v>0</v>
      </c>
      <c r="D180" s="69">
        <v>2</v>
      </c>
      <c r="E180" s="69">
        <v>1</v>
      </c>
      <c r="F180" s="69" t="s">
        <v>2</v>
      </c>
      <c r="G180" s="70">
        <v>43821.6875</v>
      </c>
      <c r="H180" s="69" t="s">
        <v>34</v>
      </c>
    </row>
    <row r="181" spans="1:8" x14ac:dyDescent="0.2">
      <c r="A181" s="69" t="s">
        <v>15</v>
      </c>
      <c r="B181" s="69" t="s">
        <v>14</v>
      </c>
      <c r="C181" s="69">
        <v>2</v>
      </c>
      <c r="D181" s="69">
        <v>1</v>
      </c>
      <c r="E181" s="69">
        <v>1</v>
      </c>
      <c r="F181" s="69" t="s">
        <v>2</v>
      </c>
      <c r="G181" s="70">
        <v>43825.520833333336</v>
      </c>
      <c r="H181" s="69" t="s">
        <v>52</v>
      </c>
    </row>
    <row r="182" spans="1:8" x14ac:dyDescent="0.2">
      <c r="A182" s="69" t="s">
        <v>16</v>
      </c>
      <c r="B182" s="69" t="s">
        <v>1</v>
      </c>
      <c r="C182" s="69">
        <v>1</v>
      </c>
      <c r="D182" s="69">
        <v>0</v>
      </c>
      <c r="E182" s="69">
        <v>1</v>
      </c>
      <c r="F182" s="69" t="s">
        <v>2</v>
      </c>
      <c r="G182" s="70">
        <v>43825.625</v>
      </c>
      <c r="H182" s="69" t="s">
        <v>52</v>
      </c>
    </row>
    <row r="183" spans="1:8" x14ac:dyDescent="0.2">
      <c r="A183" s="69" t="s">
        <v>5</v>
      </c>
      <c r="B183" s="69" t="s">
        <v>18</v>
      </c>
      <c r="C183" s="69">
        <v>1</v>
      </c>
      <c r="D183" s="69">
        <v>1</v>
      </c>
      <c r="E183" s="69">
        <v>1</v>
      </c>
      <c r="F183" s="69" t="s">
        <v>2</v>
      </c>
      <c r="G183" s="70">
        <v>43825.625</v>
      </c>
      <c r="H183" s="69" t="s">
        <v>31</v>
      </c>
    </row>
    <row r="184" spans="1:8" x14ac:dyDescent="0.2">
      <c r="A184" s="69" t="s">
        <v>20</v>
      </c>
      <c r="B184" s="69" t="s">
        <v>8</v>
      </c>
      <c r="C184" s="69">
        <v>0</v>
      </c>
      <c r="D184" s="69">
        <v>2</v>
      </c>
      <c r="E184" s="69">
        <v>1</v>
      </c>
      <c r="F184" s="69" t="s">
        <v>2</v>
      </c>
      <c r="G184" s="70">
        <v>43825.625</v>
      </c>
      <c r="H184" s="69" t="s">
        <v>34</v>
      </c>
    </row>
    <row r="185" spans="1:8" x14ac:dyDescent="0.2">
      <c r="A185" s="69" t="s">
        <v>9</v>
      </c>
      <c r="B185" s="69" t="s">
        <v>3</v>
      </c>
      <c r="C185" s="69">
        <v>2</v>
      </c>
      <c r="D185" s="69">
        <v>1</v>
      </c>
      <c r="E185" s="69">
        <v>1</v>
      </c>
      <c r="F185" s="69" t="s">
        <v>2</v>
      </c>
      <c r="G185" s="70">
        <v>43825.625</v>
      </c>
      <c r="H185" s="69" t="s">
        <v>52</v>
      </c>
    </row>
    <row r="186" spans="1:8" x14ac:dyDescent="0.2">
      <c r="A186" s="69" t="s">
        <v>10</v>
      </c>
      <c r="B186" s="69" t="s">
        <v>7</v>
      </c>
      <c r="C186" s="69">
        <v>1</v>
      </c>
      <c r="D186" s="69">
        <v>0</v>
      </c>
      <c r="E186" s="69">
        <v>1</v>
      </c>
      <c r="F186" s="69" t="s">
        <v>2</v>
      </c>
      <c r="G186" s="70">
        <v>43825.625</v>
      </c>
      <c r="H186" s="69" t="s">
        <v>52</v>
      </c>
    </row>
    <row r="187" spans="1:8" x14ac:dyDescent="0.2">
      <c r="A187" s="69" t="s">
        <v>6</v>
      </c>
      <c r="B187" s="69" t="s">
        <v>13</v>
      </c>
      <c r="C187" s="69">
        <v>1</v>
      </c>
      <c r="D187" s="69">
        <v>1</v>
      </c>
      <c r="E187" s="69">
        <v>1</v>
      </c>
      <c r="F187" s="69" t="s">
        <v>2</v>
      </c>
      <c r="G187" s="70">
        <v>43825.625</v>
      </c>
      <c r="H187" s="69" t="s">
        <v>31</v>
      </c>
    </row>
    <row r="188" spans="1:8" x14ac:dyDescent="0.2">
      <c r="A188" s="69" t="s">
        <v>19</v>
      </c>
      <c r="B188" s="69" t="s">
        <v>17</v>
      </c>
      <c r="C188" s="69">
        <v>4</v>
      </c>
      <c r="D188" s="69">
        <v>1</v>
      </c>
      <c r="E188" s="69">
        <v>1</v>
      </c>
      <c r="F188" s="69" t="s">
        <v>2</v>
      </c>
      <c r="G188" s="70">
        <v>43825.729166666664</v>
      </c>
      <c r="H188" s="69" t="s">
        <v>52</v>
      </c>
    </row>
    <row r="189" spans="1:8" x14ac:dyDescent="0.2">
      <c r="A189" s="69" t="s">
        <v>11</v>
      </c>
      <c r="B189" s="69" t="s">
        <v>0</v>
      </c>
      <c r="C189" s="69">
        <v>0</v>
      </c>
      <c r="D189" s="69">
        <v>4</v>
      </c>
      <c r="E189" s="69">
        <v>1</v>
      </c>
      <c r="F189" s="69" t="s">
        <v>2</v>
      </c>
      <c r="G189" s="70">
        <v>43825.833333333336</v>
      </c>
      <c r="H189" s="69" t="s">
        <v>34</v>
      </c>
    </row>
    <row r="190" spans="1:8" x14ac:dyDescent="0.2">
      <c r="A190" s="69" t="s">
        <v>12</v>
      </c>
      <c r="B190" s="69" t="s">
        <v>4</v>
      </c>
      <c r="C190" s="69">
        <v>3</v>
      </c>
      <c r="D190" s="69">
        <v>2</v>
      </c>
      <c r="E190" s="69">
        <v>1</v>
      </c>
      <c r="F190" s="69" t="s">
        <v>2</v>
      </c>
      <c r="G190" s="70">
        <v>43826.822916666664</v>
      </c>
      <c r="H190" s="69" t="s">
        <v>52</v>
      </c>
    </row>
    <row r="191" spans="1:8" x14ac:dyDescent="0.2">
      <c r="A191" s="69" t="s">
        <v>14</v>
      </c>
      <c r="B191" s="69" t="s">
        <v>5</v>
      </c>
      <c r="C191" s="69">
        <v>2</v>
      </c>
      <c r="D191" s="69">
        <v>0</v>
      </c>
      <c r="E191" s="69">
        <v>1</v>
      </c>
      <c r="F191" s="69" t="s">
        <v>2</v>
      </c>
      <c r="G191" s="70">
        <v>43827.520833333336</v>
      </c>
      <c r="H191" s="69" t="s">
        <v>52</v>
      </c>
    </row>
    <row r="192" spans="1:8" x14ac:dyDescent="0.2">
      <c r="A192" s="69" t="s">
        <v>17</v>
      </c>
      <c r="B192" s="69" t="s">
        <v>10</v>
      </c>
      <c r="C192" s="69">
        <v>1</v>
      </c>
      <c r="D192" s="69">
        <v>2</v>
      </c>
      <c r="E192" s="69">
        <v>1</v>
      </c>
      <c r="F192" s="69" t="s">
        <v>2</v>
      </c>
      <c r="G192" s="70">
        <v>43827.625</v>
      </c>
      <c r="H192" s="69" t="s">
        <v>34</v>
      </c>
    </row>
    <row r="193" spans="1:8" x14ac:dyDescent="0.2">
      <c r="A193" s="69" t="s">
        <v>8</v>
      </c>
      <c r="B193" s="69" t="s">
        <v>9</v>
      </c>
      <c r="C193" s="69">
        <v>1</v>
      </c>
      <c r="D193" s="69">
        <v>1</v>
      </c>
      <c r="E193" s="69">
        <v>1</v>
      </c>
      <c r="F193" s="69" t="s">
        <v>2</v>
      </c>
      <c r="G193" s="70">
        <v>43827.625</v>
      </c>
      <c r="H193" s="69" t="s">
        <v>31</v>
      </c>
    </row>
    <row r="194" spans="1:8" x14ac:dyDescent="0.2">
      <c r="A194" s="69" t="s">
        <v>13</v>
      </c>
      <c r="B194" s="69" t="s">
        <v>16</v>
      </c>
      <c r="C194" s="69">
        <v>3</v>
      </c>
      <c r="D194" s="69">
        <v>0</v>
      </c>
      <c r="E194" s="69">
        <v>1</v>
      </c>
      <c r="F194" s="69" t="s">
        <v>2</v>
      </c>
      <c r="G194" s="70">
        <v>43827.625</v>
      </c>
      <c r="H194" s="69" t="s">
        <v>52</v>
      </c>
    </row>
    <row r="195" spans="1:8" x14ac:dyDescent="0.2">
      <c r="A195" s="69" t="s">
        <v>1</v>
      </c>
      <c r="B195" s="69" t="s">
        <v>15</v>
      </c>
      <c r="C195" s="69">
        <v>2</v>
      </c>
      <c r="D195" s="69">
        <v>2</v>
      </c>
      <c r="E195" s="69">
        <v>1</v>
      </c>
      <c r="F195" s="69" t="s">
        <v>2</v>
      </c>
      <c r="G195" s="70">
        <v>43827.729166666664</v>
      </c>
      <c r="H195" s="69" t="s">
        <v>31</v>
      </c>
    </row>
    <row r="196" spans="1:8" x14ac:dyDescent="0.2">
      <c r="A196" s="69" t="s">
        <v>3</v>
      </c>
      <c r="B196" s="69" t="s">
        <v>11</v>
      </c>
      <c r="C196" s="69">
        <v>1</v>
      </c>
      <c r="D196" s="69">
        <v>2</v>
      </c>
      <c r="E196" s="69">
        <v>1</v>
      </c>
      <c r="F196" s="69" t="s">
        <v>2</v>
      </c>
      <c r="G196" s="70">
        <v>43827.729166666664</v>
      </c>
      <c r="H196" s="69" t="s">
        <v>34</v>
      </c>
    </row>
    <row r="197" spans="1:8" x14ac:dyDescent="0.2">
      <c r="A197" s="69" t="s">
        <v>7</v>
      </c>
      <c r="B197" s="69" t="s">
        <v>19</v>
      </c>
      <c r="C197" s="69">
        <v>0</v>
      </c>
      <c r="D197" s="69">
        <v>2</v>
      </c>
      <c r="E197" s="69">
        <v>1</v>
      </c>
      <c r="F197" s="69" t="s">
        <v>2</v>
      </c>
      <c r="G197" s="70">
        <v>43827.822916666664</v>
      </c>
      <c r="H197" s="69" t="s">
        <v>34</v>
      </c>
    </row>
    <row r="198" spans="1:8" x14ac:dyDescent="0.2">
      <c r="A198" s="69" t="s">
        <v>18</v>
      </c>
      <c r="B198" s="69" t="s">
        <v>20</v>
      </c>
      <c r="C198" s="69">
        <v>1</v>
      </c>
      <c r="D198" s="69">
        <v>2</v>
      </c>
      <c r="E198" s="69">
        <v>1</v>
      </c>
      <c r="F198" s="69" t="s">
        <v>2</v>
      </c>
      <c r="G198" s="70">
        <v>43828.583333333336</v>
      </c>
      <c r="H198" s="69" t="s">
        <v>34</v>
      </c>
    </row>
    <row r="199" spans="1:8" x14ac:dyDescent="0.2">
      <c r="A199" s="69" t="s">
        <v>0</v>
      </c>
      <c r="B199" s="69" t="s">
        <v>12</v>
      </c>
      <c r="C199" s="69">
        <v>1</v>
      </c>
      <c r="D199" s="69">
        <v>0</v>
      </c>
      <c r="E199" s="69">
        <v>1</v>
      </c>
      <c r="F199" s="69" t="s">
        <v>2</v>
      </c>
      <c r="G199" s="70">
        <v>43828.6875</v>
      </c>
      <c r="H199" s="69" t="s">
        <v>52</v>
      </c>
    </row>
    <row r="200" spans="1:8" x14ac:dyDescent="0.2">
      <c r="A200" s="69" t="s">
        <v>4</v>
      </c>
      <c r="B200" s="69" t="s">
        <v>6</v>
      </c>
      <c r="C200" s="69">
        <v>2</v>
      </c>
      <c r="D200" s="69">
        <v>0</v>
      </c>
      <c r="E200" s="69">
        <v>1</v>
      </c>
      <c r="F200" s="69" t="s">
        <v>2</v>
      </c>
      <c r="G200" s="70">
        <v>43828.75</v>
      </c>
      <c r="H200" s="69" t="s">
        <v>52</v>
      </c>
    </row>
    <row r="201" spans="1:8" x14ac:dyDescent="0.2">
      <c r="A201" s="69" t="s">
        <v>14</v>
      </c>
      <c r="B201" s="69" t="s">
        <v>20</v>
      </c>
      <c r="C201" s="69">
        <v>1</v>
      </c>
      <c r="D201" s="69">
        <v>1</v>
      </c>
      <c r="E201" s="69">
        <v>1</v>
      </c>
      <c r="F201" s="69" t="s">
        <v>2</v>
      </c>
      <c r="G201" s="70">
        <v>43831.520833333336</v>
      </c>
      <c r="H201" s="69" t="s">
        <v>31</v>
      </c>
    </row>
    <row r="202" spans="1:8" x14ac:dyDescent="0.2">
      <c r="A202" s="69" t="s">
        <v>7</v>
      </c>
      <c r="B202" s="69" t="s">
        <v>16</v>
      </c>
      <c r="C202" s="69">
        <v>1</v>
      </c>
      <c r="D202" s="69">
        <v>2</v>
      </c>
      <c r="E202" s="69">
        <v>1</v>
      </c>
      <c r="F202" s="69" t="s">
        <v>2</v>
      </c>
      <c r="G202" s="70">
        <v>43831.520833333336</v>
      </c>
      <c r="H202" s="69" t="s">
        <v>34</v>
      </c>
    </row>
    <row r="203" spans="1:8" x14ac:dyDescent="0.2">
      <c r="A203" s="69" t="s">
        <v>17</v>
      </c>
      <c r="B203" s="69" t="s">
        <v>11</v>
      </c>
      <c r="C203" s="69">
        <v>0</v>
      </c>
      <c r="D203" s="69">
        <v>3</v>
      </c>
      <c r="E203" s="69">
        <v>1</v>
      </c>
      <c r="F203" s="69" t="s">
        <v>2</v>
      </c>
      <c r="G203" s="70">
        <v>43831.625</v>
      </c>
      <c r="H203" s="69" t="s">
        <v>34</v>
      </c>
    </row>
    <row r="204" spans="1:8" x14ac:dyDescent="0.2">
      <c r="A204" s="69" t="s">
        <v>8</v>
      </c>
      <c r="B204" s="69" t="s">
        <v>15</v>
      </c>
      <c r="C204" s="69">
        <v>1</v>
      </c>
      <c r="D204" s="69">
        <v>0</v>
      </c>
      <c r="E204" s="69">
        <v>1</v>
      </c>
      <c r="F204" s="69" t="s">
        <v>2</v>
      </c>
      <c r="G204" s="70">
        <v>43831.625</v>
      </c>
      <c r="H204" s="69" t="s">
        <v>52</v>
      </c>
    </row>
    <row r="205" spans="1:8" x14ac:dyDescent="0.2">
      <c r="A205" s="69" t="s">
        <v>13</v>
      </c>
      <c r="B205" s="69" t="s">
        <v>12</v>
      </c>
      <c r="C205" s="69">
        <v>2</v>
      </c>
      <c r="D205" s="69">
        <v>1</v>
      </c>
      <c r="E205" s="69">
        <v>1</v>
      </c>
      <c r="F205" s="69" t="s">
        <v>2</v>
      </c>
      <c r="G205" s="70">
        <v>43831.625</v>
      </c>
      <c r="H205" s="69" t="s">
        <v>52</v>
      </c>
    </row>
    <row r="206" spans="1:8" x14ac:dyDescent="0.2">
      <c r="A206" s="69" t="s">
        <v>4</v>
      </c>
      <c r="B206" s="69" t="s">
        <v>10</v>
      </c>
      <c r="C206" s="69">
        <v>2</v>
      </c>
      <c r="D206" s="69">
        <v>1</v>
      </c>
      <c r="E206" s="69">
        <v>1</v>
      </c>
      <c r="F206" s="69" t="s">
        <v>2</v>
      </c>
      <c r="G206" s="70">
        <v>43831.729166666664</v>
      </c>
      <c r="H206" s="69" t="s">
        <v>52</v>
      </c>
    </row>
    <row r="207" spans="1:8" x14ac:dyDescent="0.2">
      <c r="A207" s="69" t="s">
        <v>1</v>
      </c>
      <c r="B207" s="69" t="s">
        <v>9</v>
      </c>
      <c r="C207" s="69">
        <v>1</v>
      </c>
      <c r="D207" s="69">
        <v>1</v>
      </c>
      <c r="E207" s="69">
        <v>1</v>
      </c>
      <c r="F207" s="69" t="s">
        <v>2</v>
      </c>
      <c r="G207" s="70">
        <v>43831.729166666664</v>
      </c>
      <c r="H207" s="69" t="s">
        <v>31</v>
      </c>
    </row>
    <row r="208" spans="1:8" x14ac:dyDescent="0.2">
      <c r="A208" s="69" t="s">
        <v>3</v>
      </c>
      <c r="B208" s="69" t="s">
        <v>5</v>
      </c>
      <c r="C208" s="69">
        <v>4</v>
      </c>
      <c r="D208" s="69">
        <v>0</v>
      </c>
      <c r="E208" s="69">
        <v>1</v>
      </c>
      <c r="F208" s="69" t="s">
        <v>2</v>
      </c>
      <c r="G208" s="70">
        <v>43831.729166666664</v>
      </c>
      <c r="H208" s="69" t="s">
        <v>52</v>
      </c>
    </row>
    <row r="209" spans="1:8" x14ac:dyDescent="0.2">
      <c r="A209" s="69" t="s">
        <v>18</v>
      </c>
      <c r="B209" s="69" t="s">
        <v>19</v>
      </c>
      <c r="C209" s="69">
        <v>2</v>
      </c>
      <c r="D209" s="69">
        <v>0</v>
      </c>
      <c r="E209" s="69">
        <v>1</v>
      </c>
      <c r="F209" s="69" t="s">
        <v>2</v>
      </c>
      <c r="G209" s="70">
        <v>43831.833333333336</v>
      </c>
      <c r="H209" s="69" t="s">
        <v>52</v>
      </c>
    </row>
    <row r="210" spans="1:8" x14ac:dyDescent="0.2">
      <c r="A210" s="69" t="s">
        <v>0</v>
      </c>
      <c r="B210" s="69" t="s">
        <v>6</v>
      </c>
      <c r="C210" s="69">
        <v>2</v>
      </c>
      <c r="D210" s="69">
        <v>0</v>
      </c>
      <c r="E210" s="69">
        <v>1</v>
      </c>
      <c r="F210" s="69" t="s">
        <v>2</v>
      </c>
      <c r="G210" s="70">
        <v>43832.833333333336</v>
      </c>
      <c r="H210" s="69" t="s">
        <v>52</v>
      </c>
    </row>
    <row r="211" spans="1:8" x14ac:dyDescent="0.2">
      <c r="A211" s="69" t="s">
        <v>6</v>
      </c>
      <c r="B211" s="69" t="s">
        <v>3</v>
      </c>
      <c r="C211" s="69">
        <v>1</v>
      </c>
      <c r="D211" s="69">
        <v>0</v>
      </c>
      <c r="E211" s="69">
        <v>1</v>
      </c>
      <c r="F211" s="69" t="s">
        <v>2</v>
      </c>
      <c r="G211" s="70">
        <v>43840.833333333336</v>
      </c>
      <c r="H211" s="69" t="s">
        <v>52</v>
      </c>
    </row>
    <row r="212" spans="1:8" x14ac:dyDescent="0.2">
      <c r="A212" s="69" t="s">
        <v>9</v>
      </c>
      <c r="B212" s="69" t="s">
        <v>18</v>
      </c>
      <c r="C212" s="69">
        <v>1</v>
      </c>
      <c r="D212" s="69">
        <v>1</v>
      </c>
      <c r="E212" s="69">
        <v>1</v>
      </c>
      <c r="F212" s="69" t="s">
        <v>2</v>
      </c>
      <c r="G212" s="70">
        <v>43841.520833333336</v>
      </c>
      <c r="H212" s="69" t="s">
        <v>31</v>
      </c>
    </row>
    <row r="213" spans="1:8" x14ac:dyDescent="0.2">
      <c r="A213" s="69" t="s">
        <v>20</v>
      </c>
      <c r="B213" s="69" t="s">
        <v>7</v>
      </c>
      <c r="C213" s="69">
        <v>3</v>
      </c>
      <c r="D213" s="69">
        <v>0</v>
      </c>
      <c r="E213" s="69">
        <v>1</v>
      </c>
      <c r="F213" s="69" t="s">
        <v>2</v>
      </c>
      <c r="G213" s="70">
        <v>43841.625</v>
      </c>
      <c r="H213" s="69" t="s">
        <v>52</v>
      </c>
    </row>
    <row r="214" spans="1:8" x14ac:dyDescent="0.2">
      <c r="A214" s="69" t="s">
        <v>10</v>
      </c>
      <c r="B214" s="69" t="s">
        <v>14</v>
      </c>
      <c r="C214" s="69">
        <v>1</v>
      </c>
      <c r="D214" s="69">
        <v>0</v>
      </c>
      <c r="E214" s="69">
        <v>1</v>
      </c>
      <c r="F214" s="69" t="s">
        <v>2</v>
      </c>
      <c r="G214" s="70">
        <v>43841.625</v>
      </c>
      <c r="H214" s="69" t="s">
        <v>52</v>
      </c>
    </row>
    <row r="215" spans="1:8" x14ac:dyDescent="0.2">
      <c r="A215" s="69" t="s">
        <v>11</v>
      </c>
      <c r="B215" s="69" t="s">
        <v>8</v>
      </c>
      <c r="C215" s="69">
        <v>1</v>
      </c>
      <c r="D215" s="69">
        <v>2</v>
      </c>
      <c r="E215" s="69">
        <v>1</v>
      </c>
      <c r="F215" s="69" t="s">
        <v>2</v>
      </c>
      <c r="G215" s="70">
        <v>43841.625</v>
      </c>
      <c r="H215" s="69" t="s">
        <v>34</v>
      </c>
    </row>
    <row r="216" spans="1:8" x14ac:dyDescent="0.2">
      <c r="A216" s="69" t="s">
        <v>19</v>
      </c>
      <c r="B216" s="69" t="s">
        <v>1</v>
      </c>
      <c r="C216" s="69">
        <v>4</v>
      </c>
      <c r="D216" s="69">
        <v>0</v>
      </c>
      <c r="E216" s="69">
        <v>1</v>
      </c>
      <c r="F216" s="69" t="s">
        <v>2</v>
      </c>
      <c r="G216" s="70">
        <v>43841.625</v>
      </c>
      <c r="H216" s="69" t="s">
        <v>52</v>
      </c>
    </row>
    <row r="217" spans="1:8" x14ac:dyDescent="0.2">
      <c r="A217" s="69" t="s">
        <v>12</v>
      </c>
      <c r="B217" s="69" t="s">
        <v>17</v>
      </c>
      <c r="C217" s="69">
        <v>1</v>
      </c>
      <c r="D217" s="69">
        <v>1</v>
      </c>
      <c r="E217" s="69">
        <v>1</v>
      </c>
      <c r="F217" s="69" t="s">
        <v>2</v>
      </c>
      <c r="G217" s="70">
        <v>43841.625</v>
      </c>
      <c r="H217" s="69" t="s">
        <v>31</v>
      </c>
    </row>
    <row r="218" spans="1:8" x14ac:dyDescent="0.2">
      <c r="A218" s="69" t="s">
        <v>15</v>
      </c>
      <c r="B218" s="69" t="s">
        <v>0</v>
      </c>
      <c r="C218" s="69">
        <v>0</v>
      </c>
      <c r="D218" s="69">
        <v>1</v>
      </c>
      <c r="E218" s="69">
        <v>1</v>
      </c>
      <c r="F218" s="69" t="s">
        <v>2</v>
      </c>
      <c r="G218" s="70">
        <v>43841.729166666664</v>
      </c>
      <c r="H218" s="69" t="s">
        <v>34</v>
      </c>
    </row>
    <row r="219" spans="1:8" x14ac:dyDescent="0.2">
      <c r="A219" s="69" t="s">
        <v>5</v>
      </c>
      <c r="B219" s="69" t="s">
        <v>13</v>
      </c>
      <c r="C219" s="69">
        <v>0</v>
      </c>
      <c r="D219" s="69">
        <v>3</v>
      </c>
      <c r="E219" s="69">
        <v>1</v>
      </c>
      <c r="F219" s="69" t="s">
        <v>2</v>
      </c>
      <c r="G219" s="70">
        <v>43842.583333333336</v>
      </c>
      <c r="H219" s="69" t="s">
        <v>34</v>
      </c>
    </row>
    <row r="220" spans="1:8" x14ac:dyDescent="0.2">
      <c r="A220" s="69" t="s">
        <v>16</v>
      </c>
      <c r="B220" s="69" t="s">
        <v>4</v>
      </c>
      <c r="C220" s="69">
        <v>1</v>
      </c>
      <c r="D220" s="69">
        <v>6</v>
      </c>
      <c r="E220" s="69">
        <v>1</v>
      </c>
      <c r="F220" s="69" t="s">
        <v>2</v>
      </c>
      <c r="G220" s="70">
        <v>43842.6875</v>
      </c>
      <c r="H220" s="69" t="s">
        <v>34</v>
      </c>
    </row>
    <row r="221" spans="1:8" x14ac:dyDescent="0.2">
      <c r="A221" s="69" t="s">
        <v>13</v>
      </c>
      <c r="B221" s="69" t="s">
        <v>15</v>
      </c>
      <c r="C221" s="69">
        <v>0</v>
      </c>
      <c r="D221" s="69">
        <v>0</v>
      </c>
      <c r="E221" s="69">
        <v>1</v>
      </c>
      <c r="F221" s="69" t="s">
        <v>2</v>
      </c>
      <c r="G221" s="70">
        <v>43848.520833333336</v>
      </c>
      <c r="H221" s="69" t="s">
        <v>31</v>
      </c>
    </row>
    <row r="222" spans="1:8" x14ac:dyDescent="0.2">
      <c r="A222" s="69" t="s">
        <v>18</v>
      </c>
      <c r="B222" s="69" t="s">
        <v>6</v>
      </c>
      <c r="C222" s="69">
        <v>1</v>
      </c>
      <c r="D222" s="69">
        <v>1</v>
      </c>
      <c r="E222" s="69">
        <v>1</v>
      </c>
      <c r="F222" s="69" t="s">
        <v>2</v>
      </c>
      <c r="G222" s="70">
        <v>43848.625</v>
      </c>
      <c r="H222" s="69" t="s">
        <v>31</v>
      </c>
    </row>
    <row r="223" spans="1:8" x14ac:dyDescent="0.2">
      <c r="A223" s="69" t="s">
        <v>14</v>
      </c>
      <c r="B223" s="69" t="s">
        <v>16</v>
      </c>
      <c r="C223" s="69">
        <v>1</v>
      </c>
      <c r="D223" s="69">
        <v>1</v>
      </c>
      <c r="E223" s="69">
        <v>1</v>
      </c>
      <c r="F223" s="69" t="s">
        <v>2</v>
      </c>
      <c r="G223" s="70">
        <v>43848.625</v>
      </c>
      <c r="H223" s="69" t="s">
        <v>31</v>
      </c>
    </row>
    <row r="224" spans="1:8" x14ac:dyDescent="0.2">
      <c r="A224" s="69" t="s">
        <v>4</v>
      </c>
      <c r="B224" s="69" t="s">
        <v>9</v>
      </c>
      <c r="C224" s="69">
        <v>2</v>
      </c>
      <c r="D224" s="69">
        <v>2</v>
      </c>
      <c r="E224" s="69">
        <v>1</v>
      </c>
      <c r="F224" s="69" t="s">
        <v>2</v>
      </c>
      <c r="G224" s="70">
        <v>43848.625</v>
      </c>
      <c r="H224" s="69" t="s">
        <v>31</v>
      </c>
    </row>
    <row r="225" spans="1:8" x14ac:dyDescent="0.2">
      <c r="A225" s="69" t="s">
        <v>1</v>
      </c>
      <c r="B225" s="69" t="s">
        <v>5</v>
      </c>
      <c r="C225" s="69">
        <v>1</v>
      </c>
      <c r="D225" s="69">
        <v>0</v>
      </c>
      <c r="E225" s="69">
        <v>1</v>
      </c>
      <c r="F225" s="69" t="s">
        <v>2</v>
      </c>
      <c r="G225" s="70">
        <v>43848.625</v>
      </c>
      <c r="H225" s="69" t="s">
        <v>52</v>
      </c>
    </row>
    <row r="226" spans="1:8" x14ac:dyDescent="0.2">
      <c r="A226" s="69" t="s">
        <v>8</v>
      </c>
      <c r="B226" s="69" t="s">
        <v>12</v>
      </c>
      <c r="C226" s="69">
        <v>2</v>
      </c>
      <c r="D226" s="69">
        <v>3</v>
      </c>
      <c r="E226" s="69">
        <v>1</v>
      </c>
      <c r="F226" s="69" t="s">
        <v>2</v>
      </c>
      <c r="G226" s="70">
        <v>43848.625</v>
      </c>
      <c r="H226" s="69" t="s">
        <v>34</v>
      </c>
    </row>
    <row r="227" spans="1:8" x14ac:dyDescent="0.2">
      <c r="A227" s="69" t="s">
        <v>3</v>
      </c>
      <c r="B227" s="69" t="s">
        <v>10</v>
      </c>
      <c r="C227" s="69">
        <v>1</v>
      </c>
      <c r="D227" s="69">
        <v>1</v>
      </c>
      <c r="E227" s="69">
        <v>1</v>
      </c>
      <c r="F227" s="69" t="s">
        <v>2</v>
      </c>
      <c r="G227" s="70">
        <v>43848.625</v>
      </c>
      <c r="H227" s="69" t="s">
        <v>31</v>
      </c>
    </row>
    <row r="228" spans="1:8" x14ac:dyDescent="0.2">
      <c r="A228" s="69" t="s">
        <v>17</v>
      </c>
      <c r="B228" s="69" t="s">
        <v>20</v>
      </c>
      <c r="C228" s="69">
        <v>1</v>
      </c>
      <c r="D228" s="69">
        <v>0</v>
      </c>
      <c r="E228" s="69">
        <v>1</v>
      </c>
      <c r="F228" s="69" t="s">
        <v>2</v>
      </c>
      <c r="G228" s="70">
        <v>43848.729166666664</v>
      </c>
      <c r="H228" s="69" t="s">
        <v>52</v>
      </c>
    </row>
    <row r="229" spans="1:8" x14ac:dyDescent="0.2">
      <c r="A229" s="69" t="s">
        <v>7</v>
      </c>
      <c r="B229" s="69" t="s">
        <v>11</v>
      </c>
      <c r="C229" s="69">
        <v>2</v>
      </c>
      <c r="D229" s="69">
        <v>1</v>
      </c>
      <c r="E229" s="69">
        <v>1</v>
      </c>
      <c r="F229" s="69" t="s">
        <v>2</v>
      </c>
      <c r="G229" s="70">
        <v>43849.583333333336</v>
      </c>
      <c r="H229" s="69" t="s">
        <v>52</v>
      </c>
    </row>
    <row r="230" spans="1:8" x14ac:dyDescent="0.2">
      <c r="A230" s="69" t="s">
        <v>0</v>
      </c>
      <c r="B230" s="69" t="s">
        <v>19</v>
      </c>
      <c r="C230" s="69">
        <v>2</v>
      </c>
      <c r="D230" s="69">
        <v>0</v>
      </c>
      <c r="E230" s="69">
        <v>1</v>
      </c>
      <c r="F230" s="69" t="s">
        <v>2</v>
      </c>
      <c r="G230" s="70">
        <v>43849.6875</v>
      </c>
      <c r="H230" s="69" t="s">
        <v>52</v>
      </c>
    </row>
    <row r="231" spans="1:8" x14ac:dyDescent="0.2">
      <c r="A231" s="69" t="s">
        <v>16</v>
      </c>
      <c r="B231" s="69" t="s">
        <v>13</v>
      </c>
      <c r="C231" s="69">
        <v>2</v>
      </c>
      <c r="D231" s="69">
        <v>1</v>
      </c>
      <c r="E231" s="69">
        <v>1</v>
      </c>
      <c r="F231" s="69" t="s">
        <v>2</v>
      </c>
      <c r="G231" s="70">
        <v>43851.8125</v>
      </c>
      <c r="H231" s="69" t="s">
        <v>52</v>
      </c>
    </row>
    <row r="232" spans="1:8" x14ac:dyDescent="0.2">
      <c r="A232" s="69" t="s">
        <v>5</v>
      </c>
      <c r="B232" s="69" t="s">
        <v>14</v>
      </c>
      <c r="C232" s="69">
        <v>3</v>
      </c>
      <c r="D232" s="69">
        <v>1</v>
      </c>
      <c r="E232" s="69">
        <v>1</v>
      </c>
      <c r="F232" s="69" t="s">
        <v>2</v>
      </c>
      <c r="G232" s="70">
        <v>43851.8125</v>
      </c>
      <c r="H232" s="69" t="s">
        <v>52</v>
      </c>
    </row>
    <row r="233" spans="1:8" x14ac:dyDescent="0.2">
      <c r="A233" s="69" t="s">
        <v>9</v>
      </c>
      <c r="B233" s="69" t="s">
        <v>8</v>
      </c>
      <c r="C233" s="69">
        <v>0</v>
      </c>
      <c r="D233" s="69">
        <v>2</v>
      </c>
      <c r="E233" s="69">
        <v>1</v>
      </c>
      <c r="F233" s="69" t="s">
        <v>2</v>
      </c>
      <c r="G233" s="70">
        <v>43851.8125</v>
      </c>
      <c r="H233" s="69" t="s">
        <v>34</v>
      </c>
    </row>
    <row r="234" spans="1:8" x14ac:dyDescent="0.2">
      <c r="A234" s="69" t="s">
        <v>10</v>
      </c>
      <c r="B234" s="69" t="s">
        <v>17</v>
      </c>
      <c r="C234" s="69">
        <v>2</v>
      </c>
      <c r="D234" s="69">
        <v>2</v>
      </c>
      <c r="E234" s="69">
        <v>1</v>
      </c>
      <c r="F234" s="69" t="s">
        <v>2</v>
      </c>
      <c r="G234" s="70">
        <v>43851.8125</v>
      </c>
      <c r="H234" s="69" t="s">
        <v>31</v>
      </c>
    </row>
    <row r="235" spans="1:8" x14ac:dyDescent="0.2">
      <c r="A235" s="69" t="s">
        <v>6</v>
      </c>
      <c r="B235" s="69" t="s">
        <v>4</v>
      </c>
      <c r="C235" s="69">
        <v>0</v>
      </c>
      <c r="D235" s="69">
        <v>1</v>
      </c>
      <c r="E235" s="69">
        <v>1</v>
      </c>
      <c r="F235" s="69" t="s">
        <v>2</v>
      </c>
      <c r="G235" s="70">
        <v>43851.8125</v>
      </c>
      <c r="H235" s="69" t="s">
        <v>34</v>
      </c>
    </row>
    <row r="236" spans="1:8" x14ac:dyDescent="0.2">
      <c r="A236" s="69" t="s">
        <v>20</v>
      </c>
      <c r="B236" s="69" t="s">
        <v>18</v>
      </c>
      <c r="C236" s="69">
        <v>2</v>
      </c>
      <c r="D236" s="69">
        <v>2</v>
      </c>
      <c r="E236" s="69">
        <v>1</v>
      </c>
      <c r="F236" s="69" t="s">
        <v>2</v>
      </c>
      <c r="G236" s="70">
        <v>43851.84375</v>
      </c>
      <c r="H236" s="69" t="s">
        <v>31</v>
      </c>
    </row>
    <row r="237" spans="1:8" x14ac:dyDescent="0.2">
      <c r="A237" s="69" t="s">
        <v>11</v>
      </c>
      <c r="B237" s="69" t="s">
        <v>3</v>
      </c>
      <c r="C237" s="69">
        <v>4</v>
      </c>
      <c r="D237" s="69">
        <v>1</v>
      </c>
      <c r="E237" s="69">
        <v>1</v>
      </c>
      <c r="F237" s="69" t="s">
        <v>2</v>
      </c>
      <c r="G237" s="70">
        <v>43852.8125</v>
      </c>
      <c r="H237" s="69" t="s">
        <v>52</v>
      </c>
    </row>
    <row r="238" spans="1:8" x14ac:dyDescent="0.2">
      <c r="A238" s="69" t="s">
        <v>15</v>
      </c>
      <c r="B238" s="69" t="s">
        <v>1</v>
      </c>
      <c r="C238" s="69">
        <v>2</v>
      </c>
      <c r="D238" s="69">
        <v>1</v>
      </c>
      <c r="E238" s="69">
        <v>1</v>
      </c>
      <c r="F238" s="69" t="s">
        <v>2</v>
      </c>
      <c r="G238" s="70">
        <v>43852.8125</v>
      </c>
      <c r="H238" s="69" t="s">
        <v>52</v>
      </c>
    </row>
    <row r="239" spans="1:8" x14ac:dyDescent="0.2">
      <c r="A239" s="69" t="s">
        <v>19</v>
      </c>
      <c r="B239" s="69" t="s">
        <v>7</v>
      </c>
      <c r="C239" s="69">
        <v>0</v>
      </c>
      <c r="D239" s="69">
        <v>2</v>
      </c>
      <c r="E239" s="69">
        <v>1</v>
      </c>
      <c r="F239" s="69" t="s">
        <v>2</v>
      </c>
      <c r="G239" s="70">
        <v>43852.84375</v>
      </c>
      <c r="H239" s="69" t="s">
        <v>34</v>
      </c>
    </row>
    <row r="240" spans="1:8" x14ac:dyDescent="0.2">
      <c r="A240" s="69" t="s">
        <v>12</v>
      </c>
      <c r="B240" s="69" t="s">
        <v>0</v>
      </c>
      <c r="C240" s="69">
        <v>1</v>
      </c>
      <c r="D240" s="69">
        <v>2</v>
      </c>
      <c r="E240" s="69">
        <v>1</v>
      </c>
      <c r="F240" s="69" t="s">
        <v>2</v>
      </c>
      <c r="G240" s="70">
        <v>43853.833333333336</v>
      </c>
      <c r="H240" s="69" t="s">
        <v>34</v>
      </c>
    </row>
    <row r="241" spans="1:8" x14ac:dyDescent="0.2">
      <c r="A241" s="69" t="s">
        <v>3</v>
      </c>
      <c r="B241" s="69" t="s">
        <v>0</v>
      </c>
      <c r="C241" s="69">
        <v>0</v>
      </c>
      <c r="D241" s="69">
        <v>2</v>
      </c>
      <c r="E241" s="69">
        <v>1</v>
      </c>
      <c r="F241" s="69" t="s">
        <v>2</v>
      </c>
      <c r="G241" s="70">
        <v>43859.822916666664</v>
      </c>
      <c r="H241" s="69" t="s">
        <v>34</v>
      </c>
    </row>
    <row r="242" spans="1:8" x14ac:dyDescent="0.2">
      <c r="A242" s="69" t="s">
        <v>11</v>
      </c>
      <c r="B242" s="69" t="s">
        <v>20</v>
      </c>
      <c r="C242" s="69">
        <v>2</v>
      </c>
      <c r="D242" s="69">
        <v>2</v>
      </c>
      <c r="E242" s="69">
        <v>1</v>
      </c>
      <c r="F242" s="69" t="s">
        <v>2</v>
      </c>
      <c r="G242" s="70">
        <v>43862.520833333336</v>
      </c>
      <c r="H242" s="69" t="s">
        <v>31</v>
      </c>
    </row>
    <row r="243" spans="1:8" x14ac:dyDescent="0.2">
      <c r="A243" s="69" t="s">
        <v>5</v>
      </c>
      <c r="B243" s="69" t="s">
        <v>16</v>
      </c>
      <c r="C243" s="69">
        <v>2</v>
      </c>
      <c r="D243" s="69">
        <v>1</v>
      </c>
      <c r="E243" s="69">
        <v>1</v>
      </c>
      <c r="F243" s="69" t="s">
        <v>2</v>
      </c>
      <c r="G243" s="70">
        <v>43862.625</v>
      </c>
      <c r="H243" s="69" t="s">
        <v>52</v>
      </c>
    </row>
    <row r="244" spans="1:8" x14ac:dyDescent="0.2">
      <c r="A244" s="69" t="s">
        <v>9</v>
      </c>
      <c r="B244" s="69" t="s">
        <v>6</v>
      </c>
      <c r="C244" s="69">
        <v>0</v>
      </c>
      <c r="D244" s="69">
        <v>1</v>
      </c>
      <c r="E244" s="69">
        <v>1</v>
      </c>
      <c r="F244" s="69" t="s">
        <v>2</v>
      </c>
      <c r="G244" s="70">
        <v>43862.625</v>
      </c>
      <c r="H244" s="69" t="s">
        <v>34</v>
      </c>
    </row>
    <row r="245" spans="1:8" x14ac:dyDescent="0.2">
      <c r="A245" s="69" t="s">
        <v>0</v>
      </c>
      <c r="B245" s="69" t="s">
        <v>8</v>
      </c>
      <c r="C245" s="69">
        <v>4</v>
      </c>
      <c r="D245" s="69">
        <v>0</v>
      </c>
      <c r="E245" s="69">
        <v>1</v>
      </c>
      <c r="F245" s="69" t="s">
        <v>2</v>
      </c>
      <c r="G245" s="70">
        <v>43862.625</v>
      </c>
      <c r="H245" s="69" t="s">
        <v>52</v>
      </c>
    </row>
    <row r="246" spans="1:8" x14ac:dyDescent="0.2">
      <c r="A246" s="69" t="s">
        <v>17</v>
      </c>
      <c r="B246" s="69" t="s">
        <v>1</v>
      </c>
      <c r="C246" s="69">
        <v>0</v>
      </c>
      <c r="D246" s="69">
        <v>0</v>
      </c>
      <c r="E246" s="69">
        <v>1</v>
      </c>
      <c r="F246" s="69" t="s">
        <v>2</v>
      </c>
      <c r="G246" s="70">
        <v>43862.625</v>
      </c>
      <c r="H246" s="69" t="s">
        <v>31</v>
      </c>
    </row>
    <row r="247" spans="1:8" x14ac:dyDescent="0.2">
      <c r="A247" s="69" t="s">
        <v>13</v>
      </c>
      <c r="B247" s="69" t="s">
        <v>10</v>
      </c>
      <c r="C247" s="69">
        <v>2</v>
      </c>
      <c r="D247" s="69">
        <v>3</v>
      </c>
      <c r="E247" s="69">
        <v>1</v>
      </c>
      <c r="F247" s="69" t="s">
        <v>2</v>
      </c>
      <c r="G247" s="70">
        <v>43862.625</v>
      </c>
      <c r="H247" s="69" t="s">
        <v>34</v>
      </c>
    </row>
    <row r="248" spans="1:8" x14ac:dyDescent="0.2">
      <c r="A248" s="69" t="s">
        <v>3</v>
      </c>
      <c r="B248" s="69" t="s">
        <v>14</v>
      </c>
      <c r="C248" s="69">
        <v>3</v>
      </c>
      <c r="D248" s="69">
        <v>3</v>
      </c>
      <c r="E248" s="69">
        <v>1</v>
      </c>
      <c r="F248" s="69" t="s">
        <v>2</v>
      </c>
      <c r="G248" s="70">
        <v>43862.625</v>
      </c>
      <c r="H248" s="69" t="s">
        <v>31</v>
      </c>
    </row>
    <row r="249" spans="1:8" x14ac:dyDescent="0.2">
      <c r="A249" s="69" t="s">
        <v>19</v>
      </c>
      <c r="B249" s="69" t="s">
        <v>12</v>
      </c>
      <c r="C249" s="69">
        <v>0</v>
      </c>
      <c r="D249" s="69">
        <v>0</v>
      </c>
      <c r="E249" s="69">
        <v>1</v>
      </c>
      <c r="F249" s="69" t="s">
        <v>2</v>
      </c>
      <c r="G249" s="70">
        <v>43862.729166666664</v>
      </c>
      <c r="H249" s="69" t="s">
        <v>31</v>
      </c>
    </row>
    <row r="250" spans="1:8" x14ac:dyDescent="0.2">
      <c r="A250" s="69" t="s">
        <v>7</v>
      </c>
      <c r="B250" s="69" t="s">
        <v>18</v>
      </c>
      <c r="C250" s="69">
        <v>0</v>
      </c>
      <c r="D250" s="69">
        <v>0</v>
      </c>
      <c r="E250" s="69">
        <v>1</v>
      </c>
      <c r="F250" s="69" t="s">
        <v>2</v>
      </c>
      <c r="G250" s="70">
        <v>43863.583333333336</v>
      </c>
      <c r="H250" s="69" t="s">
        <v>31</v>
      </c>
    </row>
    <row r="251" spans="1:8" x14ac:dyDescent="0.2">
      <c r="A251" s="69" t="s">
        <v>15</v>
      </c>
      <c r="B251" s="69" t="s">
        <v>4</v>
      </c>
      <c r="C251" s="69">
        <v>2</v>
      </c>
      <c r="D251" s="69">
        <v>0</v>
      </c>
      <c r="E251" s="69">
        <v>1</v>
      </c>
      <c r="F251" s="69" t="s">
        <v>2</v>
      </c>
      <c r="G251" s="70">
        <v>43863.6875</v>
      </c>
      <c r="H251" s="69" t="s">
        <v>52</v>
      </c>
    </row>
    <row r="252" spans="1:8" x14ac:dyDescent="0.2">
      <c r="A252" s="69" t="s">
        <v>10</v>
      </c>
      <c r="B252" s="69" t="s">
        <v>9</v>
      </c>
      <c r="C252" s="69">
        <v>3</v>
      </c>
      <c r="D252" s="69">
        <v>1</v>
      </c>
      <c r="E252" s="69">
        <v>1</v>
      </c>
      <c r="F252" s="69" t="s">
        <v>2</v>
      </c>
      <c r="G252" s="70">
        <v>43869.520833333336</v>
      </c>
      <c r="H252" s="69" t="s">
        <v>52</v>
      </c>
    </row>
    <row r="253" spans="1:8" x14ac:dyDescent="0.2">
      <c r="A253" s="69" t="s">
        <v>6</v>
      </c>
      <c r="B253" s="69" t="s">
        <v>5</v>
      </c>
      <c r="C253" s="69">
        <v>2</v>
      </c>
      <c r="D253" s="69">
        <v>1</v>
      </c>
      <c r="E253" s="69">
        <v>1</v>
      </c>
      <c r="F253" s="69" t="s">
        <v>2</v>
      </c>
      <c r="G253" s="70">
        <v>43870.583333333336</v>
      </c>
      <c r="H253" s="69" t="s">
        <v>52</v>
      </c>
    </row>
    <row r="254" spans="1:8" x14ac:dyDescent="0.2">
      <c r="A254" s="69" t="s">
        <v>14</v>
      </c>
      <c r="B254" s="69" t="s">
        <v>13</v>
      </c>
      <c r="C254" s="69">
        <v>1</v>
      </c>
      <c r="D254" s="69">
        <v>1</v>
      </c>
      <c r="E254" s="69">
        <v>1</v>
      </c>
      <c r="F254" s="69" t="s">
        <v>2</v>
      </c>
      <c r="G254" s="70">
        <v>43870.729166666664</v>
      </c>
      <c r="H254" s="69" t="s">
        <v>31</v>
      </c>
    </row>
    <row r="255" spans="1:8" x14ac:dyDescent="0.2">
      <c r="A255" s="69" t="s">
        <v>12</v>
      </c>
      <c r="B255" s="69" t="s">
        <v>11</v>
      </c>
      <c r="C255" s="69">
        <v>0</v>
      </c>
      <c r="D255" s="69">
        <v>0</v>
      </c>
      <c r="E255" s="69">
        <v>1</v>
      </c>
      <c r="F255" s="69" t="s">
        <v>2</v>
      </c>
      <c r="G255" s="70">
        <v>43875.833333333336</v>
      </c>
      <c r="H255" s="69" t="s">
        <v>31</v>
      </c>
    </row>
    <row r="256" spans="1:8" x14ac:dyDescent="0.2">
      <c r="A256" s="69" t="s">
        <v>8</v>
      </c>
      <c r="B256" s="69" t="s">
        <v>7</v>
      </c>
      <c r="C256" s="69">
        <v>1</v>
      </c>
      <c r="D256" s="69">
        <v>2</v>
      </c>
      <c r="E256" s="69">
        <v>1</v>
      </c>
      <c r="F256" s="69" t="s">
        <v>2</v>
      </c>
      <c r="G256" s="70">
        <v>43876.520833333336</v>
      </c>
      <c r="H256" s="69" t="s">
        <v>34</v>
      </c>
    </row>
    <row r="257" spans="1:8" x14ac:dyDescent="0.2">
      <c r="A257" s="69" t="s">
        <v>1</v>
      </c>
      <c r="B257" s="69" t="s">
        <v>0</v>
      </c>
      <c r="C257" s="69">
        <v>0</v>
      </c>
      <c r="D257" s="69">
        <v>1</v>
      </c>
      <c r="E257" s="69">
        <v>1</v>
      </c>
      <c r="F257" s="69" t="s">
        <v>2</v>
      </c>
      <c r="G257" s="70">
        <v>43876.729166666664</v>
      </c>
      <c r="H257" s="69" t="s">
        <v>34</v>
      </c>
    </row>
    <row r="258" spans="1:8" x14ac:dyDescent="0.2">
      <c r="A258" s="69" t="s">
        <v>16</v>
      </c>
      <c r="B258" s="69" t="s">
        <v>15</v>
      </c>
      <c r="C258" s="69">
        <v>2</v>
      </c>
      <c r="D258" s="69">
        <v>3</v>
      </c>
      <c r="E258" s="69">
        <v>1</v>
      </c>
      <c r="F258" s="69" t="s">
        <v>2</v>
      </c>
      <c r="G258" s="70">
        <v>43877.583333333336</v>
      </c>
      <c r="H258" s="69" t="s">
        <v>34</v>
      </c>
    </row>
    <row r="259" spans="1:8" x14ac:dyDescent="0.2">
      <c r="A259" s="69" t="s">
        <v>18</v>
      </c>
      <c r="B259" s="69" t="s">
        <v>17</v>
      </c>
      <c r="C259" s="69">
        <v>4</v>
      </c>
      <c r="D259" s="69">
        <v>0</v>
      </c>
      <c r="E259" s="69">
        <v>1</v>
      </c>
      <c r="F259" s="69" t="s">
        <v>2</v>
      </c>
      <c r="G259" s="70">
        <v>43877.6875</v>
      </c>
      <c r="H259" s="69" t="s">
        <v>52</v>
      </c>
    </row>
    <row r="260" spans="1:8" x14ac:dyDescent="0.2">
      <c r="A260" s="69" t="s">
        <v>20</v>
      </c>
      <c r="B260" s="69" t="s">
        <v>19</v>
      </c>
      <c r="C260" s="69">
        <v>0</v>
      </c>
      <c r="D260" s="69">
        <v>2</v>
      </c>
      <c r="E260" s="69">
        <v>1</v>
      </c>
      <c r="F260" s="69" t="s">
        <v>2</v>
      </c>
      <c r="G260" s="70">
        <v>43878.833333333336</v>
      </c>
      <c r="H260" s="69" t="s">
        <v>34</v>
      </c>
    </row>
    <row r="261" spans="1:8" x14ac:dyDescent="0.2">
      <c r="A261" s="69" t="s">
        <v>4</v>
      </c>
      <c r="B261" s="69" t="s">
        <v>3</v>
      </c>
      <c r="C261" s="69">
        <v>2</v>
      </c>
      <c r="D261" s="69">
        <v>0</v>
      </c>
      <c r="E261" s="69">
        <v>1</v>
      </c>
      <c r="F261" s="69" t="s">
        <v>2</v>
      </c>
      <c r="G261" s="70">
        <v>43880.8125</v>
      </c>
      <c r="H261" s="69" t="s">
        <v>52</v>
      </c>
    </row>
    <row r="262" spans="1:8" x14ac:dyDescent="0.2">
      <c r="A262" s="69" t="s">
        <v>20</v>
      </c>
      <c r="B262" s="69" t="s">
        <v>15</v>
      </c>
      <c r="C262" s="69">
        <v>2</v>
      </c>
      <c r="D262" s="69">
        <v>1</v>
      </c>
      <c r="E262" s="69">
        <v>1</v>
      </c>
      <c r="F262" s="69" t="s">
        <v>2</v>
      </c>
      <c r="G262" s="70">
        <v>43883.520833333336</v>
      </c>
      <c r="H262" s="69" t="s">
        <v>52</v>
      </c>
    </row>
    <row r="263" spans="1:8" x14ac:dyDescent="0.2">
      <c r="A263" s="69" t="s">
        <v>7</v>
      </c>
      <c r="B263" s="69" t="s">
        <v>5</v>
      </c>
      <c r="C263" s="69">
        <v>3</v>
      </c>
      <c r="D263" s="69">
        <v>0</v>
      </c>
      <c r="E263" s="69">
        <v>1</v>
      </c>
      <c r="F263" s="69" t="s">
        <v>2</v>
      </c>
      <c r="G263" s="70">
        <v>43883.625</v>
      </c>
      <c r="H263" s="69" t="s">
        <v>52</v>
      </c>
    </row>
    <row r="264" spans="1:8" x14ac:dyDescent="0.2">
      <c r="A264" s="69" t="s">
        <v>9</v>
      </c>
      <c r="B264" s="69" t="s">
        <v>17</v>
      </c>
      <c r="C264" s="69">
        <v>1</v>
      </c>
      <c r="D264" s="69">
        <v>0</v>
      </c>
      <c r="E264" s="69">
        <v>1</v>
      </c>
      <c r="F264" s="69" t="s">
        <v>2</v>
      </c>
      <c r="G264" s="70">
        <v>43883.625</v>
      </c>
      <c r="H264" s="69" t="s">
        <v>52</v>
      </c>
    </row>
    <row r="265" spans="1:8" x14ac:dyDescent="0.2">
      <c r="A265" s="69" t="s">
        <v>6</v>
      </c>
      <c r="B265" s="69" t="s">
        <v>14</v>
      </c>
      <c r="C265" s="69">
        <v>1</v>
      </c>
      <c r="D265" s="69">
        <v>1</v>
      </c>
      <c r="E265" s="69">
        <v>1</v>
      </c>
      <c r="F265" s="69" t="s">
        <v>2</v>
      </c>
      <c r="G265" s="70">
        <v>43883.625</v>
      </c>
      <c r="H265" s="69" t="s">
        <v>31</v>
      </c>
    </row>
    <row r="266" spans="1:8" x14ac:dyDescent="0.2">
      <c r="A266" s="69" t="s">
        <v>8</v>
      </c>
      <c r="B266" s="69" t="s">
        <v>16</v>
      </c>
      <c r="C266" s="69">
        <v>2</v>
      </c>
      <c r="D266" s="69">
        <v>0</v>
      </c>
      <c r="E266" s="69">
        <v>1</v>
      </c>
      <c r="F266" s="69" t="s">
        <v>2</v>
      </c>
      <c r="G266" s="70">
        <v>43883.625</v>
      </c>
      <c r="H266" s="69" t="s">
        <v>52</v>
      </c>
    </row>
    <row r="267" spans="1:8" x14ac:dyDescent="0.2">
      <c r="A267" s="69" t="s">
        <v>11</v>
      </c>
      <c r="B267" s="69" t="s">
        <v>4</v>
      </c>
      <c r="C267" s="69">
        <v>0</v>
      </c>
      <c r="D267" s="69">
        <v>1</v>
      </c>
      <c r="E267" s="69">
        <v>1</v>
      </c>
      <c r="F267" s="69" t="s">
        <v>2</v>
      </c>
      <c r="G267" s="70">
        <v>43883.729166666664</v>
      </c>
      <c r="H267" s="69" t="s">
        <v>34</v>
      </c>
    </row>
    <row r="268" spans="1:8" x14ac:dyDescent="0.2">
      <c r="A268" s="69" t="s">
        <v>19</v>
      </c>
      <c r="B268" s="69" t="s">
        <v>13</v>
      </c>
      <c r="C268" s="69">
        <v>3</v>
      </c>
      <c r="D268" s="69">
        <v>0</v>
      </c>
      <c r="E268" s="69">
        <v>1</v>
      </c>
      <c r="F268" s="69" t="s">
        <v>2</v>
      </c>
      <c r="G268" s="70">
        <v>43884.583333333336</v>
      </c>
      <c r="H268" s="69" t="s">
        <v>52</v>
      </c>
    </row>
    <row r="269" spans="1:8" x14ac:dyDescent="0.2">
      <c r="A269" s="69" t="s">
        <v>12</v>
      </c>
      <c r="B269" s="69" t="s">
        <v>1</v>
      </c>
      <c r="C269" s="69">
        <v>3</v>
      </c>
      <c r="D269" s="69">
        <v>0</v>
      </c>
      <c r="E269" s="69">
        <v>1</v>
      </c>
      <c r="F269" s="69" t="s">
        <v>2</v>
      </c>
      <c r="G269" s="70">
        <v>43884.583333333336</v>
      </c>
      <c r="H269" s="69" t="s">
        <v>52</v>
      </c>
    </row>
    <row r="270" spans="1:8" x14ac:dyDescent="0.2">
      <c r="A270" s="69" t="s">
        <v>18</v>
      </c>
      <c r="B270" s="69" t="s">
        <v>10</v>
      </c>
      <c r="C270" s="69">
        <v>3</v>
      </c>
      <c r="D270" s="69">
        <v>2</v>
      </c>
      <c r="E270" s="69">
        <v>1</v>
      </c>
      <c r="F270" s="69" t="s">
        <v>2</v>
      </c>
      <c r="G270" s="70">
        <v>43884.6875</v>
      </c>
      <c r="H270" s="69" t="s">
        <v>52</v>
      </c>
    </row>
    <row r="271" spans="1:8" x14ac:dyDescent="0.2">
      <c r="A271" s="69" t="s">
        <v>0</v>
      </c>
      <c r="B271" s="69" t="s">
        <v>3</v>
      </c>
      <c r="C271" s="69">
        <v>3</v>
      </c>
      <c r="D271" s="69">
        <v>2</v>
      </c>
      <c r="E271" s="69">
        <v>1</v>
      </c>
      <c r="F271" s="69" t="s">
        <v>2</v>
      </c>
      <c r="G271" s="70">
        <v>43885.833333333336</v>
      </c>
      <c r="H271" s="69" t="s">
        <v>52</v>
      </c>
    </row>
    <row r="272" spans="1:8" x14ac:dyDescent="0.2">
      <c r="A272" s="69" t="s">
        <v>1</v>
      </c>
      <c r="B272" s="69" t="s">
        <v>11</v>
      </c>
      <c r="C272" s="69">
        <v>1</v>
      </c>
      <c r="D272" s="69">
        <v>0</v>
      </c>
      <c r="E272" s="69">
        <v>1</v>
      </c>
      <c r="F272" s="69" t="s">
        <v>2</v>
      </c>
      <c r="G272" s="70">
        <v>43889.833333333336</v>
      </c>
      <c r="H272" s="69" t="s">
        <v>52</v>
      </c>
    </row>
    <row r="273" spans="1:8" x14ac:dyDescent="0.2">
      <c r="A273" s="69" t="s">
        <v>14</v>
      </c>
      <c r="B273" s="69" t="s">
        <v>9</v>
      </c>
      <c r="C273" s="69">
        <v>0</v>
      </c>
      <c r="D273" s="69">
        <v>1</v>
      </c>
      <c r="E273" s="69">
        <v>1</v>
      </c>
      <c r="F273" s="69" t="s">
        <v>2</v>
      </c>
      <c r="G273" s="70">
        <v>43890.520833333336</v>
      </c>
      <c r="H273" s="69" t="s">
        <v>34</v>
      </c>
    </row>
    <row r="274" spans="1:8" x14ac:dyDescent="0.2">
      <c r="A274" s="69" t="s">
        <v>5</v>
      </c>
      <c r="B274" s="69" t="s">
        <v>20</v>
      </c>
      <c r="C274" s="69">
        <v>2</v>
      </c>
      <c r="D274" s="69">
        <v>2</v>
      </c>
      <c r="E274" s="69">
        <v>1</v>
      </c>
      <c r="F274" s="69" t="s">
        <v>2</v>
      </c>
      <c r="G274" s="70">
        <v>43890.625</v>
      </c>
      <c r="H274" s="69" t="s">
        <v>31</v>
      </c>
    </row>
    <row r="275" spans="1:8" x14ac:dyDescent="0.2">
      <c r="A275" s="69" t="s">
        <v>17</v>
      </c>
      <c r="B275" s="69" t="s">
        <v>7</v>
      </c>
      <c r="C275" s="69">
        <v>0</v>
      </c>
      <c r="D275" s="69">
        <v>0</v>
      </c>
      <c r="E275" s="69">
        <v>1</v>
      </c>
      <c r="F275" s="69" t="s">
        <v>2</v>
      </c>
      <c r="G275" s="70">
        <v>43890.625</v>
      </c>
      <c r="H275" s="69" t="s">
        <v>31</v>
      </c>
    </row>
    <row r="276" spans="1:8" x14ac:dyDescent="0.2">
      <c r="A276" s="69" t="s">
        <v>3</v>
      </c>
      <c r="B276" s="69" t="s">
        <v>8</v>
      </c>
      <c r="C276" s="69">
        <v>3</v>
      </c>
      <c r="D276" s="69">
        <v>1</v>
      </c>
      <c r="E276" s="69">
        <v>1</v>
      </c>
      <c r="F276" s="69" t="s">
        <v>2</v>
      </c>
      <c r="G276" s="70">
        <v>43890.625</v>
      </c>
      <c r="H276" s="69" t="s">
        <v>52</v>
      </c>
    </row>
    <row r="277" spans="1:8" x14ac:dyDescent="0.2">
      <c r="A277" s="69" t="s">
        <v>13</v>
      </c>
      <c r="B277" s="69" t="s">
        <v>0</v>
      </c>
      <c r="C277" s="69">
        <v>3</v>
      </c>
      <c r="D277" s="69">
        <v>0</v>
      </c>
      <c r="E277" s="69">
        <v>1</v>
      </c>
      <c r="F277" s="69" t="s">
        <v>2</v>
      </c>
      <c r="G277" s="70">
        <v>43890.729166666664</v>
      </c>
      <c r="H277" s="69" t="s">
        <v>52</v>
      </c>
    </row>
    <row r="278" spans="1:8" x14ac:dyDescent="0.2">
      <c r="A278" s="69" t="s">
        <v>10</v>
      </c>
      <c r="B278" s="69" t="s">
        <v>19</v>
      </c>
      <c r="C278" s="69">
        <v>1</v>
      </c>
      <c r="D278" s="69">
        <v>1</v>
      </c>
      <c r="E278" s="69">
        <v>1</v>
      </c>
      <c r="F278" s="69" t="s">
        <v>2</v>
      </c>
      <c r="G278" s="70">
        <v>43891.583333333336</v>
      </c>
      <c r="H278" s="69" t="s">
        <v>31</v>
      </c>
    </row>
    <row r="279" spans="1:8" x14ac:dyDescent="0.2">
      <c r="A279" s="69" t="s">
        <v>15</v>
      </c>
      <c r="B279" s="69" t="s">
        <v>12</v>
      </c>
      <c r="C279" s="69">
        <v>2</v>
      </c>
      <c r="D279" s="69">
        <v>3</v>
      </c>
      <c r="E279" s="69">
        <v>1</v>
      </c>
      <c r="F279" s="69" t="s">
        <v>2</v>
      </c>
      <c r="G279" s="70">
        <v>43891.583333333336</v>
      </c>
      <c r="H279" s="69" t="s">
        <v>34</v>
      </c>
    </row>
    <row r="280" spans="1:8" x14ac:dyDescent="0.2">
      <c r="A280" s="69" t="s">
        <v>0</v>
      </c>
      <c r="B280" s="69" t="s">
        <v>5</v>
      </c>
      <c r="C280" s="69">
        <v>2</v>
      </c>
      <c r="D280" s="69">
        <v>1</v>
      </c>
      <c r="E280" s="69">
        <v>1</v>
      </c>
      <c r="F280" s="69" t="s">
        <v>2</v>
      </c>
      <c r="G280" s="70">
        <v>43897.520833333336</v>
      </c>
      <c r="H280" s="69" t="s">
        <v>52</v>
      </c>
    </row>
    <row r="281" spans="1:8" x14ac:dyDescent="0.2">
      <c r="A281" s="69" t="s">
        <v>18</v>
      </c>
      <c r="B281" s="69" t="s">
        <v>3</v>
      </c>
      <c r="C281" s="69">
        <v>1</v>
      </c>
      <c r="D281" s="69">
        <v>0</v>
      </c>
      <c r="E281" s="69">
        <v>1</v>
      </c>
      <c r="F281" s="69" t="s">
        <v>2</v>
      </c>
      <c r="G281" s="70">
        <v>43897.625</v>
      </c>
      <c r="H281" s="69" t="s">
        <v>52</v>
      </c>
    </row>
    <row r="282" spans="1:8" x14ac:dyDescent="0.2">
      <c r="A282" s="69" t="s">
        <v>9</v>
      </c>
      <c r="B282" s="69" t="s">
        <v>13</v>
      </c>
      <c r="C282" s="69">
        <v>1</v>
      </c>
      <c r="D282" s="69">
        <v>0</v>
      </c>
      <c r="E282" s="69">
        <v>1</v>
      </c>
      <c r="F282" s="69" t="s">
        <v>2</v>
      </c>
      <c r="G282" s="70">
        <v>43897.625</v>
      </c>
      <c r="H282" s="69" t="s">
        <v>52</v>
      </c>
    </row>
    <row r="283" spans="1:8" x14ac:dyDescent="0.2">
      <c r="A283" s="69" t="s">
        <v>6</v>
      </c>
      <c r="B283" s="69" t="s">
        <v>1</v>
      </c>
      <c r="C283" s="69">
        <v>1</v>
      </c>
      <c r="D283" s="69">
        <v>0</v>
      </c>
      <c r="E283" s="69">
        <v>1</v>
      </c>
      <c r="F283" s="69" t="s">
        <v>2</v>
      </c>
      <c r="G283" s="70">
        <v>43897.625</v>
      </c>
      <c r="H283" s="69" t="s">
        <v>52</v>
      </c>
    </row>
    <row r="284" spans="1:8" x14ac:dyDescent="0.2">
      <c r="A284" s="69" t="s">
        <v>8</v>
      </c>
      <c r="B284" s="69" t="s">
        <v>17</v>
      </c>
      <c r="C284" s="69">
        <v>0</v>
      </c>
      <c r="D284" s="69">
        <v>1</v>
      </c>
      <c r="E284" s="69">
        <v>1</v>
      </c>
      <c r="F284" s="69" t="s">
        <v>2</v>
      </c>
      <c r="G284" s="70">
        <v>43897.625</v>
      </c>
      <c r="H284" s="69" t="s">
        <v>34</v>
      </c>
    </row>
    <row r="285" spans="1:8" x14ac:dyDescent="0.2">
      <c r="A285" s="69" t="s">
        <v>12</v>
      </c>
      <c r="B285" s="69" t="s">
        <v>14</v>
      </c>
      <c r="C285" s="69">
        <v>0</v>
      </c>
      <c r="D285" s="69">
        <v>0</v>
      </c>
      <c r="E285" s="69">
        <v>1</v>
      </c>
      <c r="F285" s="69" t="s">
        <v>2</v>
      </c>
      <c r="G285" s="70">
        <v>43897.625</v>
      </c>
      <c r="H285" s="69" t="s">
        <v>31</v>
      </c>
    </row>
    <row r="286" spans="1:8" x14ac:dyDescent="0.2">
      <c r="A286" s="69" t="s">
        <v>7</v>
      </c>
      <c r="B286" s="69" t="s">
        <v>15</v>
      </c>
      <c r="C286" s="69">
        <v>1</v>
      </c>
      <c r="D286" s="69">
        <v>1</v>
      </c>
      <c r="E286" s="69">
        <v>1</v>
      </c>
      <c r="F286" s="69" t="s">
        <v>2</v>
      </c>
      <c r="G286" s="70">
        <v>43897.729166666664</v>
      </c>
      <c r="H286" s="69" t="s">
        <v>31</v>
      </c>
    </row>
    <row r="287" spans="1:8" x14ac:dyDescent="0.2">
      <c r="A287" s="69" t="s">
        <v>20</v>
      </c>
      <c r="B287" s="69" t="s">
        <v>10</v>
      </c>
      <c r="C287" s="69">
        <v>4</v>
      </c>
      <c r="D287" s="69">
        <v>0</v>
      </c>
      <c r="E287" s="69">
        <v>1</v>
      </c>
      <c r="F287" s="69" t="s">
        <v>2</v>
      </c>
      <c r="G287" s="70">
        <v>43898.583333333336</v>
      </c>
      <c r="H287" s="69" t="s">
        <v>52</v>
      </c>
    </row>
    <row r="288" spans="1:8" x14ac:dyDescent="0.2">
      <c r="A288" s="69" t="s">
        <v>19</v>
      </c>
      <c r="B288" s="69" t="s">
        <v>4</v>
      </c>
      <c r="C288" s="69">
        <v>2</v>
      </c>
      <c r="D288" s="69">
        <v>0</v>
      </c>
      <c r="E288" s="69">
        <v>1</v>
      </c>
      <c r="F288" s="69" t="s">
        <v>2</v>
      </c>
      <c r="G288" s="70">
        <v>43898.6875</v>
      </c>
      <c r="H288" s="69" t="s">
        <v>52</v>
      </c>
    </row>
    <row r="289" spans="1:8" x14ac:dyDescent="0.2">
      <c r="A289" s="69" t="s">
        <v>11</v>
      </c>
      <c r="B289" s="69" t="s">
        <v>16</v>
      </c>
      <c r="C289" s="69">
        <v>4</v>
      </c>
      <c r="D289" s="69">
        <v>0</v>
      </c>
      <c r="E289" s="69">
        <v>1</v>
      </c>
      <c r="F289" s="69" t="s">
        <v>2</v>
      </c>
      <c r="G289" s="70">
        <v>43899.833333333336</v>
      </c>
      <c r="H289" s="69" t="s">
        <v>52</v>
      </c>
    </row>
    <row r="290" spans="1:8" x14ac:dyDescent="0.2">
      <c r="A290" s="69" t="s">
        <v>16</v>
      </c>
      <c r="B290" s="69" t="s">
        <v>6</v>
      </c>
      <c r="C290" s="69">
        <v>0</v>
      </c>
      <c r="D290" s="69">
        <v>0</v>
      </c>
      <c r="E290" s="69">
        <v>1</v>
      </c>
      <c r="F290" s="69" t="s">
        <v>2</v>
      </c>
      <c r="G290" s="70">
        <v>43999.75</v>
      </c>
      <c r="H290" s="69" t="s">
        <v>31</v>
      </c>
    </row>
    <row r="291" spans="1:8" x14ac:dyDescent="0.2">
      <c r="A291" s="69" t="s">
        <v>4</v>
      </c>
      <c r="B291" s="69" t="s">
        <v>18</v>
      </c>
      <c r="C291" s="69">
        <v>3</v>
      </c>
      <c r="D291" s="69">
        <v>0</v>
      </c>
      <c r="E291" s="69">
        <v>1</v>
      </c>
      <c r="F291" s="69" t="s">
        <v>2</v>
      </c>
      <c r="G291" s="70">
        <v>43999.84375</v>
      </c>
      <c r="H291" s="69" t="s">
        <v>52</v>
      </c>
    </row>
    <row r="292" spans="1:8" x14ac:dyDescent="0.2">
      <c r="A292" s="69" t="s">
        <v>1</v>
      </c>
      <c r="B292" s="69" t="s">
        <v>8</v>
      </c>
      <c r="C292" s="69">
        <v>0</v>
      </c>
      <c r="D292" s="69">
        <v>3</v>
      </c>
      <c r="E292" s="69">
        <v>1</v>
      </c>
      <c r="F292" s="69" t="s">
        <v>2</v>
      </c>
      <c r="G292" s="70">
        <v>44001.75</v>
      </c>
      <c r="H292" s="69" t="s">
        <v>34</v>
      </c>
    </row>
    <row r="293" spans="1:8" x14ac:dyDescent="0.2">
      <c r="A293" s="69" t="s">
        <v>15</v>
      </c>
      <c r="B293" s="69" t="s">
        <v>19</v>
      </c>
      <c r="C293" s="69">
        <v>1</v>
      </c>
      <c r="D293" s="69">
        <v>1</v>
      </c>
      <c r="E293" s="69">
        <v>1</v>
      </c>
      <c r="F293" s="69" t="s">
        <v>2</v>
      </c>
      <c r="G293" s="70">
        <v>44001.84375</v>
      </c>
      <c r="H293" s="69" t="s">
        <v>31</v>
      </c>
    </row>
    <row r="294" spans="1:8" x14ac:dyDescent="0.2">
      <c r="A294" s="69" t="s">
        <v>13</v>
      </c>
      <c r="B294" s="69" t="s">
        <v>11</v>
      </c>
      <c r="C294" s="69">
        <v>1</v>
      </c>
      <c r="D294" s="69">
        <v>1</v>
      </c>
      <c r="E294" s="69">
        <v>1</v>
      </c>
      <c r="F294" s="69" t="s">
        <v>2</v>
      </c>
      <c r="G294" s="70">
        <v>44002.520833333336</v>
      </c>
      <c r="H294" s="69" t="s">
        <v>31</v>
      </c>
    </row>
    <row r="295" spans="1:8" x14ac:dyDescent="0.2">
      <c r="A295" s="69" t="s">
        <v>14</v>
      </c>
      <c r="B295" s="69" t="s">
        <v>18</v>
      </c>
      <c r="C295" s="69">
        <v>2</v>
      </c>
      <c r="D295" s="69">
        <v>1</v>
      </c>
      <c r="E295" s="69">
        <v>1</v>
      </c>
      <c r="F295" s="69" t="s">
        <v>2</v>
      </c>
      <c r="G295" s="70">
        <v>44002.625</v>
      </c>
      <c r="H295" s="69" t="s">
        <v>52</v>
      </c>
    </row>
    <row r="296" spans="1:8" x14ac:dyDescent="0.2">
      <c r="A296" s="69" t="s">
        <v>3</v>
      </c>
      <c r="B296" s="69" t="s">
        <v>12</v>
      </c>
      <c r="C296" s="69">
        <v>0</v>
      </c>
      <c r="D296" s="69">
        <v>2</v>
      </c>
      <c r="E296" s="69">
        <v>1</v>
      </c>
      <c r="F296" s="69" t="s">
        <v>2</v>
      </c>
      <c r="G296" s="70">
        <v>44002.729166666664</v>
      </c>
      <c r="H296" s="69" t="s">
        <v>34</v>
      </c>
    </row>
    <row r="297" spans="1:8" x14ac:dyDescent="0.2">
      <c r="A297" s="69" t="s">
        <v>5</v>
      </c>
      <c r="B297" s="69" t="s">
        <v>9</v>
      </c>
      <c r="C297" s="69">
        <v>0</v>
      </c>
      <c r="D297" s="69">
        <v>2</v>
      </c>
      <c r="E297" s="69">
        <v>1</v>
      </c>
      <c r="F297" s="69" t="s">
        <v>2</v>
      </c>
      <c r="G297" s="70">
        <v>44002.822916666664</v>
      </c>
      <c r="H297" s="69" t="s">
        <v>34</v>
      </c>
    </row>
    <row r="298" spans="1:8" x14ac:dyDescent="0.2">
      <c r="A298" s="69" t="s">
        <v>17</v>
      </c>
      <c r="B298" s="69" t="s">
        <v>6</v>
      </c>
      <c r="C298" s="69">
        <v>3</v>
      </c>
      <c r="D298" s="69">
        <v>0</v>
      </c>
      <c r="E298" s="69">
        <v>1</v>
      </c>
      <c r="F298" s="69" t="s">
        <v>2</v>
      </c>
      <c r="G298" s="70">
        <v>44003.583333333336</v>
      </c>
      <c r="H298" s="69" t="s">
        <v>52</v>
      </c>
    </row>
    <row r="299" spans="1:8" x14ac:dyDescent="0.2">
      <c r="A299" s="69" t="s">
        <v>16</v>
      </c>
      <c r="B299" s="69" t="s">
        <v>20</v>
      </c>
      <c r="C299" s="69">
        <v>1</v>
      </c>
      <c r="D299" s="69">
        <v>2</v>
      </c>
      <c r="E299" s="69">
        <v>1</v>
      </c>
      <c r="F299" s="69" t="s">
        <v>2</v>
      </c>
      <c r="G299" s="70">
        <v>44003.677083333336</v>
      </c>
      <c r="H299" s="69" t="s">
        <v>34</v>
      </c>
    </row>
    <row r="300" spans="1:8" x14ac:dyDescent="0.2">
      <c r="A300" s="69" t="s">
        <v>10</v>
      </c>
      <c r="B300" s="69" t="s">
        <v>0</v>
      </c>
      <c r="C300" s="69">
        <v>0</v>
      </c>
      <c r="D300" s="69">
        <v>0</v>
      </c>
      <c r="E300" s="69">
        <v>1</v>
      </c>
      <c r="F300" s="69" t="s">
        <v>2</v>
      </c>
      <c r="G300" s="70">
        <v>44003.791666666664</v>
      </c>
      <c r="H300" s="69" t="s">
        <v>31</v>
      </c>
    </row>
    <row r="301" spans="1:8" x14ac:dyDescent="0.2">
      <c r="A301" s="69" t="s">
        <v>4</v>
      </c>
      <c r="B301" s="69" t="s">
        <v>7</v>
      </c>
      <c r="C301" s="69">
        <v>5</v>
      </c>
      <c r="D301" s="69">
        <v>0</v>
      </c>
      <c r="E301" s="69">
        <v>1</v>
      </c>
      <c r="F301" s="69" t="s">
        <v>2</v>
      </c>
      <c r="G301" s="70">
        <v>44004.833333333336</v>
      </c>
      <c r="H301" s="69" t="s">
        <v>52</v>
      </c>
    </row>
    <row r="302" spans="1:8" x14ac:dyDescent="0.2">
      <c r="A302" s="69" t="s">
        <v>11</v>
      </c>
      <c r="B302" s="69" t="s">
        <v>14</v>
      </c>
      <c r="C302" s="69">
        <v>0</v>
      </c>
      <c r="D302" s="69">
        <v>0</v>
      </c>
      <c r="E302" s="69">
        <v>1</v>
      </c>
      <c r="F302" s="69" t="s">
        <v>2</v>
      </c>
      <c r="G302" s="70">
        <v>44005.75</v>
      </c>
      <c r="H302" s="69" t="s">
        <v>31</v>
      </c>
    </row>
    <row r="303" spans="1:8" x14ac:dyDescent="0.2">
      <c r="A303" s="69" t="s">
        <v>15</v>
      </c>
      <c r="B303" s="69" t="s">
        <v>3</v>
      </c>
      <c r="C303" s="69">
        <v>2</v>
      </c>
      <c r="D303" s="69">
        <v>0</v>
      </c>
      <c r="E303" s="69">
        <v>1</v>
      </c>
      <c r="F303" s="69" t="s">
        <v>2</v>
      </c>
      <c r="G303" s="70">
        <v>44005.84375</v>
      </c>
      <c r="H303" s="69" t="s">
        <v>52</v>
      </c>
    </row>
    <row r="304" spans="1:8" x14ac:dyDescent="0.2">
      <c r="A304" s="69" t="s">
        <v>19</v>
      </c>
      <c r="B304" s="69" t="s">
        <v>6</v>
      </c>
      <c r="C304" s="69">
        <v>3</v>
      </c>
      <c r="D304" s="69">
        <v>0</v>
      </c>
      <c r="E304" s="69">
        <v>1</v>
      </c>
      <c r="F304" s="69" t="s">
        <v>2</v>
      </c>
      <c r="G304" s="70">
        <v>44006.75</v>
      </c>
      <c r="H304" s="69" t="s">
        <v>52</v>
      </c>
    </row>
    <row r="305" spans="1:8" x14ac:dyDescent="0.2">
      <c r="A305" s="69" t="s">
        <v>17</v>
      </c>
      <c r="B305" s="69" t="s">
        <v>16</v>
      </c>
      <c r="C305" s="69">
        <v>1</v>
      </c>
      <c r="D305" s="69">
        <v>1</v>
      </c>
      <c r="E305" s="69">
        <v>1</v>
      </c>
      <c r="F305" s="69" t="s">
        <v>2</v>
      </c>
      <c r="G305" s="70">
        <v>44006.75</v>
      </c>
      <c r="H305" s="69" t="s">
        <v>31</v>
      </c>
    </row>
    <row r="306" spans="1:8" x14ac:dyDescent="0.2">
      <c r="A306" s="69" t="s">
        <v>1</v>
      </c>
      <c r="B306" s="69" t="s">
        <v>10</v>
      </c>
      <c r="C306" s="69">
        <v>0</v>
      </c>
      <c r="D306" s="69">
        <v>1</v>
      </c>
      <c r="E306" s="69">
        <v>1</v>
      </c>
      <c r="F306" s="69" t="s">
        <v>2</v>
      </c>
      <c r="G306" s="70">
        <v>44006.75</v>
      </c>
      <c r="H306" s="69" t="s">
        <v>34</v>
      </c>
    </row>
    <row r="307" spans="1:8" x14ac:dyDescent="0.2">
      <c r="A307" s="69" t="s">
        <v>12</v>
      </c>
      <c r="B307" s="69" t="s">
        <v>5</v>
      </c>
      <c r="C307" s="69">
        <v>1</v>
      </c>
      <c r="D307" s="69">
        <v>0</v>
      </c>
      <c r="E307" s="69">
        <v>1</v>
      </c>
      <c r="F307" s="69" t="s">
        <v>2</v>
      </c>
      <c r="G307" s="70">
        <v>44006.75</v>
      </c>
      <c r="H307" s="69" t="s">
        <v>52</v>
      </c>
    </row>
    <row r="308" spans="1:8" x14ac:dyDescent="0.2">
      <c r="A308" s="69" t="s">
        <v>0</v>
      </c>
      <c r="B308" s="69" t="s">
        <v>9</v>
      </c>
      <c r="C308" s="69">
        <v>4</v>
      </c>
      <c r="D308" s="69">
        <v>0</v>
      </c>
      <c r="E308" s="69">
        <v>1</v>
      </c>
      <c r="F308" s="69" t="s">
        <v>2</v>
      </c>
      <c r="G308" s="70">
        <v>44006.84375</v>
      </c>
      <c r="H308" s="69" t="s">
        <v>52</v>
      </c>
    </row>
    <row r="309" spans="1:8" x14ac:dyDescent="0.2">
      <c r="A309" s="69" t="s">
        <v>7</v>
      </c>
      <c r="B309" s="69" t="s">
        <v>13</v>
      </c>
      <c r="C309" s="69">
        <v>1</v>
      </c>
      <c r="D309" s="69">
        <v>0</v>
      </c>
      <c r="E309" s="69">
        <v>1</v>
      </c>
      <c r="F309" s="69" t="s">
        <v>2</v>
      </c>
      <c r="G309" s="70">
        <v>44007.75</v>
      </c>
      <c r="H309" s="69" t="s">
        <v>52</v>
      </c>
    </row>
    <row r="310" spans="1:8" x14ac:dyDescent="0.2">
      <c r="A310" s="69" t="s">
        <v>8</v>
      </c>
      <c r="B310" s="69" t="s">
        <v>18</v>
      </c>
      <c r="C310" s="69">
        <v>0</v>
      </c>
      <c r="D310" s="69">
        <v>2</v>
      </c>
      <c r="E310" s="69">
        <v>1</v>
      </c>
      <c r="F310" s="69" t="s">
        <v>2</v>
      </c>
      <c r="G310" s="70">
        <v>44007.75</v>
      </c>
      <c r="H310" s="69" t="s">
        <v>34</v>
      </c>
    </row>
    <row r="311" spans="1:8" x14ac:dyDescent="0.2">
      <c r="A311" s="69" t="s">
        <v>20</v>
      </c>
      <c r="B311" s="69" t="s">
        <v>4</v>
      </c>
      <c r="C311" s="69">
        <v>2</v>
      </c>
      <c r="D311" s="69">
        <v>1</v>
      </c>
      <c r="E311" s="69">
        <v>1</v>
      </c>
      <c r="F311" s="69" t="s">
        <v>2</v>
      </c>
      <c r="G311" s="70">
        <v>44007.84375</v>
      </c>
      <c r="H311" s="69" t="s">
        <v>52</v>
      </c>
    </row>
    <row r="312" spans="1:8" x14ac:dyDescent="0.2">
      <c r="A312" s="69" t="s">
        <v>16</v>
      </c>
      <c r="B312" s="69" t="s">
        <v>12</v>
      </c>
      <c r="C312" s="69">
        <v>0</v>
      </c>
      <c r="D312" s="69">
        <v>1</v>
      </c>
      <c r="E312" s="69">
        <v>1</v>
      </c>
      <c r="F312" s="69" t="s">
        <v>2</v>
      </c>
      <c r="G312" s="70">
        <v>44009.520833333336</v>
      </c>
      <c r="H312" s="69" t="s">
        <v>34</v>
      </c>
    </row>
    <row r="313" spans="1:8" x14ac:dyDescent="0.2">
      <c r="A313" s="69" t="s">
        <v>13</v>
      </c>
      <c r="B313" s="69" t="s">
        <v>8</v>
      </c>
      <c r="C313" s="69">
        <v>1</v>
      </c>
      <c r="D313" s="69">
        <v>3</v>
      </c>
      <c r="E313" s="69">
        <v>1</v>
      </c>
      <c r="F313" s="69" t="s">
        <v>2</v>
      </c>
      <c r="G313" s="70">
        <v>44010.6875</v>
      </c>
      <c r="H313" s="69" t="s">
        <v>34</v>
      </c>
    </row>
    <row r="314" spans="1:8" x14ac:dyDescent="0.2">
      <c r="A314" s="69" t="s">
        <v>9</v>
      </c>
      <c r="B314" s="69" t="s">
        <v>7</v>
      </c>
      <c r="C314" s="69">
        <v>0</v>
      </c>
      <c r="D314" s="69">
        <v>1</v>
      </c>
      <c r="E314" s="69">
        <v>1</v>
      </c>
      <c r="F314" s="69" t="s">
        <v>2</v>
      </c>
      <c r="G314" s="70">
        <v>44011.833333333336</v>
      </c>
      <c r="H314" s="69" t="s">
        <v>34</v>
      </c>
    </row>
    <row r="315" spans="1:8" x14ac:dyDescent="0.2">
      <c r="A315" s="69" t="s">
        <v>14</v>
      </c>
      <c r="B315" s="69" t="s">
        <v>19</v>
      </c>
      <c r="C315" s="69">
        <v>0</v>
      </c>
      <c r="D315" s="69">
        <v>3</v>
      </c>
      <c r="E315" s="69">
        <v>1</v>
      </c>
      <c r="F315" s="69" t="s">
        <v>2</v>
      </c>
      <c r="G315" s="70">
        <v>44012.84375</v>
      </c>
      <c r="H315" s="69" t="s">
        <v>34</v>
      </c>
    </row>
    <row r="316" spans="1:8" x14ac:dyDescent="0.2">
      <c r="A316" s="69" t="s">
        <v>18</v>
      </c>
      <c r="B316" s="69" t="s">
        <v>1</v>
      </c>
      <c r="C316" s="69">
        <v>4</v>
      </c>
      <c r="D316" s="69">
        <v>0</v>
      </c>
      <c r="E316" s="69">
        <v>1</v>
      </c>
      <c r="F316" s="69" t="s">
        <v>2</v>
      </c>
      <c r="G316" s="70">
        <v>44013.75</v>
      </c>
      <c r="H316" s="69" t="s">
        <v>52</v>
      </c>
    </row>
    <row r="317" spans="1:8" x14ac:dyDescent="0.2">
      <c r="A317" s="69" t="s">
        <v>5</v>
      </c>
      <c r="B317" s="69" t="s">
        <v>17</v>
      </c>
      <c r="C317" s="69">
        <v>1</v>
      </c>
      <c r="D317" s="69">
        <v>4</v>
      </c>
      <c r="E317" s="69">
        <v>1</v>
      </c>
      <c r="F317" s="69" t="s">
        <v>2</v>
      </c>
      <c r="G317" s="70">
        <v>44013.75</v>
      </c>
      <c r="H317" s="69" t="s">
        <v>34</v>
      </c>
    </row>
    <row r="318" spans="1:8" x14ac:dyDescent="0.2">
      <c r="A318" s="69" t="s">
        <v>10</v>
      </c>
      <c r="B318" s="69" t="s">
        <v>11</v>
      </c>
      <c r="C318" s="69">
        <v>2</v>
      </c>
      <c r="D318" s="69">
        <v>1</v>
      </c>
      <c r="E318" s="69">
        <v>1</v>
      </c>
      <c r="F318" s="69" t="s">
        <v>2</v>
      </c>
      <c r="G318" s="70">
        <v>44013.75</v>
      </c>
      <c r="H318" s="69" t="s">
        <v>52</v>
      </c>
    </row>
    <row r="319" spans="1:8" x14ac:dyDescent="0.2">
      <c r="A319" s="69" t="s">
        <v>3</v>
      </c>
      <c r="B319" s="69" t="s">
        <v>20</v>
      </c>
      <c r="C319" s="69">
        <v>3</v>
      </c>
      <c r="D319" s="69">
        <v>2</v>
      </c>
      <c r="E319" s="69">
        <v>1</v>
      </c>
      <c r="F319" s="69" t="s">
        <v>2</v>
      </c>
      <c r="G319" s="70">
        <v>44013.84375</v>
      </c>
      <c r="H319" s="69" t="s">
        <v>52</v>
      </c>
    </row>
    <row r="320" spans="1:8" x14ac:dyDescent="0.2">
      <c r="A320" s="69" t="s">
        <v>6</v>
      </c>
      <c r="B320" s="69" t="s">
        <v>15</v>
      </c>
      <c r="C320" s="69">
        <v>3</v>
      </c>
      <c r="D320" s="69">
        <v>1</v>
      </c>
      <c r="E320" s="69">
        <v>1</v>
      </c>
      <c r="F320" s="69" t="s">
        <v>2</v>
      </c>
      <c r="G320" s="70">
        <v>44014.75</v>
      </c>
      <c r="H320" s="69" t="s">
        <v>52</v>
      </c>
    </row>
    <row r="321" spans="1:8" x14ac:dyDescent="0.2">
      <c r="A321" s="69" t="s">
        <v>4</v>
      </c>
      <c r="B321" s="69" t="s">
        <v>0</v>
      </c>
      <c r="C321" s="69">
        <v>4</v>
      </c>
      <c r="D321" s="69">
        <v>0</v>
      </c>
      <c r="E321" s="69">
        <v>1</v>
      </c>
      <c r="F321" s="69" t="s">
        <v>2</v>
      </c>
      <c r="G321" s="70">
        <v>44014.84375</v>
      </c>
      <c r="H321" s="69" t="s">
        <v>52</v>
      </c>
    </row>
    <row r="322" spans="1:8" x14ac:dyDescent="0.2">
      <c r="A322" s="69" t="s">
        <v>1</v>
      </c>
      <c r="B322" s="69" t="s">
        <v>14</v>
      </c>
      <c r="C322" s="69">
        <v>0</v>
      </c>
      <c r="D322" s="69">
        <v>1</v>
      </c>
      <c r="E322" s="69">
        <v>1</v>
      </c>
      <c r="F322" s="69" t="s">
        <v>2</v>
      </c>
      <c r="G322" s="70">
        <v>44016.520833333336</v>
      </c>
      <c r="H322" s="69" t="s">
        <v>34</v>
      </c>
    </row>
    <row r="323" spans="1:8" x14ac:dyDescent="0.2">
      <c r="A323" s="69" t="s">
        <v>11</v>
      </c>
      <c r="B323" s="69" t="s">
        <v>9</v>
      </c>
      <c r="C323" s="69">
        <v>3</v>
      </c>
      <c r="D323" s="69">
        <v>0</v>
      </c>
      <c r="E323" s="69">
        <v>1</v>
      </c>
      <c r="F323" s="69" t="s">
        <v>2</v>
      </c>
      <c r="G323" s="70">
        <v>44016.625</v>
      </c>
      <c r="H323" s="69" t="s">
        <v>52</v>
      </c>
    </row>
    <row r="324" spans="1:8" x14ac:dyDescent="0.2">
      <c r="A324" s="69" t="s">
        <v>19</v>
      </c>
      <c r="B324" s="69" t="s">
        <v>5</v>
      </c>
      <c r="C324" s="69">
        <v>5</v>
      </c>
      <c r="D324" s="69">
        <v>2</v>
      </c>
      <c r="E324" s="69">
        <v>1</v>
      </c>
      <c r="F324" s="69" t="s">
        <v>2</v>
      </c>
      <c r="G324" s="70">
        <v>44016.625</v>
      </c>
      <c r="H324" s="69" t="s">
        <v>52</v>
      </c>
    </row>
    <row r="325" spans="1:8" x14ac:dyDescent="0.2">
      <c r="A325" s="69" t="s">
        <v>12</v>
      </c>
      <c r="B325" s="69" t="s">
        <v>18</v>
      </c>
      <c r="C325" s="69">
        <v>0</v>
      </c>
      <c r="D325" s="69">
        <v>2</v>
      </c>
      <c r="E325" s="69">
        <v>1</v>
      </c>
      <c r="F325" s="69" t="s">
        <v>2</v>
      </c>
      <c r="G325" s="70">
        <v>44016.729166666664</v>
      </c>
      <c r="H325" s="69" t="s">
        <v>34</v>
      </c>
    </row>
    <row r="326" spans="1:8" x14ac:dyDescent="0.2">
      <c r="A326" s="69" t="s">
        <v>20</v>
      </c>
      <c r="B326" s="69" t="s">
        <v>13</v>
      </c>
      <c r="C326" s="69">
        <v>3</v>
      </c>
      <c r="D326" s="69">
        <v>0</v>
      </c>
      <c r="E326" s="69">
        <v>1</v>
      </c>
      <c r="F326" s="69" t="s">
        <v>2</v>
      </c>
      <c r="G326" s="70">
        <v>44016.833333333336</v>
      </c>
      <c r="H326" s="69" t="s">
        <v>52</v>
      </c>
    </row>
    <row r="327" spans="1:8" x14ac:dyDescent="0.2">
      <c r="A327" s="69" t="s">
        <v>7</v>
      </c>
      <c r="B327" s="69" t="s">
        <v>6</v>
      </c>
      <c r="C327" s="69">
        <v>1</v>
      </c>
      <c r="D327" s="69">
        <v>1</v>
      </c>
      <c r="E327" s="69">
        <v>1</v>
      </c>
      <c r="F327" s="69" t="s">
        <v>2</v>
      </c>
      <c r="G327" s="70">
        <v>44017.5</v>
      </c>
      <c r="H327" s="69" t="s">
        <v>31</v>
      </c>
    </row>
    <row r="328" spans="1:8" x14ac:dyDescent="0.2">
      <c r="A328" s="69" t="s">
        <v>17</v>
      </c>
      <c r="B328" s="69" t="s">
        <v>3</v>
      </c>
      <c r="C328" s="69">
        <v>2</v>
      </c>
      <c r="D328" s="69">
        <v>2</v>
      </c>
      <c r="E328" s="69">
        <v>1</v>
      </c>
      <c r="F328" s="69" t="s">
        <v>2</v>
      </c>
      <c r="G328" s="70">
        <v>44017.59375</v>
      </c>
      <c r="H328" s="69" t="s">
        <v>31</v>
      </c>
    </row>
    <row r="329" spans="1:8" x14ac:dyDescent="0.2">
      <c r="A329" s="69" t="s">
        <v>0</v>
      </c>
      <c r="B329" s="69" t="s">
        <v>16</v>
      </c>
      <c r="C329" s="69">
        <v>2</v>
      </c>
      <c r="D329" s="69">
        <v>0</v>
      </c>
      <c r="E329" s="69">
        <v>1</v>
      </c>
      <c r="F329" s="69" t="s">
        <v>2</v>
      </c>
      <c r="G329" s="70">
        <v>44017.6875</v>
      </c>
      <c r="H329" s="69" t="s">
        <v>52</v>
      </c>
    </row>
    <row r="330" spans="1:8" x14ac:dyDescent="0.2">
      <c r="A330" s="69" t="s">
        <v>8</v>
      </c>
      <c r="B330" s="69" t="s">
        <v>4</v>
      </c>
      <c r="C330" s="69">
        <v>1</v>
      </c>
      <c r="D330" s="69">
        <v>0</v>
      </c>
      <c r="E330" s="69">
        <v>1</v>
      </c>
      <c r="F330" s="69" t="s">
        <v>2</v>
      </c>
      <c r="G330" s="70">
        <v>44017.791666666664</v>
      </c>
      <c r="H330" s="69" t="s">
        <v>52</v>
      </c>
    </row>
    <row r="331" spans="1:8" x14ac:dyDescent="0.2">
      <c r="A331" s="69" t="s">
        <v>15</v>
      </c>
      <c r="B331" s="69" t="s">
        <v>10</v>
      </c>
      <c r="C331" s="69">
        <v>1</v>
      </c>
      <c r="D331" s="69">
        <v>0</v>
      </c>
      <c r="E331" s="69">
        <v>1</v>
      </c>
      <c r="F331" s="69" t="s">
        <v>2</v>
      </c>
      <c r="G331" s="70">
        <v>44018.833333333336</v>
      </c>
      <c r="H331" s="69" t="s">
        <v>52</v>
      </c>
    </row>
    <row r="332" spans="1:8" x14ac:dyDescent="0.2">
      <c r="A332" s="69" t="s">
        <v>9</v>
      </c>
      <c r="B332" s="69" t="s">
        <v>20</v>
      </c>
      <c r="C332" s="69">
        <v>2</v>
      </c>
      <c r="D332" s="69">
        <v>3</v>
      </c>
      <c r="E332" s="69">
        <v>1</v>
      </c>
      <c r="F332" s="69" t="s">
        <v>2</v>
      </c>
      <c r="G332" s="70">
        <v>44019.75</v>
      </c>
      <c r="H332" s="69" t="s">
        <v>34</v>
      </c>
    </row>
    <row r="333" spans="1:8" x14ac:dyDescent="0.2">
      <c r="A333" s="69" t="s">
        <v>13</v>
      </c>
      <c r="B333" s="69" t="s">
        <v>1</v>
      </c>
      <c r="C333" s="69">
        <v>2</v>
      </c>
      <c r="D333" s="69">
        <v>1</v>
      </c>
      <c r="E333" s="69">
        <v>1</v>
      </c>
      <c r="F333" s="69" t="s">
        <v>2</v>
      </c>
      <c r="G333" s="70">
        <v>44019.75</v>
      </c>
      <c r="H333" s="69" t="s">
        <v>52</v>
      </c>
    </row>
    <row r="334" spans="1:8" x14ac:dyDescent="0.2">
      <c r="A334" s="69" t="s">
        <v>18</v>
      </c>
      <c r="B334" s="69" t="s">
        <v>11</v>
      </c>
      <c r="C334" s="69">
        <v>1</v>
      </c>
      <c r="D334" s="69">
        <v>1</v>
      </c>
      <c r="E334" s="69">
        <v>1</v>
      </c>
      <c r="F334" s="69" t="s">
        <v>2</v>
      </c>
      <c r="G334" s="70">
        <v>44019.84375</v>
      </c>
      <c r="H334" s="69" t="s">
        <v>31</v>
      </c>
    </row>
    <row r="335" spans="1:8" x14ac:dyDescent="0.2">
      <c r="A335" s="69" t="s">
        <v>4</v>
      </c>
      <c r="B335" s="69" t="s">
        <v>17</v>
      </c>
      <c r="C335" s="69">
        <v>5</v>
      </c>
      <c r="D335" s="69">
        <v>0</v>
      </c>
      <c r="E335" s="69">
        <v>1</v>
      </c>
      <c r="F335" s="69" t="s">
        <v>2</v>
      </c>
      <c r="G335" s="70">
        <v>44020.75</v>
      </c>
      <c r="H335" s="69" t="s">
        <v>52</v>
      </c>
    </row>
    <row r="336" spans="1:8" x14ac:dyDescent="0.2">
      <c r="A336" s="69" t="s">
        <v>6</v>
      </c>
      <c r="B336" s="69" t="s">
        <v>12</v>
      </c>
      <c r="C336" s="69">
        <v>1</v>
      </c>
      <c r="D336" s="69">
        <v>0</v>
      </c>
      <c r="E336" s="69">
        <v>1</v>
      </c>
      <c r="F336" s="69" t="s">
        <v>2</v>
      </c>
      <c r="G336" s="70">
        <v>44020.75</v>
      </c>
      <c r="H336" s="69" t="s">
        <v>52</v>
      </c>
    </row>
    <row r="337" spans="1:8" x14ac:dyDescent="0.2">
      <c r="A337" s="69" t="s">
        <v>3</v>
      </c>
      <c r="B337" s="69" t="s">
        <v>7</v>
      </c>
      <c r="C337" s="69">
        <v>0</v>
      </c>
      <c r="D337" s="69">
        <v>1</v>
      </c>
      <c r="E337" s="69">
        <v>1</v>
      </c>
      <c r="F337" s="69" t="s">
        <v>2</v>
      </c>
      <c r="G337" s="70">
        <v>44020.75</v>
      </c>
      <c r="H337" s="69" t="s">
        <v>34</v>
      </c>
    </row>
    <row r="338" spans="1:8" x14ac:dyDescent="0.2">
      <c r="A338" s="69" t="s">
        <v>14</v>
      </c>
      <c r="B338" s="69" t="s">
        <v>0</v>
      </c>
      <c r="C338" s="69">
        <v>1</v>
      </c>
      <c r="D338" s="69">
        <v>3</v>
      </c>
      <c r="E338" s="69">
        <v>1</v>
      </c>
      <c r="F338" s="69" t="s">
        <v>2</v>
      </c>
      <c r="G338" s="70">
        <v>44020.84375</v>
      </c>
      <c r="H338" s="69" t="s">
        <v>34</v>
      </c>
    </row>
    <row r="339" spans="1:8" x14ac:dyDescent="0.2">
      <c r="A339" s="69" t="s">
        <v>5</v>
      </c>
      <c r="B339" s="69" t="s">
        <v>15</v>
      </c>
      <c r="C339" s="69">
        <v>0</v>
      </c>
      <c r="D339" s="69">
        <v>0</v>
      </c>
      <c r="E339" s="69">
        <v>1</v>
      </c>
      <c r="F339" s="69" t="s">
        <v>2</v>
      </c>
      <c r="G339" s="70">
        <v>44021.75</v>
      </c>
      <c r="H339" s="69" t="s">
        <v>31</v>
      </c>
    </row>
    <row r="340" spans="1:8" x14ac:dyDescent="0.2">
      <c r="A340" s="69" t="s">
        <v>10</v>
      </c>
      <c r="B340" s="69" t="s">
        <v>8</v>
      </c>
      <c r="C340" s="69">
        <v>1</v>
      </c>
      <c r="D340" s="69">
        <v>1</v>
      </c>
      <c r="E340" s="69">
        <v>1</v>
      </c>
      <c r="F340" s="69" t="s">
        <v>2</v>
      </c>
      <c r="G340" s="70">
        <v>44021.75</v>
      </c>
      <c r="H340" s="69" t="s">
        <v>31</v>
      </c>
    </row>
    <row r="341" spans="1:8" x14ac:dyDescent="0.2">
      <c r="A341" s="69" t="s">
        <v>16</v>
      </c>
      <c r="B341" s="69" t="s">
        <v>19</v>
      </c>
      <c r="C341" s="69">
        <v>0</v>
      </c>
      <c r="D341" s="69">
        <v>3</v>
      </c>
      <c r="E341" s="69">
        <v>1</v>
      </c>
      <c r="F341" s="69" t="s">
        <v>2</v>
      </c>
      <c r="G341" s="70">
        <v>44021.84375</v>
      </c>
      <c r="H341" s="69" t="s">
        <v>34</v>
      </c>
    </row>
    <row r="342" spans="1:8" x14ac:dyDescent="0.2">
      <c r="A342" s="69" t="s">
        <v>1</v>
      </c>
      <c r="B342" s="69" t="s">
        <v>3</v>
      </c>
      <c r="C342" s="69">
        <v>0</v>
      </c>
      <c r="D342" s="69">
        <v>4</v>
      </c>
      <c r="E342" s="69">
        <v>1</v>
      </c>
      <c r="F342" s="69" t="s">
        <v>2</v>
      </c>
      <c r="G342" s="70">
        <v>44023.520833333336</v>
      </c>
      <c r="H342" s="69" t="s">
        <v>34</v>
      </c>
    </row>
    <row r="343" spans="1:8" x14ac:dyDescent="0.2">
      <c r="A343" s="69" t="s">
        <v>13</v>
      </c>
      <c r="B343" s="69" t="s">
        <v>17</v>
      </c>
      <c r="C343" s="69">
        <v>2</v>
      </c>
      <c r="D343" s="69">
        <v>1</v>
      </c>
      <c r="E343" s="69">
        <v>1</v>
      </c>
      <c r="F343" s="69" t="s">
        <v>2</v>
      </c>
      <c r="G343" s="70">
        <v>44023.520833333336</v>
      </c>
      <c r="H343" s="69" t="s">
        <v>52</v>
      </c>
    </row>
    <row r="344" spans="1:8" x14ac:dyDescent="0.2">
      <c r="A344" s="69" t="s">
        <v>0</v>
      </c>
      <c r="B344" s="69" t="s">
        <v>7</v>
      </c>
      <c r="C344" s="69">
        <v>1</v>
      </c>
      <c r="D344" s="69">
        <v>1</v>
      </c>
      <c r="E344" s="69">
        <v>1</v>
      </c>
      <c r="F344" s="69" t="s">
        <v>2</v>
      </c>
      <c r="G344" s="70">
        <v>44023.625</v>
      </c>
      <c r="H344" s="69" t="s">
        <v>31</v>
      </c>
    </row>
    <row r="345" spans="1:8" x14ac:dyDescent="0.2">
      <c r="A345" s="69" t="s">
        <v>6</v>
      </c>
      <c r="B345" s="69" t="s">
        <v>20</v>
      </c>
      <c r="C345" s="69">
        <v>3</v>
      </c>
      <c r="D345" s="69">
        <v>0</v>
      </c>
      <c r="E345" s="69">
        <v>1</v>
      </c>
      <c r="F345" s="69" t="s">
        <v>2</v>
      </c>
      <c r="G345" s="70">
        <v>44023.729166666664</v>
      </c>
      <c r="H345" s="69" t="s">
        <v>52</v>
      </c>
    </row>
    <row r="346" spans="1:8" x14ac:dyDescent="0.2">
      <c r="A346" s="69" t="s">
        <v>14</v>
      </c>
      <c r="B346" s="69" t="s">
        <v>4</v>
      </c>
      <c r="C346" s="69">
        <v>0</v>
      </c>
      <c r="D346" s="69">
        <v>5</v>
      </c>
      <c r="E346" s="69">
        <v>1</v>
      </c>
      <c r="F346" s="69" t="s">
        <v>2</v>
      </c>
      <c r="G346" s="70">
        <v>44023.833333333336</v>
      </c>
      <c r="H346" s="69" t="s">
        <v>34</v>
      </c>
    </row>
    <row r="347" spans="1:8" x14ac:dyDescent="0.2">
      <c r="A347" s="69" t="s">
        <v>12</v>
      </c>
      <c r="B347" s="69" t="s">
        <v>10</v>
      </c>
      <c r="C347" s="69">
        <v>3</v>
      </c>
      <c r="D347" s="69">
        <v>0</v>
      </c>
      <c r="E347" s="69">
        <v>1</v>
      </c>
      <c r="F347" s="69" t="s">
        <v>2</v>
      </c>
      <c r="G347" s="70">
        <v>44024.5</v>
      </c>
      <c r="H347" s="69" t="s">
        <v>52</v>
      </c>
    </row>
    <row r="348" spans="1:8" x14ac:dyDescent="0.2">
      <c r="A348" s="69" t="s">
        <v>16</v>
      </c>
      <c r="B348" s="69" t="s">
        <v>9</v>
      </c>
      <c r="C348" s="69">
        <v>2</v>
      </c>
      <c r="D348" s="69">
        <v>0</v>
      </c>
      <c r="E348" s="69">
        <v>1</v>
      </c>
      <c r="F348" s="69" t="s">
        <v>2</v>
      </c>
      <c r="G348" s="70">
        <v>44024.59375</v>
      </c>
      <c r="H348" s="69" t="s">
        <v>52</v>
      </c>
    </row>
    <row r="349" spans="1:8" x14ac:dyDescent="0.2">
      <c r="A349" s="69" t="s">
        <v>15</v>
      </c>
      <c r="B349" s="69" t="s">
        <v>18</v>
      </c>
      <c r="C349" s="69">
        <v>2</v>
      </c>
      <c r="D349" s="69">
        <v>1</v>
      </c>
      <c r="E349" s="69">
        <v>1</v>
      </c>
      <c r="F349" s="69" t="s">
        <v>2</v>
      </c>
      <c r="G349" s="70">
        <v>44024.6875</v>
      </c>
      <c r="H349" s="69" t="s">
        <v>52</v>
      </c>
    </row>
    <row r="350" spans="1:8" x14ac:dyDescent="0.2">
      <c r="A350" s="69" t="s">
        <v>5</v>
      </c>
      <c r="B350" s="69" t="s">
        <v>11</v>
      </c>
      <c r="C350" s="69">
        <v>4</v>
      </c>
      <c r="D350" s="69">
        <v>1</v>
      </c>
      <c r="E350" s="69">
        <v>1</v>
      </c>
      <c r="F350" s="69" t="s">
        <v>2</v>
      </c>
      <c r="G350" s="70">
        <v>44024.791666666664</v>
      </c>
      <c r="H350" s="69" t="s">
        <v>52</v>
      </c>
    </row>
    <row r="351" spans="1:8" x14ac:dyDescent="0.2">
      <c r="A351" s="69" t="s">
        <v>19</v>
      </c>
      <c r="B351" s="69" t="s">
        <v>8</v>
      </c>
      <c r="C351" s="69">
        <v>2</v>
      </c>
      <c r="D351" s="69">
        <v>2</v>
      </c>
      <c r="E351" s="69">
        <v>1</v>
      </c>
      <c r="F351" s="69" t="s">
        <v>2</v>
      </c>
      <c r="G351" s="70">
        <v>44025.833333333336</v>
      </c>
      <c r="H351" s="69" t="s">
        <v>31</v>
      </c>
    </row>
    <row r="352" spans="1:8" x14ac:dyDescent="0.2">
      <c r="A352" s="69" t="s">
        <v>20</v>
      </c>
      <c r="B352" s="69" t="s">
        <v>1</v>
      </c>
      <c r="C352" s="69">
        <v>1</v>
      </c>
      <c r="D352" s="69">
        <v>0</v>
      </c>
      <c r="E352" s="69">
        <v>1</v>
      </c>
      <c r="F352" s="69" t="s">
        <v>2</v>
      </c>
      <c r="G352" s="70">
        <v>44026.84375</v>
      </c>
      <c r="H352" s="69" t="s">
        <v>52</v>
      </c>
    </row>
    <row r="353" spans="1:8" x14ac:dyDescent="0.2">
      <c r="A353" s="69" t="s">
        <v>7</v>
      </c>
      <c r="B353" s="69" t="s">
        <v>12</v>
      </c>
      <c r="C353" s="69">
        <v>1</v>
      </c>
      <c r="D353" s="69">
        <v>1</v>
      </c>
      <c r="E353" s="69">
        <v>1</v>
      </c>
      <c r="F353" s="69" t="s">
        <v>2</v>
      </c>
      <c r="G353" s="70">
        <v>44027.75</v>
      </c>
      <c r="H353" s="69" t="s">
        <v>31</v>
      </c>
    </row>
    <row r="354" spans="1:8" x14ac:dyDescent="0.2">
      <c r="A354" s="69" t="s">
        <v>4</v>
      </c>
      <c r="B354" s="69" t="s">
        <v>5</v>
      </c>
      <c r="C354" s="69">
        <v>2</v>
      </c>
      <c r="D354" s="69">
        <v>1</v>
      </c>
      <c r="E354" s="69">
        <v>1</v>
      </c>
      <c r="F354" s="69" t="s">
        <v>2</v>
      </c>
      <c r="G354" s="70">
        <v>44027.75</v>
      </c>
      <c r="H354" s="69" t="s">
        <v>52</v>
      </c>
    </row>
    <row r="355" spans="1:8" x14ac:dyDescent="0.2">
      <c r="A355" s="69" t="s">
        <v>17</v>
      </c>
      <c r="B355" s="69" t="s">
        <v>15</v>
      </c>
      <c r="C355" s="69">
        <v>1</v>
      </c>
      <c r="D355" s="69">
        <v>3</v>
      </c>
      <c r="E355" s="69">
        <v>1</v>
      </c>
      <c r="F355" s="69" t="s">
        <v>2</v>
      </c>
      <c r="G355" s="70">
        <v>44027.75</v>
      </c>
      <c r="H355" s="69" t="s">
        <v>34</v>
      </c>
    </row>
    <row r="356" spans="1:8" x14ac:dyDescent="0.2">
      <c r="A356" s="69" t="s">
        <v>18</v>
      </c>
      <c r="B356" s="69" t="s">
        <v>0</v>
      </c>
      <c r="C356" s="69">
        <v>2</v>
      </c>
      <c r="D356" s="69">
        <v>1</v>
      </c>
      <c r="E356" s="69">
        <v>1</v>
      </c>
      <c r="F356" s="69" t="s">
        <v>2</v>
      </c>
      <c r="G356" s="70">
        <v>44027.84375</v>
      </c>
      <c r="H356" s="69" t="s">
        <v>52</v>
      </c>
    </row>
    <row r="357" spans="1:8" x14ac:dyDescent="0.2">
      <c r="A357" s="69" t="s">
        <v>10</v>
      </c>
      <c r="B357" s="69" t="s">
        <v>16</v>
      </c>
      <c r="C357" s="69">
        <v>1</v>
      </c>
      <c r="D357" s="69">
        <v>1</v>
      </c>
      <c r="E357" s="69">
        <v>1</v>
      </c>
      <c r="F357" s="69" t="s">
        <v>2</v>
      </c>
      <c r="G357" s="70">
        <v>44028.75</v>
      </c>
      <c r="H357" s="69" t="s">
        <v>31</v>
      </c>
    </row>
    <row r="358" spans="1:8" x14ac:dyDescent="0.2">
      <c r="A358" s="69" t="s">
        <v>11</v>
      </c>
      <c r="B358" s="69" t="s">
        <v>6</v>
      </c>
      <c r="C358" s="69">
        <v>2</v>
      </c>
      <c r="D358" s="69">
        <v>0</v>
      </c>
      <c r="E358" s="69">
        <v>1</v>
      </c>
      <c r="F358" s="69" t="s">
        <v>2</v>
      </c>
      <c r="G358" s="70">
        <v>44028.75</v>
      </c>
      <c r="H358" s="69" t="s">
        <v>52</v>
      </c>
    </row>
    <row r="359" spans="1:8" x14ac:dyDescent="0.2">
      <c r="A359" s="69" t="s">
        <v>9</v>
      </c>
      <c r="B359" s="69" t="s">
        <v>19</v>
      </c>
      <c r="C359" s="69">
        <v>0</v>
      </c>
      <c r="D359" s="69">
        <v>2</v>
      </c>
      <c r="E359" s="69">
        <v>1</v>
      </c>
      <c r="F359" s="69" t="s">
        <v>2</v>
      </c>
      <c r="G359" s="70">
        <v>44028.84375</v>
      </c>
      <c r="H359" s="69" t="s">
        <v>34</v>
      </c>
    </row>
    <row r="360" spans="1:8" x14ac:dyDescent="0.2">
      <c r="A360" s="69" t="s">
        <v>8</v>
      </c>
      <c r="B360" s="69" t="s">
        <v>14</v>
      </c>
      <c r="C360" s="69">
        <v>1</v>
      </c>
      <c r="D360" s="69">
        <v>1</v>
      </c>
      <c r="E360" s="69">
        <v>1</v>
      </c>
      <c r="F360" s="69" t="s">
        <v>2</v>
      </c>
      <c r="G360" s="70">
        <v>44028.84375</v>
      </c>
      <c r="H360" s="69" t="s">
        <v>31</v>
      </c>
    </row>
    <row r="361" spans="1:8" x14ac:dyDescent="0.2">
      <c r="A361" s="69" t="s">
        <v>3</v>
      </c>
      <c r="B361" s="69" t="s">
        <v>13</v>
      </c>
      <c r="C361" s="69">
        <v>3</v>
      </c>
      <c r="D361" s="69">
        <v>1</v>
      </c>
      <c r="E361" s="69">
        <v>1</v>
      </c>
      <c r="F361" s="69" t="s">
        <v>2</v>
      </c>
      <c r="G361" s="70">
        <v>44029.833333333336</v>
      </c>
      <c r="H361" s="69" t="s">
        <v>52</v>
      </c>
    </row>
    <row r="362" spans="1:8" x14ac:dyDescent="0.2">
      <c r="A362" s="69" t="s">
        <v>1</v>
      </c>
      <c r="B362" s="69" t="s">
        <v>7</v>
      </c>
      <c r="C362" s="69">
        <v>0</v>
      </c>
      <c r="D362" s="69">
        <v>2</v>
      </c>
      <c r="E362" s="69">
        <v>1</v>
      </c>
      <c r="F362" s="69" t="s">
        <v>2</v>
      </c>
      <c r="G362" s="70">
        <v>44030.729166666664</v>
      </c>
      <c r="H362" s="69" t="s">
        <v>34</v>
      </c>
    </row>
    <row r="363" spans="1:8" x14ac:dyDescent="0.2">
      <c r="A363" s="69" t="s">
        <v>5</v>
      </c>
      <c r="B363" s="69" t="s">
        <v>8</v>
      </c>
      <c r="C363" s="69">
        <v>0</v>
      </c>
      <c r="D363" s="69">
        <v>2</v>
      </c>
      <c r="E363" s="69">
        <v>1</v>
      </c>
      <c r="F363" s="69" t="s">
        <v>2</v>
      </c>
      <c r="G363" s="70">
        <v>44031.583333333336</v>
      </c>
      <c r="H363" s="69" t="s">
        <v>34</v>
      </c>
    </row>
    <row r="364" spans="1:8" x14ac:dyDescent="0.2">
      <c r="A364" s="69" t="s">
        <v>15</v>
      </c>
      <c r="B364" s="69" t="s">
        <v>11</v>
      </c>
      <c r="C364" s="69">
        <v>3</v>
      </c>
      <c r="D364" s="69">
        <v>0</v>
      </c>
      <c r="E364" s="69">
        <v>1</v>
      </c>
      <c r="F364" s="69" t="s">
        <v>2</v>
      </c>
      <c r="G364" s="70">
        <v>44031.666666666664</v>
      </c>
      <c r="H364" s="69" t="s">
        <v>52</v>
      </c>
    </row>
    <row r="365" spans="1:8" x14ac:dyDescent="0.2">
      <c r="A365" s="69" t="s">
        <v>14</v>
      </c>
      <c r="B365" s="69" t="s">
        <v>17</v>
      </c>
      <c r="C365" s="69">
        <v>0</v>
      </c>
      <c r="D365" s="69">
        <v>0</v>
      </c>
      <c r="E365" s="69">
        <v>1</v>
      </c>
      <c r="F365" s="69" t="s">
        <v>2</v>
      </c>
      <c r="G365" s="70">
        <v>44032.75</v>
      </c>
      <c r="H365" s="69" t="s">
        <v>31</v>
      </c>
    </row>
    <row r="366" spans="1:8" x14ac:dyDescent="0.2">
      <c r="A366" s="69" t="s">
        <v>6</v>
      </c>
      <c r="B366" s="69" t="s">
        <v>10</v>
      </c>
      <c r="C366" s="69">
        <v>0</v>
      </c>
      <c r="D366" s="69">
        <v>1</v>
      </c>
      <c r="E366" s="69">
        <v>1</v>
      </c>
      <c r="F366" s="69" t="s">
        <v>2</v>
      </c>
      <c r="G366" s="70">
        <v>44032.75</v>
      </c>
      <c r="H366" s="69" t="s">
        <v>34</v>
      </c>
    </row>
    <row r="367" spans="1:8" x14ac:dyDescent="0.2">
      <c r="A367" s="69" t="s">
        <v>12</v>
      </c>
      <c r="B367" s="69" t="s">
        <v>9</v>
      </c>
      <c r="C367" s="69">
        <v>2</v>
      </c>
      <c r="D367" s="69">
        <v>0</v>
      </c>
      <c r="E367" s="69">
        <v>1</v>
      </c>
      <c r="F367" s="69" t="s">
        <v>2</v>
      </c>
      <c r="G367" s="70">
        <v>44032.84375</v>
      </c>
      <c r="H367" s="69" t="s">
        <v>52</v>
      </c>
    </row>
    <row r="368" spans="1:8" x14ac:dyDescent="0.2">
      <c r="A368" s="69" t="s">
        <v>13</v>
      </c>
      <c r="B368" s="69" t="s">
        <v>4</v>
      </c>
      <c r="C368" s="69">
        <v>0</v>
      </c>
      <c r="D368" s="69">
        <v>4</v>
      </c>
      <c r="E368" s="69">
        <v>1</v>
      </c>
      <c r="F368" s="69" t="s">
        <v>2</v>
      </c>
      <c r="G368" s="70">
        <v>44033.75</v>
      </c>
      <c r="H368" s="69" t="s">
        <v>34</v>
      </c>
    </row>
    <row r="369" spans="1:8" x14ac:dyDescent="0.2">
      <c r="A369" s="69" t="s">
        <v>16</v>
      </c>
      <c r="B369" s="69" t="s">
        <v>18</v>
      </c>
      <c r="C369" s="69">
        <v>1</v>
      </c>
      <c r="D369" s="69">
        <v>0</v>
      </c>
      <c r="E369" s="69">
        <v>1</v>
      </c>
      <c r="F369" s="69" t="s">
        <v>2</v>
      </c>
      <c r="G369" s="70">
        <v>44033.84375</v>
      </c>
      <c r="H369" s="69" t="s">
        <v>52</v>
      </c>
    </row>
    <row r="370" spans="1:8" x14ac:dyDescent="0.2">
      <c r="A370" s="69" t="s">
        <v>19</v>
      </c>
      <c r="B370" s="69" t="s">
        <v>3</v>
      </c>
      <c r="C370" s="69">
        <v>1</v>
      </c>
      <c r="D370" s="69">
        <v>1</v>
      </c>
      <c r="E370" s="69">
        <v>1</v>
      </c>
      <c r="F370" s="69" t="s">
        <v>2</v>
      </c>
      <c r="G370" s="70">
        <v>44034.75</v>
      </c>
      <c r="H370" s="69" t="s">
        <v>31</v>
      </c>
    </row>
    <row r="371" spans="1:8" x14ac:dyDescent="0.2">
      <c r="A371" s="69" t="s">
        <v>0</v>
      </c>
      <c r="B371" s="69" t="s">
        <v>20</v>
      </c>
      <c r="C371" s="69">
        <v>5</v>
      </c>
      <c r="D371" s="69">
        <v>3</v>
      </c>
      <c r="E371" s="69">
        <v>1</v>
      </c>
      <c r="F371" s="69" t="s">
        <v>2</v>
      </c>
      <c r="G371" s="70">
        <v>44034.84375</v>
      </c>
      <c r="H371" s="69" t="s">
        <v>52</v>
      </c>
    </row>
    <row r="372" spans="1:8" x14ac:dyDescent="0.2">
      <c r="A372" s="69" t="s">
        <v>18</v>
      </c>
      <c r="B372" s="69" t="s">
        <v>13</v>
      </c>
      <c r="C372" s="69">
        <v>3</v>
      </c>
      <c r="D372" s="69">
        <v>2</v>
      </c>
      <c r="E372" s="69">
        <v>1</v>
      </c>
      <c r="F372" s="69" t="s">
        <v>2</v>
      </c>
      <c r="G372" s="70">
        <v>44038.666666666664</v>
      </c>
      <c r="H372" s="69" t="s">
        <v>52</v>
      </c>
    </row>
    <row r="373" spans="1:8" x14ac:dyDescent="0.2">
      <c r="A373" s="69" t="s">
        <v>7</v>
      </c>
      <c r="B373" s="69" t="s">
        <v>14</v>
      </c>
      <c r="C373" s="69">
        <v>1</v>
      </c>
      <c r="D373" s="69">
        <v>2</v>
      </c>
      <c r="E373" s="69">
        <v>1</v>
      </c>
      <c r="F373" s="69" t="s">
        <v>2</v>
      </c>
      <c r="G373" s="70">
        <v>44038.666666666664</v>
      </c>
      <c r="H373" s="69" t="s">
        <v>34</v>
      </c>
    </row>
    <row r="374" spans="1:8" x14ac:dyDescent="0.2">
      <c r="A374" s="69" t="s">
        <v>20</v>
      </c>
      <c r="B374" s="69" t="s">
        <v>12</v>
      </c>
      <c r="C374" s="69">
        <v>2</v>
      </c>
      <c r="D374" s="69">
        <v>0</v>
      </c>
      <c r="E374" s="69">
        <v>1</v>
      </c>
      <c r="F374" s="69" t="s">
        <v>2</v>
      </c>
      <c r="G374" s="70">
        <v>44038.666666666664</v>
      </c>
      <c r="H374" s="69" t="s">
        <v>52</v>
      </c>
    </row>
    <row r="375" spans="1:8" x14ac:dyDescent="0.2">
      <c r="A375" s="69" t="s">
        <v>9</v>
      </c>
      <c r="B375" s="69" t="s">
        <v>15</v>
      </c>
      <c r="C375" s="69">
        <v>1</v>
      </c>
      <c r="D375" s="69">
        <v>1</v>
      </c>
      <c r="E375" s="69">
        <v>1</v>
      </c>
      <c r="F375" s="69" t="s">
        <v>2</v>
      </c>
      <c r="G375" s="70">
        <v>44038.666666666664</v>
      </c>
      <c r="H375" s="69" t="s">
        <v>31</v>
      </c>
    </row>
    <row r="376" spans="1:8" x14ac:dyDescent="0.2">
      <c r="A376" s="69" t="s">
        <v>10</v>
      </c>
      <c r="B376" s="69" t="s">
        <v>5</v>
      </c>
      <c r="C376" s="69">
        <v>1</v>
      </c>
      <c r="D376" s="69">
        <v>3</v>
      </c>
      <c r="E376" s="69">
        <v>1</v>
      </c>
      <c r="F376" s="69" t="s">
        <v>2</v>
      </c>
      <c r="G376" s="70">
        <v>44038.666666666664</v>
      </c>
      <c r="H376" s="69" t="s">
        <v>34</v>
      </c>
    </row>
    <row r="377" spans="1:8" x14ac:dyDescent="0.2">
      <c r="A377" s="69" t="s">
        <v>11</v>
      </c>
      <c r="B377" s="69" t="s">
        <v>19</v>
      </c>
      <c r="C377" s="69">
        <v>0</v>
      </c>
      <c r="D377" s="69">
        <v>2</v>
      </c>
      <c r="E377" s="69">
        <v>1</v>
      </c>
      <c r="F377" s="69" t="s">
        <v>2</v>
      </c>
      <c r="G377" s="70">
        <v>44038.666666666664</v>
      </c>
      <c r="H377" s="69" t="s">
        <v>34</v>
      </c>
    </row>
    <row r="378" spans="1:8" x14ac:dyDescent="0.2">
      <c r="A378" s="69" t="s">
        <v>4</v>
      </c>
      <c r="B378" s="69" t="s">
        <v>1</v>
      </c>
      <c r="C378" s="69">
        <v>5</v>
      </c>
      <c r="D378" s="69">
        <v>0</v>
      </c>
      <c r="E378" s="69">
        <v>1</v>
      </c>
      <c r="F378" s="69" t="s">
        <v>2</v>
      </c>
      <c r="G378" s="70">
        <v>44038.666666666664</v>
      </c>
      <c r="H378" s="69" t="s">
        <v>52</v>
      </c>
    </row>
    <row r="379" spans="1:8" x14ac:dyDescent="0.2">
      <c r="A379" s="69" t="s">
        <v>17</v>
      </c>
      <c r="B379" s="69" t="s">
        <v>0</v>
      </c>
      <c r="C379" s="69">
        <v>1</v>
      </c>
      <c r="D379" s="69">
        <v>3</v>
      </c>
      <c r="E379" s="69">
        <v>1</v>
      </c>
      <c r="F379" s="69" t="s">
        <v>2</v>
      </c>
      <c r="G379" s="70">
        <v>44038.666666666664</v>
      </c>
      <c r="H379" s="69" t="s">
        <v>34</v>
      </c>
    </row>
    <row r="380" spans="1:8" x14ac:dyDescent="0.2">
      <c r="A380" s="69" t="s">
        <v>8</v>
      </c>
      <c r="B380" s="69" t="s">
        <v>6</v>
      </c>
      <c r="C380" s="69">
        <v>3</v>
      </c>
      <c r="D380" s="69">
        <v>1</v>
      </c>
      <c r="E380" s="69">
        <v>1</v>
      </c>
      <c r="F380" s="69" t="s">
        <v>2</v>
      </c>
      <c r="G380" s="70">
        <v>44038.666666666664</v>
      </c>
      <c r="H380" s="69" t="s">
        <v>52</v>
      </c>
    </row>
    <row r="381" spans="1:8" x14ac:dyDescent="0.2">
      <c r="A381" s="72" t="s">
        <v>3</v>
      </c>
      <c r="B381" s="72" t="s">
        <v>16</v>
      </c>
      <c r="C381" s="72">
        <v>1</v>
      </c>
      <c r="D381" s="72">
        <v>1</v>
      </c>
      <c r="E381" s="69">
        <v>1</v>
      </c>
      <c r="F381" s="72" t="s">
        <v>2</v>
      </c>
      <c r="G381" s="73">
        <v>44038.666666666664</v>
      </c>
      <c r="H381" s="72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A511-3604-436F-9DFC-D62C6996F7A3}">
  <sheetPr codeName="Sheet3">
    <tabColor rgb="FF0070C0"/>
  </sheetPr>
  <dimension ref="A1:BA32"/>
  <sheetViews>
    <sheetView showGridLines="0" zoomScaleNormal="100" workbookViewId="0"/>
  </sheetViews>
  <sheetFormatPr defaultRowHeight="12.75" x14ac:dyDescent="0.2"/>
  <cols>
    <col min="1" max="1" width="11.28515625" bestFit="1" customWidth="1"/>
    <col min="2" max="2" width="12.7109375" style="3" bestFit="1" customWidth="1"/>
    <col min="3" max="3" width="6" style="3" bestFit="1" customWidth="1"/>
    <col min="4" max="4" width="4.5703125" style="3" bestFit="1" customWidth="1"/>
    <col min="5" max="5" width="26.42578125" style="3" bestFit="1" customWidth="1"/>
    <col min="6" max="9" width="3" style="3" bestFit="1" customWidth="1"/>
    <col min="10" max="10" width="4" style="3" bestFit="1" customWidth="1"/>
    <col min="11" max="11" width="3" style="3" bestFit="1" customWidth="1"/>
    <col min="12" max="12" width="4" style="3" bestFit="1" customWidth="1"/>
    <col min="13" max="13" width="15.28515625" style="3" bestFit="1" customWidth="1"/>
    <col min="14" max="15" width="9.140625" style="3"/>
    <col min="16" max="16" width="12.7109375" bestFit="1" customWidth="1"/>
    <col min="17" max="17" width="4.5703125" bestFit="1" customWidth="1"/>
    <col min="18" max="18" width="26.42578125" bestFit="1" customWidth="1"/>
    <col min="19" max="22" width="3" bestFit="1" customWidth="1"/>
    <col min="23" max="23" width="4" bestFit="1" customWidth="1"/>
    <col min="24" max="24" width="3" bestFit="1" customWidth="1"/>
    <col min="25" max="25" width="4" bestFit="1" customWidth="1"/>
    <col min="26" max="26" width="3.7109375" bestFit="1" customWidth="1"/>
    <col min="27" max="28" width="9.140625" style="3"/>
    <col min="29" max="29" width="12.7109375" style="3" bestFit="1" customWidth="1"/>
    <col min="30" max="30" width="4.5703125" style="3" bestFit="1" customWidth="1"/>
    <col min="31" max="31" width="26.42578125" style="3" bestFit="1" customWidth="1"/>
    <col min="32" max="35" width="3" style="3" bestFit="1" customWidth="1"/>
    <col min="36" max="36" width="4" style="3" bestFit="1" customWidth="1"/>
    <col min="37" max="37" width="3" style="3" bestFit="1" customWidth="1"/>
    <col min="38" max="38" width="4" style="3" bestFit="1" customWidth="1"/>
    <col min="39" max="39" width="3.7109375" style="3" bestFit="1" customWidth="1"/>
    <col min="42" max="42" width="12.7109375" bestFit="1" customWidth="1"/>
    <col min="43" max="43" width="4.5703125" bestFit="1" customWidth="1"/>
    <col min="44" max="44" width="26.42578125" bestFit="1" customWidth="1"/>
    <col min="45" max="48" width="3" bestFit="1" customWidth="1"/>
    <col min="49" max="49" width="4" bestFit="1" customWidth="1"/>
    <col min="50" max="50" width="3" bestFit="1" customWidth="1"/>
    <col min="51" max="51" width="4" bestFit="1" customWidth="1"/>
    <col min="52" max="52" width="3.7109375" bestFit="1" customWidth="1"/>
  </cols>
  <sheetData>
    <row r="1" spans="1:53" ht="26.25" x14ac:dyDescent="0.2">
      <c r="A1" s="42" t="s">
        <v>38</v>
      </c>
    </row>
    <row r="2" spans="1:53" ht="20.25" thickBot="1" x14ac:dyDescent="0.35">
      <c r="B2" s="81" t="s">
        <v>42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P2" s="79" t="s">
        <v>43</v>
      </c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C2" s="79" t="s">
        <v>44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P2" s="79" t="s">
        <v>45</v>
      </c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</row>
    <row r="3" spans="1:53" ht="14.25" customHeight="1" thickTop="1" x14ac:dyDescent="0.2"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AD3"/>
      <c r="AE3"/>
      <c r="AF3"/>
      <c r="AG3"/>
      <c r="AH3"/>
      <c r="AI3"/>
      <c r="AJ3"/>
      <c r="AK3"/>
      <c r="AL3"/>
      <c r="AM3"/>
    </row>
    <row r="4" spans="1:53" ht="15" x14ac:dyDescent="0.2">
      <c r="B4" s="76" t="s">
        <v>53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P4" s="76" t="s">
        <v>53</v>
      </c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C4" s="76" t="s">
        <v>53</v>
      </c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P4" s="76" t="s">
        <v>53</v>
      </c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</row>
    <row r="5" spans="1:53" ht="15" x14ac:dyDescent="0.25">
      <c r="B5" s="83" t="s">
        <v>54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P5" s="77" t="s">
        <v>58</v>
      </c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C5" s="77" t="s">
        <v>60</v>
      </c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P5" s="77" t="s">
        <v>62</v>
      </c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</row>
    <row r="6" spans="1:53" ht="15.75" thickBot="1" x14ac:dyDescent="0.3">
      <c r="B6" s="83" t="s">
        <v>55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P6" s="83" t="s">
        <v>59</v>
      </c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C6" s="77" t="s">
        <v>61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</row>
    <row r="7" spans="1:53" ht="16.5" thickTop="1" thickBot="1" x14ac:dyDescent="0.3">
      <c r="B7" s="83" t="s">
        <v>56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</row>
    <row r="8" spans="1:53" ht="15.75" thickTop="1" x14ac:dyDescent="0.2">
      <c r="B8" s="77" t="s">
        <v>57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P8" s="3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53" ht="13.5" thickBot="1" x14ac:dyDescent="0.25"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1:53" ht="13.5" thickTop="1" x14ac:dyDescent="0.2">
      <c r="AD10"/>
      <c r="AE10"/>
      <c r="AF10"/>
      <c r="AG10"/>
      <c r="AH10"/>
      <c r="AI10"/>
      <c r="AJ10"/>
      <c r="AK10"/>
      <c r="AL10"/>
      <c r="AM10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3" x14ac:dyDescent="0.2">
      <c r="C11"/>
      <c r="D11"/>
      <c r="E11"/>
      <c r="F11"/>
      <c r="G11"/>
      <c r="H11"/>
      <c r="I11"/>
      <c r="J11"/>
      <c r="K11"/>
      <c r="L11"/>
      <c r="M11"/>
      <c r="AD11"/>
      <c r="AE11"/>
      <c r="AF11"/>
      <c r="AG11"/>
      <c r="AH11"/>
      <c r="AI11"/>
      <c r="AJ11"/>
      <c r="AK11"/>
      <c r="AL11"/>
      <c r="AM11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3" ht="15" x14ac:dyDescent="0.25">
      <c r="C12" s="63" t="s">
        <v>37</v>
      </c>
      <c r="D12" s="20" t="s">
        <v>41</v>
      </c>
      <c r="E12" s="21" t="s">
        <v>51</v>
      </c>
      <c r="F12" s="64" t="s">
        <v>29</v>
      </c>
      <c r="G12" s="63" t="s">
        <v>30</v>
      </c>
      <c r="H12" s="63" t="s">
        <v>31</v>
      </c>
      <c r="I12" s="63" t="s">
        <v>32</v>
      </c>
      <c r="J12" s="63" t="s">
        <v>33</v>
      </c>
      <c r="K12" s="63" t="s">
        <v>34</v>
      </c>
      <c r="L12" s="63" t="s">
        <v>35</v>
      </c>
      <c r="M12" s="63" t="s">
        <v>36</v>
      </c>
      <c r="P12" s="3"/>
      <c r="Q12" s="7" t="s">
        <v>41</v>
      </c>
      <c r="R12" s="9" t="s">
        <v>51</v>
      </c>
      <c r="S12" s="10" t="s">
        <v>29</v>
      </c>
      <c r="T12" s="8" t="s">
        <v>30</v>
      </c>
      <c r="U12" s="8" t="s">
        <v>31</v>
      </c>
      <c r="V12" s="8" t="s">
        <v>32</v>
      </c>
      <c r="W12" s="8" t="s">
        <v>33</v>
      </c>
      <c r="X12" s="8" t="s">
        <v>34</v>
      </c>
      <c r="Y12" s="8" t="s">
        <v>35</v>
      </c>
      <c r="Z12" s="8" t="s">
        <v>36</v>
      </c>
      <c r="AD12" s="7" t="s">
        <v>41</v>
      </c>
      <c r="AE12" s="9" t="s">
        <v>51</v>
      </c>
      <c r="AF12" s="10" t="s">
        <v>29</v>
      </c>
      <c r="AG12" s="8" t="s">
        <v>30</v>
      </c>
      <c r="AH12" s="8" t="s">
        <v>31</v>
      </c>
      <c r="AI12" s="8" t="s">
        <v>32</v>
      </c>
      <c r="AJ12" s="8" t="s">
        <v>33</v>
      </c>
      <c r="AK12" s="8" t="s">
        <v>34</v>
      </c>
      <c r="AL12" s="8" t="s">
        <v>35</v>
      </c>
      <c r="AM12" s="8" t="s">
        <v>36</v>
      </c>
      <c r="AP12" s="3"/>
      <c r="AQ12" s="7" t="s">
        <v>41</v>
      </c>
      <c r="AR12" s="9" t="s">
        <v>51</v>
      </c>
      <c r="AS12" s="10" t="s">
        <v>29</v>
      </c>
      <c r="AT12" s="8" t="s">
        <v>30</v>
      </c>
      <c r="AU12" s="8" t="s">
        <v>31</v>
      </c>
      <c r="AV12" s="8" t="s">
        <v>32</v>
      </c>
      <c r="AW12" s="8" t="s">
        <v>33</v>
      </c>
      <c r="AX12" s="8" t="s">
        <v>34</v>
      </c>
      <c r="AY12" s="8" t="s">
        <v>35</v>
      </c>
      <c r="AZ12" s="8" t="s">
        <v>36</v>
      </c>
    </row>
    <row r="13" spans="1:53" ht="15" x14ac:dyDescent="0.25">
      <c r="C13" s="22">
        <f>_xlfn.RANK.EQ(TableA1[[#This Row],[PTS]],TableA1[PTS])</f>
        <v>8</v>
      </c>
      <c r="D13" s="23">
        <v>1</v>
      </c>
      <c r="E13" s="24" t="s">
        <v>18</v>
      </c>
      <c r="F13" s="22">
        <f>COUNTIFS(DataTable[team_home],E13,DataTable[played],1)
+
COUNTIFS(DataTable[team_away],E13,DataTable[played],1)</f>
        <v>38</v>
      </c>
      <c r="G13" s="22">
        <f>COUNTIFS(DataTable[team_home],E13,DataTable[Result],"H")
+
COUNTIFS(DataTable[team_away],E13,DataTable[Result],"A")</f>
        <v>14</v>
      </c>
      <c r="H13" s="22">
        <f>COUNTIFS(DataTable[team_home],E13,DataTable[Result],"D")
+
COUNTIFS(DataTable[team_away],E13,DataTable[Result],"D")</f>
        <v>14</v>
      </c>
      <c r="I13" s="22">
        <f>COUNTIFS(DataTable[team_home],E13,DataTable[Result],"A")
+
COUNTIFS(DataTable[team_away],E13,DataTable[Result],"H")</f>
        <v>10</v>
      </c>
      <c r="J13" s="22">
        <f>SUMIFS(DataTable[home_goal],DataTable[team_home],E13)
+
SUMIFS(DataTable[away_goal],DataTable[team_away],E13)</f>
        <v>56</v>
      </c>
      <c r="K13" s="22">
        <f>SUMIFS(DataTable[home_goal],DataTable[team_away],E13)
+
SUMIFS(DataTable[away_goal],DataTable[team_home],E13)</f>
        <v>48</v>
      </c>
      <c r="L13" s="25">
        <f>TableA1[[#This Row],[F]]-TableA1[[#This Row],[A]]</f>
        <v>8</v>
      </c>
      <c r="M13" s="26">
        <f t="shared" ref="M13:M32" si="0">(G13*3)+(H13*1)+(L13*0.00001)+(J13*0.0000001)-(CODE(LEFT(E13,1))/100*0.00000001)-(D13/100*0.000000001)</f>
        <v>56.000085593489999</v>
      </c>
      <c r="P13" s="3"/>
      <c r="Q13" s="12">
        <v>1</v>
      </c>
      <c r="R13" s="4" t="str" cm="1">
        <f t="array" ref="R13">VLOOKUP($Q13,$C$13:$M$32,COLUMN(C:C),0)</f>
        <v>Liverpool</v>
      </c>
      <c r="S13" s="4" cm="1">
        <f t="array" ref="S13">VLOOKUP($Q13,$C$13:$M$32,COLUMN(D:D),0)</f>
        <v>38</v>
      </c>
      <c r="T13" s="4" cm="1">
        <f t="array" ref="T13">VLOOKUP($Q13,$C$13:$M$32,COLUMN(E:E),0)</f>
        <v>32</v>
      </c>
      <c r="U13" s="4" cm="1">
        <f t="array" ref="U13">VLOOKUP($Q13,$C$13:$M$32,COLUMN(F:F),0)</f>
        <v>3</v>
      </c>
      <c r="V13" s="4" cm="1">
        <f t="array" ref="V13">VLOOKUP($Q13,$C$13:$M$32,COLUMN(G:G),0)</f>
        <v>3</v>
      </c>
      <c r="W13" s="4" cm="1">
        <f t="array" ref="W13">VLOOKUP($Q13,$C$13:$M$32,COLUMN(H:H),0)</f>
        <v>85</v>
      </c>
      <c r="X13" s="4" cm="1">
        <f t="array" ref="X13">VLOOKUP($Q13,$C$13:$M$32,COLUMN(I:I),0)</f>
        <v>33</v>
      </c>
      <c r="Y13" s="67" cm="1">
        <f t="array" ref="Y13">VLOOKUP($Q13,$C$13:$M$32,COLUMN(J:J),0)</f>
        <v>52</v>
      </c>
      <c r="Z13" s="4" cm="1">
        <f t="array" ref="Z13">VLOOKUP($Q13,$C$13:$M$32,COLUMN(K:K),0)</f>
        <v>99.000528492300006</v>
      </c>
      <c r="AD13" s="12">
        <v>1</v>
      </c>
      <c r="AE13" s="4" t="str">
        <f>INDEX(TableA1[TEAM],MATCH(TableA3[[#This Row],[POS]],TableA1[RANK],0))</f>
        <v>Liverpool</v>
      </c>
      <c r="AF13" s="5" cm="1">
        <f t="array" ref="AF13">INDEX(TableA1[P],MATCH(TableA3[[#This Row],[POS]:[POS]],TableA1[[RANK]:[RANK]],0))</f>
        <v>38</v>
      </c>
      <c r="AG13" s="5" cm="1">
        <f t="array" ref="AG13">INDEX(TableA1[W],MATCH(TableA3[[#This Row],[POS]:[POS]],TableA1[[RANK]:[RANK]],0))</f>
        <v>32</v>
      </c>
      <c r="AH13" s="5" cm="1">
        <f t="array" ref="AH13">INDEX(TableA1[D],MATCH(TableA3[[#This Row],[POS]:[POS]],TableA1[[RANK]:[RANK]],0))</f>
        <v>3</v>
      </c>
      <c r="AI13" s="5" cm="1">
        <f t="array" ref="AI13">INDEX(TableA1[L],MATCH(TableA3[[#This Row],[POS]:[POS]],TableA1[[RANK]:[RANK]],0))</f>
        <v>3</v>
      </c>
      <c r="AJ13" s="5" cm="1">
        <f t="array" ref="AJ13">INDEX(TableA1[F],MATCH(TableA3[[#This Row],[POS]:[POS]],TableA1[[RANK]:[RANK]],0))</f>
        <v>85</v>
      </c>
      <c r="AK13" s="5" cm="1">
        <f t="array" ref="AK13">INDEX(TableA1[A],MATCH(TableA3[[#This Row],[POS]:[POS]],TableA1[[RANK]:[RANK]],0))</f>
        <v>33</v>
      </c>
      <c r="AL13" s="13" cm="1">
        <f t="array" ref="AL13">INDEX(TableA1[GD],MATCH(TableA3[[#This Row],[POS]:[POS]],TableA1[[RANK]:[RANK]],0))</f>
        <v>52</v>
      </c>
      <c r="AM13" s="14" cm="1">
        <f t="array" ref="AM13">INDEX(TableA1[PTS],MATCH(TableA3[[#This Row],[POS]:[POS]],TableA1[[RANK]:[RANK]],0))</f>
        <v>99.000528492300006</v>
      </c>
      <c r="AP13" s="3"/>
      <c r="AQ13" s="12">
        <v>1</v>
      </c>
      <c r="AR13" s="4" t="str" cm="1">
        <f t="array" ref="AR13">_xlfn.XLOOKUP(OrderedTable3[[#This Row],[POS]:[POS]],TableA1[[RANK]:[RANK]],TableA1[TEAM])</f>
        <v>Liverpool</v>
      </c>
      <c r="AS13" s="5" cm="1">
        <f t="array" ref="AS13">_xlfn.XLOOKUP(OrderedTable3[[#This Row],[POS]:[POS]],TableA1[[RANK]:[RANK]],TableA1[P])</f>
        <v>38</v>
      </c>
      <c r="AT13" s="5" cm="1">
        <f t="array" ref="AT13">_xlfn.XLOOKUP(OrderedTable3[[#This Row],[POS]:[POS]],TableA1[[RANK]:[RANK]],TableA1[W])</f>
        <v>32</v>
      </c>
      <c r="AU13" s="5" cm="1">
        <f t="array" ref="AU13">_xlfn.XLOOKUP(OrderedTable3[[#This Row],[POS]:[POS]],TableA1[[RANK]:[RANK]],TableA1[D])</f>
        <v>3</v>
      </c>
      <c r="AV13" s="5" cm="1">
        <f t="array" ref="AV13">_xlfn.XLOOKUP(OrderedTable3[[#This Row],[POS]:[POS]],TableA1[[RANK]:[RANK]],TableA1[L])</f>
        <v>3</v>
      </c>
      <c r="AW13" s="5" cm="1">
        <f t="array" ref="AW13">_xlfn.XLOOKUP(OrderedTable3[[#This Row],[POS]:[POS]],TableA1[[RANK]:[RANK]],TableA1[F])</f>
        <v>85</v>
      </c>
      <c r="AX13" s="5" cm="1">
        <f t="array" ref="AX13">_xlfn.XLOOKUP(OrderedTable3[[#This Row],[POS]:[POS]],TableA1[[RANK]:[RANK]],TableA1[A])</f>
        <v>33</v>
      </c>
      <c r="AY13" s="13" cm="1">
        <f t="array" ref="AY13">_xlfn.XLOOKUP(OrderedTable3[[#This Row],[POS]:[POS]],TableA1[[RANK]:[RANK]],TableA1[GD])</f>
        <v>52</v>
      </c>
      <c r="AZ13" s="14" cm="1">
        <f t="array" ref="AZ13">_xlfn.XLOOKUP(OrderedTable3[[#This Row],[POS]:[POS]],TableA1[[RANK]:[RANK]],TableA1[PTS])</f>
        <v>99.000528492300006</v>
      </c>
    </row>
    <row r="14" spans="1:53" ht="15" x14ac:dyDescent="0.25">
      <c r="C14" s="22">
        <f>_xlfn.RANK.EQ(TableA1[[#This Row],[PTS]],TableA1[PTS])</f>
        <v>17</v>
      </c>
      <c r="D14" s="23">
        <v>2</v>
      </c>
      <c r="E14" s="24" t="s">
        <v>16</v>
      </c>
      <c r="F14" s="22">
        <f>COUNTIFS(DataTable[team_home],E14,DataTable[played],1)
+
COUNTIFS(DataTable[team_away],E14,DataTable[played],1)</f>
        <v>38</v>
      </c>
      <c r="G14" s="22">
        <f>COUNTIFS(DataTable[team_home],E14,DataTable[Result],"H")
+
COUNTIFS(DataTable[team_away],E14,DataTable[Result],"A")</f>
        <v>9</v>
      </c>
      <c r="H14" s="22">
        <f>COUNTIFS(DataTable[team_home],E14,DataTable[Result],"D")
+
COUNTIFS(DataTable[team_away],E14,DataTable[Result],"D")</f>
        <v>8</v>
      </c>
      <c r="I14" s="22">
        <f>COUNTIFS(DataTable[team_home],E14,DataTable[Result],"A")
+
COUNTIFS(DataTable[team_away],E14,DataTable[Result],"H")</f>
        <v>21</v>
      </c>
      <c r="J14" s="22">
        <f>SUMIFS(DataTable[home_goal],DataTable[team_home],E14)
+
SUMIFS(DataTable[away_goal],DataTable[team_away],E14)</f>
        <v>41</v>
      </c>
      <c r="K14" s="22">
        <f>SUMIFS(DataTable[home_goal],DataTable[team_away],E14)
+
SUMIFS(DataTable[away_goal],DataTable[team_home],E14)</f>
        <v>67</v>
      </c>
      <c r="L14" s="25">
        <f>TableA1[[#This Row],[F]]-TableA1[[#This Row],[A]]</f>
        <v>-26</v>
      </c>
      <c r="M14" s="26">
        <f t="shared" si="0"/>
        <v>34.999744093479997</v>
      </c>
      <c r="P14" s="3"/>
      <c r="Q14" s="12">
        <v>2</v>
      </c>
      <c r="R14" s="4" t="str" cm="1">
        <f t="array" ref="R14">VLOOKUP($Q14,$C$13:$M$32,COLUMN(C:C),0)</f>
        <v>Manchester City</v>
      </c>
      <c r="S14" s="4" cm="1">
        <f t="array" ref="S14">VLOOKUP($Q14,$C$13:$M$32,COLUMN(D:D),0)</f>
        <v>38</v>
      </c>
      <c r="T14" s="4" cm="1">
        <f t="array" ref="T14">VLOOKUP($Q14,$C$13:$M$32,COLUMN(E:E),0)</f>
        <v>26</v>
      </c>
      <c r="U14" s="4" cm="1">
        <f t="array" ref="U14">VLOOKUP($Q14,$C$13:$M$32,COLUMN(F:F),0)</f>
        <v>3</v>
      </c>
      <c r="V14" s="4" cm="1">
        <f t="array" ref="V14">VLOOKUP($Q14,$C$13:$M$32,COLUMN(G:G),0)</f>
        <v>9</v>
      </c>
      <c r="W14" s="4" cm="1">
        <f t="array" ref="W14">VLOOKUP($Q14,$C$13:$M$32,COLUMN(H:H),0)</f>
        <v>102</v>
      </c>
      <c r="X14" s="4" cm="1">
        <f t="array" ref="X14">VLOOKUP($Q14,$C$13:$M$32,COLUMN(I:I),0)</f>
        <v>35</v>
      </c>
      <c r="Y14" s="67" cm="1">
        <f t="array" ref="Y14">VLOOKUP($Q14,$C$13:$M$32,COLUMN(J:J),0)</f>
        <v>67</v>
      </c>
      <c r="Z14" s="4" cm="1">
        <f t="array" ref="Z14">VLOOKUP($Q14,$C$13:$M$32,COLUMN(K:K),0)</f>
        <v>81.000680192190003</v>
      </c>
      <c r="AD14" s="12">
        <v>2</v>
      </c>
      <c r="AE14" s="4" t="str">
        <f>INDEX(TableA1[TEAM],MATCH(TableA3[[#This Row],[POS]],TableA1[RANK],0))</f>
        <v>Manchester City</v>
      </c>
      <c r="AF14" s="5" cm="1">
        <f t="array" ref="AF14">INDEX(TableA1[P],MATCH(TableA3[[#This Row],[POS]:[POS]],TableA1[[RANK]:[RANK]],0))</f>
        <v>38</v>
      </c>
      <c r="AG14" s="5" cm="1">
        <f t="array" ref="AG14">INDEX(TableA1[W],MATCH(TableA3[[#This Row],[POS]:[POS]],TableA1[[RANK]:[RANK]],0))</f>
        <v>26</v>
      </c>
      <c r="AH14" s="5" cm="1">
        <f t="array" ref="AH14">INDEX(TableA1[D],MATCH(TableA3[[#This Row],[POS]:[POS]],TableA1[[RANK]:[RANK]],0))</f>
        <v>3</v>
      </c>
      <c r="AI14" s="5" cm="1">
        <f t="array" ref="AI14">INDEX(TableA1[L],MATCH(TableA3[[#This Row],[POS]:[POS]],TableA1[[RANK]:[RANK]],0))</f>
        <v>9</v>
      </c>
      <c r="AJ14" s="5" cm="1">
        <f t="array" ref="AJ14">INDEX(TableA1[F],MATCH(TableA3[[#This Row],[POS]:[POS]],TableA1[[RANK]:[RANK]],0))</f>
        <v>102</v>
      </c>
      <c r="AK14" s="5" cm="1">
        <f t="array" ref="AK14">INDEX(TableA1[A],MATCH(TableA3[[#This Row],[POS]:[POS]],TableA1[[RANK]:[RANK]],0))</f>
        <v>35</v>
      </c>
      <c r="AL14" s="13" cm="1">
        <f t="array" ref="AL14">INDEX(TableA1[GD],MATCH(TableA3[[#This Row],[POS]:[POS]],TableA1[[RANK]:[RANK]],0))</f>
        <v>67</v>
      </c>
      <c r="AM14" s="14" cm="1">
        <f t="array" ref="AM14">INDEX(TableA1[PTS],MATCH(TableA3[[#This Row],[POS]:[POS]],TableA1[[RANK]:[RANK]],0))</f>
        <v>81.000680192190003</v>
      </c>
      <c r="AP14" s="3"/>
      <c r="AQ14" s="12">
        <v>2</v>
      </c>
      <c r="AR14" s="4" t="str" cm="1">
        <f t="array" ref="AR14">_xlfn.XLOOKUP(OrderedTable3[[#This Row],[POS]:[POS]],TableA1[[RANK]:[RANK]],TableA1[TEAM])</f>
        <v>Manchester City</v>
      </c>
      <c r="AS14" s="5" cm="1">
        <f t="array" ref="AS14">_xlfn.XLOOKUP(OrderedTable3[[#This Row],[POS]:[POS]],TableA1[[RANK]:[RANK]],TableA1[P])</f>
        <v>38</v>
      </c>
      <c r="AT14" s="5" cm="1">
        <f t="array" ref="AT14">_xlfn.XLOOKUP(OrderedTable3[[#This Row],[POS]:[POS]],TableA1[[RANK]:[RANK]],TableA1[W])</f>
        <v>26</v>
      </c>
      <c r="AU14" s="5" cm="1">
        <f t="array" ref="AU14">_xlfn.XLOOKUP(OrderedTable3[[#This Row],[POS]:[POS]],TableA1[[RANK]:[RANK]],TableA1[D])</f>
        <v>3</v>
      </c>
      <c r="AV14" s="5" cm="1">
        <f t="array" ref="AV14">_xlfn.XLOOKUP(OrderedTable3[[#This Row],[POS]:[POS]],TableA1[[RANK]:[RANK]],TableA1[L])</f>
        <v>9</v>
      </c>
      <c r="AW14" s="5" cm="1">
        <f t="array" ref="AW14">_xlfn.XLOOKUP(OrderedTable3[[#This Row],[POS]:[POS]],TableA1[[RANK]:[RANK]],TableA1[F])</f>
        <v>102</v>
      </c>
      <c r="AX14" s="5" cm="1">
        <f t="array" ref="AX14">_xlfn.XLOOKUP(OrderedTable3[[#This Row],[POS]:[POS]],TableA1[[RANK]:[RANK]],TableA1[A])</f>
        <v>35</v>
      </c>
      <c r="AY14" s="13" cm="1">
        <f t="array" ref="AY14">_xlfn.XLOOKUP(OrderedTable3[[#This Row],[POS]:[POS]],TableA1[[RANK]:[RANK]],TableA1[GD])</f>
        <v>67</v>
      </c>
      <c r="AZ14" s="14" cm="1">
        <f t="array" ref="AZ14">_xlfn.XLOOKUP(OrderedTable3[[#This Row],[POS]:[POS]],TableA1[[RANK]:[RANK]],TableA1[PTS])</f>
        <v>81.000680192190003</v>
      </c>
    </row>
    <row r="15" spans="1:53" ht="15" x14ac:dyDescent="0.25">
      <c r="C15" s="22">
        <f>_xlfn.RANK.EQ(TableA1[[#This Row],[PTS]],TableA1[PTS])</f>
        <v>18</v>
      </c>
      <c r="D15" s="23">
        <v>3</v>
      </c>
      <c r="E15" s="24" t="s">
        <v>5</v>
      </c>
      <c r="F15" s="22">
        <f>COUNTIFS(DataTable[team_home],E15,DataTable[played],1)
+
COUNTIFS(DataTable[team_away],E15,DataTable[played],1)</f>
        <v>38</v>
      </c>
      <c r="G15" s="22">
        <f>COUNTIFS(DataTable[team_home],E15,DataTable[Result],"H")
+
COUNTIFS(DataTable[team_away],E15,DataTable[Result],"A")</f>
        <v>9</v>
      </c>
      <c r="H15" s="22">
        <f>COUNTIFS(DataTable[team_home],E15,DataTable[Result],"D")
+
COUNTIFS(DataTable[team_away],E15,DataTable[Result],"D")</f>
        <v>7</v>
      </c>
      <c r="I15" s="22">
        <f>COUNTIFS(DataTable[team_home],E15,DataTable[Result],"A")
+
COUNTIFS(DataTable[team_away],E15,DataTable[Result],"H")</f>
        <v>22</v>
      </c>
      <c r="J15" s="22">
        <f>SUMIFS(DataTable[home_goal],DataTable[team_home],E15)
+
SUMIFS(DataTable[away_goal],DataTable[team_away],E15)</f>
        <v>40</v>
      </c>
      <c r="K15" s="22">
        <f>SUMIFS(DataTable[home_goal],DataTable[team_away],E15)
+
SUMIFS(DataTable[away_goal],DataTable[team_home],E15)</f>
        <v>65</v>
      </c>
      <c r="L15" s="25">
        <f>TableA1[[#This Row],[F]]-TableA1[[#This Row],[A]]</f>
        <v>-25</v>
      </c>
      <c r="M15" s="26">
        <f t="shared" si="0"/>
        <v>33.99975399337</v>
      </c>
      <c r="P15" s="3"/>
      <c r="Q15" s="12">
        <v>3</v>
      </c>
      <c r="R15" s="4" t="str" cm="1">
        <f t="array" ref="R15">VLOOKUP($Q15,$C$13:$M$32,COLUMN(C:C),0)</f>
        <v>Manchester United</v>
      </c>
      <c r="S15" s="4" cm="1">
        <f t="array" ref="S15">VLOOKUP($Q15,$C$13:$M$32,COLUMN(D:D),0)</f>
        <v>38</v>
      </c>
      <c r="T15" s="4" cm="1">
        <f t="array" ref="T15">VLOOKUP($Q15,$C$13:$M$32,COLUMN(E:E),0)</f>
        <v>18</v>
      </c>
      <c r="U15" s="4" cm="1">
        <f t="array" ref="U15">VLOOKUP($Q15,$C$13:$M$32,COLUMN(F:F),0)</f>
        <v>12</v>
      </c>
      <c r="V15" s="4" cm="1">
        <f t="array" ref="V15">VLOOKUP($Q15,$C$13:$M$32,COLUMN(G:G),0)</f>
        <v>8</v>
      </c>
      <c r="W15" s="4" cm="1">
        <f t="array" ref="W15">VLOOKUP($Q15,$C$13:$M$32,COLUMN(H:H),0)</f>
        <v>66</v>
      </c>
      <c r="X15" s="4" cm="1">
        <f t="array" ref="X15">VLOOKUP($Q15,$C$13:$M$32,COLUMN(I:I),0)</f>
        <v>36</v>
      </c>
      <c r="Y15" s="67" cm="1">
        <f t="array" ref="Y15">VLOOKUP($Q15,$C$13:$M$32,COLUMN(J:J),0)</f>
        <v>30</v>
      </c>
      <c r="Z15" s="4" cm="1">
        <f t="array" ref="Z15">VLOOKUP($Q15,$C$13:$M$32,COLUMN(K:K),0)</f>
        <v>66.00030659218001</v>
      </c>
      <c r="AD15" s="12">
        <v>3</v>
      </c>
      <c r="AE15" s="4" t="str">
        <f>INDEX(TableA1[TEAM],MATCH(TableA3[[#This Row],[POS]],TableA1[RANK],0))</f>
        <v>Manchester United</v>
      </c>
      <c r="AF15" s="5" cm="1">
        <f t="array" ref="AF15">INDEX(TableA1[P],MATCH(TableA3[[#This Row],[POS]:[POS]],TableA1[[RANK]:[RANK]],0))</f>
        <v>38</v>
      </c>
      <c r="AG15" s="5" cm="1">
        <f t="array" ref="AG15">INDEX(TableA1[W],MATCH(TableA3[[#This Row],[POS]:[POS]],TableA1[[RANK]:[RANK]],0))</f>
        <v>18</v>
      </c>
      <c r="AH15" s="5" cm="1">
        <f t="array" ref="AH15">INDEX(TableA1[D],MATCH(TableA3[[#This Row],[POS]:[POS]],TableA1[[RANK]:[RANK]],0))</f>
        <v>12</v>
      </c>
      <c r="AI15" s="5" cm="1">
        <f t="array" ref="AI15">INDEX(TableA1[L],MATCH(TableA3[[#This Row],[POS]:[POS]],TableA1[[RANK]:[RANK]],0))</f>
        <v>8</v>
      </c>
      <c r="AJ15" s="5" cm="1">
        <f t="array" ref="AJ15">INDEX(TableA1[F],MATCH(TableA3[[#This Row],[POS]:[POS]],TableA1[[RANK]:[RANK]],0))</f>
        <v>66</v>
      </c>
      <c r="AK15" s="5" cm="1">
        <f t="array" ref="AK15">INDEX(TableA1[A],MATCH(TableA3[[#This Row],[POS]:[POS]],TableA1[[RANK]:[RANK]],0))</f>
        <v>36</v>
      </c>
      <c r="AL15" s="13" cm="1">
        <f t="array" ref="AL15">INDEX(TableA1[GD],MATCH(TableA3[[#This Row],[POS]:[POS]],TableA1[[RANK]:[RANK]],0))</f>
        <v>30</v>
      </c>
      <c r="AM15" s="14" cm="1">
        <f t="array" ref="AM15">INDEX(TableA1[PTS],MATCH(TableA3[[#This Row],[POS]:[POS]],TableA1[[RANK]:[RANK]],0))</f>
        <v>66.00030659218001</v>
      </c>
      <c r="AP15" s="3"/>
      <c r="AQ15" s="12">
        <v>3</v>
      </c>
      <c r="AR15" s="4" t="str" cm="1">
        <f t="array" ref="AR15">_xlfn.XLOOKUP(OrderedTable3[[#This Row],[POS]:[POS]],TableA1[[RANK]:[RANK]],TableA1[TEAM])</f>
        <v>Manchester United</v>
      </c>
      <c r="AS15" s="5" cm="1">
        <f t="array" ref="AS15">_xlfn.XLOOKUP(OrderedTable3[[#This Row],[POS]:[POS]],TableA1[[RANK]:[RANK]],TableA1[P])</f>
        <v>38</v>
      </c>
      <c r="AT15" s="5" cm="1">
        <f t="array" ref="AT15">_xlfn.XLOOKUP(OrderedTable3[[#This Row],[POS]:[POS]],TableA1[[RANK]:[RANK]],TableA1[W])</f>
        <v>18</v>
      </c>
      <c r="AU15" s="5" cm="1">
        <f t="array" ref="AU15">_xlfn.XLOOKUP(OrderedTable3[[#This Row],[POS]:[POS]],TableA1[[RANK]:[RANK]],TableA1[D])</f>
        <v>12</v>
      </c>
      <c r="AV15" s="5" cm="1">
        <f t="array" ref="AV15">_xlfn.XLOOKUP(OrderedTable3[[#This Row],[POS]:[POS]],TableA1[[RANK]:[RANK]],TableA1[L])</f>
        <v>8</v>
      </c>
      <c r="AW15" s="5" cm="1">
        <f t="array" ref="AW15">_xlfn.XLOOKUP(OrderedTable3[[#This Row],[POS]:[POS]],TableA1[[RANK]:[RANK]],TableA1[F])</f>
        <v>66</v>
      </c>
      <c r="AX15" s="5" cm="1">
        <f t="array" ref="AX15">_xlfn.XLOOKUP(OrderedTable3[[#This Row],[POS]:[POS]],TableA1[[RANK]:[RANK]],TableA1[A])</f>
        <v>36</v>
      </c>
      <c r="AY15" s="13" cm="1">
        <f t="array" ref="AY15">_xlfn.XLOOKUP(OrderedTable3[[#This Row],[POS]:[POS]],TableA1[[RANK]:[RANK]],TableA1[GD])</f>
        <v>30</v>
      </c>
      <c r="AZ15" s="14" cm="1">
        <f t="array" ref="AZ15">_xlfn.XLOOKUP(OrderedTable3[[#This Row],[POS]:[POS]],TableA1[[RANK]:[RANK]],TableA1[PTS])</f>
        <v>66.00030659218001</v>
      </c>
    </row>
    <row r="16" spans="1:53" ht="15" x14ac:dyDescent="0.25">
      <c r="C16" s="22">
        <f>_xlfn.RANK.EQ(TableA1[[#This Row],[PTS]],TableA1[PTS])</f>
        <v>15</v>
      </c>
      <c r="D16" s="23">
        <v>4</v>
      </c>
      <c r="E16" s="24" t="s">
        <v>14</v>
      </c>
      <c r="F16" s="22">
        <f>COUNTIFS(DataTable[team_home],E16,DataTable[played],1)
+
COUNTIFS(DataTable[team_away],E16,DataTable[played],1)</f>
        <v>38</v>
      </c>
      <c r="G16" s="22">
        <f>COUNTIFS(DataTable[team_home],E16,DataTable[Result],"H")
+
COUNTIFS(DataTable[team_away],E16,DataTable[Result],"A")</f>
        <v>9</v>
      </c>
      <c r="H16" s="22">
        <f>COUNTIFS(DataTable[team_home],E16,DataTable[Result],"D")
+
COUNTIFS(DataTable[team_away],E16,DataTable[Result],"D")</f>
        <v>14</v>
      </c>
      <c r="I16" s="22">
        <f>COUNTIFS(DataTable[team_home],E16,DataTable[Result],"A")
+
COUNTIFS(DataTable[team_away],E16,DataTable[Result],"H")</f>
        <v>15</v>
      </c>
      <c r="J16" s="22">
        <f>SUMIFS(DataTable[home_goal],DataTable[team_home],E16)
+
SUMIFS(DataTable[away_goal],DataTable[team_away],E16)</f>
        <v>39</v>
      </c>
      <c r="K16" s="22">
        <f>SUMIFS(DataTable[home_goal],DataTable[team_away],E16)
+
SUMIFS(DataTable[away_goal],DataTable[team_home],E16)</f>
        <v>54</v>
      </c>
      <c r="L16" s="25">
        <f>TableA1[[#This Row],[F]]-TableA1[[#This Row],[A]]</f>
        <v>-15</v>
      </c>
      <c r="M16" s="26">
        <f t="shared" si="0"/>
        <v>40.999853893360012</v>
      </c>
      <c r="P16" s="3"/>
      <c r="Q16" s="12">
        <v>4</v>
      </c>
      <c r="R16" s="4" t="str" cm="1">
        <f t="array" ref="R16">VLOOKUP($Q16,$C$13:$M$32,COLUMN(C:C),0)</f>
        <v>Chelsea</v>
      </c>
      <c r="S16" s="4" cm="1">
        <f t="array" ref="S16">VLOOKUP($Q16,$C$13:$M$32,COLUMN(D:D),0)</f>
        <v>38</v>
      </c>
      <c r="T16" s="4" cm="1">
        <f t="array" ref="T16">VLOOKUP($Q16,$C$13:$M$32,COLUMN(E:E),0)</f>
        <v>20</v>
      </c>
      <c r="U16" s="4" cm="1">
        <f t="array" ref="U16">VLOOKUP($Q16,$C$13:$M$32,COLUMN(F:F),0)</f>
        <v>6</v>
      </c>
      <c r="V16" s="4" cm="1">
        <f t="array" ref="V16">VLOOKUP($Q16,$C$13:$M$32,COLUMN(G:G),0)</f>
        <v>12</v>
      </c>
      <c r="W16" s="4" cm="1">
        <f t="array" ref="W16">VLOOKUP($Q16,$C$13:$M$32,COLUMN(H:H),0)</f>
        <v>69</v>
      </c>
      <c r="X16" s="4" cm="1">
        <f t="array" ref="X16">VLOOKUP($Q16,$C$13:$M$32,COLUMN(I:I),0)</f>
        <v>54</v>
      </c>
      <c r="Y16" s="67" cm="1">
        <f t="array" ref="Y16">VLOOKUP($Q16,$C$13:$M$32,COLUMN(J:J),0)</f>
        <v>15</v>
      </c>
      <c r="Z16" s="4" cm="1">
        <f t="array" ref="Z16">VLOOKUP($Q16,$C$13:$M$32,COLUMN(K:K),0)</f>
        <v>66.000156893240003</v>
      </c>
      <c r="AD16" s="12">
        <v>4</v>
      </c>
      <c r="AE16" s="4" t="str">
        <f>INDEX(TableA1[TEAM],MATCH(TableA3[[#This Row],[POS]],TableA1[RANK],0))</f>
        <v>Chelsea</v>
      </c>
      <c r="AF16" s="5" cm="1">
        <f t="array" ref="AF16">INDEX(TableA1[P],MATCH(TableA3[[#This Row],[POS]:[POS]],TableA1[[RANK]:[RANK]],0))</f>
        <v>38</v>
      </c>
      <c r="AG16" s="5" cm="1">
        <f t="array" ref="AG16">INDEX(TableA1[W],MATCH(TableA3[[#This Row],[POS]:[POS]],TableA1[[RANK]:[RANK]],0))</f>
        <v>20</v>
      </c>
      <c r="AH16" s="5" cm="1">
        <f t="array" ref="AH16">INDEX(TableA1[D],MATCH(TableA3[[#This Row],[POS]:[POS]],TableA1[[RANK]:[RANK]],0))</f>
        <v>6</v>
      </c>
      <c r="AI16" s="5" cm="1">
        <f t="array" ref="AI16">INDEX(TableA1[L],MATCH(TableA3[[#This Row],[POS]:[POS]],TableA1[[RANK]:[RANK]],0))</f>
        <v>12</v>
      </c>
      <c r="AJ16" s="5" cm="1">
        <f t="array" ref="AJ16">INDEX(TableA1[F],MATCH(TableA3[[#This Row],[POS]:[POS]],TableA1[[RANK]:[RANK]],0))</f>
        <v>69</v>
      </c>
      <c r="AK16" s="5" cm="1">
        <f t="array" ref="AK16">INDEX(TableA1[A],MATCH(TableA3[[#This Row],[POS]:[POS]],TableA1[[RANK]:[RANK]],0))</f>
        <v>54</v>
      </c>
      <c r="AL16" s="13" cm="1">
        <f t="array" ref="AL16">INDEX(TableA1[GD],MATCH(TableA3[[#This Row],[POS]:[POS]],TableA1[[RANK]:[RANK]],0))</f>
        <v>15</v>
      </c>
      <c r="AM16" s="14" cm="1">
        <f t="array" ref="AM16">INDEX(TableA1[PTS],MATCH(TableA3[[#This Row],[POS]:[POS]],TableA1[[RANK]:[RANK]],0))</f>
        <v>66.000156893240003</v>
      </c>
      <c r="AP16" s="3"/>
      <c r="AQ16" s="12">
        <v>4</v>
      </c>
      <c r="AR16" s="4" t="str" cm="1">
        <f t="array" ref="AR16">_xlfn.XLOOKUP(OrderedTable3[[#This Row],[POS]:[POS]],TableA1[[RANK]:[RANK]],TableA1[TEAM])</f>
        <v>Chelsea</v>
      </c>
      <c r="AS16" s="5" cm="1">
        <f t="array" ref="AS16">_xlfn.XLOOKUP(OrderedTable3[[#This Row],[POS]:[POS]],TableA1[[RANK]:[RANK]],TableA1[P])</f>
        <v>38</v>
      </c>
      <c r="AT16" s="5" cm="1">
        <f t="array" ref="AT16">_xlfn.XLOOKUP(OrderedTable3[[#This Row],[POS]:[POS]],TableA1[[RANK]:[RANK]],TableA1[W])</f>
        <v>20</v>
      </c>
      <c r="AU16" s="5" cm="1">
        <f t="array" ref="AU16">_xlfn.XLOOKUP(OrderedTable3[[#This Row],[POS]:[POS]],TableA1[[RANK]:[RANK]],TableA1[D])</f>
        <v>6</v>
      </c>
      <c r="AV16" s="5" cm="1">
        <f t="array" ref="AV16">_xlfn.XLOOKUP(OrderedTable3[[#This Row],[POS]:[POS]],TableA1[[RANK]:[RANK]],TableA1[L])</f>
        <v>12</v>
      </c>
      <c r="AW16" s="5" cm="1">
        <f t="array" ref="AW16">_xlfn.XLOOKUP(OrderedTable3[[#This Row],[POS]:[POS]],TableA1[[RANK]:[RANK]],TableA1[F])</f>
        <v>69</v>
      </c>
      <c r="AX16" s="5" cm="1">
        <f t="array" ref="AX16">_xlfn.XLOOKUP(OrderedTable3[[#This Row],[POS]:[POS]],TableA1[[RANK]:[RANK]],TableA1[A])</f>
        <v>54</v>
      </c>
      <c r="AY16" s="13" cm="1">
        <f t="array" ref="AY16">_xlfn.XLOOKUP(OrderedTable3[[#This Row],[POS]:[POS]],TableA1[[RANK]:[RANK]],TableA1[GD])</f>
        <v>15</v>
      </c>
      <c r="AZ16" s="14" cm="1">
        <f t="array" ref="AZ16">_xlfn.XLOOKUP(OrderedTable3[[#This Row],[POS]:[POS]],TableA1[[RANK]:[RANK]],TableA1[PTS])</f>
        <v>66.000156893240003</v>
      </c>
    </row>
    <row r="17" spans="3:52" ht="15" x14ac:dyDescent="0.25">
      <c r="C17" s="22">
        <f>_xlfn.RANK.EQ(TableA1[[#This Row],[PTS]],TableA1[PTS])</f>
        <v>10</v>
      </c>
      <c r="D17" s="23">
        <v>5</v>
      </c>
      <c r="E17" s="24" t="s">
        <v>7</v>
      </c>
      <c r="F17" s="22">
        <f>COUNTIFS(DataTable[team_home],E17,DataTable[played],1)
+
COUNTIFS(DataTable[team_away],E17,DataTable[played],1)</f>
        <v>38</v>
      </c>
      <c r="G17" s="22">
        <f>COUNTIFS(DataTable[team_home],E17,DataTable[Result],"H")
+
COUNTIFS(DataTable[team_away],E17,DataTable[Result],"A")</f>
        <v>15</v>
      </c>
      <c r="H17" s="22">
        <f>COUNTIFS(DataTable[team_home],E17,DataTable[Result],"D")
+
COUNTIFS(DataTable[team_away],E17,DataTable[Result],"D")</f>
        <v>9</v>
      </c>
      <c r="I17" s="22">
        <f>COUNTIFS(DataTable[team_home],E17,DataTable[Result],"A")
+
COUNTIFS(DataTable[team_away],E17,DataTable[Result],"H")</f>
        <v>14</v>
      </c>
      <c r="J17" s="22">
        <f>SUMIFS(DataTable[home_goal],DataTable[team_home],E17)
+
SUMIFS(DataTable[away_goal],DataTable[team_away],E17)</f>
        <v>43</v>
      </c>
      <c r="K17" s="22">
        <f>SUMIFS(DataTable[home_goal],DataTable[team_away],E17)
+
SUMIFS(DataTable[away_goal],DataTable[team_home],E17)</f>
        <v>50</v>
      </c>
      <c r="L17" s="25">
        <f>TableA1[[#This Row],[F]]-TableA1[[#This Row],[A]]</f>
        <v>-7</v>
      </c>
      <c r="M17" s="26">
        <f t="shared" si="0"/>
        <v>53.999934293350002</v>
      </c>
      <c r="P17" s="3"/>
      <c r="Q17" s="12">
        <v>5</v>
      </c>
      <c r="R17" s="4" t="str" cm="1">
        <f t="array" ref="R17">VLOOKUP($Q17,$C$13:$M$32,COLUMN(C:C),0)</f>
        <v>Leicester City</v>
      </c>
      <c r="S17" s="4" cm="1">
        <f t="array" ref="S17">VLOOKUP($Q17,$C$13:$M$32,COLUMN(D:D),0)</f>
        <v>38</v>
      </c>
      <c r="T17" s="4" cm="1">
        <f t="array" ref="T17">VLOOKUP($Q17,$C$13:$M$32,COLUMN(E:E),0)</f>
        <v>18</v>
      </c>
      <c r="U17" s="4" cm="1">
        <f t="array" ref="U17">VLOOKUP($Q17,$C$13:$M$32,COLUMN(F:F),0)</f>
        <v>8</v>
      </c>
      <c r="V17" s="4" cm="1">
        <f t="array" ref="V17">VLOOKUP($Q17,$C$13:$M$32,COLUMN(G:G),0)</f>
        <v>12</v>
      </c>
      <c r="W17" s="4" cm="1">
        <f t="array" ref="W17">VLOOKUP($Q17,$C$13:$M$32,COLUMN(H:H),0)</f>
        <v>67</v>
      </c>
      <c r="X17" s="4" cm="1">
        <f t="array" ref="X17">VLOOKUP($Q17,$C$13:$M$32,COLUMN(I:I),0)</f>
        <v>41</v>
      </c>
      <c r="Y17" s="67" cm="1">
        <f t="array" ref="Y17">VLOOKUP($Q17,$C$13:$M$32,COLUMN(J:J),0)</f>
        <v>26</v>
      </c>
      <c r="Z17" s="4" cm="1">
        <f t="array" ref="Z17">VLOOKUP($Q17,$C$13:$M$32,COLUMN(K:K),0)</f>
        <v>62.000266692309999</v>
      </c>
      <c r="AD17" s="12">
        <v>5</v>
      </c>
      <c r="AE17" s="4" t="str">
        <f>INDEX(TableA1[TEAM],MATCH(TableA3[[#This Row],[POS]],TableA1[RANK],0))</f>
        <v>Leicester City</v>
      </c>
      <c r="AF17" s="5" cm="1">
        <f t="array" ref="AF17">INDEX(TableA1[P],MATCH(TableA3[[#This Row],[POS]:[POS]],TableA1[[RANK]:[RANK]],0))</f>
        <v>38</v>
      </c>
      <c r="AG17" s="5" cm="1">
        <f t="array" ref="AG17">INDEX(TableA1[W],MATCH(TableA3[[#This Row],[POS]:[POS]],TableA1[[RANK]:[RANK]],0))</f>
        <v>18</v>
      </c>
      <c r="AH17" s="5" cm="1">
        <f t="array" ref="AH17">INDEX(TableA1[D],MATCH(TableA3[[#This Row],[POS]:[POS]],TableA1[[RANK]:[RANK]],0))</f>
        <v>8</v>
      </c>
      <c r="AI17" s="5" cm="1">
        <f t="array" ref="AI17">INDEX(TableA1[L],MATCH(TableA3[[#This Row],[POS]:[POS]],TableA1[[RANK]:[RANK]],0))</f>
        <v>12</v>
      </c>
      <c r="AJ17" s="5" cm="1">
        <f t="array" ref="AJ17">INDEX(TableA1[F],MATCH(TableA3[[#This Row],[POS]:[POS]],TableA1[[RANK]:[RANK]],0))</f>
        <v>67</v>
      </c>
      <c r="AK17" s="5" cm="1">
        <f t="array" ref="AK17">INDEX(TableA1[A],MATCH(TableA3[[#This Row],[POS]:[POS]],TableA1[[RANK]:[RANK]],0))</f>
        <v>41</v>
      </c>
      <c r="AL17" s="13" cm="1">
        <f t="array" ref="AL17">INDEX(TableA1[GD],MATCH(TableA3[[#This Row],[POS]:[POS]],TableA1[[RANK]:[RANK]],0))</f>
        <v>26</v>
      </c>
      <c r="AM17" s="14" cm="1">
        <f t="array" ref="AM17">INDEX(TableA1[PTS],MATCH(TableA3[[#This Row],[POS]:[POS]],TableA1[[RANK]:[RANK]],0))</f>
        <v>62.000266692309999</v>
      </c>
      <c r="AP17" s="3"/>
      <c r="AQ17" s="12">
        <v>5</v>
      </c>
      <c r="AR17" s="4" t="str" cm="1">
        <f t="array" ref="AR17">_xlfn.XLOOKUP(OrderedTable3[[#This Row],[POS]:[POS]],TableA1[[RANK]:[RANK]],TableA1[TEAM])</f>
        <v>Leicester City</v>
      </c>
      <c r="AS17" s="5" cm="1">
        <f t="array" ref="AS17">_xlfn.XLOOKUP(OrderedTable3[[#This Row],[POS]:[POS]],TableA1[[RANK]:[RANK]],TableA1[P])</f>
        <v>38</v>
      </c>
      <c r="AT17" s="5" cm="1">
        <f t="array" ref="AT17">_xlfn.XLOOKUP(OrderedTable3[[#This Row],[POS]:[POS]],TableA1[[RANK]:[RANK]],TableA1[W])</f>
        <v>18</v>
      </c>
      <c r="AU17" s="5" cm="1">
        <f t="array" ref="AU17">_xlfn.XLOOKUP(OrderedTable3[[#This Row],[POS]:[POS]],TableA1[[RANK]:[RANK]],TableA1[D])</f>
        <v>8</v>
      </c>
      <c r="AV17" s="5" cm="1">
        <f t="array" ref="AV17">_xlfn.XLOOKUP(OrderedTable3[[#This Row],[POS]:[POS]],TableA1[[RANK]:[RANK]],TableA1[L])</f>
        <v>12</v>
      </c>
      <c r="AW17" s="5" cm="1">
        <f t="array" ref="AW17">_xlfn.XLOOKUP(OrderedTable3[[#This Row],[POS]:[POS]],TableA1[[RANK]:[RANK]],TableA1[F])</f>
        <v>67</v>
      </c>
      <c r="AX17" s="5" cm="1">
        <f t="array" ref="AX17">_xlfn.XLOOKUP(OrderedTable3[[#This Row],[POS]:[POS]],TableA1[[RANK]:[RANK]],TableA1[A])</f>
        <v>41</v>
      </c>
      <c r="AY17" s="13" cm="1">
        <f t="array" ref="AY17">_xlfn.XLOOKUP(OrderedTable3[[#This Row],[POS]:[POS]],TableA1[[RANK]:[RANK]],TableA1[GD])</f>
        <v>26</v>
      </c>
      <c r="AZ17" s="14" cm="1">
        <f t="array" ref="AZ17">_xlfn.XLOOKUP(OrderedTable3[[#This Row],[POS]:[POS]],TableA1[[RANK]:[RANK]],TableA1[PTS])</f>
        <v>62.000266692309999</v>
      </c>
    </row>
    <row r="18" spans="3:52" ht="15" x14ac:dyDescent="0.25">
      <c r="C18" s="22">
        <f>_xlfn.RANK.EQ(TableA1[[#This Row],[PTS]],TableA1[PTS])</f>
        <v>4</v>
      </c>
      <c r="D18" s="23">
        <v>6</v>
      </c>
      <c r="E18" s="24" t="s">
        <v>20</v>
      </c>
      <c r="F18" s="22">
        <f>COUNTIFS(DataTable[team_home],E18,DataTable[played],1)
+
COUNTIFS(DataTable[team_away],E18,DataTable[played],1)</f>
        <v>38</v>
      </c>
      <c r="G18" s="22">
        <f>COUNTIFS(DataTable[team_home],E18,DataTable[Result],"H")
+
COUNTIFS(DataTable[team_away],E18,DataTable[Result],"A")</f>
        <v>20</v>
      </c>
      <c r="H18" s="22">
        <f>COUNTIFS(DataTable[team_home],E18,DataTable[Result],"D")
+
COUNTIFS(DataTable[team_away],E18,DataTable[Result],"D")</f>
        <v>6</v>
      </c>
      <c r="I18" s="22">
        <f>COUNTIFS(DataTable[team_home],E18,DataTable[Result],"A")
+
COUNTIFS(DataTable[team_away],E18,DataTable[Result],"H")</f>
        <v>12</v>
      </c>
      <c r="J18" s="22">
        <f>SUMIFS(DataTable[home_goal],DataTable[team_home],E18)
+
SUMIFS(DataTable[away_goal],DataTable[team_away],E18)</f>
        <v>69</v>
      </c>
      <c r="K18" s="22">
        <f>SUMIFS(DataTable[home_goal],DataTable[team_away],E18)
+
SUMIFS(DataTable[away_goal],DataTable[team_home],E18)</f>
        <v>54</v>
      </c>
      <c r="L18" s="25">
        <f>TableA1[[#This Row],[F]]-TableA1[[#This Row],[A]]</f>
        <v>15</v>
      </c>
      <c r="M18" s="26">
        <f t="shared" si="0"/>
        <v>66.000156893240003</v>
      </c>
      <c r="P18" s="3"/>
      <c r="Q18" s="12">
        <v>6</v>
      </c>
      <c r="R18" s="4" t="str" cm="1">
        <f t="array" ref="R18">VLOOKUP($Q18,$C$13:$M$32,COLUMN(C:C),0)</f>
        <v>Tottenham Hotspur</v>
      </c>
      <c r="S18" s="4" cm="1">
        <f t="array" ref="S18">VLOOKUP($Q18,$C$13:$M$32,COLUMN(D:D),0)</f>
        <v>38</v>
      </c>
      <c r="T18" s="4" cm="1">
        <f t="array" ref="T18">VLOOKUP($Q18,$C$13:$M$32,COLUMN(E:E),0)</f>
        <v>16</v>
      </c>
      <c r="U18" s="4" cm="1">
        <f t="array" ref="U18">VLOOKUP($Q18,$C$13:$M$32,COLUMN(F:F),0)</f>
        <v>11</v>
      </c>
      <c r="V18" s="4" cm="1">
        <f t="array" ref="V18">VLOOKUP($Q18,$C$13:$M$32,COLUMN(G:G),0)</f>
        <v>11</v>
      </c>
      <c r="W18" s="4" cm="1">
        <f t="array" ref="W18">VLOOKUP($Q18,$C$13:$M$32,COLUMN(H:H),0)</f>
        <v>61</v>
      </c>
      <c r="X18" s="4" cm="1">
        <f t="array" ref="X18">VLOOKUP($Q18,$C$13:$M$32,COLUMN(I:I),0)</f>
        <v>47</v>
      </c>
      <c r="Y18" s="67" cm="1">
        <f t="array" ref="Y18">VLOOKUP($Q18,$C$13:$M$32,COLUMN(J:J),0)</f>
        <v>14</v>
      </c>
      <c r="Z18" s="4" cm="1">
        <f t="array" ref="Z18">VLOOKUP($Q18,$C$13:$M$32,COLUMN(K:K),0)</f>
        <v>59.000146091430004</v>
      </c>
      <c r="AD18" s="12">
        <v>6</v>
      </c>
      <c r="AE18" s="4" t="str">
        <f>INDEX(TableA1[TEAM],MATCH(TableA3[[#This Row],[POS]],TableA1[RANK],0))</f>
        <v>Tottenham Hotspur</v>
      </c>
      <c r="AF18" s="5" cm="1">
        <f t="array" ref="AF18">INDEX(TableA1[P],MATCH(TableA3[[#This Row],[POS]:[POS]],TableA1[[RANK]:[RANK]],0))</f>
        <v>38</v>
      </c>
      <c r="AG18" s="5" cm="1">
        <f t="array" ref="AG18">INDEX(TableA1[W],MATCH(TableA3[[#This Row],[POS]:[POS]],TableA1[[RANK]:[RANK]],0))</f>
        <v>16</v>
      </c>
      <c r="AH18" s="5" cm="1">
        <f t="array" ref="AH18">INDEX(TableA1[D],MATCH(TableA3[[#This Row],[POS]:[POS]],TableA1[[RANK]:[RANK]],0))</f>
        <v>11</v>
      </c>
      <c r="AI18" s="5" cm="1">
        <f t="array" ref="AI18">INDEX(TableA1[L],MATCH(TableA3[[#This Row],[POS]:[POS]],TableA1[[RANK]:[RANK]],0))</f>
        <v>11</v>
      </c>
      <c r="AJ18" s="5" cm="1">
        <f t="array" ref="AJ18">INDEX(TableA1[F],MATCH(TableA3[[#This Row],[POS]:[POS]],TableA1[[RANK]:[RANK]],0))</f>
        <v>61</v>
      </c>
      <c r="AK18" s="5" cm="1">
        <f t="array" ref="AK18">INDEX(TableA1[A],MATCH(TableA3[[#This Row],[POS]:[POS]],TableA1[[RANK]:[RANK]],0))</f>
        <v>47</v>
      </c>
      <c r="AL18" s="13" cm="1">
        <f t="array" ref="AL18">INDEX(TableA1[GD],MATCH(TableA3[[#This Row],[POS]:[POS]],TableA1[[RANK]:[RANK]],0))</f>
        <v>14</v>
      </c>
      <c r="AM18" s="14" cm="1">
        <f t="array" ref="AM18">INDEX(TableA1[PTS],MATCH(TableA3[[#This Row],[POS]:[POS]],TableA1[[RANK]:[RANK]],0))</f>
        <v>59.000146091430004</v>
      </c>
      <c r="AP18" s="3"/>
      <c r="AQ18" s="12">
        <v>6</v>
      </c>
      <c r="AR18" s="4" t="str" cm="1">
        <f t="array" ref="AR18">_xlfn.XLOOKUP(OrderedTable3[[#This Row],[POS]:[POS]],TableA1[[RANK]:[RANK]],TableA1[TEAM])</f>
        <v>Tottenham Hotspur</v>
      </c>
      <c r="AS18" s="5" cm="1">
        <f t="array" ref="AS18">_xlfn.XLOOKUP(OrderedTable3[[#This Row],[POS]:[POS]],TableA1[[RANK]:[RANK]],TableA1[P])</f>
        <v>38</v>
      </c>
      <c r="AT18" s="5" cm="1">
        <f t="array" ref="AT18">_xlfn.XLOOKUP(OrderedTable3[[#This Row],[POS]:[POS]],TableA1[[RANK]:[RANK]],TableA1[W])</f>
        <v>16</v>
      </c>
      <c r="AU18" s="5" cm="1">
        <f t="array" ref="AU18">_xlfn.XLOOKUP(OrderedTable3[[#This Row],[POS]:[POS]],TableA1[[RANK]:[RANK]],TableA1[D])</f>
        <v>11</v>
      </c>
      <c r="AV18" s="5" cm="1">
        <f t="array" ref="AV18">_xlfn.XLOOKUP(OrderedTable3[[#This Row],[POS]:[POS]],TableA1[[RANK]:[RANK]],TableA1[L])</f>
        <v>11</v>
      </c>
      <c r="AW18" s="5" cm="1">
        <f t="array" ref="AW18">_xlfn.XLOOKUP(OrderedTable3[[#This Row],[POS]:[POS]],TableA1[[RANK]:[RANK]],TableA1[F])</f>
        <v>61</v>
      </c>
      <c r="AX18" s="5" cm="1">
        <f t="array" ref="AX18">_xlfn.XLOOKUP(OrderedTable3[[#This Row],[POS]:[POS]],TableA1[[RANK]:[RANK]],TableA1[A])</f>
        <v>47</v>
      </c>
      <c r="AY18" s="13" cm="1">
        <f t="array" ref="AY18">_xlfn.XLOOKUP(OrderedTable3[[#This Row],[POS]:[POS]],TableA1[[RANK]:[RANK]],TableA1[GD])</f>
        <v>14</v>
      </c>
      <c r="AZ18" s="14" cm="1">
        <f t="array" ref="AZ18">_xlfn.XLOOKUP(OrderedTable3[[#This Row],[POS]:[POS]],TableA1[[RANK]:[RANK]],TableA1[PTS])</f>
        <v>59.000146091430004</v>
      </c>
    </row>
    <row r="19" spans="3:52" ht="15" x14ac:dyDescent="0.25">
      <c r="C19" s="22">
        <f>_xlfn.RANK.EQ(TableA1[[#This Row],[PTS]],TableA1[PTS])</f>
        <v>14</v>
      </c>
      <c r="D19" s="23">
        <v>7</v>
      </c>
      <c r="E19" s="24" t="s">
        <v>9</v>
      </c>
      <c r="F19" s="22">
        <f>COUNTIFS(DataTable[team_home],E19,DataTable[played],1)
+
COUNTIFS(DataTable[team_away],E19,DataTable[played],1)</f>
        <v>38</v>
      </c>
      <c r="G19" s="22">
        <f>COUNTIFS(DataTable[team_home],E19,DataTable[Result],"H")
+
COUNTIFS(DataTable[team_away],E19,DataTable[Result],"A")</f>
        <v>11</v>
      </c>
      <c r="H19" s="22">
        <f>COUNTIFS(DataTable[team_home],E19,DataTable[Result],"D")
+
COUNTIFS(DataTable[team_away],E19,DataTable[Result],"D")</f>
        <v>10</v>
      </c>
      <c r="I19" s="22">
        <f>COUNTIFS(DataTable[team_home],E19,DataTable[Result],"A")
+
COUNTIFS(DataTable[team_away],E19,DataTable[Result],"H")</f>
        <v>17</v>
      </c>
      <c r="J19" s="22">
        <f>SUMIFS(DataTable[home_goal],DataTable[team_home],E19)
+
SUMIFS(DataTable[away_goal],DataTable[team_away],E19)</f>
        <v>31</v>
      </c>
      <c r="K19" s="22">
        <f>SUMIFS(DataTable[home_goal],DataTable[team_away],E19)
+
SUMIFS(DataTable[away_goal],DataTable[team_home],E19)</f>
        <v>50</v>
      </c>
      <c r="L19" s="25">
        <f>TableA1[[#This Row],[F]]-TableA1[[#This Row],[A]]</f>
        <v>-19</v>
      </c>
      <c r="M19" s="26">
        <f t="shared" si="0"/>
        <v>42.999813093229996</v>
      </c>
      <c r="P19" s="3"/>
      <c r="Q19" s="12">
        <v>7</v>
      </c>
      <c r="R19" s="4" t="str" cm="1">
        <f t="array" ref="R19">VLOOKUP($Q19,$C$13:$M$32,COLUMN(C:C),0)</f>
        <v>Wolverhampton Wanderers</v>
      </c>
      <c r="S19" s="4" cm="1">
        <f t="array" ref="S19">VLOOKUP($Q19,$C$13:$M$32,COLUMN(D:D),0)</f>
        <v>38</v>
      </c>
      <c r="T19" s="4" cm="1">
        <f t="array" ref="T19">VLOOKUP($Q19,$C$13:$M$32,COLUMN(E:E),0)</f>
        <v>15</v>
      </c>
      <c r="U19" s="4" cm="1">
        <f t="array" ref="U19">VLOOKUP($Q19,$C$13:$M$32,COLUMN(F:F),0)</f>
        <v>14</v>
      </c>
      <c r="V19" s="4" cm="1">
        <f t="array" ref="V19">VLOOKUP($Q19,$C$13:$M$32,COLUMN(G:G),0)</f>
        <v>9</v>
      </c>
      <c r="W19" s="4" cm="1">
        <f t="array" ref="W19">VLOOKUP($Q19,$C$13:$M$32,COLUMN(H:H),0)</f>
        <v>51</v>
      </c>
      <c r="X19" s="4" cm="1">
        <f t="array" ref="X19">VLOOKUP($Q19,$C$13:$M$32,COLUMN(I:I),0)</f>
        <v>40</v>
      </c>
      <c r="Y19" s="67" cm="1">
        <f t="array" ref="Y19">VLOOKUP($Q19,$C$13:$M$32,COLUMN(J:J),0)</f>
        <v>11</v>
      </c>
      <c r="Z19" s="4" cm="1">
        <f t="array" ref="Z19">VLOOKUP($Q19,$C$13:$M$32,COLUMN(K:K),0)</f>
        <v>59.000115091100007</v>
      </c>
      <c r="AD19" s="12">
        <v>7</v>
      </c>
      <c r="AE19" s="4" t="str">
        <f>INDEX(TableA1[TEAM],MATCH(TableA3[[#This Row],[POS]],TableA1[RANK],0))</f>
        <v>Wolverhampton Wanderers</v>
      </c>
      <c r="AF19" s="5" cm="1">
        <f t="array" ref="AF19">INDEX(TableA1[P],MATCH(TableA3[[#This Row],[POS]:[POS]],TableA1[[RANK]:[RANK]],0))</f>
        <v>38</v>
      </c>
      <c r="AG19" s="5" cm="1">
        <f t="array" ref="AG19">INDEX(TableA1[W],MATCH(TableA3[[#This Row],[POS]:[POS]],TableA1[[RANK]:[RANK]],0))</f>
        <v>15</v>
      </c>
      <c r="AH19" s="5" cm="1">
        <f t="array" ref="AH19">INDEX(TableA1[D],MATCH(TableA3[[#This Row],[POS]:[POS]],TableA1[[RANK]:[RANK]],0))</f>
        <v>14</v>
      </c>
      <c r="AI19" s="5" cm="1">
        <f t="array" ref="AI19">INDEX(TableA1[L],MATCH(TableA3[[#This Row],[POS]:[POS]],TableA1[[RANK]:[RANK]],0))</f>
        <v>9</v>
      </c>
      <c r="AJ19" s="5" cm="1">
        <f t="array" ref="AJ19">INDEX(TableA1[F],MATCH(TableA3[[#This Row],[POS]:[POS]],TableA1[[RANK]:[RANK]],0))</f>
        <v>51</v>
      </c>
      <c r="AK19" s="5" cm="1">
        <f t="array" ref="AK19">INDEX(TableA1[A],MATCH(TableA3[[#This Row],[POS]:[POS]],TableA1[[RANK]:[RANK]],0))</f>
        <v>40</v>
      </c>
      <c r="AL19" s="13" cm="1">
        <f t="array" ref="AL19">INDEX(TableA1[GD],MATCH(TableA3[[#This Row],[POS]:[POS]],TableA1[[RANK]:[RANK]],0))</f>
        <v>11</v>
      </c>
      <c r="AM19" s="14" cm="1">
        <f t="array" ref="AM19">INDEX(TableA1[PTS],MATCH(TableA3[[#This Row],[POS]:[POS]],TableA1[[RANK]:[RANK]],0))</f>
        <v>59.000115091100007</v>
      </c>
      <c r="AP19" s="3"/>
      <c r="AQ19" s="12">
        <v>7</v>
      </c>
      <c r="AR19" s="4" t="str" cm="1">
        <f t="array" ref="AR19">_xlfn.XLOOKUP(OrderedTable3[[#This Row],[POS]:[POS]],TableA1[[RANK]:[RANK]],TableA1[TEAM])</f>
        <v>Wolverhampton Wanderers</v>
      </c>
      <c r="AS19" s="5" cm="1">
        <f t="array" ref="AS19">_xlfn.XLOOKUP(OrderedTable3[[#This Row],[POS]:[POS]],TableA1[[RANK]:[RANK]],TableA1[P])</f>
        <v>38</v>
      </c>
      <c r="AT19" s="5" cm="1">
        <f t="array" ref="AT19">_xlfn.XLOOKUP(OrderedTable3[[#This Row],[POS]:[POS]],TableA1[[RANK]:[RANK]],TableA1[W])</f>
        <v>15</v>
      </c>
      <c r="AU19" s="5" cm="1">
        <f t="array" ref="AU19">_xlfn.XLOOKUP(OrderedTable3[[#This Row],[POS]:[POS]],TableA1[[RANK]:[RANK]],TableA1[D])</f>
        <v>14</v>
      </c>
      <c r="AV19" s="5" cm="1">
        <f t="array" ref="AV19">_xlfn.XLOOKUP(OrderedTable3[[#This Row],[POS]:[POS]],TableA1[[RANK]:[RANK]],TableA1[L])</f>
        <v>9</v>
      </c>
      <c r="AW19" s="5" cm="1">
        <f t="array" ref="AW19">_xlfn.XLOOKUP(OrderedTable3[[#This Row],[POS]:[POS]],TableA1[[RANK]:[RANK]],TableA1[F])</f>
        <v>51</v>
      </c>
      <c r="AX19" s="5" cm="1">
        <f t="array" ref="AX19">_xlfn.XLOOKUP(OrderedTable3[[#This Row],[POS]:[POS]],TableA1[[RANK]:[RANK]],TableA1[A])</f>
        <v>40</v>
      </c>
      <c r="AY19" s="13" cm="1">
        <f t="array" ref="AY19">_xlfn.XLOOKUP(OrderedTable3[[#This Row],[POS]:[POS]],TableA1[[RANK]:[RANK]],TableA1[GD])</f>
        <v>11</v>
      </c>
      <c r="AZ19" s="14" cm="1">
        <f t="array" ref="AZ19">_xlfn.XLOOKUP(OrderedTable3[[#This Row],[POS]:[POS]],TableA1[[RANK]:[RANK]],TableA1[PTS])</f>
        <v>59.000115091100007</v>
      </c>
    </row>
    <row r="20" spans="3:52" ht="15" x14ac:dyDescent="0.25">
      <c r="C20" s="22">
        <f>_xlfn.RANK.EQ(TableA1[[#This Row],[PTS]],TableA1[PTS])</f>
        <v>12</v>
      </c>
      <c r="D20" s="23">
        <v>8</v>
      </c>
      <c r="E20" s="24" t="s">
        <v>10</v>
      </c>
      <c r="F20" s="22">
        <f>COUNTIFS(DataTable[team_home],E20,DataTable[played],1)
+
COUNTIFS(DataTable[team_away],E20,DataTable[played],1)</f>
        <v>38</v>
      </c>
      <c r="G20" s="22">
        <f>COUNTIFS(DataTable[team_home],E20,DataTable[Result],"H")
+
COUNTIFS(DataTable[team_away],E20,DataTable[Result],"A")</f>
        <v>13</v>
      </c>
      <c r="H20" s="22">
        <f>COUNTIFS(DataTable[team_home],E20,DataTable[Result],"D")
+
COUNTIFS(DataTable[team_away],E20,DataTable[Result],"D")</f>
        <v>10</v>
      </c>
      <c r="I20" s="22">
        <f>COUNTIFS(DataTable[team_home],E20,DataTable[Result],"A")
+
COUNTIFS(DataTable[team_away],E20,DataTable[Result],"H")</f>
        <v>15</v>
      </c>
      <c r="J20" s="22">
        <f>SUMIFS(DataTable[home_goal],DataTable[team_home],E20)
+
SUMIFS(DataTable[away_goal],DataTable[team_away],E20)</f>
        <v>44</v>
      </c>
      <c r="K20" s="22">
        <f>SUMIFS(DataTable[home_goal],DataTable[team_away],E20)
+
SUMIFS(DataTable[away_goal],DataTable[team_home],E20)</f>
        <v>56</v>
      </c>
      <c r="L20" s="25">
        <f>TableA1[[#This Row],[F]]-TableA1[[#This Row],[A]]</f>
        <v>-12</v>
      </c>
      <c r="M20" s="26">
        <f t="shared" si="0"/>
        <v>48.999884393019997</v>
      </c>
      <c r="P20" s="3"/>
      <c r="Q20" s="12">
        <v>8</v>
      </c>
      <c r="R20" s="4" t="str" cm="1">
        <f t="array" ref="R20">VLOOKUP($Q20,$C$13:$M$32,COLUMN(C:C),0)</f>
        <v>Arsenal</v>
      </c>
      <c r="S20" s="4" cm="1">
        <f t="array" ref="S20">VLOOKUP($Q20,$C$13:$M$32,COLUMN(D:D),0)</f>
        <v>38</v>
      </c>
      <c r="T20" s="4" cm="1">
        <f t="array" ref="T20">VLOOKUP($Q20,$C$13:$M$32,COLUMN(E:E),0)</f>
        <v>14</v>
      </c>
      <c r="U20" s="4" cm="1">
        <f t="array" ref="U20">VLOOKUP($Q20,$C$13:$M$32,COLUMN(F:F),0)</f>
        <v>14</v>
      </c>
      <c r="V20" s="4" cm="1">
        <f t="array" ref="V20">VLOOKUP($Q20,$C$13:$M$32,COLUMN(G:G),0)</f>
        <v>10</v>
      </c>
      <c r="W20" s="4" cm="1">
        <f t="array" ref="W20">VLOOKUP($Q20,$C$13:$M$32,COLUMN(H:H),0)</f>
        <v>56</v>
      </c>
      <c r="X20" s="4" cm="1">
        <f t="array" ref="X20">VLOOKUP($Q20,$C$13:$M$32,COLUMN(I:I),0)</f>
        <v>48</v>
      </c>
      <c r="Y20" s="67" cm="1">
        <f t="array" ref="Y20">VLOOKUP($Q20,$C$13:$M$32,COLUMN(J:J),0)</f>
        <v>8</v>
      </c>
      <c r="Z20" s="4" cm="1">
        <f t="array" ref="Z20">VLOOKUP($Q20,$C$13:$M$32,COLUMN(K:K),0)</f>
        <v>56.000085593489999</v>
      </c>
      <c r="AD20" s="12">
        <v>8</v>
      </c>
      <c r="AE20" s="4" t="str">
        <f>INDEX(TableA1[TEAM],MATCH(TableA3[[#This Row],[POS]],TableA1[RANK],0))</f>
        <v>Arsenal</v>
      </c>
      <c r="AF20" s="5" cm="1">
        <f t="array" ref="AF20">INDEX(TableA1[P],MATCH(TableA3[[#This Row],[POS]:[POS]],TableA1[[RANK]:[RANK]],0))</f>
        <v>38</v>
      </c>
      <c r="AG20" s="5" cm="1">
        <f t="array" ref="AG20">INDEX(TableA1[W],MATCH(TableA3[[#This Row],[POS]:[POS]],TableA1[[RANK]:[RANK]],0))</f>
        <v>14</v>
      </c>
      <c r="AH20" s="5" cm="1">
        <f t="array" ref="AH20">INDEX(TableA1[D],MATCH(TableA3[[#This Row],[POS]:[POS]],TableA1[[RANK]:[RANK]],0))</f>
        <v>14</v>
      </c>
      <c r="AI20" s="5" cm="1">
        <f t="array" ref="AI20">INDEX(TableA1[L],MATCH(TableA3[[#This Row],[POS]:[POS]],TableA1[[RANK]:[RANK]],0))</f>
        <v>10</v>
      </c>
      <c r="AJ20" s="5" cm="1">
        <f t="array" ref="AJ20">INDEX(TableA1[F],MATCH(TableA3[[#This Row],[POS]:[POS]],TableA1[[RANK]:[RANK]],0))</f>
        <v>56</v>
      </c>
      <c r="AK20" s="5" cm="1">
        <f t="array" ref="AK20">INDEX(TableA1[A],MATCH(TableA3[[#This Row],[POS]:[POS]],TableA1[[RANK]:[RANK]],0))</f>
        <v>48</v>
      </c>
      <c r="AL20" s="13" cm="1">
        <f t="array" ref="AL20">INDEX(TableA1[GD],MATCH(TableA3[[#This Row],[POS]:[POS]],TableA1[[RANK]:[RANK]],0))</f>
        <v>8</v>
      </c>
      <c r="AM20" s="14" cm="1">
        <f t="array" ref="AM20">INDEX(TableA1[PTS],MATCH(TableA3[[#This Row],[POS]:[POS]],TableA1[[RANK]:[RANK]],0))</f>
        <v>56.000085593489999</v>
      </c>
      <c r="AP20" s="3"/>
      <c r="AQ20" s="12">
        <v>8</v>
      </c>
      <c r="AR20" s="4" t="str" cm="1">
        <f t="array" ref="AR20">_xlfn.XLOOKUP(OrderedTable3[[#This Row],[POS]:[POS]],TableA1[[RANK]:[RANK]],TableA1[TEAM])</f>
        <v>Arsenal</v>
      </c>
      <c r="AS20" s="5" cm="1">
        <f t="array" ref="AS20">_xlfn.XLOOKUP(OrderedTable3[[#This Row],[POS]:[POS]],TableA1[[RANK]:[RANK]],TableA1[P])</f>
        <v>38</v>
      </c>
      <c r="AT20" s="5" cm="1">
        <f t="array" ref="AT20">_xlfn.XLOOKUP(OrderedTable3[[#This Row],[POS]:[POS]],TableA1[[RANK]:[RANK]],TableA1[W])</f>
        <v>14</v>
      </c>
      <c r="AU20" s="5" cm="1">
        <f t="array" ref="AU20">_xlfn.XLOOKUP(OrderedTable3[[#This Row],[POS]:[POS]],TableA1[[RANK]:[RANK]],TableA1[D])</f>
        <v>14</v>
      </c>
      <c r="AV20" s="5" cm="1">
        <f t="array" ref="AV20">_xlfn.XLOOKUP(OrderedTable3[[#This Row],[POS]:[POS]],TableA1[[RANK]:[RANK]],TableA1[L])</f>
        <v>10</v>
      </c>
      <c r="AW20" s="5" cm="1">
        <f t="array" ref="AW20">_xlfn.XLOOKUP(OrderedTable3[[#This Row],[POS]:[POS]],TableA1[[RANK]:[RANK]],TableA1[F])</f>
        <v>56</v>
      </c>
      <c r="AX20" s="5" cm="1">
        <f t="array" ref="AX20">_xlfn.XLOOKUP(OrderedTable3[[#This Row],[POS]:[POS]],TableA1[[RANK]:[RANK]],TableA1[A])</f>
        <v>48</v>
      </c>
      <c r="AY20" s="13" cm="1">
        <f t="array" ref="AY20">_xlfn.XLOOKUP(OrderedTable3[[#This Row],[POS]:[POS]],TableA1[[RANK]:[RANK]],TableA1[GD])</f>
        <v>8</v>
      </c>
      <c r="AZ20" s="14" cm="1">
        <f t="array" ref="AZ20">_xlfn.XLOOKUP(OrderedTable3[[#This Row],[POS]:[POS]],TableA1[[RANK]:[RANK]],TableA1[PTS])</f>
        <v>56.000085593489999</v>
      </c>
    </row>
    <row r="21" spans="3:52" ht="15" x14ac:dyDescent="0.25">
      <c r="C21" s="22">
        <f>_xlfn.RANK.EQ(TableA1[[#This Row],[PTS]],TableA1[PTS])</f>
        <v>5</v>
      </c>
      <c r="D21" s="23">
        <v>9</v>
      </c>
      <c r="E21" s="24" t="s">
        <v>11</v>
      </c>
      <c r="F21" s="22">
        <f>COUNTIFS(DataTable[team_home],E21,DataTable[played],1)
+
COUNTIFS(DataTable[team_away],E21,DataTable[played],1)</f>
        <v>38</v>
      </c>
      <c r="G21" s="22">
        <f>COUNTIFS(DataTable[team_home],E21,DataTable[Result],"H")
+
COUNTIFS(DataTable[team_away],E21,DataTable[Result],"A")</f>
        <v>18</v>
      </c>
      <c r="H21" s="22">
        <f>COUNTIFS(DataTable[team_home],E21,DataTable[Result],"D")
+
COUNTIFS(DataTable[team_away],E21,DataTable[Result],"D")</f>
        <v>8</v>
      </c>
      <c r="I21" s="22">
        <f>COUNTIFS(DataTable[team_home],E21,DataTable[Result],"A")
+
COUNTIFS(DataTable[team_away],E21,DataTable[Result],"H")</f>
        <v>12</v>
      </c>
      <c r="J21" s="22">
        <f>SUMIFS(DataTable[home_goal],DataTable[team_home],E21)
+
SUMIFS(DataTable[away_goal],DataTable[team_away],E21)</f>
        <v>67</v>
      </c>
      <c r="K21" s="22">
        <f>SUMIFS(DataTable[home_goal],DataTable[team_away],E21)
+
SUMIFS(DataTable[away_goal],DataTable[team_home],E21)</f>
        <v>41</v>
      </c>
      <c r="L21" s="25">
        <f>TableA1[[#This Row],[F]]-TableA1[[#This Row],[A]]</f>
        <v>26</v>
      </c>
      <c r="M21" s="26">
        <f t="shared" si="0"/>
        <v>62.000266692309999</v>
      </c>
      <c r="P21" s="3"/>
      <c r="Q21" s="12">
        <v>9</v>
      </c>
      <c r="R21" s="4" t="str" cm="1">
        <f t="array" ref="R21">VLOOKUP($Q21,$C$13:$M$32,COLUMN(C:C),0)</f>
        <v>Sheffield United</v>
      </c>
      <c r="S21" s="4" cm="1">
        <f t="array" ref="S21">VLOOKUP($Q21,$C$13:$M$32,COLUMN(D:D),0)</f>
        <v>38</v>
      </c>
      <c r="T21" s="4" cm="1">
        <f t="array" ref="T21">VLOOKUP($Q21,$C$13:$M$32,COLUMN(E:E),0)</f>
        <v>14</v>
      </c>
      <c r="U21" s="4" cm="1">
        <f t="array" ref="U21">VLOOKUP($Q21,$C$13:$M$32,COLUMN(F:F),0)</f>
        <v>12</v>
      </c>
      <c r="V21" s="4" cm="1">
        <f t="array" ref="V21">VLOOKUP($Q21,$C$13:$M$32,COLUMN(G:G),0)</f>
        <v>12</v>
      </c>
      <c r="W21" s="4" cm="1">
        <f t="array" ref="W21">VLOOKUP($Q21,$C$13:$M$32,COLUMN(H:H),0)</f>
        <v>39</v>
      </c>
      <c r="X21" s="4" cm="1">
        <f t="array" ref="X21">VLOOKUP($Q21,$C$13:$M$32,COLUMN(I:I),0)</f>
        <v>39</v>
      </c>
      <c r="Y21" s="67" cm="1">
        <f t="array" ref="Y21">VLOOKUP($Q21,$C$13:$M$32,COLUMN(J:J),0)</f>
        <v>0</v>
      </c>
      <c r="Z21" s="4" cm="1">
        <f t="array" ref="Z21">VLOOKUP($Q21,$C$13:$M$32,COLUMN(K:K),0)</f>
        <v>54.000003891550001</v>
      </c>
      <c r="AD21" s="12">
        <v>9</v>
      </c>
      <c r="AE21" s="4" t="str">
        <f>INDEX(TableA1[TEAM],MATCH(TableA3[[#This Row],[POS]],TableA1[RANK],0))</f>
        <v>Sheffield United</v>
      </c>
      <c r="AF21" s="5" cm="1">
        <f t="array" ref="AF21">INDEX(TableA1[P],MATCH(TableA3[[#This Row],[POS]:[POS]],TableA1[[RANK]:[RANK]],0))</f>
        <v>38</v>
      </c>
      <c r="AG21" s="5" cm="1">
        <f t="array" ref="AG21">INDEX(TableA1[W],MATCH(TableA3[[#This Row],[POS]:[POS]],TableA1[[RANK]:[RANK]],0))</f>
        <v>14</v>
      </c>
      <c r="AH21" s="5" cm="1">
        <f t="array" ref="AH21">INDEX(TableA1[D],MATCH(TableA3[[#This Row],[POS]:[POS]],TableA1[[RANK]:[RANK]],0))</f>
        <v>12</v>
      </c>
      <c r="AI21" s="5" cm="1">
        <f t="array" ref="AI21">INDEX(TableA1[L],MATCH(TableA3[[#This Row],[POS]:[POS]],TableA1[[RANK]:[RANK]],0))</f>
        <v>12</v>
      </c>
      <c r="AJ21" s="5" cm="1">
        <f t="array" ref="AJ21">INDEX(TableA1[F],MATCH(TableA3[[#This Row],[POS]:[POS]],TableA1[[RANK]:[RANK]],0))</f>
        <v>39</v>
      </c>
      <c r="AK21" s="5" cm="1">
        <f t="array" ref="AK21">INDEX(TableA1[A],MATCH(TableA3[[#This Row],[POS]:[POS]],TableA1[[RANK]:[RANK]],0))</f>
        <v>39</v>
      </c>
      <c r="AL21" s="13" cm="1">
        <f t="array" ref="AL21">INDEX(TableA1[GD],MATCH(TableA3[[#This Row],[POS]:[POS]],TableA1[[RANK]:[RANK]],0))</f>
        <v>0</v>
      </c>
      <c r="AM21" s="14" cm="1">
        <f t="array" ref="AM21">INDEX(TableA1[PTS],MATCH(TableA3[[#This Row],[POS]:[POS]],TableA1[[RANK]:[RANK]],0))</f>
        <v>54.000003891550001</v>
      </c>
      <c r="AP21" s="3"/>
      <c r="AQ21" s="12">
        <v>9</v>
      </c>
      <c r="AR21" s="4" t="str" cm="1">
        <f t="array" ref="AR21">_xlfn.XLOOKUP(OrderedTable3[[#This Row],[POS]:[POS]],TableA1[[RANK]:[RANK]],TableA1[TEAM])</f>
        <v>Sheffield United</v>
      </c>
      <c r="AS21" s="5" cm="1">
        <f t="array" ref="AS21">_xlfn.XLOOKUP(OrderedTable3[[#This Row],[POS]:[POS]],TableA1[[RANK]:[RANK]],TableA1[P])</f>
        <v>38</v>
      </c>
      <c r="AT21" s="5" cm="1">
        <f t="array" ref="AT21">_xlfn.XLOOKUP(OrderedTable3[[#This Row],[POS]:[POS]],TableA1[[RANK]:[RANK]],TableA1[W])</f>
        <v>14</v>
      </c>
      <c r="AU21" s="5" cm="1">
        <f t="array" ref="AU21">_xlfn.XLOOKUP(OrderedTable3[[#This Row],[POS]:[POS]],TableA1[[RANK]:[RANK]],TableA1[D])</f>
        <v>12</v>
      </c>
      <c r="AV21" s="5" cm="1">
        <f t="array" ref="AV21">_xlfn.XLOOKUP(OrderedTable3[[#This Row],[POS]:[POS]],TableA1[[RANK]:[RANK]],TableA1[L])</f>
        <v>12</v>
      </c>
      <c r="AW21" s="5" cm="1">
        <f t="array" ref="AW21">_xlfn.XLOOKUP(OrderedTable3[[#This Row],[POS]:[POS]],TableA1[[RANK]:[RANK]],TableA1[F])</f>
        <v>39</v>
      </c>
      <c r="AX21" s="5" cm="1">
        <f t="array" ref="AX21">_xlfn.XLOOKUP(OrderedTable3[[#This Row],[POS]:[POS]],TableA1[[RANK]:[RANK]],TableA1[A])</f>
        <v>39</v>
      </c>
      <c r="AY21" s="13" cm="1">
        <f t="array" ref="AY21">_xlfn.XLOOKUP(OrderedTable3[[#This Row],[POS]:[POS]],TableA1[[RANK]:[RANK]],TableA1[GD])</f>
        <v>0</v>
      </c>
      <c r="AZ21" s="14" cm="1">
        <f t="array" ref="AZ21">_xlfn.XLOOKUP(OrderedTable3[[#This Row],[POS]:[POS]],TableA1[[RANK]:[RANK]],TableA1[PTS])</f>
        <v>54.000003891550001</v>
      </c>
    </row>
    <row r="22" spans="3:52" ht="15" x14ac:dyDescent="0.25">
      <c r="C22" s="22">
        <f>_xlfn.RANK.EQ(TableA1[[#This Row],[PTS]],TableA1[PTS])</f>
        <v>1</v>
      </c>
      <c r="D22" s="23">
        <v>10</v>
      </c>
      <c r="E22" s="24" t="s">
        <v>0</v>
      </c>
      <c r="F22" s="22">
        <f>COUNTIFS(DataTable[team_home],E22,DataTable[played],1)
+
COUNTIFS(DataTable[team_away],E22,DataTable[played],1)</f>
        <v>38</v>
      </c>
      <c r="G22" s="22">
        <f>COUNTIFS(DataTable[team_home],E22,DataTable[Result],"H")
+
COUNTIFS(DataTable[team_away],E22,DataTable[Result],"A")</f>
        <v>32</v>
      </c>
      <c r="H22" s="22">
        <f>COUNTIFS(DataTable[team_home],E22,DataTable[Result],"D")
+
COUNTIFS(DataTable[team_away],E22,DataTable[Result],"D")</f>
        <v>3</v>
      </c>
      <c r="I22" s="22">
        <f>COUNTIFS(DataTable[team_home],E22,DataTable[Result],"A")
+
COUNTIFS(DataTable[team_away],E22,DataTable[Result],"H")</f>
        <v>3</v>
      </c>
      <c r="J22" s="22">
        <f>SUMIFS(DataTable[home_goal],DataTable[team_home],E22)
+
SUMIFS(DataTable[away_goal],DataTable[team_away],E22)</f>
        <v>85</v>
      </c>
      <c r="K22" s="22">
        <f>SUMIFS(DataTable[home_goal],DataTable[team_away],E22)
+
SUMIFS(DataTable[away_goal],DataTable[team_home],E22)</f>
        <v>33</v>
      </c>
      <c r="L22" s="25">
        <f>TableA1[[#This Row],[F]]-TableA1[[#This Row],[A]]</f>
        <v>52</v>
      </c>
      <c r="M22" s="26">
        <f t="shared" si="0"/>
        <v>99.000528492300006</v>
      </c>
      <c r="P22" s="3"/>
      <c r="Q22" s="12">
        <v>10</v>
      </c>
      <c r="R22" s="4" t="str" cm="1">
        <f t="array" ref="R22">VLOOKUP($Q22,$C$13:$M$32,COLUMN(C:C),0)</f>
        <v>Burnley</v>
      </c>
      <c r="S22" s="4" cm="1">
        <f t="array" ref="S22">VLOOKUP($Q22,$C$13:$M$32,COLUMN(D:D),0)</f>
        <v>38</v>
      </c>
      <c r="T22" s="4" cm="1">
        <f t="array" ref="T22">VLOOKUP($Q22,$C$13:$M$32,COLUMN(E:E),0)</f>
        <v>15</v>
      </c>
      <c r="U22" s="4" cm="1">
        <f t="array" ref="U22">VLOOKUP($Q22,$C$13:$M$32,COLUMN(F:F),0)</f>
        <v>9</v>
      </c>
      <c r="V22" s="4" cm="1">
        <f t="array" ref="V22">VLOOKUP($Q22,$C$13:$M$32,COLUMN(G:G),0)</f>
        <v>14</v>
      </c>
      <c r="W22" s="4" cm="1">
        <f t="array" ref="W22">VLOOKUP($Q22,$C$13:$M$32,COLUMN(H:H),0)</f>
        <v>43</v>
      </c>
      <c r="X22" s="4" cm="1">
        <f t="array" ref="X22">VLOOKUP($Q22,$C$13:$M$32,COLUMN(I:I),0)</f>
        <v>50</v>
      </c>
      <c r="Y22" s="67" cm="1">
        <f t="array" ref="Y22">VLOOKUP($Q22,$C$13:$M$32,COLUMN(J:J),0)</f>
        <v>-7</v>
      </c>
      <c r="Z22" s="4" cm="1">
        <f t="array" ref="Z22">VLOOKUP($Q22,$C$13:$M$32,COLUMN(K:K),0)</f>
        <v>53.999934293350002</v>
      </c>
      <c r="AD22" s="12">
        <v>10</v>
      </c>
      <c r="AE22" s="4" t="str">
        <f>INDEX(TableA1[TEAM],MATCH(TableA3[[#This Row],[POS]],TableA1[RANK],0))</f>
        <v>Burnley</v>
      </c>
      <c r="AF22" s="5" cm="1">
        <f t="array" ref="AF22">INDEX(TableA1[P],MATCH(TableA3[[#This Row],[POS]:[POS]],TableA1[[RANK]:[RANK]],0))</f>
        <v>38</v>
      </c>
      <c r="AG22" s="5" cm="1">
        <f t="array" ref="AG22">INDEX(TableA1[W],MATCH(TableA3[[#This Row],[POS]:[POS]],TableA1[[RANK]:[RANK]],0))</f>
        <v>15</v>
      </c>
      <c r="AH22" s="5" cm="1">
        <f t="array" ref="AH22">INDEX(TableA1[D],MATCH(TableA3[[#This Row],[POS]:[POS]],TableA1[[RANK]:[RANK]],0))</f>
        <v>9</v>
      </c>
      <c r="AI22" s="5" cm="1">
        <f t="array" ref="AI22">INDEX(TableA1[L],MATCH(TableA3[[#This Row],[POS]:[POS]],TableA1[[RANK]:[RANK]],0))</f>
        <v>14</v>
      </c>
      <c r="AJ22" s="5" cm="1">
        <f t="array" ref="AJ22">INDEX(TableA1[F],MATCH(TableA3[[#This Row],[POS]:[POS]],TableA1[[RANK]:[RANK]],0))</f>
        <v>43</v>
      </c>
      <c r="AK22" s="5" cm="1">
        <f t="array" ref="AK22">INDEX(TableA1[A],MATCH(TableA3[[#This Row],[POS]:[POS]],TableA1[[RANK]:[RANK]],0))</f>
        <v>50</v>
      </c>
      <c r="AL22" s="13" cm="1">
        <f t="array" ref="AL22">INDEX(TableA1[GD],MATCH(TableA3[[#This Row],[POS]:[POS]],TableA1[[RANK]:[RANK]],0))</f>
        <v>-7</v>
      </c>
      <c r="AM22" s="14" cm="1">
        <f t="array" ref="AM22">INDEX(TableA1[PTS],MATCH(TableA3[[#This Row],[POS]:[POS]],TableA1[[RANK]:[RANK]],0))</f>
        <v>53.999934293350002</v>
      </c>
      <c r="AP22" s="3"/>
      <c r="AQ22" s="12">
        <v>10</v>
      </c>
      <c r="AR22" s="4" t="str" cm="1">
        <f t="array" ref="AR22">_xlfn.XLOOKUP(OrderedTable3[[#This Row],[POS]:[POS]],TableA1[[RANK]:[RANK]],TableA1[TEAM])</f>
        <v>Burnley</v>
      </c>
      <c r="AS22" s="5" cm="1">
        <f t="array" ref="AS22">_xlfn.XLOOKUP(OrderedTable3[[#This Row],[POS]:[POS]],TableA1[[RANK]:[RANK]],TableA1[P])</f>
        <v>38</v>
      </c>
      <c r="AT22" s="5" cm="1">
        <f t="array" ref="AT22">_xlfn.XLOOKUP(OrderedTable3[[#This Row],[POS]:[POS]],TableA1[[RANK]:[RANK]],TableA1[W])</f>
        <v>15</v>
      </c>
      <c r="AU22" s="5" cm="1">
        <f t="array" ref="AU22">_xlfn.XLOOKUP(OrderedTable3[[#This Row],[POS]:[POS]],TableA1[[RANK]:[RANK]],TableA1[D])</f>
        <v>9</v>
      </c>
      <c r="AV22" s="5" cm="1">
        <f t="array" ref="AV22">_xlfn.XLOOKUP(OrderedTable3[[#This Row],[POS]:[POS]],TableA1[[RANK]:[RANK]],TableA1[L])</f>
        <v>14</v>
      </c>
      <c r="AW22" s="5" cm="1">
        <f t="array" ref="AW22">_xlfn.XLOOKUP(OrderedTable3[[#This Row],[POS]:[POS]],TableA1[[RANK]:[RANK]],TableA1[F])</f>
        <v>43</v>
      </c>
      <c r="AX22" s="5" cm="1">
        <f t="array" ref="AX22">_xlfn.XLOOKUP(OrderedTable3[[#This Row],[POS]:[POS]],TableA1[[RANK]:[RANK]],TableA1[A])</f>
        <v>50</v>
      </c>
      <c r="AY22" s="13" cm="1">
        <f t="array" ref="AY22">_xlfn.XLOOKUP(OrderedTable3[[#This Row],[POS]:[POS]],TableA1[[RANK]:[RANK]],TableA1[GD])</f>
        <v>-7</v>
      </c>
      <c r="AZ22" s="14" cm="1">
        <f t="array" ref="AZ22">_xlfn.XLOOKUP(OrderedTable3[[#This Row],[POS]:[POS]],TableA1[[RANK]:[RANK]],TableA1[PTS])</f>
        <v>53.999934293350002</v>
      </c>
    </row>
    <row r="23" spans="3:52" ht="15" x14ac:dyDescent="0.25">
      <c r="C23" s="22">
        <f>_xlfn.RANK.EQ(TableA1[[#This Row],[PTS]],TableA1[PTS])</f>
        <v>2</v>
      </c>
      <c r="D23" s="23">
        <v>11</v>
      </c>
      <c r="E23" s="24" t="s">
        <v>4</v>
      </c>
      <c r="F23" s="22">
        <f>COUNTIFS(DataTable[team_home],E23,DataTable[played],1)
+
COUNTIFS(DataTable[team_away],E23,DataTable[played],1)</f>
        <v>38</v>
      </c>
      <c r="G23" s="22">
        <f>COUNTIFS(DataTable[team_home],E23,DataTable[Result],"H")
+
COUNTIFS(DataTable[team_away],E23,DataTable[Result],"A")</f>
        <v>26</v>
      </c>
      <c r="H23" s="22">
        <f>COUNTIFS(DataTable[team_home],E23,DataTable[Result],"D")
+
COUNTIFS(DataTable[team_away],E23,DataTable[Result],"D")</f>
        <v>3</v>
      </c>
      <c r="I23" s="22">
        <f>COUNTIFS(DataTable[team_home],E23,DataTable[Result],"A")
+
COUNTIFS(DataTable[team_away],E23,DataTable[Result],"H")</f>
        <v>9</v>
      </c>
      <c r="J23" s="22">
        <f>SUMIFS(DataTable[home_goal],DataTable[team_home],E23)
+
SUMIFS(DataTable[away_goal],DataTable[team_away],E23)</f>
        <v>102</v>
      </c>
      <c r="K23" s="22">
        <f>SUMIFS(DataTable[home_goal],DataTable[team_away],E23)
+
SUMIFS(DataTable[away_goal],DataTable[team_home],E23)</f>
        <v>35</v>
      </c>
      <c r="L23" s="25">
        <f>TableA1[[#This Row],[F]]-TableA1[[#This Row],[A]]</f>
        <v>67</v>
      </c>
      <c r="M23" s="26">
        <f t="shared" si="0"/>
        <v>81.000680192190003</v>
      </c>
      <c r="P23" s="3"/>
      <c r="Q23" s="12">
        <v>11</v>
      </c>
      <c r="R23" s="4" t="str" cm="1">
        <f t="array" ref="R23">VLOOKUP($Q23,$C$13:$M$32,COLUMN(C:C),0)</f>
        <v>Southampton</v>
      </c>
      <c r="S23" s="4" cm="1">
        <f t="array" ref="S23">VLOOKUP($Q23,$C$13:$M$32,COLUMN(D:D),0)</f>
        <v>38</v>
      </c>
      <c r="T23" s="4" cm="1">
        <f t="array" ref="T23">VLOOKUP($Q23,$C$13:$M$32,COLUMN(E:E),0)</f>
        <v>15</v>
      </c>
      <c r="U23" s="4" cm="1">
        <f t="array" ref="U23">VLOOKUP($Q23,$C$13:$M$32,COLUMN(F:F),0)</f>
        <v>7</v>
      </c>
      <c r="V23" s="4" cm="1">
        <f t="array" ref="V23">VLOOKUP($Q23,$C$13:$M$32,COLUMN(G:G),0)</f>
        <v>16</v>
      </c>
      <c r="W23" s="4" cm="1">
        <f t="array" ref="W23">VLOOKUP($Q23,$C$13:$M$32,COLUMN(H:H),0)</f>
        <v>51</v>
      </c>
      <c r="X23" s="4" cm="1">
        <f t="array" ref="X23">VLOOKUP($Q23,$C$13:$M$32,COLUMN(I:I),0)</f>
        <v>60</v>
      </c>
      <c r="Y23" s="67" cm="1">
        <f t="array" ref="Y23">VLOOKUP($Q23,$C$13:$M$32,COLUMN(J:J),0)</f>
        <v>-9</v>
      </c>
      <c r="Z23" s="4" cm="1">
        <f t="array" ref="Z23">VLOOKUP($Q23,$C$13:$M$32,COLUMN(K:K),0)</f>
        <v>51.999915091540004</v>
      </c>
      <c r="AD23" s="12">
        <v>11</v>
      </c>
      <c r="AE23" s="4" t="str">
        <f>INDEX(TableA1[TEAM],MATCH(TableA3[[#This Row],[POS]],TableA1[RANK],0))</f>
        <v>Southampton</v>
      </c>
      <c r="AF23" s="5" cm="1">
        <f t="array" ref="AF23">INDEX(TableA1[P],MATCH(TableA3[[#This Row],[POS]:[POS]],TableA1[[RANK]:[RANK]],0))</f>
        <v>38</v>
      </c>
      <c r="AG23" s="5" cm="1">
        <f t="array" ref="AG23">INDEX(TableA1[W],MATCH(TableA3[[#This Row],[POS]:[POS]],TableA1[[RANK]:[RANK]],0))</f>
        <v>15</v>
      </c>
      <c r="AH23" s="5" cm="1">
        <f t="array" ref="AH23">INDEX(TableA1[D],MATCH(TableA3[[#This Row],[POS]:[POS]],TableA1[[RANK]:[RANK]],0))</f>
        <v>7</v>
      </c>
      <c r="AI23" s="5" cm="1">
        <f t="array" ref="AI23">INDEX(TableA1[L],MATCH(TableA3[[#This Row],[POS]:[POS]],TableA1[[RANK]:[RANK]],0))</f>
        <v>16</v>
      </c>
      <c r="AJ23" s="5" cm="1">
        <f t="array" ref="AJ23">INDEX(TableA1[F],MATCH(TableA3[[#This Row],[POS]:[POS]],TableA1[[RANK]:[RANK]],0))</f>
        <v>51</v>
      </c>
      <c r="AK23" s="5" cm="1">
        <f t="array" ref="AK23">INDEX(TableA1[A],MATCH(TableA3[[#This Row],[POS]:[POS]],TableA1[[RANK]:[RANK]],0))</f>
        <v>60</v>
      </c>
      <c r="AL23" s="13" cm="1">
        <f t="array" ref="AL23">INDEX(TableA1[GD],MATCH(TableA3[[#This Row],[POS]:[POS]],TableA1[[RANK]:[RANK]],0))</f>
        <v>-9</v>
      </c>
      <c r="AM23" s="14" cm="1">
        <f t="array" ref="AM23">INDEX(TableA1[PTS],MATCH(TableA3[[#This Row],[POS]:[POS]],TableA1[[RANK]:[RANK]],0))</f>
        <v>51.999915091540004</v>
      </c>
      <c r="AP23" s="3"/>
      <c r="AQ23" s="12">
        <v>11</v>
      </c>
      <c r="AR23" s="4" t="str" cm="1">
        <f t="array" ref="AR23">_xlfn.XLOOKUP(OrderedTable3[[#This Row],[POS]:[POS]],TableA1[[RANK]:[RANK]],TableA1[TEAM])</f>
        <v>Southampton</v>
      </c>
      <c r="AS23" s="5" cm="1">
        <f t="array" ref="AS23">_xlfn.XLOOKUP(OrderedTable3[[#This Row],[POS]:[POS]],TableA1[[RANK]:[RANK]],TableA1[P])</f>
        <v>38</v>
      </c>
      <c r="AT23" s="5" cm="1">
        <f t="array" ref="AT23">_xlfn.XLOOKUP(OrderedTable3[[#This Row],[POS]:[POS]],TableA1[[RANK]:[RANK]],TableA1[W])</f>
        <v>15</v>
      </c>
      <c r="AU23" s="5" cm="1">
        <f t="array" ref="AU23">_xlfn.XLOOKUP(OrderedTable3[[#This Row],[POS]:[POS]],TableA1[[RANK]:[RANK]],TableA1[D])</f>
        <v>7</v>
      </c>
      <c r="AV23" s="5" cm="1">
        <f t="array" ref="AV23">_xlfn.XLOOKUP(OrderedTable3[[#This Row],[POS]:[POS]],TableA1[[RANK]:[RANK]],TableA1[L])</f>
        <v>16</v>
      </c>
      <c r="AW23" s="5" cm="1">
        <f t="array" ref="AW23">_xlfn.XLOOKUP(OrderedTable3[[#This Row],[POS]:[POS]],TableA1[[RANK]:[RANK]],TableA1[F])</f>
        <v>51</v>
      </c>
      <c r="AX23" s="5" cm="1">
        <f t="array" ref="AX23">_xlfn.XLOOKUP(OrderedTable3[[#This Row],[POS]:[POS]],TableA1[[RANK]:[RANK]],TableA1[A])</f>
        <v>60</v>
      </c>
      <c r="AY23" s="13" cm="1">
        <f t="array" ref="AY23">_xlfn.XLOOKUP(OrderedTable3[[#This Row],[POS]:[POS]],TableA1[[RANK]:[RANK]],TableA1[GD])</f>
        <v>-9</v>
      </c>
      <c r="AZ23" s="14" cm="1">
        <f t="array" ref="AZ23">_xlfn.XLOOKUP(OrderedTable3[[#This Row],[POS]:[POS]],TableA1[[RANK]:[RANK]],TableA1[PTS])</f>
        <v>51.999915091540004</v>
      </c>
    </row>
    <row r="24" spans="3:52" ht="15" x14ac:dyDescent="0.25">
      <c r="C24" s="22">
        <f>_xlfn.RANK.EQ(TableA1[[#This Row],[PTS]],TableA1[PTS])</f>
        <v>3</v>
      </c>
      <c r="D24" s="23">
        <v>12</v>
      </c>
      <c r="E24" s="24" t="s">
        <v>19</v>
      </c>
      <c r="F24" s="22">
        <f>COUNTIFS(DataTable[team_home],E24,DataTable[played],1)
+
COUNTIFS(DataTable[team_away],E24,DataTable[played],1)</f>
        <v>38</v>
      </c>
      <c r="G24" s="22">
        <f>COUNTIFS(DataTable[team_home],E24,DataTable[Result],"H")
+
COUNTIFS(DataTable[team_away],E24,DataTable[Result],"A")</f>
        <v>18</v>
      </c>
      <c r="H24" s="22">
        <f>COUNTIFS(DataTable[team_home],E24,DataTable[Result],"D")
+
COUNTIFS(DataTable[team_away],E24,DataTable[Result],"D")</f>
        <v>12</v>
      </c>
      <c r="I24" s="22">
        <f>COUNTIFS(DataTable[team_home],E24,DataTable[Result],"A")
+
COUNTIFS(DataTable[team_away],E24,DataTable[Result],"H")</f>
        <v>8</v>
      </c>
      <c r="J24" s="22">
        <f>SUMIFS(DataTable[home_goal],DataTable[team_home],E24)
+
SUMIFS(DataTable[away_goal],DataTable[team_away],E24)</f>
        <v>66</v>
      </c>
      <c r="K24" s="22">
        <f>SUMIFS(DataTable[home_goal],DataTable[team_away],E24)
+
SUMIFS(DataTable[away_goal],DataTable[team_home],E24)</f>
        <v>36</v>
      </c>
      <c r="L24" s="25">
        <f>TableA1[[#This Row],[F]]-TableA1[[#This Row],[A]]</f>
        <v>30</v>
      </c>
      <c r="M24" s="26">
        <f t="shared" si="0"/>
        <v>66.00030659218001</v>
      </c>
      <c r="P24" s="3"/>
      <c r="Q24" s="12">
        <v>12</v>
      </c>
      <c r="R24" s="4" t="str" cm="1">
        <f t="array" ref="R24">VLOOKUP($Q24,$C$13:$M$32,COLUMN(C:C),0)</f>
        <v>Everton</v>
      </c>
      <c r="S24" s="4" cm="1">
        <f t="array" ref="S24">VLOOKUP($Q24,$C$13:$M$32,COLUMN(D:D),0)</f>
        <v>38</v>
      </c>
      <c r="T24" s="4" cm="1">
        <f t="array" ref="T24">VLOOKUP($Q24,$C$13:$M$32,COLUMN(E:E),0)</f>
        <v>13</v>
      </c>
      <c r="U24" s="4" cm="1">
        <f t="array" ref="U24">VLOOKUP($Q24,$C$13:$M$32,COLUMN(F:F),0)</f>
        <v>10</v>
      </c>
      <c r="V24" s="4" cm="1">
        <f t="array" ref="V24">VLOOKUP($Q24,$C$13:$M$32,COLUMN(G:G),0)</f>
        <v>15</v>
      </c>
      <c r="W24" s="4" cm="1">
        <f t="array" ref="W24">VLOOKUP($Q24,$C$13:$M$32,COLUMN(H:H),0)</f>
        <v>44</v>
      </c>
      <c r="X24" s="4" cm="1">
        <f t="array" ref="X24">VLOOKUP($Q24,$C$13:$M$32,COLUMN(I:I),0)</f>
        <v>56</v>
      </c>
      <c r="Y24" s="67" cm="1">
        <f t="array" ref="Y24">VLOOKUP($Q24,$C$13:$M$32,COLUMN(J:J),0)</f>
        <v>-12</v>
      </c>
      <c r="Z24" s="4" cm="1">
        <f t="array" ref="Z24">VLOOKUP($Q24,$C$13:$M$32,COLUMN(K:K),0)</f>
        <v>48.999884393019997</v>
      </c>
      <c r="AD24" s="12">
        <v>12</v>
      </c>
      <c r="AE24" s="4" t="str">
        <f>INDEX(TableA1[TEAM],MATCH(TableA3[[#This Row],[POS]],TableA1[RANK],0))</f>
        <v>Everton</v>
      </c>
      <c r="AF24" s="5" cm="1">
        <f t="array" ref="AF24">INDEX(TableA1[P],MATCH(TableA3[[#This Row],[POS]:[POS]],TableA1[[RANK]:[RANK]],0))</f>
        <v>38</v>
      </c>
      <c r="AG24" s="5" cm="1">
        <f t="array" ref="AG24">INDEX(TableA1[W],MATCH(TableA3[[#This Row],[POS]:[POS]],TableA1[[RANK]:[RANK]],0))</f>
        <v>13</v>
      </c>
      <c r="AH24" s="5" cm="1">
        <f t="array" ref="AH24">INDEX(TableA1[D],MATCH(TableA3[[#This Row],[POS]:[POS]],TableA1[[RANK]:[RANK]],0))</f>
        <v>10</v>
      </c>
      <c r="AI24" s="5" cm="1">
        <f t="array" ref="AI24">INDEX(TableA1[L],MATCH(TableA3[[#This Row],[POS]:[POS]],TableA1[[RANK]:[RANK]],0))</f>
        <v>15</v>
      </c>
      <c r="AJ24" s="5" cm="1">
        <f t="array" ref="AJ24">INDEX(TableA1[F],MATCH(TableA3[[#This Row],[POS]:[POS]],TableA1[[RANK]:[RANK]],0))</f>
        <v>44</v>
      </c>
      <c r="AK24" s="5" cm="1">
        <f t="array" ref="AK24">INDEX(TableA1[A],MATCH(TableA3[[#This Row],[POS]:[POS]],TableA1[[RANK]:[RANK]],0))</f>
        <v>56</v>
      </c>
      <c r="AL24" s="13" cm="1">
        <f t="array" ref="AL24">INDEX(TableA1[GD],MATCH(TableA3[[#This Row],[POS]:[POS]],TableA1[[RANK]:[RANK]],0))</f>
        <v>-12</v>
      </c>
      <c r="AM24" s="14" cm="1">
        <f t="array" ref="AM24">INDEX(TableA1[PTS],MATCH(TableA3[[#This Row],[POS]:[POS]],TableA1[[RANK]:[RANK]],0))</f>
        <v>48.999884393019997</v>
      </c>
      <c r="AP24" s="3"/>
      <c r="AQ24" s="12">
        <v>12</v>
      </c>
      <c r="AR24" s="4" t="str" cm="1">
        <f t="array" ref="AR24">_xlfn.XLOOKUP(OrderedTable3[[#This Row],[POS]:[POS]],TableA1[[RANK]:[RANK]],TableA1[TEAM])</f>
        <v>Everton</v>
      </c>
      <c r="AS24" s="5" cm="1">
        <f t="array" ref="AS24">_xlfn.XLOOKUP(OrderedTable3[[#This Row],[POS]:[POS]],TableA1[[RANK]:[RANK]],TableA1[P])</f>
        <v>38</v>
      </c>
      <c r="AT24" s="5" cm="1">
        <f t="array" ref="AT24">_xlfn.XLOOKUP(OrderedTable3[[#This Row],[POS]:[POS]],TableA1[[RANK]:[RANK]],TableA1[W])</f>
        <v>13</v>
      </c>
      <c r="AU24" s="5" cm="1">
        <f t="array" ref="AU24">_xlfn.XLOOKUP(OrderedTable3[[#This Row],[POS]:[POS]],TableA1[[RANK]:[RANK]],TableA1[D])</f>
        <v>10</v>
      </c>
      <c r="AV24" s="5" cm="1">
        <f t="array" ref="AV24">_xlfn.XLOOKUP(OrderedTable3[[#This Row],[POS]:[POS]],TableA1[[RANK]:[RANK]],TableA1[L])</f>
        <v>15</v>
      </c>
      <c r="AW24" s="5" cm="1">
        <f t="array" ref="AW24">_xlfn.XLOOKUP(OrderedTable3[[#This Row],[POS]:[POS]],TableA1[[RANK]:[RANK]],TableA1[F])</f>
        <v>44</v>
      </c>
      <c r="AX24" s="5" cm="1">
        <f t="array" ref="AX24">_xlfn.XLOOKUP(OrderedTable3[[#This Row],[POS]:[POS]],TableA1[[RANK]:[RANK]],TableA1[A])</f>
        <v>56</v>
      </c>
      <c r="AY24" s="13" cm="1">
        <f t="array" ref="AY24">_xlfn.XLOOKUP(OrderedTable3[[#This Row],[POS]:[POS]],TableA1[[RANK]:[RANK]],TableA1[GD])</f>
        <v>-12</v>
      </c>
      <c r="AZ24" s="14" cm="1">
        <f t="array" ref="AZ24">_xlfn.XLOOKUP(OrderedTable3[[#This Row],[POS]:[POS]],TableA1[[RANK]:[RANK]],TableA1[PTS])</f>
        <v>48.999884393019997</v>
      </c>
    </row>
    <row r="25" spans="3:52" ht="15" x14ac:dyDescent="0.25">
      <c r="C25" s="22">
        <f>_xlfn.RANK.EQ(TableA1[[#This Row],[PTS]],TableA1[PTS])</f>
        <v>13</v>
      </c>
      <c r="D25" s="23">
        <v>13</v>
      </c>
      <c r="E25" s="24" t="s">
        <v>17</v>
      </c>
      <c r="F25" s="22">
        <f>COUNTIFS(DataTable[team_home],E25,DataTable[played],1)
+
COUNTIFS(DataTable[team_away],E25,DataTable[played],1)</f>
        <v>38</v>
      </c>
      <c r="G25" s="22">
        <f>COUNTIFS(DataTable[team_home],E25,DataTable[Result],"H")
+
COUNTIFS(DataTable[team_away],E25,DataTable[Result],"A")</f>
        <v>11</v>
      </c>
      <c r="H25" s="22">
        <f>COUNTIFS(DataTable[team_home],E25,DataTable[Result],"D")
+
COUNTIFS(DataTable[team_away],E25,DataTable[Result],"D")</f>
        <v>11</v>
      </c>
      <c r="I25" s="22">
        <f>COUNTIFS(DataTable[team_home],E25,DataTable[Result],"A")
+
COUNTIFS(DataTable[team_away],E25,DataTable[Result],"H")</f>
        <v>16</v>
      </c>
      <c r="J25" s="22">
        <f>SUMIFS(DataTable[home_goal],DataTable[team_home],E25)
+
SUMIFS(DataTable[away_goal],DataTable[team_away],E25)</f>
        <v>38</v>
      </c>
      <c r="K25" s="22">
        <f>SUMIFS(DataTable[home_goal],DataTable[team_away],E25)
+
SUMIFS(DataTable[away_goal],DataTable[team_home],E25)</f>
        <v>58</v>
      </c>
      <c r="L25" s="25">
        <f>TableA1[[#This Row],[F]]-TableA1[[#This Row],[A]]</f>
        <v>-20</v>
      </c>
      <c r="M25" s="26">
        <f t="shared" si="0"/>
        <v>43.999803792070004</v>
      </c>
      <c r="P25" s="3"/>
      <c r="Q25" s="12">
        <v>13</v>
      </c>
      <c r="R25" s="4" t="str" cm="1">
        <f t="array" ref="R25">VLOOKUP($Q25,$C$13:$M$32,COLUMN(C:C),0)</f>
        <v>Newcastle United</v>
      </c>
      <c r="S25" s="4" cm="1">
        <f t="array" ref="S25">VLOOKUP($Q25,$C$13:$M$32,COLUMN(D:D),0)</f>
        <v>38</v>
      </c>
      <c r="T25" s="4" cm="1">
        <f t="array" ref="T25">VLOOKUP($Q25,$C$13:$M$32,COLUMN(E:E),0)</f>
        <v>11</v>
      </c>
      <c r="U25" s="4" cm="1">
        <f t="array" ref="U25">VLOOKUP($Q25,$C$13:$M$32,COLUMN(F:F),0)</f>
        <v>11</v>
      </c>
      <c r="V25" s="4" cm="1">
        <f t="array" ref="V25">VLOOKUP($Q25,$C$13:$M$32,COLUMN(G:G),0)</f>
        <v>16</v>
      </c>
      <c r="W25" s="4" cm="1">
        <f t="array" ref="W25">VLOOKUP($Q25,$C$13:$M$32,COLUMN(H:H),0)</f>
        <v>38</v>
      </c>
      <c r="X25" s="4" cm="1">
        <f t="array" ref="X25">VLOOKUP($Q25,$C$13:$M$32,COLUMN(I:I),0)</f>
        <v>58</v>
      </c>
      <c r="Y25" s="67" cm="1">
        <f t="array" ref="Y25">VLOOKUP($Q25,$C$13:$M$32,COLUMN(J:J),0)</f>
        <v>-20</v>
      </c>
      <c r="Z25" s="4" cm="1">
        <f t="array" ref="Z25">VLOOKUP($Q25,$C$13:$M$32,COLUMN(K:K),0)</f>
        <v>43.999803792070004</v>
      </c>
      <c r="AD25" s="12">
        <v>13</v>
      </c>
      <c r="AE25" s="4" t="str">
        <f>INDEX(TableA1[TEAM],MATCH(TableA3[[#This Row],[POS]],TableA1[RANK],0))</f>
        <v>Newcastle United</v>
      </c>
      <c r="AF25" s="5" cm="1">
        <f t="array" ref="AF25">INDEX(TableA1[P],MATCH(TableA3[[#This Row],[POS]:[POS]],TableA1[[RANK]:[RANK]],0))</f>
        <v>38</v>
      </c>
      <c r="AG25" s="5" cm="1">
        <f t="array" ref="AG25">INDEX(TableA1[W],MATCH(TableA3[[#This Row],[POS]:[POS]],TableA1[[RANK]:[RANK]],0))</f>
        <v>11</v>
      </c>
      <c r="AH25" s="5" cm="1">
        <f t="array" ref="AH25">INDEX(TableA1[D],MATCH(TableA3[[#This Row],[POS]:[POS]],TableA1[[RANK]:[RANK]],0))</f>
        <v>11</v>
      </c>
      <c r="AI25" s="5" cm="1">
        <f t="array" ref="AI25">INDEX(TableA1[L],MATCH(TableA3[[#This Row],[POS]:[POS]],TableA1[[RANK]:[RANK]],0))</f>
        <v>16</v>
      </c>
      <c r="AJ25" s="5" cm="1">
        <f t="array" ref="AJ25">INDEX(TableA1[F],MATCH(TableA3[[#This Row],[POS]:[POS]],TableA1[[RANK]:[RANK]],0))</f>
        <v>38</v>
      </c>
      <c r="AK25" s="5" cm="1">
        <f t="array" ref="AK25">INDEX(TableA1[A],MATCH(TableA3[[#This Row],[POS]:[POS]],TableA1[[RANK]:[RANK]],0))</f>
        <v>58</v>
      </c>
      <c r="AL25" s="13" cm="1">
        <f t="array" ref="AL25">INDEX(TableA1[GD],MATCH(TableA3[[#This Row],[POS]:[POS]],TableA1[[RANK]:[RANK]],0))</f>
        <v>-20</v>
      </c>
      <c r="AM25" s="14" cm="1">
        <f t="array" ref="AM25">INDEX(TableA1[PTS],MATCH(TableA3[[#This Row],[POS]:[POS]],TableA1[[RANK]:[RANK]],0))</f>
        <v>43.999803792070004</v>
      </c>
      <c r="AP25" s="3"/>
      <c r="AQ25" s="12">
        <v>13</v>
      </c>
      <c r="AR25" s="4" t="str" cm="1">
        <f t="array" ref="AR25">_xlfn.XLOOKUP(OrderedTable3[[#This Row],[POS]:[POS]],TableA1[[RANK]:[RANK]],TableA1[TEAM])</f>
        <v>Newcastle United</v>
      </c>
      <c r="AS25" s="5" cm="1">
        <f t="array" ref="AS25">_xlfn.XLOOKUP(OrderedTable3[[#This Row],[POS]:[POS]],TableA1[[RANK]:[RANK]],TableA1[P])</f>
        <v>38</v>
      </c>
      <c r="AT25" s="5" cm="1">
        <f t="array" ref="AT25">_xlfn.XLOOKUP(OrderedTable3[[#This Row],[POS]:[POS]],TableA1[[RANK]:[RANK]],TableA1[W])</f>
        <v>11</v>
      </c>
      <c r="AU25" s="5" cm="1">
        <f t="array" ref="AU25">_xlfn.XLOOKUP(OrderedTable3[[#This Row],[POS]:[POS]],TableA1[[RANK]:[RANK]],TableA1[D])</f>
        <v>11</v>
      </c>
      <c r="AV25" s="5" cm="1">
        <f t="array" ref="AV25">_xlfn.XLOOKUP(OrderedTable3[[#This Row],[POS]:[POS]],TableA1[[RANK]:[RANK]],TableA1[L])</f>
        <v>16</v>
      </c>
      <c r="AW25" s="5" cm="1">
        <f t="array" ref="AW25">_xlfn.XLOOKUP(OrderedTable3[[#This Row],[POS]:[POS]],TableA1[[RANK]:[RANK]],TableA1[F])</f>
        <v>38</v>
      </c>
      <c r="AX25" s="5" cm="1">
        <f t="array" ref="AX25">_xlfn.XLOOKUP(OrderedTable3[[#This Row],[POS]:[POS]],TableA1[[RANK]:[RANK]],TableA1[A])</f>
        <v>58</v>
      </c>
      <c r="AY25" s="13" cm="1">
        <f t="array" ref="AY25">_xlfn.XLOOKUP(OrderedTable3[[#This Row],[POS]:[POS]],TableA1[[RANK]:[RANK]],TableA1[GD])</f>
        <v>-20</v>
      </c>
      <c r="AZ25" s="14" cm="1">
        <f t="array" ref="AZ25">_xlfn.XLOOKUP(OrderedTable3[[#This Row],[POS]:[POS]],TableA1[[RANK]:[RANK]],TableA1[PTS])</f>
        <v>43.999803792070004</v>
      </c>
    </row>
    <row r="26" spans="3:52" ht="15" x14ac:dyDescent="0.25">
      <c r="C26" s="22">
        <f>_xlfn.RANK.EQ(TableA1[[#This Row],[PTS]],TableA1[PTS])</f>
        <v>20</v>
      </c>
      <c r="D26" s="23">
        <v>14</v>
      </c>
      <c r="E26" s="24" t="s">
        <v>1</v>
      </c>
      <c r="F26" s="22">
        <f>COUNTIFS(DataTable[team_home],E26,DataTable[played],1)
+
COUNTIFS(DataTable[team_away],E26,DataTable[played],1)</f>
        <v>38</v>
      </c>
      <c r="G26" s="22">
        <f>COUNTIFS(DataTable[team_home],E26,DataTable[Result],"H")
+
COUNTIFS(DataTable[team_away],E26,DataTable[Result],"A")</f>
        <v>5</v>
      </c>
      <c r="H26" s="22">
        <f>COUNTIFS(DataTable[team_home],E26,DataTable[Result],"D")
+
COUNTIFS(DataTable[team_away],E26,DataTable[Result],"D")</f>
        <v>6</v>
      </c>
      <c r="I26" s="22">
        <f>COUNTIFS(DataTable[team_home],E26,DataTable[Result],"A")
+
COUNTIFS(DataTable[team_away],E26,DataTable[Result],"H")</f>
        <v>27</v>
      </c>
      <c r="J26" s="22">
        <f>SUMIFS(DataTable[home_goal],DataTable[team_home],E26)
+
SUMIFS(DataTable[away_goal],DataTable[team_away],E26)</f>
        <v>26</v>
      </c>
      <c r="K26" s="22">
        <f>SUMIFS(DataTable[home_goal],DataTable[team_away],E26)
+
SUMIFS(DataTable[away_goal],DataTable[team_home],E26)</f>
        <v>75</v>
      </c>
      <c r="L26" s="25">
        <f>TableA1[[#This Row],[F]]-TableA1[[#This Row],[A]]</f>
        <v>-49</v>
      </c>
      <c r="M26" s="26">
        <f t="shared" si="0"/>
        <v>20.99951259206</v>
      </c>
      <c r="P26" s="3"/>
      <c r="Q26" s="12">
        <v>14</v>
      </c>
      <c r="R26" s="4" t="str" cm="1">
        <f t="array" ref="R26">VLOOKUP($Q26,$C$13:$M$32,COLUMN(C:C),0)</f>
        <v>Crystal Palace</v>
      </c>
      <c r="S26" s="4" cm="1">
        <f t="array" ref="S26">VLOOKUP($Q26,$C$13:$M$32,COLUMN(D:D),0)</f>
        <v>38</v>
      </c>
      <c r="T26" s="4" cm="1">
        <f t="array" ref="T26">VLOOKUP($Q26,$C$13:$M$32,COLUMN(E:E),0)</f>
        <v>11</v>
      </c>
      <c r="U26" s="4" cm="1">
        <f t="array" ref="U26">VLOOKUP($Q26,$C$13:$M$32,COLUMN(F:F),0)</f>
        <v>10</v>
      </c>
      <c r="V26" s="4" cm="1">
        <f t="array" ref="V26">VLOOKUP($Q26,$C$13:$M$32,COLUMN(G:G),0)</f>
        <v>17</v>
      </c>
      <c r="W26" s="4" cm="1">
        <f t="array" ref="W26">VLOOKUP($Q26,$C$13:$M$32,COLUMN(H:H),0)</f>
        <v>31</v>
      </c>
      <c r="X26" s="4" cm="1">
        <f t="array" ref="X26">VLOOKUP($Q26,$C$13:$M$32,COLUMN(I:I),0)</f>
        <v>50</v>
      </c>
      <c r="Y26" s="67" cm="1">
        <f t="array" ref="Y26">VLOOKUP($Q26,$C$13:$M$32,COLUMN(J:J),0)</f>
        <v>-19</v>
      </c>
      <c r="Z26" s="4" cm="1">
        <f t="array" ref="Z26">VLOOKUP($Q26,$C$13:$M$32,COLUMN(K:K),0)</f>
        <v>42.999813093229996</v>
      </c>
      <c r="AD26" s="12">
        <v>14</v>
      </c>
      <c r="AE26" s="4" t="str">
        <f>INDEX(TableA1[TEAM],MATCH(TableA3[[#This Row],[POS]],TableA1[RANK],0))</f>
        <v>Crystal Palace</v>
      </c>
      <c r="AF26" s="5" cm="1">
        <f t="array" ref="AF26">INDEX(TableA1[P],MATCH(TableA3[[#This Row],[POS]:[POS]],TableA1[[RANK]:[RANK]],0))</f>
        <v>38</v>
      </c>
      <c r="AG26" s="5" cm="1">
        <f t="array" ref="AG26">INDEX(TableA1[W],MATCH(TableA3[[#This Row],[POS]:[POS]],TableA1[[RANK]:[RANK]],0))</f>
        <v>11</v>
      </c>
      <c r="AH26" s="5" cm="1">
        <f t="array" ref="AH26">INDEX(TableA1[D],MATCH(TableA3[[#This Row],[POS]:[POS]],TableA1[[RANK]:[RANK]],0))</f>
        <v>10</v>
      </c>
      <c r="AI26" s="5" cm="1">
        <f t="array" ref="AI26">INDEX(TableA1[L],MATCH(TableA3[[#This Row],[POS]:[POS]],TableA1[[RANK]:[RANK]],0))</f>
        <v>17</v>
      </c>
      <c r="AJ26" s="5" cm="1">
        <f t="array" ref="AJ26">INDEX(TableA1[F],MATCH(TableA3[[#This Row],[POS]:[POS]],TableA1[[RANK]:[RANK]],0))</f>
        <v>31</v>
      </c>
      <c r="AK26" s="5" cm="1">
        <f t="array" ref="AK26">INDEX(TableA1[A],MATCH(TableA3[[#This Row],[POS]:[POS]],TableA1[[RANK]:[RANK]],0))</f>
        <v>50</v>
      </c>
      <c r="AL26" s="13" cm="1">
        <f t="array" ref="AL26">INDEX(TableA1[GD],MATCH(TableA3[[#This Row],[POS]:[POS]],TableA1[[RANK]:[RANK]],0))</f>
        <v>-19</v>
      </c>
      <c r="AM26" s="14" cm="1">
        <f t="array" ref="AM26">INDEX(TableA1[PTS],MATCH(TableA3[[#This Row],[POS]:[POS]],TableA1[[RANK]:[RANK]],0))</f>
        <v>42.999813093229996</v>
      </c>
      <c r="AP26" s="3"/>
      <c r="AQ26" s="12">
        <v>14</v>
      </c>
      <c r="AR26" s="4" t="str" cm="1">
        <f t="array" ref="AR26">_xlfn.XLOOKUP(OrderedTable3[[#This Row],[POS]:[POS]],TableA1[[RANK]:[RANK]],TableA1[TEAM])</f>
        <v>Crystal Palace</v>
      </c>
      <c r="AS26" s="5" cm="1">
        <f t="array" ref="AS26">_xlfn.XLOOKUP(OrderedTable3[[#This Row],[POS]:[POS]],TableA1[[RANK]:[RANK]],TableA1[P])</f>
        <v>38</v>
      </c>
      <c r="AT26" s="5" cm="1">
        <f t="array" ref="AT26">_xlfn.XLOOKUP(OrderedTable3[[#This Row],[POS]:[POS]],TableA1[[RANK]:[RANK]],TableA1[W])</f>
        <v>11</v>
      </c>
      <c r="AU26" s="5" cm="1">
        <f t="array" ref="AU26">_xlfn.XLOOKUP(OrderedTable3[[#This Row],[POS]:[POS]],TableA1[[RANK]:[RANK]],TableA1[D])</f>
        <v>10</v>
      </c>
      <c r="AV26" s="5" cm="1">
        <f t="array" ref="AV26">_xlfn.XLOOKUP(OrderedTable3[[#This Row],[POS]:[POS]],TableA1[[RANK]:[RANK]],TableA1[L])</f>
        <v>17</v>
      </c>
      <c r="AW26" s="5" cm="1">
        <f t="array" ref="AW26">_xlfn.XLOOKUP(OrderedTable3[[#This Row],[POS]:[POS]],TableA1[[RANK]:[RANK]],TableA1[F])</f>
        <v>31</v>
      </c>
      <c r="AX26" s="5" cm="1">
        <f t="array" ref="AX26">_xlfn.XLOOKUP(OrderedTable3[[#This Row],[POS]:[POS]],TableA1[[RANK]:[RANK]],TableA1[A])</f>
        <v>50</v>
      </c>
      <c r="AY26" s="13" cm="1">
        <f t="array" ref="AY26">_xlfn.XLOOKUP(OrderedTable3[[#This Row],[POS]:[POS]],TableA1[[RANK]:[RANK]],TableA1[GD])</f>
        <v>-19</v>
      </c>
      <c r="AZ26" s="14" cm="1">
        <f t="array" ref="AZ26">_xlfn.XLOOKUP(OrderedTable3[[#This Row],[POS]:[POS]],TableA1[[RANK]:[RANK]],TableA1[PTS])</f>
        <v>42.999813093229996</v>
      </c>
    </row>
    <row r="27" spans="3:52" ht="15" x14ac:dyDescent="0.25">
      <c r="C27" s="22">
        <f>_xlfn.RANK.EQ(TableA1[[#This Row],[PTS]],TableA1[PTS])</f>
        <v>9</v>
      </c>
      <c r="D27" s="23">
        <v>15</v>
      </c>
      <c r="E27" s="24" t="s">
        <v>6</v>
      </c>
      <c r="F27" s="22">
        <f>COUNTIFS(DataTable[team_home],E27,DataTable[played],1)
+
COUNTIFS(DataTable[team_away],E27,DataTable[played],1)</f>
        <v>38</v>
      </c>
      <c r="G27" s="22">
        <f>COUNTIFS(DataTable[team_home],E27,DataTable[Result],"H")
+
COUNTIFS(DataTable[team_away],E27,DataTable[Result],"A")</f>
        <v>14</v>
      </c>
      <c r="H27" s="22">
        <f>COUNTIFS(DataTable[team_home],E27,DataTable[Result],"D")
+
COUNTIFS(DataTable[team_away],E27,DataTable[Result],"D")</f>
        <v>12</v>
      </c>
      <c r="I27" s="22">
        <f>COUNTIFS(DataTable[team_home],E27,DataTable[Result],"A")
+
COUNTIFS(DataTable[team_away],E27,DataTable[Result],"H")</f>
        <v>12</v>
      </c>
      <c r="J27" s="22">
        <f>SUMIFS(DataTable[home_goal],DataTable[team_home],E27)
+
SUMIFS(DataTable[away_goal],DataTable[team_away],E27)</f>
        <v>39</v>
      </c>
      <c r="K27" s="22">
        <f>SUMIFS(DataTable[home_goal],DataTable[team_away],E27)
+
SUMIFS(DataTable[away_goal],DataTable[team_home],E27)</f>
        <v>39</v>
      </c>
      <c r="L27" s="25">
        <f>TableA1[[#This Row],[F]]-TableA1[[#This Row],[A]]</f>
        <v>0</v>
      </c>
      <c r="M27" s="26">
        <f t="shared" si="0"/>
        <v>54.000003891550001</v>
      </c>
      <c r="P27" s="3"/>
      <c r="Q27" s="12">
        <v>15</v>
      </c>
      <c r="R27" s="4" t="str" cm="1">
        <f t="array" ref="R27">VLOOKUP($Q27,$C$13:$M$32,COLUMN(C:C),0)</f>
        <v>Brighton &amp; Hove Albion</v>
      </c>
      <c r="S27" s="4" cm="1">
        <f t="array" ref="S27">VLOOKUP($Q27,$C$13:$M$32,COLUMN(D:D),0)</f>
        <v>38</v>
      </c>
      <c r="T27" s="4" cm="1">
        <f t="array" ref="T27">VLOOKUP($Q27,$C$13:$M$32,COLUMN(E:E),0)</f>
        <v>9</v>
      </c>
      <c r="U27" s="4" cm="1">
        <f t="array" ref="U27">VLOOKUP($Q27,$C$13:$M$32,COLUMN(F:F),0)</f>
        <v>14</v>
      </c>
      <c r="V27" s="4" cm="1">
        <f t="array" ref="V27">VLOOKUP($Q27,$C$13:$M$32,COLUMN(G:G),0)</f>
        <v>15</v>
      </c>
      <c r="W27" s="4" cm="1">
        <f t="array" ref="W27">VLOOKUP($Q27,$C$13:$M$32,COLUMN(H:H),0)</f>
        <v>39</v>
      </c>
      <c r="X27" s="4" cm="1">
        <f t="array" ref="X27">VLOOKUP($Q27,$C$13:$M$32,COLUMN(I:I),0)</f>
        <v>54</v>
      </c>
      <c r="Y27" s="67" cm="1">
        <f t="array" ref="Y27">VLOOKUP($Q27,$C$13:$M$32,COLUMN(J:J),0)</f>
        <v>-15</v>
      </c>
      <c r="Z27" s="4" cm="1">
        <f t="array" ref="Z27">VLOOKUP($Q27,$C$13:$M$32,COLUMN(K:K),0)</f>
        <v>40.999853893360012</v>
      </c>
      <c r="AD27" s="12">
        <v>15</v>
      </c>
      <c r="AE27" s="4" t="str">
        <f>INDEX(TableA1[TEAM],MATCH(TableA3[[#This Row],[POS]],TableA1[RANK],0))</f>
        <v>Brighton &amp; Hove Albion</v>
      </c>
      <c r="AF27" s="5" cm="1">
        <f t="array" ref="AF27">INDEX(TableA1[P],MATCH(TableA3[[#This Row],[POS]:[POS]],TableA1[[RANK]:[RANK]],0))</f>
        <v>38</v>
      </c>
      <c r="AG27" s="5" cm="1">
        <f t="array" ref="AG27">INDEX(TableA1[W],MATCH(TableA3[[#This Row],[POS]:[POS]],TableA1[[RANK]:[RANK]],0))</f>
        <v>9</v>
      </c>
      <c r="AH27" s="5" cm="1">
        <f t="array" ref="AH27">INDEX(TableA1[D],MATCH(TableA3[[#This Row],[POS]:[POS]],TableA1[[RANK]:[RANK]],0))</f>
        <v>14</v>
      </c>
      <c r="AI27" s="5" cm="1">
        <f t="array" ref="AI27">INDEX(TableA1[L],MATCH(TableA3[[#This Row],[POS]:[POS]],TableA1[[RANK]:[RANK]],0))</f>
        <v>15</v>
      </c>
      <c r="AJ27" s="5" cm="1">
        <f t="array" ref="AJ27">INDEX(TableA1[F],MATCH(TableA3[[#This Row],[POS]:[POS]],TableA1[[RANK]:[RANK]],0))</f>
        <v>39</v>
      </c>
      <c r="AK27" s="5" cm="1">
        <f t="array" ref="AK27">INDEX(TableA1[A],MATCH(TableA3[[#This Row],[POS]:[POS]],TableA1[[RANK]:[RANK]],0))</f>
        <v>54</v>
      </c>
      <c r="AL27" s="13" cm="1">
        <f t="array" ref="AL27">INDEX(TableA1[GD],MATCH(TableA3[[#This Row],[POS]:[POS]],TableA1[[RANK]:[RANK]],0))</f>
        <v>-15</v>
      </c>
      <c r="AM27" s="14" cm="1">
        <f t="array" ref="AM27">INDEX(TableA1[PTS],MATCH(TableA3[[#This Row],[POS]:[POS]],TableA1[[RANK]:[RANK]],0))</f>
        <v>40.999853893360012</v>
      </c>
      <c r="AP27" s="3"/>
      <c r="AQ27" s="12">
        <v>15</v>
      </c>
      <c r="AR27" s="4" t="str" cm="1">
        <f t="array" ref="AR27">_xlfn.XLOOKUP(OrderedTable3[[#This Row],[POS]:[POS]],TableA1[[RANK]:[RANK]],TableA1[TEAM])</f>
        <v>Brighton &amp; Hove Albion</v>
      </c>
      <c r="AS27" s="5" cm="1">
        <f t="array" ref="AS27">_xlfn.XLOOKUP(OrderedTable3[[#This Row],[POS]:[POS]],TableA1[[RANK]:[RANK]],TableA1[P])</f>
        <v>38</v>
      </c>
      <c r="AT27" s="5" cm="1">
        <f t="array" ref="AT27">_xlfn.XLOOKUP(OrderedTable3[[#This Row],[POS]:[POS]],TableA1[[RANK]:[RANK]],TableA1[W])</f>
        <v>9</v>
      </c>
      <c r="AU27" s="5" cm="1">
        <f t="array" ref="AU27">_xlfn.XLOOKUP(OrderedTable3[[#This Row],[POS]:[POS]],TableA1[[RANK]:[RANK]],TableA1[D])</f>
        <v>14</v>
      </c>
      <c r="AV27" s="5" cm="1">
        <f t="array" ref="AV27">_xlfn.XLOOKUP(OrderedTable3[[#This Row],[POS]:[POS]],TableA1[[RANK]:[RANK]],TableA1[L])</f>
        <v>15</v>
      </c>
      <c r="AW27" s="5" cm="1">
        <f t="array" ref="AW27">_xlfn.XLOOKUP(OrderedTable3[[#This Row],[POS]:[POS]],TableA1[[RANK]:[RANK]],TableA1[F])</f>
        <v>39</v>
      </c>
      <c r="AX27" s="5" cm="1">
        <f t="array" ref="AX27">_xlfn.XLOOKUP(OrderedTable3[[#This Row],[POS]:[POS]],TableA1[[RANK]:[RANK]],TableA1[A])</f>
        <v>54</v>
      </c>
      <c r="AY27" s="13" cm="1">
        <f t="array" ref="AY27">_xlfn.XLOOKUP(OrderedTable3[[#This Row],[POS]:[POS]],TableA1[[RANK]:[RANK]],TableA1[GD])</f>
        <v>-15</v>
      </c>
      <c r="AZ27" s="14" cm="1">
        <f t="array" ref="AZ27">_xlfn.XLOOKUP(OrderedTable3[[#This Row],[POS]:[POS]],TableA1[[RANK]:[RANK]],TableA1[PTS])</f>
        <v>40.999853893360012</v>
      </c>
    </row>
    <row r="28" spans="3:52" ht="15" x14ac:dyDescent="0.25">
      <c r="C28" s="22">
        <f>_xlfn.RANK.EQ(TableA1[[#This Row],[PTS]],TableA1[PTS])</f>
        <v>11</v>
      </c>
      <c r="D28" s="23">
        <v>16</v>
      </c>
      <c r="E28" s="24" t="s">
        <v>8</v>
      </c>
      <c r="F28" s="22">
        <f>COUNTIFS(DataTable[team_home],E28,DataTable[played],1)
+
COUNTIFS(DataTable[team_away],E28,DataTable[played],1)</f>
        <v>38</v>
      </c>
      <c r="G28" s="22">
        <f>COUNTIFS(DataTable[team_home],E28,DataTable[Result],"H")
+
COUNTIFS(DataTable[team_away],E28,DataTable[Result],"A")</f>
        <v>15</v>
      </c>
      <c r="H28" s="22">
        <f>COUNTIFS(DataTable[team_home],E28,DataTable[Result],"D")
+
COUNTIFS(DataTable[team_away],E28,DataTable[Result],"D")</f>
        <v>7</v>
      </c>
      <c r="I28" s="22">
        <f>COUNTIFS(DataTable[team_home],E28,DataTable[Result],"A")
+
COUNTIFS(DataTable[team_away],E28,DataTable[Result],"H")</f>
        <v>16</v>
      </c>
      <c r="J28" s="22">
        <f>SUMIFS(DataTable[home_goal],DataTable[team_home],E28)
+
SUMIFS(DataTable[away_goal],DataTable[team_away],E28)</f>
        <v>51</v>
      </c>
      <c r="K28" s="22">
        <f>SUMIFS(DataTable[home_goal],DataTable[team_away],E28)
+
SUMIFS(DataTable[away_goal],DataTable[team_home],E28)</f>
        <v>60</v>
      </c>
      <c r="L28" s="25">
        <f>TableA1[[#This Row],[F]]-TableA1[[#This Row],[A]]</f>
        <v>-9</v>
      </c>
      <c r="M28" s="26">
        <f t="shared" si="0"/>
        <v>51.999915091540004</v>
      </c>
      <c r="P28" s="3"/>
      <c r="Q28" s="12">
        <v>16</v>
      </c>
      <c r="R28" s="4" t="str" cm="1">
        <f t="array" ref="R28">VLOOKUP($Q28,$C$13:$M$32,COLUMN(C:C),0)</f>
        <v>West Ham United</v>
      </c>
      <c r="S28" s="4" cm="1">
        <f t="array" ref="S28">VLOOKUP($Q28,$C$13:$M$32,COLUMN(D:D),0)</f>
        <v>38</v>
      </c>
      <c r="T28" s="4" cm="1">
        <f t="array" ref="T28">VLOOKUP($Q28,$C$13:$M$32,COLUMN(E:E),0)</f>
        <v>10</v>
      </c>
      <c r="U28" s="4" cm="1">
        <f t="array" ref="U28">VLOOKUP($Q28,$C$13:$M$32,COLUMN(F:F),0)</f>
        <v>9</v>
      </c>
      <c r="V28" s="4" cm="1">
        <f t="array" ref="V28">VLOOKUP($Q28,$C$13:$M$32,COLUMN(G:G),0)</f>
        <v>19</v>
      </c>
      <c r="W28" s="4" cm="1">
        <f t="array" ref="W28">VLOOKUP($Q28,$C$13:$M$32,COLUMN(H:H),0)</f>
        <v>49</v>
      </c>
      <c r="X28" s="4" cm="1">
        <f t="array" ref="X28">VLOOKUP($Q28,$C$13:$M$32,COLUMN(I:I),0)</f>
        <v>62</v>
      </c>
      <c r="Y28" s="67" cm="1">
        <f t="array" ref="Y28">VLOOKUP($Q28,$C$13:$M$32,COLUMN(J:J),0)</f>
        <v>-13</v>
      </c>
      <c r="Z28" s="4" cm="1">
        <f t="array" ref="Z28">VLOOKUP($Q28,$C$13:$M$32,COLUMN(K:K),0)</f>
        <v>38.999874891110004</v>
      </c>
      <c r="AD28" s="12">
        <v>16</v>
      </c>
      <c r="AE28" s="4" t="str">
        <f>INDEX(TableA1[TEAM],MATCH(TableA3[[#This Row],[POS]],TableA1[RANK],0))</f>
        <v>West Ham United</v>
      </c>
      <c r="AF28" s="5" cm="1">
        <f t="array" ref="AF28">INDEX(TableA1[P],MATCH(TableA3[[#This Row],[POS]:[POS]],TableA1[[RANK]:[RANK]],0))</f>
        <v>38</v>
      </c>
      <c r="AG28" s="5" cm="1">
        <f t="array" ref="AG28">INDEX(TableA1[W],MATCH(TableA3[[#This Row],[POS]:[POS]],TableA1[[RANK]:[RANK]],0))</f>
        <v>10</v>
      </c>
      <c r="AH28" s="5" cm="1">
        <f t="array" ref="AH28">INDEX(TableA1[D],MATCH(TableA3[[#This Row],[POS]:[POS]],TableA1[[RANK]:[RANK]],0))</f>
        <v>9</v>
      </c>
      <c r="AI28" s="5" cm="1">
        <f t="array" ref="AI28">INDEX(TableA1[L],MATCH(TableA3[[#This Row],[POS]:[POS]],TableA1[[RANK]:[RANK]],0))</f>
        <v>19</v>
      </c>
      <c r="AJ28" s="5" cm="1">
        <f t="array" ref="AJ28">INDEX(TableA1[F],MATCH(TableA3[[#This Row],[POS]:[POS]],TableA1[[RANK]:[RANK]],0))</f>
        <v>49</v>
      </c>
      <c r="AK28" s="5" cm="1">
        <f t="array" ref="AK28">INDEX(TableA1[A],MATCH(TableA3[[#This Row],[POS]:[POS]],TableA1[[RANK]:[RANK]],0))</f>
        <v>62</v>
      </c>
      <c r="AL28" s="13" cm="1">
        <f t="array" ref="AL28">INDEX(TableA1[GD],MATCH(TableA3[[#This Row],[POS]:[POS]],TableA1[[RANK]:[RANK]],0))</f>
        <v>-13</v>
      </c>
      <c r="AM28" s="14" cm="1">
        <f t="array" ref="AM28">INDEX(TableA1[PTS],MATCH(TableA3[[#This Row],[POS]:[POS]],TableA1[[RANK]:[RANK]],0))</f>
        <v>38.999874891110004</v>
      </c>
      <c r="AP28" s="3"/>
      <c r="AQ28" s="12">
        <v>16</v>
      </c>
      <c r="AR28" s="4" t="str" cm="1">
        <f t="array" ref="AR28">_xlfn.XLOOKUP(OrderedTable3[[#This Row],[POS]:[POS]],TableA1[[RANK]:[RANK]],TableA1[TEAM])</f>
        <v>West Ham United</v>
      </c>
      <c r="AS28" s="5" cm="1">
        <f t="array" ref="AS28">_xlfn.XLOOKUP(OrderedTable3[[#This Row],[POS]:[POS]],TableA1[[RANK]:[RANK]],TableA1[P])</f>
        <v>38</v>
      </c>
      <c r="AT28" s="5" cm="1">
        <f t="array" ref="AT28">_xlfn.XLOOKUP(OrderedTable3[[#This Row],[POS]:[POS]],TableA1[[RANK]:[RANK]],TableA1[W])</f>
        <v>10</v>
      </c>
      <c r="AU28" s="5" cm="1">
        <f t="array" ref="AU28">_xlfn.XLOOKUP(OrderedTable3[[#This Row],[POS]:[POS]],TableA1[[RANK]:[RANK]],TableA1[D])</f>
        <v>9</v>
      </c>
      <c r="AV28" s="5" cm="1">
        <f t="array" ref="AV28">_xlfn.XLOOKUP(OrderedTable3[[#This Row],[POS]:[POS]],TableA1[[RANK]:[RANK]],TableA1[L])</f>
        <v>19</v>
      </c>
      <c r="AW28" s="5" cm="1">
        <f t="array" ref="AW28">_xlfn.XLOOKUP(OrderedTable3[[#This Row],[POS]:[POS]],TableA1[[RANK]:[RANK]],TableA1[F])</f>
        <v>49</v>
      </c>
      <c r="AX28" s="5" cm="1">
        <f t="array" ref="AX28">_xlfn.XLOOKUP(OrderedTable3[[#This Row],[POS]:[POS]],TableA1[[RANK]:[RANK]],TableA1[A])</f>
        <v>62</v>
      </c>
      <c r="AY28" s="13" cm="1">
        <f t="array" ref="AY28">_xlfn.XLOOKUP(OrderedTable3[[#This Row],[POS]:[POS]],TableA1[[RANK]:[RANK]],TableA1[GD])</f>
        <v>-13</v>
      </c>
      <c r="AZ28" s="14" cm="1">
        <f t="array" ref="AZ28">_xlfn.XLOOKUP(OrderedTable3[[#This Row],[POS]:[POS]],TableA1[[RANK]:[RANK]],TableA1[PTS])</f>
        <v>38.999874891110004</v>
      </c>
    </row>
    <row r="29" spans="3:52" ht="15" x14ac:dyDescent="0.25">
      <c r="C29" s="22">
        <f>_xlfn.RANK.EQ(TableA1[[#This Row],[PTS]],TableA1[PTS])</f>
        <v>6</v>
      </c>
      <c r="D29" s="23">
        <v>17</v>
      </c>
      <c r="E29" s="24" t="s">
        <v>15</v>
      </c>
      <c r="F29" s="22">
        <f>COUNTIFS(DataTable[team_home],E29,DataTable[played],1)
+
COUNTIFS(DataTable[team_away],E29,DataTable[played],1)</f>
        <v>38</v>
      </c>
      <c r="G29" s="22">
        <f>COUNTIFS(DataTable[team_home],E29,DataTable[Result],"H")
+
COUNTIFS(DataTable[team_away],E29,DataTable[Result],"A")</f>
        <v>16</v>
      </c>
      <c r="H29" s="22">
        <f>COUNTIFS(DataTable[team_home],E29,DataTable[Result],"D")
+
COUNTIFS(DataTable[team_away],E29,DataTable[Result],"D")</f>
        <v>11</v>
      </c>
      <c r="I29" s="22">
        <f>COUNTIFS(DataTable[team_home],E29,DataTable[Result],"A")
+
COUNTIFS(DataTable[team_away],E29,DataTable[Result],"H")</f>
        <v>11</v>
      </c>
      <c r="J29" s="22">
        <f>SUMIFS(DataTable[home_goal],DataTable[team_home],E29)
+
SUMIFS(DataTable[away_goal],DataTable[team_away],E29)</f>
        <v>61</v>
      </c>
      <c r="K29" s="22">
        <f>SUMIFS(DataTable[home_goal],DataTable[team_away],E29)
+
SUMIFS(DataTable[away_goal],DataTable[team_home],E29)</f>
        <v>47</v>
      </c>
      <c r="L29" s="25">
        <f>TableA1[[#This Row],[F]]-TableA1[[#This Row],[A]]</f>
        <v>14</v>
      </c>
      <c r="M29" s="26">
        <f t="shared" si="0"/>
        <v>59.000146091430004</v>
      </c>
      <c r="P29" s="3"/>
      <c r="Q29" s="12">
        <v>17</v>
      </c>
      <c r="R29" s="4" t="str" cm="1">
        <f t="array" ref="R29">VLOOKUP($Q29,$C$13:$M$32,COLUMN(C:C),0)</f>
        <v>Aston Villa</v>
      </c>
      <c r="S29" s="4" cm="1">
        <f t="array" ref="S29">VLOOKUP($Q29,$C$13:$M$32,COLUMN(D:D),0)</f>
        <v>38</v>
      </c>
      <c r="T29" s="4" cm="1">
        <f t="array" ref="T29">VLOOKUP($Q29,$C$13:$M$32,COLUMN(E:E),0)</f>
        <v>9</v>
      </c>
      <c r="U29" s="4" cm="1">
        <f t="array" ref="U29">VLOOKUP($Q29,$C$13:$M$32,COLUMN(F:F),0)</f>
        <v>8</v>
      </c>
      <c r="V29" s="4" cm="1">
        <f t="array" ref="V29">VLOOKUP($Q29,$C$13:$M$32,COLUMN(G:G),0)</f>
        <v>21</v>
      </c>
      <c r="W29" s="4" cm="1">
        <f t="array" ref="W29">VLOOKUP($Q29,$C$13:$M$32,COLUMN(H:H),0)</f>
        <v>41</v>
      </c>
      <c r="X29" s="4" cm="1">
        <f t="array" ref="X29">VLOOKUP($Q29,$C$13:$M$32,COLUMN(I:I),0)</f>
        <v>67</v>
      </c>
      <c r="Y29" s="67" cm="1">
        <f t="array" ref="Y29">VLOOKUP($Q29,$C$13:$M$32,COLUMN(J:J),0)</f>
        <v>-26</v>
      </c>
      <c r="Z29" s="4" cm="1">
        <f t="array" ref="Z29">VLOOKUP($Q29,$C$13:$M$32,COLUMN(K:K),0)</f>
        <v>34.999744093479997</v>
      </c>
      <c r="AD29" s="12">
        <v>17</v>
      </c>
      <c r="AE29" s="4" t="str">
        <f>INDEX(TableA1[TEAM],MATCH(TableA3[[#This Row],[POS]],TableA1[RANK],0))</f>
        <v>Aston Villa</v>
      </c>
      <c r="AF29" s="5" cm="1">
        <f t="array" ref="AF29">INDEX(TableA1[P],MATCH(TableA3[[#This Row],[POS]:[POS]],TableA1[[RANK]:[RANK]],0))</f>
        <v>38</v>
      </c>
      <c r="AG29" s="5" cm="1">
        <f t="array" ref="AG29">INDEX(TableA1[W],MATCH(TableA3[[#This Row],[POS]:[POS]],TableA1[[RANK]:[RANK]],0))</f>
        <v>9</v>
      </c>
      <c r="AH29" s="5" cm="1">
        <f t="array" ref="AH29">INDEX(TableA1[D],MATCH(TableA3[[#This Row],[POS]:[POS]],TableA1[[RANK]:[RANK]],0))</f>
        <v>8</v>
      </c>
      <c r="AI29" s="5" cm="1">
        <f t="array" ref="AI29">INDEX(TableA1[L],MATCH(TableA3[[#This Row],[POS]:[POS]],TableA1[[RANK]:[RANK]],0))</f>
        <v>21</v>
      </c>
      <c r="AJ29" s="5" cm="1">
        <f t="array" ref="AJ29">INDEX(TableA1[F],MATCH(TableA3[[#This Row],[POS]:[POS]],TableA1[[RANK]:[RANK]],0))</f>
        <v>41</v>
      </c>
      <c r="AK29" s="5" cm="1">
        <f t="array" ref="AK29">INDEX(TableA1[A],MATCH(TableA3[[#This Row],[POS]:[POS]],TableA1[[RANK]:[RANK]],0))</f>
        <v>67</v>
      </c>
      <c r="AL29" s="13" cm="1">
        <f t="array" ref="AL29">INDEX(TableA1[GD],MATCH(TableA3[[#This Row],[POS]:[POS]],TableA1[[RANK]:[RANK]],0))</f>
        <v>-26</v>
      </c>
      <c r="AM29" s="14" cm="1">
        <f t="array" ref="AM29">INDEX(TableA1[PTS],MATCH(TableA3[[#This Row],[POS]:[POS]],TableA1[[RANK]:[RANK]],0))</f>
        <v>34.999744093479997</v>
      </c>
      <c r="AP29" s="3"/>
      <c r="AQ29" s="12">
        <v>17</v>
      </c>
      <c r="AR29" s="4" t="str" cm="1">
        <f t="array" ref="AR29">_xlfn.XLOOKUP(OrderedTable3[[#This Row],[POS]:[POS]],TableA1[[RANK]:[RANK]],TableA1[TEAM])</f>
        <v>Aston Villa</v>
      </c>
      <c r="AS29" s="5" cm="1">
        <f t="array" ref="AS29">_xlfn.XLOOKUP(OrderedTable3[[#This Row],[POS]:[POS]],TableA1[[RANK]:[RANK]],TableA1[P])</f>
        <v>38</v>
      </c>
      <c r="AT29" s="5" cm="1">
        <f t="array" ref="AT29">_xlfn.XLOOKUP(OrderedTable3[[#This Row],[POS]:[POS]],TableA1[[RANK]:[RANK]],TableA1[W])</f>
        <v>9</v>
      </c>
      <c r="AU29" s="5" cm="1">
        <f t="array" ref="AU29">_xlfn.XLOOKUP(OrderedTable3[[#This Row],[POS]:[POS]],TableA1[[RANK]:[RANK]],TableA1[D])</f>
        <v>8</v>
      </c>
      <c r="AV29" s="5" cm="1">
        <f t="array" ref="AV29">_xlfn.XLOOKUP(OrderedTable3[[#This Row],[POS]:[POS]],TableA1[[RANK]:[RANK]],TableA1[L])</f>
        <v>21</v>
      </c>
      <c r="AW29" s="5" cm="1">
        <f t="array" ref="AW29">_xlfn.XLOOKUP(OrderedTable3[[#This Row],[POS]:[POS]],TableA1[[RANK]:[RANK]],TableA1[F])</f>
        <v>41</v>
      </c>
      <c r="AX29" s="5" cm="1">
        <f t="array" ref="AX29">_xlfn.XLOOKUP(OrderedTable3[[#This Row],[POS]:[POS]],TableA1[[RANK]:[RANK]],TableA1[A])</f>
        <v>67</v>
      </c>
      <c r="AY29" s="13" cm="1">
        <f t="array" ref="AY29">_xlfn.XLOOKUP(OrderedTable3[[#This Row],[POS]:[POS]],TableA1[[RANK]:[RANK]],TableA1[GD])</f>
        <v>-26</v>
      </c>
      <c r="AZ29" s="14" cm="1">
        <f t="array" ref="AZ29">_xlfn.XLOOKUP(OrderedTable3[[#This Row],[POS]:[POS]],TableA1[[RANK]:[RANK]],TableA1[PTS])</f>
        <v>34.999744093479997</v>
      </c>
    </row>
    <row r="30" spans="3:52" ht="15" x14ac:dyDescent="0.25">
      <c r="C30" s="22">
        <f>_xlfn.RANK.EQ(TableA1[[#This Row],[PTS]],TableA1[PTS])</f>
        <v>19</v>
      </c>
      <c r="D30" s="23">
        <v>18</v>
      </c>
      <c r="E30" s="24" t="s">
        <v>13</v>
      </c>
      <c r="F30" s="22">
        <f>COUNTIFS(DataTable[team_home],E30,DataTable[played],1)
+
COUNTIFS(DataTable[team_away],E30,DataTable[played],1)</f>
        <v>38</v>
      </c>
      <c r="G30" s="22">
        <f>COUNTIFS(DataTable[team_home],E30,DataTable[Result],"H")
+
COUNTIFS(DataTable[team_away],E30,DataTable[Result],"A")</f>
        <v>8</v>
      </c>
      <c r="H30" s="22">
        <f>COUNTIFS(DataTable[team_home],E30,DataTable[Result],"D")
+
COUNTIFS(DataTable[team_away],E30,DataTable[Result],"D")</f>
        <v>10</v>
      </c>
      <c r="I30" s="22">
        <f>COUNTIFS(DataTable[team_home],E30,DataTable[Result],"A")
+
COUNTIFS(DataTable[team_away],E30,DataTable[Result],"H")</f>
        <v>20</v>
      </c>
      <c r="J30" s="22">
        <f>SUMIFS(DataTable[home_goal],DataTable[team_home],E30)
+
SUMIFS(DataTable[away_goal],DataTable[team_away],E30)</f>
        <v>36</v>
      </c>
      <c r="K30" s="22">
        <f>SUMIFS(DataTable[home_goal],DataTable[team_away],E30)
+
SUMIFS(DataTable[away_goal],DataTable[team_home],E30)</f>
        <v>64</v>
      </c>
      <c r="L30" s="25">
        <f>TableA1[[#This Row],[F]]-TableA1[[#This Row],[A]]</f>
        <v>-28</v>
      </c>
      <c r="M30" s="26">
        <f t="shared" si="0"/>
        <v>33.999723591120002</v>
      </c>
      <c r="P30" s="3"/>
      <c r="Q30" s="12">
        <v>18</v>
      </c>
      <c r="R30" s="4" t="str" cm="1">
        <f t="array" ref="R30">VLOOKUP($Q30,$C$13:$M$32,COLUMN(C:C),0)</f>
        <v>Bournemouth</v>
      </c>
      <c r="S30" s="4" cm="1">
        <f t="array" ref="S30">VLOOKUP($Q30,$C$13:$M$32,COLUMN(D:D),0)</f>
        <v>38</v>
      </c>
      <c r="T30" s="4" cm="1">
        <f t="array" ref="T30">VLOOKUP($Q30,$C$13:$M$32,COLUMN(E:E),0)</f>
        <v>9</v>
      </c>
      <c r="U30" s="4" cm="1">
        <f t="array" ref="U30">VLOOKUP($Q30,$C$13:$M$32,COLUMN(F:F),0)</f>
        <v>7</v>
      </c>
      <c r="V30" s="4" cm="1">
        <f t="array" ref="V30">VLOOKUP($Q30,$C$13:$M$32,COLUMN(G:G),0)</f>
        <v>22</v>
      </c>
      <c r="W30" s="4" cm="1">
        <f t="array" ref="W30">VLOOKUP($Q30,$C$13:$M$32,COLUMN(H:H),0)</f>
        <v>40</v>
      </c>
      <c r="X30" s="4" cm="1">
        <f t="array" ref="X30">VLOOKUP($Q30,$C$13:$M$32,COLUMN(I:I),0)</f>
        <v>65</v>
      </c>
      <c r="Y30" s="67" cm="1">
        <f t="array" ref="Y30">VLOOKUP($Q30,$C$13:$M$32,COLUMN(J:J),0)</f>
        <v>-25</v>
      </c>
      <c r="Z30" s="4" cm="1">
        <f t="array" ref="Z30">VLOOKUP($Q30,$C$13:$M$32,COLUMN(K:K),0)</f>
        <v>33.99975399337</v>
      </c>
      <c r="AD30" s="12">
        <v>18</v>
      </c>
      <c r="AE30" s="4" t="str">
        <f>INDEX(TableA1[TEAM],MATCH(TableA3[[#This Row],[POS]],TableA1[RANK],0))</f>
        <v>Bournemouth</v>
      </c>
      <c r="AF30" s="5" cm="1">
        <f t="array" ref="AF30">INDEX(TableA1[P],MATCH(TableA3[[#This Row],[POS]:[POS]],TableA1[[RANK]:[RANK]],0))</f>
        <v>38</v>
      </c>
      <c r="AG30" s="5" cm="1">
        <f t="array" ref="AG30">INDEX(TableA1[W],MATCH(TableA3[[#This Row],[POS]:[POS]],TableA1[[RANK]:[RANK]],0))</f>
        <v>9</v>
      </c>
      <c r="AH30" s="5" cm="1">
        <f t="array" ref="AH30">INDEX(TableA1[D],MATCH(TableA3[[#This Row],[POS]:[POS]],TableA1[[RANK]:[RANK]],0))</f>
        <v>7</v>
      </c>
      <c r="AI30" s="5" cm="1">
        <f t="array" ref="AI30">INDEX(TableA1[L],MATCH(TableA3[[#This Row],[POS]:[POS]],TableA1[[RANK]:[RANK]],0))</f>
        <v>22</v>
      </c>
      <c r="AJ30" s="5" cm="1">
        <f t="array" ref="AJ30">INDEX(TableA1[F],MATCH(TableA3[[#This Row],[POS]:[POS]],TableA1[[RANK]:[RANK]],0))</f>
        <v>40</v>
      </c>
      <c r="AK30" s="5" cm="1">
        <f t="array" ref="AK30">INDEX(TableA1[A],MATCH(TableA3[[#This Row],[POS]:[POS]],TableA1[[RANK]:[RANK]],0))</f>
        <v>65</v>
      </c>
      <c r="AL30" s="13" cm="1">
        <f t="array" ref="AL30">INDEX(TableA1[GD],MATCH(TableA3[[#This Row],[POS]:[POS]],TableA1[[RANK]:[RANK]],0))</f>
        <v>-25</v>
      </c>
      <c r="AM30" s="14" cm="1">
        <f t="array" ref="AM30">INDEX(TableA1[PTS],MATCH(TableA3[[#This Row],[POS]:[POS]],TableA1[[RANK]:[RANK]],0))</f>
        <v>33.99975399337</v>
      </c>
      <c r="AP30" s="3"/>
      <c r="AQ30" s="12">
        <v>18</v>
      </c>
      <c r="AR30" s="4" t="str" cm="1">
        <f t="array" ref="AR30">_xlfn.XLOOKUP(OrderedTable3[[#This Row],[POS]:[POS]],TableA1[[RANK]:[RANK]],TableA1[TEAM])</f>
        <v>Bournemouth</v>
      </c>
      <c r="AS30" s="5" cm="1">
        <f t="array" ref="AS30">_xlfn.XLOOKUP(OrderedTable3[[#This Row],[POS]:[POS]],TableA1[[RANK]:[RANK]],TableA1[P])</f>
        <v>38</v>
      </c>
      <c r="AT30" s="5" cm="1">
        <f t="array" ref="AT30">_xlfn.XLOOKUP(OrderedTable3[[#This Row],[POS]:[POS]],TableA1[[RANK]:[RANK]],TableA1[W])</f>
        <v>9</v>
      </c>
      <c r="AU30" s="5" cm="1">
        <f t="array" ref="AU30">_xlfn.XLOOKUP(OrderedTable3[[#This Row],[POS]:[POS]],TableA1[[RANK]:[RANK]],TableA1[D])</f>
        <v>7</v>
      </c>
      <c r="AV30" s="5" cm="1">
        <f t="array" ref="AV30">_xlfn.XLOOKUP(OrderedTable3[[#This Row],[POS]:[POS]],TableA1[[RANK]:[RANK]],TableA1[L])</f>
        <v>22</v>
      </c>
      <c r="AW30" s="5" cm="1">
        <f t="array" ref="AW30">_xlfn.XLOOKUP(OrderedTable3[[#This Row],[POS]:[POS]],TableA1[[RANK]:[RANK]],TableA1[F])</f>
        <v>40</v>
      </c>
      <c r="AX30" s="5" cm="1">
        <f t="array" ref="AX30">_xlfn.XLOOKUP(OrderedTable3[[#This Row],[POS]:[POS]],TableA1[[RANK]:[RANK]],TableA1[A])</f>
        <v>65</v>
      </c>
      <c r="AY30" s="13" cm="1">
        <f t="array" ref="AY30">_xlfn.XLOOKUP(OrderedTable3[[#This Row],[POS]:[POS]],TableA1[[RANK]:[RANK]],TableA1[GD])</f>
        <v>-25</v>
      </c>
      <c r="AZ30" s="14" cm="1">
        <f t="array" ref="AZ30">_xlfn.XLOOKUP(OrderedTable3[[#This Row],[POS]:[POS]],TableA1[[RANK]:[RANK]],TableA1[PTS])</f>
        <v>33.99975399337</v>
      </c>
    </row>
    <row r="31" spans="3:52" ht="15" x14ac:dyDescent="0.25">
      <c r="C31" s="22">
        <f>_xlfn.RANK.EQ(TableA1[[#This Row],[PTS]],TableA1[PTS])</f>
        <v>16</v>
      </c>
      <c r="D31" s="23">
        <v>19</v>
      </c>
      <c r="E31" s="24" t="s">
        <v>3</v>
      </c>
      <c r="F31" s="22">
        <f>COUNTIFS(DataTable[team_home],E31,DataTable[played],1)
+
COUNTIFS(DataTable[team_away],E31,DataTable[played],1)</f>
        <v>38</v>
      </c>
      <c r="G31" s="22">
        <f>COUNTIFS(DataTable[team_home],E31,DataTable[Result],"H")
+
COUNTIFS(DataTable[team_away],E31,DataTable[Result],"A")</f>
        <v>10</v>
      </c>
      <c r="H31" s="22">
        <f>COUNTIFS(DataTable[team_home],E31,DataTable[Result],"D")
+
COUNTIFS(DataTable[team_away],E31,DataTable[Result],"D")</f>
        <v>9</v>
      </c>
      <c r="I31" s="22">
        <f>COUNTIFS(DataTable[team_home],E31,DataTable[Result],"A")
+
COUNTIFS(DataTable[team_away],E31,DataTable[Result],"H")</f>
        <v>19</v>
      </c>
      <c r="J31" s="22">
        <f>SUMIFS(DataTable[home_goal],DataTable[team_home],E31)
+
SUMIFS(DataTable[away_goal],DataTable[team_away],E31)</f>
        <v>49</v>
      </c>
      <c r="K31" s="22">
        <f>SUMIFS(DataTable[home_goal],DataTable[team_away],E31)
+
SUMIFS(DataTable[away_goal],DataTable[team_home],E31)</f>
        <v>62</v>
      </c>
      <c r="L31" s="25">
        <f>TableA1[[#This Row],[F]]-TableA1[[#This Row],[A]]</f>
        <v>-13</v>
      </c>
      <c r="M31" s="26">
        <f t="shared" si="0"/>
        <v>38.999874891110004</v>
      </c>
      <c r="P31" s="3"/>
      <c r="Q31" s="12">
        <v>19</v>
      </c>
      <c r="R31" s="4" t="str" cm="1">
        <f t="array" ref="R31">VLOOKUP($Q31,$C$13:$M$32,COLUMN(C:C),0)</f>
        <v>Watford</v>
      </c>
      <c r="S31" s="4" cm="1">
        <f t="array" ref="S31">VLOOKUP($Q31,$C$13:$M$32,COLUMN(D:D),0)</f>
        <v>38</v>
      </c>
      <c r="T31" s="4" cm="1">
        <f t="array" ref="T31">VLOOKUP($Q31,$C$13:$M$32,COLUMN(E:E),0)</f>
        <v>8</v>
      </c>
      <c r="U31" s="4" cm="1">
        <f t="array" ref="U31">VLOOKUP($Q31,$C$13:$M$32,COLUMN(F:F),0)</f>
        <v>10</v>
      </c>
      <c r="V31" s="4" cm="1">
        <f t="array" ref="V31">VLOOKUP($Q31,$C$13:$M$32,COLUMN(G:G),0)</f>
        <v>20</v>
      </c>
      <c r="W31" s="4" cm="1">
        <f t="array" ref="W31">VLOOKUP($Q31,$C$13:$M$32,COLUMN(H:H),0)</f>
        <v>36</v>
      </c>
      <c r="X31" s="4" cm="1">
        <f t="array" ref="X31">VLOOKUP($Q31,$C$13:$M$32,COLUMN(I:I),0)</f>
        <v>64</v>
      </c>
      <c r="Y31" s="67" cm="1">
        <f t="array" ref="Y31">VLOOKUP($Q31,$C$13:$M$32,COLUMN(J:J),0)</f>
        <v>-28</v>
      </c>
      <c r="Z31" s="4" cm="1">
        <f t="array" ref="Z31">VLOOKUP($Q31,$C$13:$M$32,COLUMN(K:K),0)</f>
        <v>33.999723591120002</v>
      </c>
      <c r="AD31" s="12">
        <v>19</v>
      </c>
      <c r="AE31" s="4" t="str">
        <f>INDEX(TableA1[TEAM],MATCH(TableA3[[#This Row],[POS]],TableA1[RANK],0))</f>
        <v>Watford</v>
      </c>
      <c r="AF31" s="5" cm="1">
        <f t="array" ref="AF31">INDEX(TableA1[P],MATCH(TableA3[[#This Row],[POS]:[POS]],TableA1[[RANK]:[RANK]],0))</f>
        <v>38</v>
      </c>
      <c r="AG31" s="5" cm="1">
        <f t="array" ref="AG31">INDEX(TableA1[W],MATCH(TableA3[[#This Row],[POS]:[POS]],TableA1[[RANK]:[RANK]],0))</f>
        <v>8</v>
      </c>
      <c r="AH31" s="5" cm="1">
        <f t="array" ref="AH31">INDEX(TableA1[D],MATCH(TableA3[[#This Row],[POS]:[POS]],TableA1[[RANK]:[RANK]],0))</f>
        <v>10</v>
      </c>
      <c r="AI31" s="5" cm="1">
        <f t="array" ref="AI31">INDEX(TableA1[L],MATCH(TableA3[[#This Row],[POS]:[POS]],TableA1[[RANK]:[RANK]],0))</f>
        <v>20</v>
      </c>
      <c r="AJ31" s="5" cm="1">
        <f t="array" ref="AJ31">INDEX(TableA1[F],MATCH(TableA3[[#This Row],[POS]:[POS]],TableA1[[RANK]:[RANK]],0))</f>
        <v>36</v>
      </c>
      <c r="AK31" s="5" cm="1">
        <f t="array" ref="AK31">INDEX(TableA1[A],MATCH(TableA3[[#This Row],[POS]:[POS]],TableA1[[RANK]:[RANK]],0))</f>
        <v>64</v>
      </c>
      <c r="AL31" s="13" cm="1">
        <f t="array" ref="AL31">INDEX(TableA1[GD],MATCH(TableA3[[#This Row],[POS]:[POS]],TableA1[[RANK]:[RANK]],0))</f>
        <v>-28</v>
      </c>
      <c r="AM31" s="14" cm="1">
        <f t="array" ref="AM31">INDEX(TableA1[PTS],MATCH(TableA3[[#This Row],[POS]:[POS]],TableA1[[RANK]:[RANK]],0))</f>
        <v>33.999723591120002</v>
      </c>
      <c r="AP31" s="3"/>
      <c r="AQ31" s="12">
        <v>19</v>
      </c>
      <c r="AR31" s="4" t="str" cm="1">
        <f t="array" ref="AR31">_xlfn.XLOOKUP(OrderedTable3[[#This Row],[POS]:[POS]],TableA1[[RANK]:[RANK]],TableA1[TEAM])</f>
        <v>Watford</v>
      </c>
      <c r="AS31" s="5" cm="1">
        <f t="array" ref="AS31">_xlfn.XLOOKUP(OrderedTable3[[#This Row],[POS]:[POS]],TableA1[[RANK]:[RANK]],TableA1[P])</f>
        <v>38</v>
      </c>
      <c r="AT31" s="5" cm="1">
        <f t="array" ref="AT31">_xlfn.XLOOKUP(OrderedTable3[[#This Row],[POS]:[POS]],TableA1[[RANK]:[RANK]],TableA1[W])</f>
        <v>8</v>
      </c>
      <c r="AU31" s="5" cm="1">
        <f t="array" ref="AU31">_xlfn.XLOOKUP(OrderedTable3[[#This Row],[POS]:[POS]],TableA1[[RANK]:[RANK]],TableA1[D])</f>
        <v>10</v>
      </c>
      <c r="AV31" s="5" cm="1">
        <f t="array" ref="AV31">_xlfn.XLOOKUP(OrderedTable3[[#This Row],[POS]:[POS]],TableA1[[RANK]:[RANK]],TableA1[L])</f>
        <v>20</v>
      </c>
      <c r="AW31" s="5" cm="1">
        <f t="array" ref="AW31">_xlfn.XLOOKUP(OrderedTable3[[#This Row],[POS]:[POS]],TableA1[[RANK]:[RANK]],TableA1[F])</f>
        <v>36</v>
      </c>
      <c r="AX31" s="5" cm="1">
        <f t="array" ref="AX31">_xlfn.XLOOKUP(OrderedTable3[[#This Row],[POS]:[POS]],TableA1[[RANK]:[RANK]],TableA1[A])</f>
        <v>64</v>
      </c>
      <c r="AY31" s="13" cm="1">
        <f t="array" ref="AY31">_xlfn.XLOOKUP(OrderedTable3[[#This Row],[POS]:[POS]],TableA1[[RANK]:[RANK]],TableA1[GD])</f>
        <v>-28</v>
      </c>
      <c r="AZ31" s="14" cm="1">
        <f t="array" ref="AZ31">_xlfn.XLOOKUP(OrderedTable3[[#This Row],[POS]:[POS]],TableA1[[RANK]:[RANK]],TableA1[PTS])</f>
        <v>33.999723591120002</v>
      </c>
    </row>
    <row r="32" spans="3:52" ht="15" x14ac:dyDescent="0.25">
      <c r="C32" s="22">
        <f>_xlfn.RANK.EQ(TableA1[[#This Row],[PTS]],TableA1[PTS])</f>
        <v>7</v>
      </c>
      <c r="D32" s="23">
        <v>20</v>
      </c>
      <c r="E32" s="27" t="s">
        <v>12</v>
      </c>
      <c r="F32" s="22">
        <f>COUNTIFS(DataTable[team_home],E32,DataTable[played],1)
+
COUNTIFS(DataTable[team_away],E32,DataTable[played],1)</f>
        <v>38</v>
      </c>
      <c r="G32" s="22">
        <f>COUNTIFS(DataTable[team_home],E32,DataTable[Result],"H")
+
COUNTIFS(DataTable[team_away],E32,DataTable[Result],"A")</f>
        <v>15</v>
      </c>
      <c r="H32" s="22">
        <f>COUNTIFS(DataTable[team_home],E32,DataTable[Result],"D")
+
COUNTIFS(DataTable[team_away],E32,DataTable[Result],"D")</f>
        <v>14</v>
      </c>
      <c r="I32" s="22">
        <f>COUNTIFS(DataTable[team_home],E32,DataTable[Result],"A")
+
COUNTIFS(DataTable[team_away],E32,DataTable[Result],"H")</f>
        <v>9</v>
      </c>
      <c r="J32" s="22">
        <f>SUMIFS(DataTable[home_goal],DataTable[team_home],E32)
+
SUMIFS(DataTable[away_goal],DataTable[team_away],E32)</f>
        <v>51</v>
      </c>
      <c r="K32" s="22">
        <f>SUMIFS(DataTable[home_goal],DataTable[team_away],E32)
+
SUMIFS(DataTable[away_goal],DataTable[team_home],E32)</f>
        <v>40</v>
      </c>
      <c r="L32" s="25">
        <f>TableA1[[#This Row],[F]]-TableA1[[#This Row],[A]]</f>
        <v>11</v>
      </c>
      <c r="M32" s="26">
        <f t="shared" si="0"/>
        <v>59.000115091100007</v>
      </c>
      <c r="P32" s="3"/>
      <c r="Q32" s="18">
        <v>20</v>
      </c>
      <c r="R32" s="4" t="str" cm="1">
        <f t="array" ref="R32">VLOOKUP($Q32,$C$13:$M$32,COLUMN(C:C),0)</f>
        <v>Norwich City</v>
      </c>
      <c r="S32" s="4" cm="1">
        <f t="array" ref="S32">VLOOKUP($Q32,$C$13:$M$32,COLUMN(D:D),0)</f>
        <v>38</v>
      </c>
      <c r="T32" s="4" cm="1">
        <f t="array" ref="T32">VLOOKUP($Q32,$C$13:$M$32,COLUMN(E:E),0)</f>
        <v>5</v>
      </c>
      <c r="U32" s="4" cm="1">
        <f t="array" ref="U32">VLOOKUP($Q32,$C$13:$M$32,COLUMN(F:F),0)</f>
        <v>6</v>
      </c>
      <c r="V32" s="4" cm="1">
        <f t="array" ref="V32">VLOOKUP($Q32,$C$13:$M$32,COLUMN(G:G),0)</f>
        <v>27</v>
      </c>
      <c r="W32" s="4" cm="1">
        <f t="array" ref="W32">VLOOKUP($Q32,$C$13:$M$32,COLUMN(H:H),0)</f>
        <v>26</v>
      </c>
      <c r="X32" s="4" cm="1">
        <f t="array" ref="X32">VLOOKUP($Q32,$C$13:$M$32,COLUMN(I:I),0)</f>
        <v>75</v>
      </c>
      <c r="Y32" s="67" cm="1">
        <f t="array" ref="Y32">VLOOKUP($Q32,$C$13:$M$32,COLUMN(J:J),0)</f>
        <v>-49</v>
      </c>
      <c r="Z32" s="4" cm="1">
        <f t="array" ref="Z32">VLOOKUP($Q32,$C$13:$M$32,COLUMN(K:K),0)</f>
        <v>20.99951259206</v>
      </c>
      <c r="AD32" s="18">
        <v>20</v>
      </c>
      <c r="AE32" s="4" t="str">
        <f>INDEX(TableA1[TEAM],MATCH(TableA3[[#This Row],[POS]],TableA1[RANK],0))</f>
        <v>Norwich City</v>
      </c>
      <c r="AF32" s="5" cm="1">
        <f t="array" ref="AF32">INDEX(TableA1[P],MATCH(TableA3[[#This Row],[POS]:[POS]],TableA1[[RANK]:[RANK]],0))</f>
        <v>38</v>
      </c>
      <c r="AG32" s="5" cm="1">
        <f t="array" ref="AG32">INDEX(TableA1[W],MATCH(TableA3[[#This Row],[POS]:[POS]],TableA1[[RANK]:[RANK]],0))</f>
        <v>5</v>
      </c>
      <c r="AH32" s="5" cm="1">
        <f t="array" ref="AH32">INDEX(TableA1[D],MATCH(TableA3[[#This Row],[POS]:[POS]],TableA1[[RANK]:[RANK]],0))</f>
        <v>6</v>
      </c>
      <c r="AI32" s="5" cm="1">
        <f t="array" ref="AI32">INDEX(TableA1[L],MATCH(TableA3[[#This Row],[POS]:[POS]],TableA1[[RANK]:[RANK]],0))</f>
        <v>27</v>
      </c>
      <c r="AJ32" s="5" cm="1">
        <f t="array" ref="AJ32">INDEX(TableA1[F],MATCH(TableA3[[#This Row],[POS]:[POS]],TableA1[[RANK]:[RANK]],0))</f>
        <v>26</v>
      </c>
      <c r="AK32" s="5" cm="1">
        <f t="array" ref="AK32">INDEX(TableA1[A],MATCH(TableA3[[#This Row],[POS]:[POS]],TableA1[[RANK]:[RANK]],0))</f>
        <v>75</v>
      </c>
      <c r="AL32" s="13" cm="1">
        <f t="array" ref="AL32">INDEX(TableA1[GD],MATCH(TableA3[[#This Row],[POS]:[POS]],TableA1[[RANK]:[RANK]],0))</f>
        <v>-49</v>
      </c>
      <c r="AM32" s="14" cm="1">
        <f t="array" ref="AM32">INDEX(TableA1[PTS],MATCH(TableA3[[#This Row],[POS]:[POS]],TableA1[[RANK]:[RANK]],0))</f>
        <v>20.99951259206</v>
      </c>
      <c r="AP32" s="3"/>
      <c r="AQ32" s="18">
        <v>20</v>
      </c>
      <c r="AR32" s="4" t="str" cm="1">
        <f t="array" ref="AR32">_xlfn.XLOOKUP(OrderedTable3[[#This Row],[POS]:[POS]],TableA1[[RANK]:[RANK]],TableA1[TEAM])</f>
        <v>Norwich City</v>
      </c>
      <c r="AS32" s="5" cm="1">
        <f t="array" ref="AS32">_xlfn.XLOOKUP(OrderedTable3[[#This Row],[POS]:[POS]],TableA1[[RANK]:[RANK]],TableA1[P])</f>
        <v>38</v>
      </c>
      <c r="AT32" s="5" cm="1">
        <f t="array" ref="AT32">_xlfn.XLOOKUP(OrderedTable3[[#This Row],[POS]:[POS]],TableA1[[RANK]:[RANK]],TableA1[W])</f>
        <v>5</v>
      </c>
      <c r="AU32" s="5" cm="1">
        <f t="array" ref="AU32">_xlfn.XLOOKUP(OrderedTable3[[#This Row],[POS]:[POS]],TableA1[[RANK]:[RANK]],TableA1[D])</f>
        <v>6</v>
      </c>
      <c r="AV32" s="5" cm="1">
        <f t="array" ref="AV32">_xlfn.XLOOKUP(OrderedTable3[[#This Row],[POS]:[POS]],TableA1[[RANK]:[RANK]],TableA1[L])</f>
        <v>27</v>
      </c>
      <c r="AW32" s="5" cm="1">
        <f t="array" ref="AW32">_xlfn.XLOOKUP(OrderedTable3[[#This Row],[POS]:[POS]],TableA1[[RANK]:[RANK]],TableA1[F])</f>
        <v>26</v>
      </c>
      <c r="AX32" s="5" cm="1">
        <f t="array" ref="AX32">_xlfn.XLOOKUP(OrderedTable3[[#This Row],[POS]:[POS]],TableA1[[RANK]:[RANK]],TableA1[A])</f>
        <v>75</v>
      </c>
      <c r="AY32" s="13" cm="1">
        <f t="array" ref="AY32">_xlfn.XLOOKUP(OrderedTable3[[#This Row],[POS]:[POS]],TableA1[[RANK]:[RANK]],TableA1[GD])</f>
        <v>-49</v>
      </c>
      <c r="AZ32" s="14" cm="1">
        <f t="array" ref="AZ32">_xlfn.XLOOKUP(OrderedTable3[[#This Row],[POS]:[POS]],TableA1[[RANK]:[RANK]],TableA1[PTS])</f>
        <v>20.99951259206</v>
      </c>
    </row>
  </sheetData>
  <mergeCells count="21">
    <mergeCell ref="B9:N9"/>
    <mergeCell ref="P2:AA2"/>
    <mergeCell ref="P7:AA7"/>
    <mergeCell ref="AP2:BA2"/>
    <mergeCell ref="AP6:BA6"/>
    <mergeCell ref="AC2:AN2"/>
    <mergeCell ref="B2:N2"/>
    <mergeCell ref="AC7:AN7"/>
    <mergeCell ref="B4:N4"/>
    <mergeCell ref="B5:N5"/>
    <mergeCell ref="B6:N6"/>
    <mergeCell ref="B7:N7"/>
    <mergeCell ref="B8:N8"/>
    <mergeCell ref="P4:AA4"/>
    <mergeCell ref="P5:AA5"/>
    <mergeCell ref="P6:AA6"/>
    <mergeCell ref="AC4:AN4"/>
    <mergeCell ref="AC5:AN5"/>
    <mergeCell ref="AC6:AN6"/>
    <mergeCell ref="AP4:BA4"/>
    <mergeCell ref="AP5:BA5"/>
  </mergeCells>
  <hyperlinks>
    <hyperlink ref="B5:N5" r:id="rId1" display="RANK.EQ" xr:uid="{3C7FA551-FDA3-49F3-A115-649D6C50C8D1}"/>
    <hyperlink ref="B6:N6" r:id="rId2" display="COUNTIFS" xr:uid="{FDD80B98-E387-41FB-A9D4-6BE8994C4019}"/>
    <hyperlink ref="B7:N7" r:id="rId3" display="SUMIFS" xr:uid="{7F6071C2-CD07-4639-B1DF-74473EC48084}"/>
    <hyperlink ref="B8:N8" r:id="rId4" display="CODE" xr:uid="{8137D9F1-7054-4374-B2CF-27F2BF7EDE05}"/>
    <hyperlink ref="P5:AA5" r:id="rId5" display="VLOOKUP" xr:uid="{747E9F16-75B2-46A0-A230-E3032DBD9709}"/>
    <hyperlink ref="P6:AA6" r:id="rId6" display="COLUMN" xr:uid="{A7D25533-D2A8-42EA-AB73-2298BEB3120E}"/>
    <hyperlink ref="AC5:AN5" r:id="rId7" display="INDEX" xr:uid="{F34758D5-7D8A-463E-A441-A7A6C41489D2}"/>
    <hyperlink ref="AC6:AN6" r:id="rId8" display="MATCH" xr:uid="{09C03F01-6B48-4ED1-A55F-AEE2A3726ED3}"/>
    <hyperlink ref="AP5:BA5" r:id="rId9" display="XLOOKUP" xr:uid="{418BB2BE-2CBF-480E-A3F9-294341EEE5CE}"/>
  </hyperlinks>
  <pageMargins left="0.7" right="0.7" top="0.75" bottom="0.75" header="0.3" footer="0.3"/>
  <pageSetup paperSize="9" orientation="portrait" r:id="rId10"/>
  <tableParts count="4">
    <tablePart r:id="rId11"/>
    <tablePart r:id="rId12"/>
    <tablePart r:id="rId13"/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BD04-4630-4970-AE37-B1DAC091BB4D}">
  <sheetPr>
    <tabColor rgb="FF92D050"/>
  </sheetPr>
  <dimension ref="A1:AX56"/>
  <sheetViews>
    <sheetView showGridLines="0" workbookViewId="0"/>
  </sheetViews>
  <sheetFormatPr defaultRowHeight="12.75" x14ac:dyDescent="0.2"/>
  <cols>
    <col min="1" max="1" width="11.140625" bestFit="1" customWidth="1"/>
    <col min="2" max="2" width="12.7109375" style="19" bestFit="1" customWidth="1"/>
    <col min="3" max="3" width="3.5703125" style="3" bestFit="1" customWidth="1"/>
    <col min="4" max="4" width="26.42578125" style="3" bestFit="1" customWidth="1"/>
    <col min="5" max="10" width="3" style="3" bestFit="1" customWidth="1"/>
    <col min="11" max="11" width="4" style="3" bestFit="1" customWidth="1"/>
    <col min="12" max="12" width="3.7109375" style="3" bestFit="1" customWidth="1"/>
    <col min="13" max="13" width="10.5703125" customWidth="1"/>
    <col min="14" max="14" width="9.140625" style="3" customWidth="1"/>
    <col min="15" max="15" width="12.7109375" style="19" bestFit="1" customWidth="1"/>
    <col min="16" max="16" width="7.140625" style="3" bestFit="1" customWidth="1"/>
    <col min="17" max="17" width="26.42578125" style="3" bestFit="1" customWidth="1"/>
    <col min="18" max="21" width="3" style="3" bestFit="1" customWidth="1"/>
    <col min="22" max="22" width="4" style="3" bestFit="1" customWidth="1"/>
    <col min="23" max="23" width="3" style="3" bestFit="1" customWidth="1"/>
    <col min="24" max="24" width="4" style="3" bestFit="1" customWidth="1"/>
    <col min="25" max="25" width="3.7109375" style="3" bestFit="1" customWidth="1"/>
    <col min="28" max="28" width="12.7109375" bestFit="1" customWidth="1"/>
    <col min="29" max="29" width="4.5703125" bestFit="1" customWidth="1"/>
    <col min="30" max="30" width="26.42578125" bestFit="1" customWidth="1"/>
    <col min="31" max="34" width="3" bestFit="1" customWidth="1"/>
    <col min="35" max="35" width="4" bestFit="1" customWidth="1"/>
    <col min="36" max="36" width="3" bestFit="1" customWidth="1"/>
    <col min="37" max="38" width="3.7109375" bestFit="1" customWidth="1"/>
  </cols>
  <sheetData>
    <row r="1" spans="1:50" ht="26.25" x14ac:dyDescent="0.2">
      <c r="A1" s="42" t="s">
        <v>39</v>
      </c>
    </row>
    <row r="2" spans="1:50" ht="20.25" thickBot="1" x14ac:dyDescent="0.35">
      <c r="B2" s="81" t="s">
        <v>46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/>
      <c r="O2" s="85" t="s">
        <v>47</v>
      </c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B2" s="87" t="s">
        <v>48</v>
      </c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O2" s="45"/>
      <c r="AP2" s="45"/>
      <c r="AQ2" s="45"/>
      <c r="AR2" s="45"/>
      <c r="AS2" s="45"/>
      <c r="AT2" s="45"/>
      <c r="AU2" s="45"/>
      <c r="AV2" s="45"/>
      <c r="AW2" s="45"/>
      <c r="AX2" s="45"/>
    </row>
    <row r="3" spans="1:50" ht="14.25" customHeight="1" thickTop="1" x14ac:dyDescent="0.2">
      <c r="C3" s="58"/>
      <c r="D3" s="58"/>
      <c r="E3" s="58"/>
      <c r="F3" s="58"/>
      <c r="G3" s="58"/>
      <c r="H3" s="58"/>
      <c r="I3" s="58"/>
      <c r="J3" s="58"/>
      <c r="K3" s="58"/>
      <c r="L3" s="58"/>
      <c r="N3"/>
      <c r="P3"/>
      <c r="Q3"/>
      <c r="R3"/>
      <c r="S3"/>
      <c r="T3"/>
      <c r="U3"/>
      <c r="V3"/>
      <c r="W3"/>
      <c r="X3"/>
      <c r="Y3"/>
      <c r="AO3" s="45"/>
      <c r="AP3" s="45"/>
      <c r="AQ3" s="45"/>
      <c r="AR3" s="45"/>
      <c r="AS3" s="45"/>
      <c r="AT3" s="45"/>
      <c r="AU3" s="45"/>
      <c r="AV3" s="45"/>
      <c r="AW3" s="45"/>
      <c r="AX3" s="45"/>
    </row>
    <row r="4" spans="1:50" ht="15" x14ac:dyDescent="0.2">
      <c r="B4" s="76" t="s">
        <v>53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/>
      <c r="O4" s="76" t="s">
        <v>53</v>
      </c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B4" s="76" t="s">
        <v>53</v>
      </c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O4" s="45"/>
      <c r="AP4" s="45"/>
      <c r="AQ4" s="45"/>
      <c r="AR4" s="45"/>
      <c r="AS4" s="45"/>
      <c r="AT4" s="45"/>
      <c r="AU4" s="45"/>
      <c r="AV4" s="45"/>
      <c r="AW4" s="45"/>
      <c r="AX4" s="45"/>
    </row>
    <row r="5" spans="1:50" ht="15" x14ac:dyDescent="0.2">
      <c r="B5" s="88" t="s">
        <v>63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/>
      <c r="O5" s="88" t="s">
        <v>63</v>
      </c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B5" s="88" t="s">
        <v>63</v>
      </c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O5" s="45"/>
      <c r="AP5" s="45"/>
      <c r="AQ5" s="45"/>
      <c r="AR5" s="45"/>
      <c r="AS5" s="45"/>
      <c r="AT5" s="45"/>
      <c r="AU5" s="45"/>
      <c r="AV5" s="45"/>
      <c r="AW5" s="45"/>
      <c r="AX5" s="45"/>
    </row>
    <row r="6" spans="1:50" ht="15" x14ac:dyDescent="0.2">
      <c r="B6" s="88" t="s">
        <v>64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/>
      <c r="O6" s="88" t="s">
        <v>64</v>
      </c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B6" s="88" t="s">
        <v>64</v>
      </c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O6" s="45"/>
      <c r="AP6" s="45"/>
      <c r="AQ6" s="45"/>
      <c r="AR6" s="45"/>
      <c r="AS6" s="45"/>
      <c r="AT6" s="45"/>
      <c r="AU6" s="45"/>
      <c r="AV6" s="45"/>
      <c r="AW6" s="45"/>
      <c r="AX6" s="45"/>
    </row>
    <row r="7" spans="1:50" ht="15" x14ac:dyDescent="0.2">
      <c r="B7" s="88" t="s">
        <v>65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/>
      <c r="O7" s="88" t="s">
        <v>65</v>
      </c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B7" s="88" t="s">
        <v>65</v>
      </c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O7" s="45"/>
      <c r="AP7" s="45"/>
      <c r="AQ7" s="45"/>
      <c r="AR7" s="45"/>
      <c r="AS7" s="45"/>
      <c r="AT7" s="45"/>
      <c r="AU7" s="45"/>
      <c r="AV7" s="45"/>
      <c r="AW7" s="45"/>
      <c r="AX7" s="45"/>
    </row>
    <row r="8" spans="1:50" ht="15" x14ac:dyDescent="0.2">
      <c r="B8" s="88" t="s">
        <v>66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/>
      <c r="O8" s="88" t="s">
        <v>67</v>
      </c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B8" s="88" t="s">
        <v>68</v>
      </c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O8" s="46"/>
      <c r="AP8" s="46"/>
      <c r="AQ8" s="46"/>
      <c r="AR8" s="46"/>
      <c r="AS8" s="46"/>
      <c r="AT8" s="46"/>
      <c r="AU8" s="46"/>
      <c r="AV8" s="46"/>
      <c r="AW8" s="46"/>
      <c r="AX8" s="46"/>
    </row>
    <row r="9" spans="1:50" ht="14.25" customHeight="1" thickBot="1" x14ac:dyDescent="0.25">
      <c r="B9" s="88" t="s">
        <v>55</v>
      </c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O9" s="47"/>
      <c r="AP9" s="47"/>
      <c r="AQ9" s="47"/>
      <c r="AR9" s="47"/>
      <c r="AS9" s="47"/>
      <c r="AT9" s="47"/>
      <c r="AU9" s="47"/>
      <c r="AV9" s="47"/>
      <c r="AW9" s="47"/>
      <c r="AX9" s="47"/>
    </row>
    <row r="10" spans="1:50" ht="15.75" thickTop="1" x14ac:dyDescent="0.2">
      <c r="B10" s="88" t="s">
        <v>56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AO10" s="47"/>
      <c r="AP10" s="47"/>
      <c r="AQ10" s="47"/>
      <c r="AR10" s="47"/>
      <c r="AS10" s="47"/>
      <c r="AT10" s="47"/>
      <c r="AU10" s="47"/>
      <c r="AV10" s="47"/>
      <c r="AW10" s="47"/>
      <c r="AX10" s="47"/>
    </row>
    <row r="11" spans="1:50" ht="15.75" thickBot="1" x14ac:dyDescent="0.25"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AO11" s="47"/>
      <c r="AP11" s="47"/>
      <c r="AQ11" s="47"/>
      <c r="AR11" s="47"/>
      <c r="AS11" s="47"/>
      <c r="AT11" s="47"/>
      <c r="AU11" s="47"/>
      <c r="AV11" s="47"/>
      <c r="AW11" s="47"/>
      <c r="AX11" s="47"/>
    </row>
    <row r="12" spans="1:50" ht="13.5" thickTop="1" x14ac:dyDescent="0.2">
      <c r="L12" s="6"/>
      <c r="AO12" s="47"/>
      <c r="AP12" s="47"/>
      <c r="AQ12" s="47"/>
      <c r="AR12" s="47"/>
      <c r="AS12" s="47"/>
      <c r="AT12" s="47"/>
      <c r="AU12" s="47"/>
      <c r="AV12" s="47"/>
      <c r="AW12" s="47"/>
      <c r="AX12" s="47"/>
    </row>
    <row r="13" spans="1:50" ht="15" x14ac:dyDescent="0.25">
      <c r="C13" s="44" t="str" cm="1">
        <f t="array" ref="C13:L13">{"POS","TEAM","P","W","D","L","F","A","GD","PTS"}</f>
        <v>POS</v>
      </c>
      <c r="D13" s="29" t="str">
        <v>TEAM</v>
      </c>
      <c r="E13" s="30" t="str">
        <v>P</v>
      </c>
      <c r="F13" s="31" t="str">
        <v>W</v>
      </c>
      <c r="G13" s="28" t="str">
        <v>D</v>
      </c>
      <c r="H13" s="28" t="str">
        <v>L</v>
      </c>
      <c r="I13" s="28" t="str">
        <v>F</v>
      </c>
      <c r="J13" s="28" t="str">
        <v>A</v>
      </c>
      <c r="K13" s="28" t="str">
        <v>GD</v>
      </c>
      <c r="L13" s="28" t="str">
        <v>PTS</v>
      </c>
      <c r="N13" s="1"/>
      <c r="P13" s="48" t="str" cm="1">
        <f t="array" ref="P13:Y13">{"POS","TEAM","P","W","D","L","F","A","GD","PTS"}</f>
        <v>POS</v>
      </c>
      <c r="Q13" s="48" t="str">
        <v>TEAM</v>
      </c>
      <c r="R13" s="49" t="str">
        <v>P</v>
      </c>
      <c r="S13" s="50" t="str">
        <v>W</v>
      </c>
      <c r="T13" s="50" t="str">
        <v>D</v>
      </c>
      <c r="U13" s="50" t="str">
        <v>L</v>
      </c>
      <c r="V13" s="50" t="str">
        <v>F</v>
      </c>
      <c r="W13" s="50" t="str">
        <v>A</v>
      </c>
      <c r="X13" s="50" t="str">
        <v>GD</v>
      </c>
      <c r="Y13" s="51" t="str">
        <v>PTS</v>
      </c>
      <c r="AC13" s="48" t="str" cm="1">
        <f t="array" ref="AC13:AL13">{"POS","TEAM","P","W","D","L","F","A","GD","PTS"}</f>
        <v>POS</v>
      </c>
      <c r="AD13" s="48" t="str">
        <v>TEAM</v>
      </c>
      <c r="AE13" s="49" t="str">
        <v>P</v>
      </c>
      <c r="AF13" s="50" t="str">
        <v>W</v>
      </c>
      <c r="AG13" s="50" t="str">
        <v>D</v>
      </c>
      <c r="AH13" s="50" t="str">
        <v>L</v>
      </c>
      <c r="AI13" s="50" t="str">
        <v>F</v>
      </c>
      <c r="AJ13" s="50" t="str">
        <v>A</v>
      </c>
      <c r="AK13" s="50" t="str">
        <v>GD</v>
      </c>
      <c r="AL13" s="51" t="str">
        <v>PTS</v>
      </c>
      <c r="AO13" s="47"/>
      <c r="AP13" s="47"/>
      <c r="AQ13" s="47"/>
      <c r="AR13" s="47"/>
      <c r="AS13" s="47"/>
      <c r="AT13" s="47"/>
      <c r="AU13" s="47"/>
      <c r="AV13" s="47"/>
      <c r="AW13" s="47"/>
      <c r="AX13" s="47"/>
    </row>
    <row r="14" spans="1:50" ht="15" x14ac:dyDescent="0.25">
      <c r="C14" s="32" cm="1">
        <f t="array" ref="C14:C33">_xlfn.SEQUENCE(COUNTA(_xlfn.ANCHORARRAY(D14)))</f>
        <v>1</v>
      </c>
      <c r="D14" s="33" t="str" cm="1">
        <f t="array" ref="D14:D33">_xlfn._xlws.SORT(_xlfn.UNIQUE(DataTable[team_home]))</f>
        <v>Arsenal</v>
      </c>
      <c r="E14" s="34" cm="1">
        <f t="array" ref="E14:E33">COUNTIFS(DataTable[team_home],_xlfn.ANCHORARRAY(D14),DataTable[played],1)
+
COUNTIFS(DataTable[team_away],_xlfn.ANCHORARRAY(D14),DataTable[played],1)</f>
        <v>38</v>
      </c>
      <c r="F14" s="32" cm="1">
        <f t="array" ref="F14:F33">COUNTIFS(DataTable[team_home],_xlfn.ANCHORARRAY(D14),DataTable[Result],"H")
+
COUNTIFS(DataTable[team_away],_xlfn.ANCHORARRAY(D14),DataTable[Result],"A")</f>
        <v>14</v>
      </c>
      <c r="G14" s="32" cm="1">
        <f t="array" ref="G14:G33">COUNTIFS(DataTable[team_home],_xlfn.ANCHORARRAY(D14),DataTable[Result],"D")
+
COUNTIFS(DataTable[team_away],_xlfn.ANCHORARRAY(D14),DataTable[Result],"D")</f>
        <v>14</v>
      </c>
      <c r="H14" s="32" cm="1">
        <f t="array" ref="H14:H33">COUNTIFS(DataTable[team_home],_xlfn.ANCHORARRAY(D14),DataTable[Result],"A")
+
COUNTIFS(DataTable[team_away],_xlfn.ANCHORARRAY(D14),DataTable[Result],"H")</f>
        <v>10</v>
      </c>
      <c r="I14" s="32" cm="1">
        <f t="array" ref="I14:I33">SUMIFS(DataTable[home_goal],DataTable[team_home],_xlfn.ANCHORARRAY(D14))
+
SUMIFS(DataTable[away_goal],DataTable[team_away],_xlfn.ANCHORARRAY(D14))</f>
        <v>56</v>
      </c>
      <c r="J14" s="32" cm="1">
        <f t="array" ref="J14:J33">SUMIFS(DataTable[away_goal],DataTable[team_home],_xlfn.ANCHORARRAY(D14))
+
SUMIFS(DataTable[home_goal],DataTable[team_away],_xlfn.ANCHORARRAY(D14))</f>
        <v>48</v>
      </c>
      <c r="K14" s="35" cm="1">
        <f t="array" ref="K14:K33">(_xlfn.ANCHORARRAY(I14))-(_xlfn.ANCHORARRAY(J14))</f>
        <v>8</v>
      </c>
      <c r="L14" s="40" cm="1">
        <f t="array" ref="L14:L33">(_xlfn.ANCHORARRAY(F14)*3)+(_xlfn.ANCHORARRAY(G14)*1)</f>
        <v>56</v>
      </c>
      <c r="N14" s="1"/>
      <c r="P14" s="52" cm="1">
        <f t="array" ref="P14:P33">_xlfn.SEQUENCE(COUNTA(Q14:Q33))</f>
        <v>1</v>
      </c>
      <c r="Q14" s="52" t="str" cm="1">
        <f t="array" ref="Q14:Y33">_xlfn._xlws.SORT(CHOOSE({1,2,3,4,5,6,7,8,9},_xlfn.ANCHORARRAY(
D14),_xlfn.ANCHORARRAY(
E14),_xlfn.ANCHORARRAY(
F14),_xlfn.ANCHORARRAY(
G14),_xlfn.ANCHORARRAY(
H14),_xlfn.ANCHORARRAY(
I14),_xlfn.ANCHORARRAY(
J14),_xlfn.ANCHORARRAY(
K14),_xlfn.ANCHORARRAY(
L14)
),{9,8,6,1},{-1,-1,-1,1})</f>
        <v>Liverpool</v>
      </c>
      <c r="R14" s="52">
        <v>38</v>
      </c>
      <c r="S14" s="52">
        <v>32</v>
      </c>
      <c r="T14" s="52">
        <v>3</v>
      </c>
      <c r="U14" s="52">
        <v>3</v>
      </c>
      <c r="V14" s="52">
        <v>85</v>
      </c>
      <c r="W14" s="52">
        <v>33</v>
      </c>
      <c r="X14" s="52">
        <v>52</v>
      </c>
      <c r="Y14" s="53">
        <v>99</v>
      </c>
      <c r="AC14" s="52" cm="1">
        <f t="array" ref="AC14:AC33">_xlfn.SEQUENCE(COUNTA(AD14:AD33))</f>
        <v>1</v>
      </c>
      <c r="AD14" s="52" t="str" cm="1">
        <f t="array" ref="AD14:AL33">_xlfn._xlws.SORT(_xlfn.SWITCH({"Team","P","W","D","L","F","A","GD","PTS"},
"Team",_xlfn.ANCHORARRAY(
D14),
"P",_xlfn.ANCHORARRAY(
E14),
"W",_xlfn.ANCHORARRAY(
F14),
"D",_xlfn.ANCHORARRAY(
G14),
"L",_xlfn.ANCHORARRAY(
H14),
"F",_xlfn.ANCHORARRAY(
I14),
"A",_xlfn.ANCHORARRAY(
J14),
"GD",_xlfn.ANCHORARRAY(
K14),
"PTS",_xlfn.ANCHORARRAY(
L14)
),{9,8,6,1},{-1,-1,-1,1})</f>
        <v>Liverpool</v>
      </c>
      <c r="AE14" s="52">
        <v>38</v>
      </c>
      <c r="AF14" s="52">
        <v>32</v>
      </c>
      <c r="AG14" s="52">
        <v>3</v>
      </c>
      <c r="AH14" s="52">
        <v>3</v>
      </c>
      <c r="AI14" s="52">
        <v>85</v>
      </c>
      <c r="AJ14" s="52">
        <v>33</v>
      </c>
      <c r="AK14" s="52">
        <v>52</v>
      </c>
      <c r="AL14" s="53">
        <v>99</v>
      </c>
      <c r="AO14" s="47"/>
      <c r="AP14" s="47"/>
      <c r="AQ14" s="47"/>
      <c r="AR14" s="47"/>
      <c r="AS14" s="47"/>
      <c r="AT14" s="47"/>
      <c r="AU14" s="47"/>
      <c r="AV14" s="47"/>
      <c r="AW14" s="47"/>
      <c r="AX14" s="47"/>
    </row>
    <row r="15" spans="1:50" ht="15" x14ac:dyDescent="0.25">
      <c r="C15" s="36">
        <v>2</v>
      </c>
      <c r="D15" s="37" t="str">
        <v>Aston Villa</v>
      </c>
      <c r="E15" s="38">
        <v>38</v>
      </c>
      <c r="F15" s="36">
        <v>9</v>
      </c>
      <c r="G15" s="36">
        <v>8</v>
      </c>
      <c r="H15" s="36">
        <v>21</v>
      </c>
      <c r="I15" s="36">
        <v>41</v>
      </c>
      <c r="J15" s="36">
        <v>67</v>
      </c>
      <c r="K15" s="13">
        <v>-26</v>
      </c>
      <c r="L15" s="41">
        <v>35</v>
      </c>
      <c r="N15" s="1"/>
      <c r="P15" s="54">
        <v>2</v>
      </c>
      <c r="Q15" s="54" t="str">
        <v>Manchester City</v>
      </c>
      <c r="R15" s="54">
        <v>38</v>
      </c>
      <c r="S15" s="54">
        <v>26</v>
      </c>
      <c r="T15" s="54">
        <v>3</v>
      </c>
      <c r="U15" s="54">
        <v>9</v>
      </c>
      <c r="V15" s="54">
        <v>102</v>
      </c>
      <c r="W15" s="54">
        <v>35</v>
      </c>
      <c r="X15" s="54">
        <v>67</v>
      </c>
      <c r="Y15" s="55">
        <v>81</v>
      </c>
      <c r="AC15" s="54">
        <v>2</v>
      </c>
      <c r="AD15" s="54" t="str">
        <v>Manchester City</v>
      </c>
      <c r="AE15" s="54">
        <v>38</v>
      </c>
      <c r="AF15" s="54">
        <v>26</v>
      </c>
      <c r="AG15" s="54">
        <v>3</v>
      </c>
      <c r="AH15" s="54">
        <v>9</v>
      </c>
      <c r="AI15" s="54">
        <v>102</v>
      </c>
      <c r="AJ15" s="54">
        <v>35</v>
      </c>
      <c r="AK15" s="54">
        <v>67</v>
      </c>
      <c r="AL15" s="55">
        <v>81</v>
      </c>
      <c r="AO15" s="47"/>
      <c r="AP15" s="47"/>
      <c r="AQ15" s="47"/>
      <c r="AR15" s="47"/>
      <c r="AS15" s="47"/>
      <c r="AT15" s="47"/>
      <c r="AU15" s="47"/>
      <c r="AV15" s="47"/>
      <c r="AW15" s="47"/>
      <c r="AX15" s="47"/>
    </row>
    <row r="16" spans="1:50" ht="15" x14ac:dyDescent="0.25">
      <c r="C16" s="32">
        <v>3</v>
      </c>
      <c r="D16" s="33" t="str">
        <v>Bournemouth</v>
      </c>
      <c r="E16" s="34">
        <v>38</v>
      </c>
      <c r="F16" s="32">
        <v>9</v>
      </c>
      <c r="G16" s="32">
        <v>7</v>
      </c>
      <c r="H16" s="32">
        <v>22</v>
      </c>
      <c r="I16" s="32">
        <v>40</v>
      </c>
      <c r="J16" s="32">
        <v>65</v>
      </c>
      <c r="K16" s="35">
        <v>-25</v>
      </c>
      <c r="L16" s="40">
        <v>34</v>
      </c>
      <c r="N16" s="1"/>
      <c r="P16" s="52">
        <v>3</v>
      </c>
      <c r="Q16" s="52" t="str">
        <v>Manchester United</v>
      </c>
      <c r="R16" s="52">
        <v>38</v>
      </c>
      <c r="S16" s="52">
        <v>18</v>
      </c>
      <c r="T16" s="52">
        <v>12</v>
      </c>
      <c r="U16" s="52">
        <v>8</v>
      </c>
      <c r="V16" s="52">
        <v>66</v>
      </c>
      <c r="W16" s="52">
        <v>36</v>
      </c>
      <c r="X16" s="52">
        <v>30</v>
      </c>
      <c r="Y16" s="53">
        <v>66</v>
      </c>
      <c r="AC16" s="52">
        <v>3</v>
      </c>
      <c r="AD16" s="52" t="str">
        <v>Manchester United</v>
      </c>
      <c r="AE16" s="52">
        <v>38</v>
      </c>
      <c r="AF16" s="52">
        <v>18</v>
      </c>
      <c r="AG16" s="52">
        <v>12</v>
      </c>
      <c r="AH16" s="52">
        <v>8</v>
      </c>
      <c r="AI16" s="52">
        <v>66</v>
      </c>
      <c r="AJ16" s="52">
        <v>36</v>
      </c>
      <c r="AK16" s="52">
        <v>30</v>
      </c>
      <c r="AL16" s="53">
        <v>66</v>
      </c>
    </row>
    <row r="17" spans="3:38" ht="15" x14ac:dyDescent="0.25">
      <c r="C17" s="36">
        <v>4</v>
      </c>
      <c r="D17" s="37" t="str">
        <v>Brighton &amp; Hove Albion</v>
      </c>
      <c r="E17" s="38">
        <v>38</v>
      </c>
      <c r="F17" s="36">
        <v>9</v>
      </c>
      <c r="G17" s="36">
        <v>14</v>
      </c>
      <c r="H17" s="36">
        <v>15</v>
      </c>
      <c r="I17" s="36">
        <v>39</v>
      </c>
      <c r="J17" s="36">
        <v>54</v>
      </c>
      <c r="K17" s="13">
        <v>-15</v>
      </c>
      <c r="L17" s="41">
        <v>41</v>
      </c>
      <c r="N17" s="1"/>
      <c r="P17" s="54">
        <v>4</v>
      </c>
      <c r="Q17" s="54" t="str">
        <v>Chelsea</v>
      </c>
      <c r="R17" s="54">
        <v>38</v>
      </c>
      <c r="S17" s="54">
        <v>20</v>
      </c>
      <c r="T17" s="54">
        <v>6</v>
      </c>
      <c r="U17" s="54">
        <v>12</v>
      </c>
      <c r="V17" s="54">
        <v>69</v>
      </c>
      <c r="W17" s="54">
        <v>54</v>
      </c>
      <c r="X17" s="54">
        <v>15</v>
      </c>
      <c r="Y17" s="55">
        <v>66</v>
      </c>
      <c r="AC17" s="54">
        <v>4</v>
      </c>
      <c r="AD17" s="54" t="str">
        <v>Chelsea</v>
      </c>
      <c r="AE17" s="54">
        <v>38</v>
      </c>
      <c r="AF17" s="54">
        <v>20</v>
      </c>
      <c r="AG17" s="54">
        <v>6</v>
      </c>
      <c r="AH17" s="54">
        <v>12</v>
      </c>
      <c r="AI17" s="54">
        <v>69</v>
      </c>
      <c r="AJ17" s="54">
        <v>54</v>
      </c>
      <c r="AK17" s="54">
        <v>15</v>
      </c>
      <c r="AL17" s="55">
        <v>66</v>
      </c>
    </row>
    <row r="18" spans="3:38" ht="15" x14ac:dyDescent="0.25">
      <c r="C18" s="32">
        <v>5</v>
      </c>
      <c r="D18" s="33" t="str">
        <v>Burnley</v>
      </c>
      <c r="E18" s="34">
        <v>38</v>
      </c>
      <c r="F18" s="32">
        <v>15</v>
      </c>
      <c r="G18" s="32">
        <v>9</v>
      </c>
      <c r="H18" s="32">
        <v>14</v>
      </c>
      <c r="I18" s="32">
        <v>43</v>
      </c>
      <c r="J18" s="32">
        <v>50</v>
      </c>
      <c r="K18" s="35">
        <v>-7</v>
      </c>
      <c r="L18" s="40">
        <v>54</v>
      </c>
      <c r="N18" s="1"/>
      <c r="P18" s="52">
        <v>5</v>
      </c>
      <c r="Q18" s="52" t="str">
        <v>Leicester City</v>
      </c>
      <c r="R18" s="52">
        <v>38</v>
      </c>
      <c r="S18" s="52">
        <v>18</v>
      </c>
      <c r="T18" s="52">
        <v>8</v>
      </c>
      <c r="U18" s="52">
        <v>12</v>
      </c>
      <c r="V18" s="52">
        <v>67</v>
      </c>
      <c r="W18" s="52">
        <v>41</v>
      </c>
      <c r="X18" s="52">
        <v>26</v>
      </c>
      <c r="Y18" s="53">
        <v>62</v>
      </c>
      <c r="AC18" s="52">
        <v>5</v>
      </c>
      <c r="AD18" s="52" t="str">
        <v>Leicester City</v>
      </c>
      <c r="AE18" s="52">
        <v>38</v>
      </c>
      <c r="AF18" s="52">
        <v>18</v>
      </c>
      <c r="AG18" s="52">
        <v>8</v>
      </c>
      <c r="AH18" s="52">
        <v>12</v>
      </c>
      <c r="AI18" s="52">
        <v>67</v>
      </c>
      <c r="AJ18" s="52">
        <v>41</v>
      </c>
      <c r="AK18" s="52">
        <v>26</v>
      </c>
      <c r="AL18" s="53">
        <v>62</v>
      </c>
    </row>
    <row r="19" spans="3:38" ht="15" x14ac:dyDescent="0.25">
      <c r="C19" s="36">
        <v>6</v>
      </c>
      <c r="D19" s="37" t="str">
        <v>Chelsea</v>
      </c>
      <c r="E19" s="38">
        <v>38</v>
      </c>
      <c r="F19" s="36">
        <v>20</v>
      </c>
      <c r="G19" s="36">
        <v>6</v>
      </c>
      <c r="H19" s="36">
        <v>12</v>
      </c>
      <c r="I19" s="36">
        <v>69</v>
      </c>
      <c r="J19" s="36">
        <v>54</v>
      </c>
      <c r="K19" s="13">
        <v>15</v>
      </c>
      <c r="L19" s="41">
        <v>66</v>
      </c>
      <c r="N19" s="1"/>
      <c r="P19" s="54">
        <v>6</v>
      </c>
      <c r="Q19" s="54" t="str">
        <v>Tottenham Hotspur</v>
      </c>
      <c r="R19" s="54">
        <v>38</v>
      </c>
      <c r="S19" s="54">
        <v>16</v>
      </c>
      <c r="T19" s="54">
        <v>11</v>
      </c>
      <c r="U19" s="54">
        <v>11</v>
      </c>
      <c r="V19" s="54">
        <v>61</v>
      </c>
      <c r="W19" s="54">
        <v>47</v>
      </c>
      <c r="X19" s="54">
        <v>14</v>
      </c>
      <c r="Y19" s="55">
        <v>59</v>
      </c>
      <c r="AC19" s="54">
        <v>6</v>
      </c>
      <c r="AD19" s="54" t="str">
        <v>Tottenham Hotspur</v>
      </c>
      <c r="AE19" s="54">
        <v>38</v>
      </c>
      <c r="AF19" s="54">
        <v>16</v>
      </c>
      <c r="AG19" s="54">
        <v>11</v>
      </c>
      <c r="AH19" s="54">
        <v>11</v>
      </c>
      <c r="AI19" s="54">
        <v>61</v>
      </c>
      <c r="AJ19" s="54">
        <v>47</v>
      </c>
      <c r="AK19" s="54">
        <v>14</v>
      </c>
      <c r="AL19" s="55">
        <v>59</v>
      </c>
    </row>
    <row r="20" spans="3:38" ht="15" x14ac:dyDescent="0.25">
      <c r="C20" s="32">
        <v>7</v>
      </c>
      <c r="D20" s="33" t="str">
        <v>Crystal Palace</v>
      </c>
      <c r="E20" s="34">
        <v>38</v>
      </c>
      <c r="F20" s="32">
        <v>11</v>
      </c>
      <c r="G20" s="32">
        <v>10</v>
      </c>
      <c r="H20" s="32">
        <v>17</v>
      </c>
      <c r="I20" s="32">
        <v>31</v>
      </c>
      <c r="J20" s="32">
        <v>50</v>
      </c>
      <c r="K20" s="35">
        <v>-19</v>
      </c>
      <c r="L20" s="40">
        <v>43</v>
      </c>
      <c r="N20" s="1"/>
      <c r="P20" s="52">
        <v>7</v>
      </c>
      <c r="Q20" s="52" t="str">
        <v>Wolverhampton Wanderers</v>
      </c>
      <c r="R20" s="52">
        <v>38</v>
      </c>
      <c r="S20" s="52">
        <v>15</v>
      </c>
      <c r="T20" s="52">
        <v>14</v>
      </c>
      <c r="U20" s="52">
        <v>9</v>
      </c>
      <c r="V20" s="52">
        <v>51</v>
      </c>
      <c r="W20" s="52">
        <v>40</v>
      </c>
      <c r="X20" s="52">
        <v>11</v>
      </c>
      <c r="Y20" s="53">
        <v>59</v>
      </c>
      <c r="AC20" s="52">
        <v>7</v>
      </c>
      <c r="AD20" s="52" t="str">
        <v>Wolverhampton Wanderers</v>
      </c>
      <c r="AE20" s="52">
        <v>38</v>
      </c>
      <c r="AF20" s="52">
        <v>15</v>
      </c>
      <c r="AG20" s="52">
        <v>14</v>
      </c>
      <c r="AH20" s="52">
        <v>9</v>
      </c>
      <c r="AI20" s="52">
        <v>51</v>
      </c>
      <c r="AJ20" s="52">
        <v>40</v>
      </c>
      <c r="AK20" s="52">
        <v>11</v>
      </c>
      <c r="AL20" s="53">
        <v>59</v>
      </c>
    </row>
    <row r="21" spans="3:38" ht="15" x14ac:dyDescent="0.25">
      <c r="C21" s="36">
        <v>8</v>
      </c>
      <c r="D21" s="37" t="str">
        <v>Everton</v>
      </c>
      <c r="E21" s="38">
        <v>38</v>
      </c>
      <c r="F21" s="36">
        <v>13</v>
      </c>
      <c r="G21" s="36">
        <v>10</v>
      </c>
      <c r="H21" s="36">
        <v>15</v>
      </c>
      <c r="I21" s="36">
        <v>44</v>
      </c>
      <c r="J21" s="36">
        <v>56</v>
      </c>
      <c r="K21" s="13">
        <v>-12</v>
      </c>
      <c r="L21" s="41">
        <v>49</v>
      </c>
      <c r="N21" s="1"/>
      <c r="P21" s="54">
        <v>8</v>
      </c>
      <c r="Q21" s="54" t="str">
        <v>Arsenal</v>
      </c>
      <c r="R21" s="54">
        <v>38</v>
      </c>
      <c r="S21" s="54">
        <v>14</v>
      </c>
      <c r="T21" s="54">
        <v>14</v>
      </c>
      <c r="U21" s="54">
        <v>10</v>
      </c>
      <c r="V21" s="54">
        <v>56</v>
      </c>
      <c r="W21" s="54">
        <v>48</v>
      </c>
      <c r="X21" s="54">
        <v>8</v>
      </c>
      <c r="Y21" s="55">
        <v>56</v>
      </c>
      <c r="AC21" s="54">
        <v>8</v>
      </c>
      <c r="AD21" s="54" t="str">
        <v>Arsenal</v>
      </c>
      <c r="AE21" s="54">
        <v>38</v>
      </c>
      <c r="AF21" s="54">
        <v>14</v>
      </c>
      <c r="AG21" s="54">
        <v>14</v>
      </c>
      <c r="AH21" s="54">
        <v>10</v>
      </c>
      <c r="AI21" s="54">
        <v>56</v>
      </c>
      <c r="AJ21" s="54">
        <v>48</v>
      </c>
      <c r="AK21" s="54">
        <v>8</v>
      </c>
      <c r="AL21" s="55">
        <v>56</v>
      </c>
    </row>
    <row r="22" spans="3:38" ht="15" x14ac:dyDescent="0.25">
      <c r="C22" s="32">
        <v>9</v>
      </c>
      <c r="D22" s="33" t="str">
        <v>Leicester City</v>
      </c>
      <c r="E22" s="34">
        <v>38</v>
      </c>
      <c r="F22" s="32">
        <v>18</v>
      </c>
      <c r="G22" s="32">
        <v>8</v>
      </c>
      <c r="H22" s="32">
        <v>12</v>
      </c>
      <c r="I22" s="32">
        <v>67</v>
      </c>
      <c r="J22" s="32">
        <v>41</v>
      </c>
      <c r="K22" s="35">
        <v>26</v>
      </c>
      <c r="L22" s="40">
        <v>62</v>
      </c>
      <c r="N22" s="1"/>
      <c r="P22" s="52">
        <v>9</v>
      </c>
      <c r="Q22" s="52" t="str">
        <v>Sheffield United</v>
      </c>
      <c r="R22" s="52">
        <v>38</v>
      </c>
      <c r="S22" s="52">
        <v>14</v>
      </c>
      <c r="T22" s="52">
        <v>12</v>
      </c>
      <c r="U22" s="52">
        <v>12</v>
      </c>
      <c r="V22" s="52">
        <v>39</v>
      </c>
      <c r="W22" s="52">
        <v>39</v>
      </c>
      <c r="X22" s="52">
        <v>0</v>
      </c>
      <c r="Y22" s="53">
        <v>54</v>
      </c>
      <c r="AC22" s="52">
        <v>9</v>
      </c>
      <c r="AD22" s="52" t="str">
        <v>Sheffield United</v>
      </c>
      <c r="AE22" s="52">
        <v>38</v>
      </c>
      <c r="AF22" s="52">
        <v>14</v>
      </c>
      <c r="AG22" s="52">
        <v>12</v>
      </c>
      <c r="AH22" s="52">
        <v>12</v>
      </c>
      <c r="AI22" s="52">
        <v>39</v>
      </c>
      <c r="AJ22" s="52">
        <v>39</v>
      </c>
      <c r="AK22" s="52">
        <v>0</v>
      </c>
      <c r="AL22" s="53">
        <v>54</v>
      </c>
    </row>
    <row r="23" spans="3:38" ht="15" x14ac:dyDescent="0.25">
      <c r="C23" s="36">
        <v>10</v>
      </c>
      <c r="D23" s="37" t="str">
        <v>Liverpool</v>
      </c>
      <c r="E23" s="38">
        <v>38</v>
      </c>
      <c r="F23" s="36">
        <v>32</v>
      </c>
      <c r="G23" s="36">
        <v>3</v>
      </c>
      <c r="H23" s="36">
        <v>3</v>
      </c>
      <c r="I23" s="36">
        <v>85</v>
      </c>
      <c r="J23" s="36">
        <v>33</v>
      </c>
      <c r="K23" s="13">
        <v>52</v>
      </c>
      <c r="L23" s="41">
        <v>99</v>
      </c>
      <c r="N23" s="1"/>
      <c r="P23" s="54">
        <v>10</v>
      </c>
      <c r="Q23" s="54" t="str">
        <v>Burnley</v>
      </c>
      <c r="R23" s="54">
        <v>38</v>
      </c>
      <c r="S23" s="54">
        <v>15</v>
      </c>
      <c r="T23" s="54">
        <v>9</v>
      </c>
      <c r="U23" s="54">
        <v>14</v>
      </c>
      <c r="V23" s="54">
        <v>43</v>
      </c>
      <c r="W23" s="54">
        <v>50</v>
      </c>
      <c r="X23" s="54">
        <v>-7</v>
      </c>
      <c r="Y23" s="55">
        <v>54</v>
      </c>
      <c r="AC23" s="54">
        <v>10</v>
      </c>
      <c r="AD23" s="54" t="str">
        <v>Burnley</v>
      </c>
      <c r="AE23" s="54">
        <v>38</v>
      </c>
      <c r="AF23" s="54">
        <v>15</v>
      </c>
      <c r="AG23" s="54">
        <v>9</v>
      </c>
      <c r="AH23" s="54">
        <v>14</v>
      </c>
      <c r="AI23" s="54">
        <v>43</v>
      </c>
      <c r="AJ23" s="54">
        <v>50</v>
      </c>
      <c r="AK23" s="54">
        <v>-7</v>
      </c>
      <c r="AL23" s="55">
        <v>54</v>
      </c>
    </row>
    <row r="24" spans="3:38" ht="15" x14ac:dyDescent="0.25">
      <c r="C24" s="32">
        <v>11</v>
      </c>
      <c r="D24" s="33" t="str">
        <v>Manchester City</v>
      </c>
      <c r="E24" s="34">
        <v>38</v>
      </c>
      <c r="F24" s="32">
        <v>26</v>
      </c>
      <c r="G24" s="32">
        <v>3</v>
      </c>
      <c r="H24" s="32">
        <v>9</v>
      </c>
      <c r="I24" s="32">
        <v>102</v>
      </c>
      <c r="J24" s="32">
        <v>35</v>
      </c>
      <c r="K24" s="35">
        <v>67</v>
      </c>
      <c r="L24" s="40">
        <v>81</v>
      </c>
      <c r="N24" s="1"/>
      <c r="P24" s="52">
        <v>11</v>
      </c>
      <c r="Q24" s="52" t="str">
        <v>Southampton</v>
      </c>
      <c r="R24" s="52">
        <v>38</v>
      </c>
      <c r="S24" s="52">
        <v>15</v>
      </c>
      <c r="T24" s="52">
        <v>7</v>
      </c>
      <c r="U24" s="52">
        <v>16</v>
      </c>
      <c r="V24" s="52">
        <v>51</v>
      </c>
      <c r="W24" s="52">
        <v>60</v>
      </c>
      <c r="X24" s="52">
        <v>-9</v>
      </c>
      <c r="Y24" s="53">
        <v>52</v>
      </c>
      <c r="AC24" s="52">
        <v>11</v>
      </c>
      <c r="AD24" s="52" t="str">
        <v>Southampton</v>
      </c>
      <c r="AE24" s="52">
        <v>38</v>
      </c>
      <c r="AF24" s="52">
        <v>15</v>
      </c>
      <c r="AG24" s="52">
        <v>7</v>
      </c>
      <c r="AH24" s="52">
        <v>16</v>
      </c>
      <c r="AI24" s="52">
        <v>51</v>
      </c>
      <c r="AJ24" s="52">
        <v>60</v>
      </c>
      <c r="AK24" s="52">
        <v>-9</v>
      </c>
      <c r="AL24" s="53">
        <v>52</v>
      </c>
    </row>
    <row r="25" spans="3:38" ht="15" x14ac:dyDescent="0.25">
      <c r="C25" s="36">
        <v>12</v>
      </c>
      <c r="D25" s="37" t="str">
        <v>Manchester United</v>
      </c>
      <c r="E25" s="38">
        <v>38</v>
      </c>
      <c r="F25" s="36">
        <v>18</v>
      </c>
      <c r="G25" s="36">
        <v>12</v>
      </c>
      <c r="H25" s="36">
        <v>8</v>
      </c>
      <c r="I25" s="36">
        <v>66</v>
      </c>
      <c r="J25" s="36">
        <v>36</v>
      </c>
      <c r="K25" s="13">
        <v>30</v>
      </c>
      <c r="L25" s="41">
        <v>66</v>
      </c>
      <c r="N25" s="1"/>
      <c r="P25" s="54">
        <v>12</v>
      </c>
      <c r="Q25" s="54" t="str">
        <v>Everton</v>
      </c>
      <c r="R25" s="54">
        <v>38</v>
      </c>
      <c r="S25" s="54">
        <v>13</v>
      </c>
      <c r="T25" s="54">
        <v>10</v>
      </c>
      <c r="U25" s="54">
        <v>15</v>
      </c>
      <c r="V25" s="54">
        <v>44</v>
      </c>
      <c r="W25" s="54">
        <v>56</v>
      </c>
      <c r="X25" s="54">
        <v>-12</v>
      </c>
      <c r="Y25" s="55">
        <v>49</v>
      </c>
      <c r="AC25" s="54">
        <v>12</v>
      </c>
      <c r="AD25" s="54" t="str">
        <v>Everton</v>
      </c>
      <c r="AE25" s="54">
        <v>38</v>
      </c>
      <c r="AF25" s="54">
        <v>13</v>
      </c>
      <c r="AG25" s="54">
        <v>10</v>
      </c>
      <c r="AH25" s="54">
        <v>15</v>
      </c>
      <c r="AI25" s="54">
        <v>44</v>
      </c>
      <c r="AJ25" s="54">
        <v>56</v>
      </c>
      <c r="AK25" s="54">
        <v>-12</v>
      </c>
      <c r="AL25" s="55">
        <v>49</v>
      </c>
    </row>
    <row r="26" spans="3:38" ht="15" x14ac:dyDescent="0.25">
      <c r="C26" s="32">
        <v>13</v>
      </c>
      <c r="D26" s="33" t="str">
        <v>Newcastle United</v>
      </c>
      <c r="E26" s="34">
        <v>38</v>
      </c>
      <c r="F26" s="32">
        <v>11</v>
      </c>
      <c r="G26" s="32">
        <v>11</v>
      </c>
      <c r="H26" s="32">
        <v>16</v>
      </c>
      <c r="I26" s="32">
        <v>38</v>
      </c>
      <c r="J26" s="32">
        <v>58</v>
      </c>
      <c r="K26" s="35">
        <v>-20</v>
      </c>
      <c r="L26" s="40">
        <v>44</v>
      </c>
      <c r="N26" s="1"/>
      <c r="P26" s="52">
        <v>13</v>
      </c>
      <c r="Q26" s="52" t="str">
        <v>Newcastle United</v>
      </c>
      <c r="R26" s="52">
        <v>38</v>
      </c>
      <c r="S26" s="52">
        <v>11</v>
      </c>
      <c r="T26" s="52">
        <v>11</v>
      </c>
      <c r="U26" s="52">
        <v>16</v>
      </c>
      <c r="V26" s="52">
        <v>38</v>
      </c>
      <c r="W26" s="52">
        <v>58</v>
      </c>
      <c r="X26" s="52">
        <v>-20</v>
      </c>
      <c r="Y26" s="53">
        <v>44</v>
      </c>
      <c r="AC26" s="52">
        <v>13</v>
      </c>
      <c r="AD26" s="52" t="str">
        <v>Newcastle United</v>
      </c>
      <c r="AE26" s="52">
        <v>38</v>
      </c>
      <c r="AF26" s="52">
        <v>11</v>
      </c>
      <c r="AG26" s="52">
        <v>11</v>
      </c>
      <c r="AH26" s="52">
        <v>16</v>
      </c>
      <c r="AI26" s="52">
        <v>38</v>
      </c>
      <c r="AJ26" s="52">
        <v>58</v>
      </c>
      <c r="AK26" s="52">
        <v>-20</v>
      </c>
      <c r="AL26" s="53">
        <v>44</v>
      </c>
    </row>
    <row r="27" spans="3:38" ht="15" x14ac:dyDescent="0.25">
      <c r="C27" s="36">
        <v>14</v>
      </c>
      <c r="D27" s="37" t="str">
        <v>Norwich City</v>
      </c>
      <c r="E27" s="38">
        <v>38</v>
      </c>
      <c r="F27" s="36">
        <v>5</v>
      </c>
      <c r="G27" s="36">
        <v>6</v>
      </c>
      <c r="H27" s="36">
        <v>27</v>
      </c>
      <c r="I27" s="36">
        <v>26</v>
      </c>
      <c r="J27" s="36">
        <v>75</v>
      </c>
      <c r="K27" s="13">
        <v>-49</v>
      </c>
      <c r="L27" s="41">
        <v>21</v>
      </c>
      <c r="N27" s="1"/>
      <c r="P27" s="54">
        <v>14</v>
      </c>
      <c r="Q27" s="54" t="str">
        <v>Crystal Palace</v>
      </c>
      <c r="R27" s="54">
        <v>38</v>
      </c>
      <c r="S27" s="54">
        <v>11</v>
      </c>
      <c r="T27" s="54">
        <v>10</v>
      </c>
      <c r="U27" s="54">
        <v>17</v>
      </c>
      <c r="V27" s="54">
        <v>31</v>
      </c>
      <c r="W27" s="54">
        <v>50</v>
      </c>
      <c r="X27" s="54">
        <v>-19</v>
      </c>
      <c r="Y27" s="55">
        <v>43</v>
      </c>
      <c r="AC27" s="54">
        <v>14</v>
      </c>
      <c r="AD27" s="54" t="str">
        <v>Crystal Palace</v>
      </c>
      <c r="AE27" s="54">
        <v>38</v>
      </c>
      <c r="AF27" s="54">
        <v>11</v>
      </c>
      <c r="AG27" s="54">
        <v>10</v>
      </c>
      <c r="AH27" s="54">
        <v>17</v>
      </c>
      <c r="AI27" s="54">
        <v>31</v>
      </c>
      <c r="AJ27" s="54">
        <v>50</v>
      </c>
      <c r="AK27" s="54">
        <v>-19</v>
      </c>
      <c r="AL27" s="55">
        <v>43</v>
      </c>
    </row>
    <row r="28" spans="3:38" ht="15" x14ac:dyDescent="0.25">
      <c r="C28" s="32">
        <v>15</v>
      </c>
      <c r="D28" s="33" t="str">
        <v>Sheffield United</v>
      </c>
      <c r="E28" s="34">
        <v>38</v>
      </c>
      <c r="F28" s="32">
        <v>14</v>
      </c>
      <c r="G28" s="32">
        <v>12</v>
      </c>
      <c r="H28" s="32">
        <v>12</v>
      </c>
      <c r="I28" s="32">
        <v>39</v>
      </c>
      <c r="J28" s="32">
        <v>39</v>
      </c>
      <c r="K28" s="35">
        <v>0</v>
      </c>
      <c r="L28" s="40">
        <v>54</v>
      </c>
      <c r="N28" s="1"/>
      <c r="P28" s="52">
        <v>15</v>
      </c>
      <c r="Q28" s="52" t="str">
        <v>Brighton &amp; Hove Albion</v>
      </c>
      <c r="R28" s="52">
        <v>38</v>
      </c>
      <c r="S28" s="52">
        <v>9</v>
      </c>
      <c r="T28" s="52">
        <v>14</v>
      </c>
      <c r="U28" s="52">
        <v>15</v>
      </c>
      <c r="V28" s="52">
        <v>39</v>
      </c>
      <c r="W28" s="52">
        <v>54</v>
      </c>
      <c r="X28" s="52">
        <v>-15</v>
      </c>
      <c r="Y28" s="53">
        <v>41</v>
      </c>
      <c r="AC28" s="52">
        <v>15</v>
      </c>
      <c r="AD28" s="52" t="str">
        <v>Brighton &amp; Hove Albion</v>
      </c>
      <c r="AE28" s="52">
        <v>38</v>
      </c>
      <c r="AF28" s="52">
        <v>9</v>
      </c>
      <c r="AG28" s="52">
        <v>14</v>
      </c>
      <c r="AH28" s="52">
        <v>15</v>
      </c>
      <c r="AI28" s="52">
        <v>39</v>
      </c>
      <c r="AJ28" s="52">
        <v>54</v>
      </c>
      <c r="AK28" s="52">
        <v>-15</v>
      </c>
      <c r="AL28" s="53">
        <v>41</v>
      </c>
    </row>
    <row r="29" spans="3:38" ht="15" x14ac:dyDescent="0.25">
      <c r="C29" s="36">
        <v>16</v>
      </c>
      <c r="D29" s="37" t="str">
        <v>Southampton</v>
      </c>
      <c r="E29" s="38">
        <v>38</v>
      </c>
      <c r="F29" s="36">
        <v>15</v>
      </c>
      <c r="G29" s="36">
        <v>7</v>
      </c>
      <c r="H29" s="36">
        <v>16</v>
      </c>
      <c r="I29" s="36">
        <v>51</v>
      </c>
      <c r="J29" s="36">
        <v>60</v>
      </c>
      <c r="K29" s="13">
        <v>-9</v>
      </c>
      <c r="L29" s="41">
        <v>52</v>
      </c>
      <c r="N29" s="1"/>
      <c r="P29" s="54">
        <v>16</v>
      </c>
      <c r="Q29" s="54" t="str">
        <v>West Ham United</v>
      </c>
      <c r="R29" s="54">
        <v>38</v>
      </c>
      <c r="S29" s="54">
        <v>10</v>
      </c>
      <c r="T29" s="54">
        <v>9</v>
      </c>
      <c r="U29" s="54">
        <v>19</v>
      </c>
      <c r="V29" s="54">
        <v>49</v>
      </c>
      <c r="W29" s="54">
        <v>62</v>
      </c>
      <c r="X29" s="54">
        <v>-13</v>
      </c>
      <c r="Y29" s="55">
        <v>39</v>
      </c>
      <c r="AC29" s="54">
        <v>16</v>
      </c>
      <c r="AD29" s="54" t="str">
        <v>West Ham United</v>
      </c>
      <c r="AE29" s="54">
        <v>38</v>
      </c>
      <c r="AF29" s="54">
        <v>10</v>
      </c>
      <c r="AG29" s="54">
        <v>9</v>
      </c>
      <c r="AH29" s="54">
        <v>19</v>
      </c>
      <c r="AI29" s="54">
        <v>49</v>
      </c>
      <c r="AJ29" s="54">
        <v>62</v>
      </c>
      <c r="AK29" s="54">
        <v>-13</v>
      </c>
      <c r="AL29" s="55">
        <v>39</v>
      </c>
    </row>
    <row r="30" spans="3:38" ht="15" x14ac:dyDescent="0.25">
      <c r="C30" s="32">
        <v>17</v>
      </c>
      <c r="D30" s="33" t="str">
        <v>Tottenham Hotspur</v>
      </c>
      <c r="E30" s="34">
        <v>38</v>
      </c>
      <c r="F30" s="32">
        <v>16</v>
      </c>
      <c r="G30" s="32">
        <v>11</v>
      </c>
      <c r="H30" s="32">
        <v>11</v>
      </c>
      <c r="I30" s="32">
        <v>61</v>
      </c>
      <c r="J30" s="32">
        <v>47</v>
      </c>
      <c r="K30" s="35">
        <v>14</v>
      </c>
      <c r="L30" s="40">
        <v>59</v>
      </c>
      <c r="N30" s="1"/>
      <c r="P30" s="52">
        <v>17</v>
      </c>
      <c r="Q30" s="52" t="str">
        <v>Aston Villa</v>
      </c>
      <c r="R30" s="52">
        <v>38</v>
      </c>
      <c r="S30" s="52">
        <v>9</v>
      </c>
      <c r="T30" s="52">
        <v>8</v>
      </c>
      <c r="U30" s="52">
        <v>21</v>
      </c>
      <c r="V30" s="52">
        <v>41</v>
      </c>
      <c r="W30" s="52">
        <v>67</v>
      </c>
      <c r="X30" s="52">
        <v>-26</v>
      </c>
      <c r="Y30" s="53">
        <v>35</v>
      </c>
      <c r="AC30" s="52">
        <v>17</v>
      </c>
      <c r="AD30" s="52" t="str">
        <v>Aston Villa</v>
      </c>
      <c r="AE30" s="52">
        <v>38</v>
      </c>
      <c r="AF30" s="52">
        <v>9</v>
      </c>
      <c r="AG30" s="52">
        <v>8</v>
      </c>
      <c r="AH30" s="52">
        <v>21</v>
      </c>
      <c r="AI30" s="52">
        <v>41</v>
      </c>
      <c r="AJ30" s="52">
        <v>67</v>
      </c>
      <c r="AK30" s="52">
        <v>-26</v>
      </c>
      <c r="AL30" s="53">
        <v>35</v>
      </c>
    </row>
    <row r="31" spans="3:38" ht="15" x14ac:dyDescent="0.25">
      <c r="C31" s="36">
        <v>18</v>
      </c>
      <c r="D31" s="37" t="str">
        <v>Watford</v>
      </c>
      <c r="E31" s="38">
        <v>38</v>
      </c>
      <c r="F31" s="36">
        <v>8</v>
      </c>
      <c r="G31" s="36">
        <v>10</v>
      </c>
      <c r="H31" s="36">
        <v>20</v>
      </c>
      <c r="I31" s="36">
        <v>36</v>
      </c>
      <c r="J31" s="36">
        <v>64</v>
      </c>
      <c r="K31" s="13">
        <v>-28</v>
      </c>
      <c r="L31" s="41">
        <v>34</v>
      </c>
      <c r="N31" s="1"/>
      <c r="P31" s="54">
        <v>18</v>
      </c>
      <c r="Q31" s="54" t="str">
        <v>Bournemouth</v>
      </c>
      <c r="R31" s="54">
        <v>38</v>
      </c>
      <c r="S31" s="54">
        <v>9</v>
      </c>
      <c r="T31" s="54">
        <v>7</v>
      </c>
      <c r="U31" s="54">
        <v>22</v>
      </c>
      <c r="V31" s="54">
        <v>40</v>
      </c>
      <c r="W31" s="54">
        <v>65</v>
      </c>
      <c r="X31" s="54">
        <v>-25</v>
      </c>
      <c r="Y31" s="55">
        <v>34</v>
      </c>
      <c r="AC31" s="54">
        <v>18</v>
      </c>
      <c r="AD31" s="54" t="str">
        <v>Bournemouth</v>
      </c>
      <c r="AE31" s="54">
        <v>38</v>
      </c>
      <c r="AF31" s="54">
        <v>9</v>
      </c>
      <c r="AG31" s="54">
        <v>7</v>
      </c>
      <c r="AH31" s="54">
        <v>22</v>
      </c>
      <c r="AI31" s="54">
        <v>40</v>
      </c>
      <c r="AJ31" s="54">
        <v>65</v>
      </c>
      <c r="AK31" s="54">
        <v>-25</v>
      </c>
      <c r="AL31" s="55">
        <v>34</v>
      </c>
    </row>
    <row r="32" spans="3:38" ht="15" x14ac:dyDescent="0.25">
      <c r="C32" s="32">
        <v>19</v>
      </c>
      <c r="D32" s="33" t="str">
        <v>West Ham United</v>
      </c>
      <c r="E32" s="34">
        <v>38</v>
      </c>
      <c r="F32" s="32">
        <v>10</v>
      </c>
      <c r="G32" s="32">
        <v>9</v>
      </c>
      <c r="H32" s="32">
        <v>19</v>
      </c>
      <c r="I32" s="32">
        <v>49</v>
      </c>
      <c r="J32" s="32">
        <v>62</v>
      </c>
      <c r="K32" s="35">
        <v>-13</v>
      </c>
      <c r="L32" s="40">
        <v>39</v>
      </c>
      <c r="N32" s="1"/>
      <c r="P32" s="52">
        <v>19</v>
      </c>
      <c r="Q32" s="52" t="str">
        <v>Watford</v>
      </c>
      <c r="R32" s="52">
        <v>38</v>
      </c>
      <c r="S32" s="52">
        <v>8</v>
      </c>
      <c r="T32" s="52">
        <v>10</v>
      </c>
      <c r="U32" s="52">
        <v>20</v>
      </c>
      <c r="V32" s="52">
        <v>36</v>
      </c>
      <c r="W32" s="52">
        <v>64</v>
      </c>
      <c r="X32" s="52">
        <v>-28</v>
      </c>
      <c r="Y32" s="53">
        <v>34</v>
      </c>
      <c r="AC32" s="52">
        <v>19</v>
      </c>
      <c r="AD32" s="52" t="str">
        <v>Watford</v>
      </c>
      <c r="AE32" s="52">
        <v>38</v>
      </c>
      <c r="AF32" s="52">
        <v>8</v>
      </c>
      <c r="AG32" s="52">
        <v>10</v>
      </c>
      <c r="AH32" s="52">
        <v>20</v>
      </c>
      <c r="AI32" s="52">
        <v>36</v>
      </c>
      <c r="AJ32" s="52">
        <v>64</v>
      </c>
      <c r="AK32" s="52">
        <v>-28</v>
      </c>
      <c r="AL32" s="53">
        <v>34</v>
      </c>
    </row>
    <row r="33" spans="2:38" ht="15" x14ac:dyDescent="0.25">
      <c r="C33" s="36">
        <v>20</v>
      </c>
      <c r="D33" s="37" t="str">
        <v>Wolverhampton Wanderers</v>
      </c>
      <c r="E33" s="39">
        <v>38</v>
      </c>
      <c r="F33" s="36">
        <v>15</v>
      </c>
      <c r="G33" s="36">
        <v>14</v>
      </c>
      <c r="H33" s="36">
        <v>9</v>
      </c>
      <c r="I33" s="36">
        <v>51</v>
      </c>
      <c r="J33" s="36">
        <v>40</v>
      </c>
      <c r="K33" s="13">
        <v>11</v>
      </c>
      <c r="L33" s="41">
        <v>59</v>
      </c>
      <c r="N33" s="1"/>
      <c r="P33" s="36">
        <v>20</v>
      </c>
      <c r="Q33" s="39" t="str">
        <v>Norwich City</v>
      </c>
      <c r="R33" s="39">
        <v>38</v>
      </c>
      <c r="S33" s="39">
        <v>5</v>
      </c>
      <c r="T33" s="39">
        <v>6</v>
      </c>
      <c r="U33" s="39">
        <v>27</v>
      </c>
      <c r="V33" s="39">
        <v>26</v>
      </c>
      <c r="W33" s="39">
        <v>75</v>
      </c>
      <c r="X33" s="39">
        <v>-49</v>
      </c>
      <c r="Y33" s="56">
        <v>21</v>
      </c>
      <c r="AC33" s="36">
        <v>20</v>
      </c>
      <c r="AD33" s="39" t="str">
        <v>Norwich City</v>
      </c>
      <c r="AE33" s="39">
        <v>38</v>
      </c>
      <c r="AF33" s="39">
        <v>5</v>
      </c>
      <c r="AG33" s="39">
        <v>6</v>
      </c>
      <c r="AH33" s="39">
        <v>27</v>
      </c>
      <c r="AI33" s="39">
        <v>26</v>
      </c>
      <c r="AJ33" s="39">
        <v>75</v>
      </c>
      <c r="AK33" s="39">
        <v>-49</v>
      </c>
      <c r="AL33" s="56">
        <v>21</v>
      </c>
    </row>
    <row r="36" spans="2:38" x14ac:dyDescent="0.2">
      <c r="B36"/>
      <c r="C36"/>
      <c r="D36"/>
      <c r="E36"/>
      <c r="F36"/>
      <c r="G36"/>
      <c r="H36"/>
      <c r="I36"/>
      <c r="J36"/>
      <c r="K36"/>
      <c r="L36"/>
      <c r="N36"/>
      <c r="O36"/>
      <c r="P36"/>
      <c r="Q36"/>
      <c r="R36"/>
      <c r="S36"/>
      <c r="T36"/>
      <c r="U36"/>
      <c r="V36"/>
      <c r="W36"/>
      <c r="X36"/>
      <c r="Y36"/>
    </row>
    <row r="37" spans="2:38" x14ac:dyDescent="0.2">
      <c r="B37"/>
      <c r="C37"/>
      <c r="D37"/>
      <c r="E37"/>
      <c r="F37"/>
      <c r="G37"/>
      <c r="H37"/>
      <c r="I37"/>
      <c r="J37"/>
      <c r="K37"/>
      <c r="L37"/>
      <c r="N37"/>
      <c r="O37"/>
      <c r="P37"/>
      <c r="Q37"/>
      <c r="R37"/>
      <c r="S37"/>
      <c r="T37"/>
      <c r="U37"/>
      <c r="V37"/>
      <c r="W37"/>
      <c r="X37"/>
      <c r="Y37"/>
    </row>
    <row r="38" spans="2:38" x14ac:dyDescent="0.2">
      <c r="B38"/>
      <c r="C38"/>
      <c r="D38"/>
      <c r="E38"/>
      <c r="F38"/>
      <c r="G38"/>
      <c r="H38"/>
      <c r="I38"/>
      <c r="J38"/>
      <c r="K38"/>
      <c r="L38"/>
      <c r="N38"/>
      <c r="O38"/>
      <c r="P38"/>
      <c r="Q38"/>
      <c r="R38"/>
      <c r="S38"/>
      <c r="T38"/>
      <c r="U38"/>
      <c r="V38"/>
      <c r="W38"/>
      <c r="X38"/>
      <c r="Y38"/>
    </row>
    <row r="39" spans="2:38" x14ac:dyDescent="0.2">
      <c r="B39"/>
      <c r="C39"/>
      <c r="D39"/>
      <c r="E39"/>
      <c r="F39"/>
      <c r="G39"/>
      <c r="H39"/>
      <c r="I39"/>
      <c r="J39"/>
      <c r="K39"/>
      <c r="L39"/>
      <c r="N39"/>
      <c r="O39"/>
      <c r="P39"/>
      <c r="Q39"/>
      <c r="R39"/>
      <c r="S39"/>
      <c r="T39"/>
      <c r="U39"/>
      <c r="V39"/>
      <c r="W39"/>
      <c r="X39"/>
      <c r="Y39"/>
    </row>
    <row r="40" spans="2:38" x14ac:dyDescent="0.2">
      <c r="B40"/>
      <c r="C40"/>
      <c r="D40"/>
      <c r="E40"/>
      <c r="F40"/>
      <c r="G40"/>
      <c r="H40"/>
      <c r="I40"/>
      <c r="J40"/>
      <c r="K40"/>
      <c r="L40"/>
      <c r="N40"/>
      <c r="O40"/>
      <c r="P40"/>
      <c r="Q40"/>
      <c r="R40"/>
      <c r="S40"/>
      <c r="T40"/>
      <c r="U40"/>
      <c r="V40"/>
      <c r="W40"/>
      <c r="X40"/>
      <c r="Y40"/>
    </row>
    <row r="41" spans="2:38" x14ac:dyDescent="0.2">
      <c r="B41"/>
      <c r="C41"/>
      <c r="D41"/>
      <c r="E41"/>
      <c r="F41"/>
      <c r="G41"/>
      <c r="H41"/>
      <c r="I41"/>
      <c r="J41"/>
      <c r="K41"/>
      <c r="L41"/>
      <c r="N41"/>
      <c r="O41"/>
      <c r="P41"/>
      <c r="Q41"/>
      <c r="R41"/>
      <c r="S41"/>
      <c r="T41"/>
      <c r="U41"/>
      <c r="V41"/>
      <c r="W41"/>
      <c r="X41"/>
      <c r="Y41"/>
    </row>
    <row r="42" spans="2:38" x14ac:dyDescent="0.2">
      <c r="B42"/>
      <c r="C42"/>
      <c r="D42"/>
      <c r="E42"/>
      <c r="F42"/>
      <c r="G42"/>
      <c r="H42"/>
      <c r="I42"/>
      <c r="J42"/>
      <c r="K42"/>
      <c r="L42"/>
      <c r="N42"/>
      <c r="O42"/>
      <c r="P42"/>
      <c r="Q42"/>
      <c r="R42"/>
      <c r="S42"/>
      <c r="T42"/>
      <c r="U42"/>
      <c r="V42"/>
      <c r="W42"/>
      <c r="X42"/>
      <c r="Y42"/>
    </row>
    <row r="43" spans="2:38" x14ac:dyDescent="0.2">
      <c r="B43"/>
      <c r="C43"/>
      <c r="D43"/>
      <c r="E43"/>
      <c r="F43"/>
      <c r="G43"/>
      <c r="H43"/>
      <c r="I43"/>
      <c r="J43"/>
      <c r="K43"/>
      <c r="L43"/>
      <c r="N43"/>
      <c r="O43"/>
      <c r="P43"/>
      <c r="Q43"/>
      <c r="R43"/>
      <c r="S43"/>
      <c r="T43"/>
      <c r="U43"/>
      <c r="V43"/>
      <c r="W43"/>
      <c r="X43"/>
      <c r="Y43"/>
    </row>
    <row r="44" spans="2:38" x14ac:dyDescent="0.2">
      <c r="B44"/>
      <c r="C44"/>
      <c r="D44"/>
      <c r="E44"/>
      <c r="F44"/>
      <c r="G44"/>
      <c r="H44"/>
      <c r="I44"/>
      <c r="J44"/>
      <c r="K44"/>
      <c r="L44"/>
      <c r="N44"/>
      <c r="O44"/>
      <c r="P44"/>
      <c r="Q44"/>
      <c r="R44"/>
      <c r="S44"/>
      <c r="T44"/>
      <c r="U44"/>
      <c r="V44"/>
      <c r="W44"/>
      <c r="X44"/>
      <c r="Y44"/>
    </row>
    <row r="45" spans="2:38" x14ac:dyDescent="0.2">
      <c r="B45"/>
      <c r="C45"/>
      <c r="D45"/>
      <c r="E45"/>
      <c r="F45"/>
      <c r="G45"/>
      <c r="H45"/>
      <c r="I45"/>
      <c r="J45"/>
      <c r="K45"/>
      <c r="L45"/>
      <c r="N45"/>
      <c r="O45"/>
      <c r="P45"/>
      <c r="Q45"/>
      <c r="R45"/>
      <c r="S45"/>
      <c r="T45"/>
      <c r="U45"/>
      <c r="V45"/>
      <c r="W45"/>
      <c r="X45"/>
      <c r="Y45"/>
    </row>
    <row r="46" spans="2:38" x14ac:dyDescent="0.2">
      <c r="B46"/>
      <c r="C46"/>
      <c r="D46"/>
      <c r="E46"/>
      <c r="F46"/>
      <c r="G46"/>
      <c r="H46"/>
      <c r="I46"/>
      <c r="J46"/>
      <c r="K46"/>
      <c r="L46"/>
      <c r="N46"/>
      <c r="O46"/>
      <c r="P46"/>
      <c r="Q46"/>
      <c r="R46"/>
      <c r="S46"/>
      <c r="T46"/>
      <c r="U46"/>
      <c r="V46"/>
      <c r="W46"/>
      <c r="X46"/>
      <c r="Y46"/>
    </row>
    <row r="47" spans="2:38" x14ac:dyDescent="0.2">
      <c r="B47"/>
      <c r="C47"/>
      <c r="D47"/>
      <c r="E47"/>
      <c r="F47"/>
      <c r="G47"/>
      <c r="H47"/>
      <c r="I47"/>
      <c r="J47"/>
      <c r="K47"/>
      <c r="L47"/>
      <c r="N47"/>
      <c r="O47"/>
      <c r="P47"/>
      <c r="Q47"/>
      <c r="R47"/>
      <c r="S47"/>
      <c r="T47"/>
      <c r="U47"/>
      <c r="V47"/>
      <c r="W47"/>
      <c r="X47"/>
      <c r="Y47"/>
    </row>
    <row r="48" spans="2:38" x14ac:dyDescent="0.2">
      <c r="B48"/>
      <c r="C48"/>
      <c r="D48"/>
      <c r="E48"/>
      <c r="F48"/>
      <c r="G48"/>
      <c r="H48"/>
      <c r="I48"/>
      <c r="J48"/>
      <c r="K48"/>
      <c r="L48"/>
      <c r="N48"/>
      <c r="O48"/>
      <c r="P48"/>
      <c r="Q48"/>
      <c r="R48"/>
      <c r="S48"/>
      <c r="T48"/>
      <c r="U48"/>
      <c r="V48"/>
      <c r="W48"/>
      <c r="X48"/>
      <c r="Y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</sheetData>
  <mergeCells count="23">
    <mergeCell ref="O7:Z7"/>
    <mergeCell ref="O8:Z8"/>
    <mergeCell ref="AB4:AM4"/>
    <mergeCell ref="AB5:AM5"/>
    <mergeCell ref="AB6:AM6"/>
    <mergeCell ref="AB7:AM7"/>
    <mergeCell ref="AB8:AM8"/>
    <mergeCell ref="B2:M2"/>
    <mergeCell ref="B11:M11"/>
    <mergeCell ref="O2:Z2"/>
    <mergeCell ref="O9:Z9"/>
    <mergeCell ref="AB2:AM2"/>
    <mergeCell ref="AB9:AM9"/>
    <mergeCell ref="B4:M4"/>
    <mergeCell ref="B5:M5"/>
    <mergeCell ref="B6:M6"/>
    <mergeCell ref="B7:M7"/>
    <mergeCell ref="B8:M8"/>
    <mergeCell ref="B9:M9"/>
    <mergeCell ref="B10:M10"/>
    <mergeCell ref="O4:Z4"/>
    <mergeCell ref="O5:Z5"/>
    <mergeCell ref="O6:Z6"/>
  </mergeCells>
  <hyperlinks>
    <hyperlink ref="B5:M5" r:id="rId1" display="SEQUENCE" xr:uid="{DC04C178-E84D-482A-A8FA-7BA5C22C6BF4}"/>
    <hyperlink ref="B6:M6" r:id="rId2" display="COUNTA" xr:uid="{4F9CBCAB-337E-4BDC-B478-5589901FFDA6}"/>
    <hyperlink ref="B7:M7" r:id="rId3" display="SORT" xr:uid="{46721638-5B7C-4815-A444-37C78BC71EB2}"/>
    <hyperlink ref="B8:M8" r:id="rId4" display="UNIQUE" xr:uid="{AEFA94DE-6C4F-4E88-94B5-DCD192AC693C}"/>
    <hyperlink ref="B9:M9" r:id="rId5" display="COUNTIFS" xr:uid="{177DF86F-08CF-4B04-80F7-AE70B33AD931}"/>
    <hyperlink ref="B10:M10" r:id="rId6" display="SUMIFS" xr:uid="{34784205-A6A0-40F7-9CBF-8CD5800A9D3D}"/>
    <hyperlink ref="O5:Z5" r:id="rId7" display="SEQUENCE" xr:uid="{4131D581-66FF-45F0-A33C-6433CBCFD54B}"/>
    <hyperlink ref="O6:Z6" r:id="rId8" display="COUNTA" xr:uid="{B422BCB4-D5FB-476B-BE67-0CAB330C1EFA}"/>
    <hyperlink ref="O7:Z7" r:id="rId9" display="SORT" xr:uid="{9982527B-C03A-4A99-88AC-16DBA57392C0}"/>
    <hyperlink ref="O8:Z8" r:id="rId10" display="CHOOSE" xr:uid="{F9292471-AA3E-41E9-AC8C-80393846BC8A}"/>
    <hyperlink ref="AB5:AM5" r:id="rId11" display="SEQUENCE" xr:uid="{976367DA-A43B-4EF7-BC70-E33AFA13D7C5}"/>
    <hyperlink ref="AB6:AM6" r:id="rId12" display="COUNTA" xr:uid="{908D8775-D515-4058-B7FC-F61B08CE7555}"/>
    <hyperlink ref="AB7:AM7" r:id="rId13" display="SORT" xr:uid="{C048EC81-C605-4F98-BD5E-89127501F73D}"/>
    <hyperlink ref="AB8:AM8" r:id="rId14" display="SWITCH" xr:uid="{32BA4021-192E-4848-837F-20F36262DB14}"/>
  </hyperlinks>
  <pageMargins left="0.7" right="0.7" top="0.75" bottom="0.75" header="0.3" footer="0.3"/>
  <pageSetup paperSize="9"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9B1F-D195-48D3-A5D7-19EC11E1C71A}">
  <sheetPr>
    <tabColor theme="7"/>
  </sheetPr>
  <dimension ref="A1:AJ36"/>
  <sheetViews>
    <sheetView showGridLines="0" workbookViewId="0"/>
  </sheetViews>
  <sheetFormatPr defaultRowHeight="12.75" x14ac:dyDescent="0.2"/>
  <cols>
    <col min="1" max="1" width="11" bestFit="1" customWidth="1"/>
    <col min="2" max="2" width="12.7109375" style="3" bestFit="1" customWidth="1"/>
    <col min="3" max="3" width="4.5703125" style="3" bestFit="1" customWidth="1"/>
    <col min="4" max="4" width="26.42578125" style="3" bestFit="1" customWidth="1"/>
    <col min="5" max="8" width="3" style="3" bestFit="1" customWidth="1"/>
    <col min="9" max="9" width="4" style="3" bestFit="1" customWidth="1"/>
    <col min="10" max="10" width="3" style="3" bestFit="1" customWidth="1"/>
    <col min="11" max="11" width="4" style="3" bestFit="1" customWidth="1"/>
    <col min="12" max="12" width="3.7109375" style="3" bestFit="1" customWidth="1"/>
    <col min="13" max="14" width="9.140625" style="3"/>
    <col min="15" max="15" width="12.7109375" style="3" bestFit="1" customWidth="1"/>
    <col min="16" max="16" width="4.5703125" style="1" bestFit="1" customWidth="1"/>
    <col min="17" max="17" width="26.140625" style="3" bestFit="1" customWidth="1"/>
    <col min="18" max="21" width="3" style="3" bestFit="1" customWidth="1"/>
    <col min="22" max="22" width="4" style="3" bestFit="1" customWidth="1"/>
    <col min="23" max="23" width="3" style="3" bestFit="1" customWidth="1"/>
    <col min="24" max="24" width="3.7109375" style="3" bestFit="1" customWidth="1"/>
    <col min="25" max="25" width="4.140625" style="3" bestFit="1" customWidth="1"/>
    <col min="27" max="27" width="4.5703125" bestFit="1" customWidth="1"/>
    <col min="28" max="28" width="23.28515625" style="68" bestFit="1" customWidth="1"/>
    <col min="29" max="32" width="3" style="68" customWidth="1"/>
    <col min="33" max="33" width="4" style="68" bestFit="1" customWidth="1"/>
    <col min="34" max="34" width="3" style="68" customWidth="1"/>
    <col min="35" max="35" width="3.7109375" style="68" bestFit="1" customWidth="1"/>
    <col min="36" max="36" width="4.140625" style="68" bestFit="1" customWidth="1"/>
  </cols>
  <sheetData>
    <row r="1" spans="1:36" ht="26.25" x14ac:dyDescent="0.4">
      <c r="A1" s="43" t="s">
        <v>40</v>
      </c>
    </row>
    <row r="2" spans="1:36" ht="20.25" thickBot="1" x14ac:dyDescent="0.35">
      <c r="B2" s="90" t="s">
        <v>50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O2" s="90" t="s">
        <v>49</v>
      </c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74"/>
    </row>
    <row r="3" spans="1:36" ht="14.25" customHeight="1" thickTop="1" x14ac:dyDescent="0.2">
      <c r="C3" s="61"/>
      <c r="D3" s="61"/>
      <c r="E3" s="61"/>
      <c r="F3" s="61"/>
      <c r="G3" s="61"/>
      <c r="H3" s="61"/>
      <c r="I3" s="61"/>
      <c r="J3" s="61"/>
      <c r="K3" s="61"/>
      <c r="L3" s="61"/>
      <c r="P3"/>
      <c r="Q3"/>
      <c r="R3"/>
      <c r="S3"/>
      <c r="T3"/>
      <c r="U3"/>
      <c r="V3"/>
      <c r="W3"/>
      <c r="X3"/>
      <c r="Y3"/>
    </row>
    <row r="4" spans="1:36" ht="15" x14ac:dyDescent="0.2">
      <c r="B4" s="76" t="s">
        <v>53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O4" s="76" t="s">
        <v>53</v>
      </c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5"/>
    </row>
    <row r="5" spans="1:36" ht="15" x14ac:dyDescent="0.2">
      <c r="B5" s="88" t="s">
        <v>63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O5" s="88" t="s">
        <v>63</v>
      </c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36" ht="15" x14ac:dyDescent="0.2">
      <c r="B6" s="88" t="s">
        <v>64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O6" s="88" t="s">
        <v>64</v>
      </c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36" ht="15" x14ac:dyDescent="0.2">
      <c r="B7" s="88" t="s">
        <v>65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O7" s="88" t="s">
        <v>65</v>
      </c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36" ht="15" x14ac:dyDescent="0.2">
      <c r="B8" s="88" t="s">
        <v>67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O8" s="88" t="s">
        <v>68</v>
      </c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 spans="1:36" ht="15" x14ac:dyDescent="0.2">
      <c r="B9" s="88" t="s">
        <v>66</v>
      </c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O9" s="88" t="s">
        <v>66</v>
      </c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36" ht="15" x14ac:dyDescent="0.2">
      <c r="B10" s="88" t="s">
        <v>55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O10" s="88" t="s">
        <v>55</v>
      </c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 spans="1:36" ht="15" x14ac:dyDescent="0.2">
      <c r="B11" s="88" t="s">
        <v>56</v>
      </c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O11" s="88" t="s">
        <v>56</v>
      </c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 spans="1:36" ht="13.5" thickBot="1" x14ac:dyDescent="0.25"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36" ht="13.5" thickTop="1" x14ac:dyDescent="0.2">
      <c r="O13"/>
      <c r="P13"/>
      <c r="Q13"/>
      <c r="R13"/>
      <c r="S13"/>
      <c r="T13"/>
      <c r="U13"/>
      <c r="V13"/>
      <c r="W13"/>
      <c r="X13"/>
      <c r="Y13"/>
    </row>
    <row r="14" spans="1:36" x14ac:dyDescent="0.2">
      <c r="C14" s="62"/>
      <c r="D14" s="62"/>
      <c r="E14" s="62"/>
      <c r="F14" s="62"/>
      <c r="G14" s="62"/>
      <c r="H14" s="62"/>
      <c r="I14" s="62"/>
      <c r="J14" s="62"/>
      <c r="K14" s="62"/>
      <c r="L14" s="62"/>
      <c r="P14"/>
      <c r="Q14"/>
      <c r="R14"/>
      <c r="S14"/>
      <c r="T14"/>
      <c r="U14"/>
      <c r="V14"/>
      <c r="W14"/>
      <c r="X14"/>
      <c r="Y14"/>
    </row>
    <row r="15" spans="1:36" x14ac:dyDescent="0.2">
      <c r="P15"/>
      <c r="Q15"/>
      <c r="R15"/>
      <c r="S15"/>
      <c r="T15"/>
      <c r="U15"/>
      <c r="V15"/>
      <c r="W15"/>
      <c r="X15"/>
      <c r="Y15"/>
    </row>
    <row r="16" spans="1:36" ht="15" x14ac:dyDescent="0.2">
      <c r="C16" s="11" t="str" cm="1">
        <f t="array" ref="C16:L16">{"POS","TEAM","P","W","D","L","F","A","GD","PTS"}</f>
        <v>POS</v>
      </c>
      <c r="D16" s="11" t="str">
        <v>TEAM</v>
      </c>
      <c r="E16" s="11" t="str">
        <v>P</v>
      </c>
      <c r="F16" s="11" t="str">
        <v>W</v>
      </c>
      <c r="G16" s="11" t="str">
        <v>D</v>
      </c>
      <c r="H16" s="11" t="str">
        <v>L</v>
      </c>
      <c r="I16" s="11" t="str">
        <v>F</v>
      </c>
      <c r="J16" s="11" t="str">
        <v>A</v>
      </c>
      <c r="K16" s="11" t="str">
        <v>GD</v>
      </c>
      <c r="L16" s="11" t="str">
        <v>PTS</v>
      </c>
      <c r="P16" s="11" t="str" cm="1">
        <f t="array" ref="P16:Y16">{"POS","TEAM","P","W","D","L","F","A","GD","PTS"}</f>
        <v>POS</v>
      </c>
      <c r="Q16" s="11" t="str">
        <v>TEAM</v>
      </c>
      <c r="R16" s="11" t="str">
        <v>P</v>
      </c>
      <c r="S16" s="11" t="str">
        <v>W</v>
      </c>
      <c r="T16" s="11" t="str">
        <v>D</v>
      </c>
      <c r="U16" s="11" t="str">
        <v>L</v>
      </c>
      <c r="V16" s="11" t="str">
        <v>F</v>
      </c>
      <c r="W16" s="11" t="str">
        <v>A</v>
      </c>
      <c r="X16" s="11" t="str">
        <v>GD</v>
      </c>
      <c r="Y16" s="11" t="str">
        <v>PTS</v>
      </c>
      <c r="AB16"/>
      <c r="AC16"/>
      <c r="AD16"/>
      <c r="AE16"/>
      <c r="AF16"/>
      <c r="AG16"/>
      <c r="AH16"/>
      <c r="AI16"/>
      <c r="AJ16"/>
    </row>
    <row r="17" spans="3:36" ht="15" customHeight="1" x14ac:dyDescent="0.2">
      <c r="C17" s="15" cm="1">
        <f t="array" ref="C17:C36">_xlfn.SEQUENCE(COUNTA(D17:D36))</f>
        <v>1</v>
      </c>
      <c r="D17" s="15" t="str" cm="1">
        <f t="array" ref="D17:L36">_xlfn._xlws.SORT(CHOOSE({1,2,3,4,5,6,7,8,9},
_xlfn.UNIQUE(DataTable[team_home]),
(COUNTIFS(DataTable[team_home],_xlfn.UNIQUE(DataTable[team_home]),DataTable[played],1)
+
COUNTIFS(DataTable[team_away],_xlfn.UNIQUE(DataTable[team_home]),DataTable[played],1)),
COUNTIFS(DataTable[team_home],_xlfn.UNIQUE(DataTable[team_home]),DataTable[Result],"H")
+
COUNTIFS(DataTable[team_away],_xlfn.UNIQUE(DataTable[team_home]),DataTable[Result],"A"),
COUNTIFS(DataTable[team_home],_xlfn.UNIQUE(DataTable[team_home]),DataTable[Result],"D")
+
COUNTIFS(DataTable[team_away],_xlfn.UNIQUE(DataTable[team_home]),DataTable[Result],"D"),
COUNTIFS(DataTable[team_home],_xlfn.UNIQUE(DataTable[team_home]),DataTable[Result],"A")
+
COUNTIFS(DataTable[team_away],_xlfn.UNIQUE(DataTable[team_home]),DataTable[Result],"H"),
SUMIFS(DataTable[home_goal],DataTable[team_home],_xlfn.UNIQUE(DataTable[team_home]))
+
SUMIFS(DataTable[away_goal],DataTable[team_away],_xlfn.UNIQUE(DataTable[team_home])),
SUMIFS(DataTable[away_goal],DataTable[team_home],_xlfn.UNIQUE(DataTable[team_home]))
+
SUMIFS(DataTable[home_goal],DataTable[team_away],_xlfn.UNIQUE(DataTable[team_home])),
(SUMIFS(DataTable[home_goal],DataTable[team_home],_xlfn.UNIQUE(DataTable[team_home]))
+
SUMIFS(DataTable[away_goal],DataTable[team_away],_xlfn.UNIQUE(DataTable[team_home])))
-
(SUMIFS(DataTable[away_goal],DataTable[team_home],_xlfn.UNIQUE(DataTable[team_home]))
+
SUMIFS(DataTable[home_goal],DataTable[team_away],_xlfn.UNIQUE(DataTable[team_home]))),
((COUNTIFS(DataTable[team_home],_xlfn.UNIQUE(DataTable[team_home]),DataTable[Result],"H")+COUNTIFS(DataTable[team_away],_xlfn.UNIQUE(DataTable[team_home]),DataTable[Result],"A"))*3)
+
((COUNTIFS(DataTable[team_home],_xlfn.UNIQUE(DataTable[team_home]),DataTable[Result],"D")+COUNTIFS(DataTable[team_away],_xlfn.UNIQUE(DataTable[team_home]),DataTable[Result],"D"))*1)
),{9,8,6,1},({-1,-1,-1,1}))</f>
        <v>Liverpool</v>
      </c>
      <c r="E17" s="15">
        <v>38</v>
      </c>
      <c r="F17" s="15">
        <v>32</v>
      </c>
      <c r="G17" s="15">
        <v>3</v>
      </c>
      <c r="H17" s="15">
        <v>3</v>
      </c>
      <c r="I17" s="15">
        <v>85</v>
      </c>
      <c r="J17" s="15">
        <v>33</v>
      </c>
      <c r="K17" s="15">
        <v>52</v>
      </c>
      <c r="L17" s="15">
        <v>99</v>
      </c>
      <c r="P17" s="15" cm="1">
        <f t="array" ref="P17:P36">_xlfn.SEQUENCE(COUNTA(Q17:Q36))</f>
        <v>1</v>
      </c>
      <c r="Q17" s="15" t="str" cm="1">
        <f t="array" ref="Q17:Y36">_xlfn._xlws.SORT(_xlfn.SWITCH({"Team","P","W","D","L","F","A","GD","PTS"},
"Team",
_xlfn.UNIQUE(DataTable[team_home]),
"P",
(COUNTIFS(DataTable[team_home],_xlfn.UNIQUE(DataTable[team_home]),DataTable[played],1)
+
COUNTIFS(DataTable[team_away],_xlfn.UNIQUE(DataTable[team_home]),DataTable[played],1)),
"W",
COUNTIFS(DataTable[team_home],_xlfn.UNIQUE(DataTable[team_home]),DataTable[Result],"H")
+
COUNTIFS(DataTable[team_away],_xlfn.UNIQUE(DataTable[team_home]),DataTable[Result],"A"),
"D",
COUNTIFS(DataTable[team_home],_xlfn.UNIQUE(DataTable[team_home]),DataTable[Result],"D")
+
COUNTIFS(DataTable[team_away],_xlfn.UNIQUE(DataTable[team_home]),DataTable[Result],"D"),
"L",
COUNTIFS(DataTable[team_home],_xlfn.UNIQUE(DataTable[team_home]),DataTable[Result],"A")
+
COUNTIFS(DataTable[team_away],_xlfn.UNIQUE(DataTable[team_home]),DataTable[Result],"H"),
"F",
SUMIFS(DataTable[home_goal],DataTable[team_home],_xlfn.UNIQUE(DataTable[team_home]))
+
SUMIFS(DataTable[away_goal],DataTable[team_away],_xlfn.UNIQUE(DataTable[team_home])),
"A",
SUMIFS(DataTable[away_goal],DataTable[team_home],_xlfn.UNIQUE(DataTable[team_home]))
+
SUMIFS(DataTable[home_goal],DataTable[team_away],_xlfn.UNIQUE(DataTable[team_home])),
"GD",
(SUMIFS(DataTable[home_goal],DataTable[team_home],_xlfn.UNIQUE(DataTable[team_home]))
+
SUMIFS(DataTable[away_goal],DataTable[team_away],_xlfn.UNIQUE(DataTable[team_home])))
-
(SUMIFS(DataTable[away_goal],DataTable[team_home],_xlfn.UNIQUE(DataTable[team_home]))
+
SUMIFS(DataTable[home_goal],DataTable[team_away],_xlfn.UNIQUE(DataTable[team_home]))),
"PTS",
((COUNTIFS(DataTable[team_home],_xlfn.UNIQUE(DataTable[team_home]),DataTable[Result],"H")+COUNTIFS(DataTable[team_away],_xlfn.UNIQUE(DataTable[team_home]),DataTable[Result],"A"))*3)
+
((COUNTIFS(DataTable[team_home],_xlfn.UNIQUE(DataTable[team_home]),DataTable[Result],"D")+COUNTIFS(DataTable[team_away],_xlfn.UNIQUE(DataTable[team_home]),DataTable[Result],"D"))*1)
),{9,8,6,1},{-1,-1,-1,1})</f>
        <v>Liverpool</v>
      </c>
      <c r="R17" s="15">
        <v>38</v>
      </c>
      <c r="S17" s="15">
        <v>32</v>
      </c>
      <c r="T17" s="15">
        <v>3</v>
      </c>
      <c r="U17" s="15">
        <v>3</v>
      </c>
      <c r="V17" s="15">
        <v>85</v>
      </c>
      <c r="W17" s="15">
        <v>33</v>
      </c>
      <c r="X17" s="15">
        <v>52</v>
      </c>
      <c r="Y17" s="15">
        <v>99</v>
      </c>
      <c r="AB17"/>
      <c r="AC17"/>
      <c r="AD17"/>
      <c r="AE17"/>
      <c r="AF17"/>
      <c r="AG17"/>
      <c r="AH17"/>
      <c r="AI17"/>
      <c r="AJ17"/>
    </row>
    <row r="18" spans="3:36" ht="15" x14ac:dyDescent="0.2">
      <c r="C18" s="16">
        <v>2</v>
      </c>
      <c r="D18" s="16" t="str">
        <v>Manchester City</v>
      </c>
      <c r="E18" s="16">
        <v>38</v>
      </c>
      <c r="F18" s="16">
        <v>26</v>
      </c>
      <c r="G18" s="16">
        <v>3</v>
      </c>
      <c r="H18" s="16">
        <v>9</v>
      </c>
      <c r="I18" s="16">
        <v>102</v>
      </c>
      <c r="J18" s="16">
        <v>35</v>
      </c>
      <c r="K18" s="16">
        <v>67</v>
      </c>
      <c r="L18" s="16">
        <v>81</v>
      </c>
      <c r="P18" s="16">
        <v>2</v>
      </c>
      <c r="Q18" s="16" t="str">
        <v>Manchester City</v>
      </c>
      <c r="R18" s="16">
        <v>38</v>
      </c>
      <c r="S18" s="16">
        <v>26</v>
      </c>
      <c r="T18" s="16">
        <v>3</v>
      </c>
      <c r="U18" s="16">
        <v>9</v>
      </c>
      <c r="V18" s="16">
        <v>102</v>
      </c>
      <c r="W18" s="16">
        <v>35</v>
      </c>
      <c r="X18" s="16">
        <v>67</v>
      </c>
      <c r="Y18" s="16">
        <v>81</v>
      </c>
      <c r="AB18"/>
      <c r="AC18"/>
      <c r="AD18"/>
      <c r="AE18"/>
      <c r="AF18"/>
      <c r="AG18"/>
      <c r="AH18"/>
      <c r="AI18"/>
      <c r="AJ18"/>
    </row>
    <row r="19" spans="3:36" ht="15" x14ac:dyDescent="0.2">
      <c r="C19" s="17">
        <v>3</v>
      </c>
      <c r="D19" s="17" t="str">
        <v>Manchester United</v>
      </c>
      <c r="E19" s="17">
        <v>38</v>
      </c>
      <c r="F19" s="17">
        <v>18</v>
      </c>
      <c r="G19" s="17">
        <v>12</v>
      </c>
      <c r="H19" s="17">
        <v>8</v>
      </c>
      <c r="I19" s="17">
        <v>66</v>
      </c>
      <c r="J19" s="17">
        <v>36</v>
      </c>
      <c r="K19" s="17">
        <v>30</v>
      </c>
      <c r="L19" s="17">
        <v>66</v>
      </c>
      <c r="P19" s="17">
        <v>3</v>
      </c>
      <c r="Q19" s="17" t="str">
        <v>Manchester United</v>
      </c>
      <c r="R19" s="17">
        <v>38</v>
      </c>
      <c r="S19" s="17">
        <v>18</v>
      </c>
      <c r="T19" s="17">
        <v>12</v>
      </c>
      <c r="U19" s="17">
        <v>8</v>
      </c>
      <c r="V19" s="17">
        <v>66</v>
      </c>
      <c r="W19" s="17">
        <v>36</v>
      </c>
      <c r="X19" s="17">
        <v>30</v>
      </c>
      <c r="Y19" s="17">
        <v>66</v>
      </c>
      <c r="AB19"/>
      <c r="AC19"/>
      <c r="AD19"/>
      <c r="AE19"/>
      <c r="AF19"/>
      <c r="AG19"/>
      <c r="AH19"/>
      <c r="AI19"/>
      <c r="AJ19"/>
    </row>
    <row r="20" spans="3:36" ht="15" x14ac:dyDescent="0.2">
      <c r="C20" s="16">
        <v>4</v>
      </c>
      <c r="D20" s="16" t="str">
        <v>Chelsea</v>
      </c>
      <c r="E20" s="16">
        <v>38</v>
      </c>
      <c r="F20" s="16">
        <v>20</v>
      </c>
      <c r="G20" s="16">
        <v>6</v>
      </c>
      <c r="H20" s="16">
        <v>12</v>
      </c>
      <c r="I20" s="16">
        <v>69</v>
      </c>
      <c r="J20" s="16">
        <v>54</v>
      </c>
      <c r="K20" s="16">
        <v>15</v>
      </c>
      <c r="L20" s="16">
        <v>66</v>
      </c>
      <c r="P20" s="16">
        <v>4</v>
      </c>
      <c r="Q20" s="16" t="str">
        <v>Chelsea</v>
      </c>
      <c r="R20" s="16">
        <v>38</v>
      </c>
      <c r="S20" s="16">
        <v>20</v>
      </c>
      <c r="T20" s="16">
        <v>6</v>
      </c>
      <c r="U20" s="16">
        <v>12</v>
      </c>
      <c r="V20" s="16">
        <v>69</v>
      </c>
      <c r="W20" s="16">
        <v>54</v>
      </c>
      <c r="X20" s="16">
        <v>15</v>
      </c>
      <c r="Y20" s="16">
        <v>66</v>
      </c>
      <c r="AB20"/>
      <c r="AC20"/>
      <c r="AD20"/>
      <c r="AE20"/>
      <c r="AF20"/>
      <c r="AG20"/>
      <c r="AH20"/>
      <c r="AI20"/>
      <c r="AJ20"/>
    </row>
    <row r="21" spans="3:36" ht="15" x14ac:dyDescent="0.2">
      <c r="C21" s="17">
        <v>5</v>
      </c>
      <c r="D21" s="17" t="str">
        <v>Leicester City</v>
      </c>
      <c r="E21" s="17">
        <v>38</v>
      </c>
      <c r="F21" s="17">
        <v>18</v>
      </c>
      <c r="G21" s="17">
        <v>8</v>
      </c>
      <c r="H21" s="17">
        <v>12</v>
      </c>
      <c r="I21" s="17">
        <v>67</v>
      </c>
      <c r="J21" s="17">
        <v>41</v>
      </c>
      <c r="K21" s="17">
        <v>26</v>
      </c>
      <c r="L21" s="17">
        <v>62</v>
      </c>
      <c r="P21" s="17">
        <v>5</v>
      </c>
      <c r="Q21" s="17" t="str">
        <v>Leicester City</v>
      </c>
      <c r="R21" s="17">
        <v>38</v>
      </c>
      <c r="S21" s="17">
        <v>18</v>
      </c>
      <c r="T21" s="17">
        <v>8</v>
      </c>
      <c r="U21" s="17">
        <v>12</v>
      </c>
      <c r="V21" s="17">
        <v>67</v>
      </c>
      <c r="W21" s="17">
        <v>41</v>
      </c>
      <c r="X21" s="17">
        <v>26</v>
      </c>
      <c r="Y21" s="17">
        <v>62</v>
      </c>
      <c r="AB21"/>
      <c r="AC21"/>
      <c r="AD21"/>
      <c r="AE21"/>
      <c r="AF21"/>
      <c r="AG21"/>
      <c r="AH21"/>
      <c r="AI21"/>
      <c r="AJ21"/>
    </row>
    <row r="22" spans="3:36" ht="15" x14ac:dyDescent="0.2">
      <c r="C22" s="16">
        <v>6</v>
      </c>
      <c r="D22" s="16" t="str">
        <v>Tottenham Hotspur</v>
      </c>
      <c r="E22" s="16">
        <v>38</v>
      </c>
      <c r="F22" s="16">
        <v>16</v>
      </c>
      <c r="G22" s="16">
        <v>11</v>
      </c>
      <c r="H22" s="16">
        <v>11</v>
      </c>
      <c r="I22" s="16">
        <v>61</v>
      </c>
      <c r="J22" s="16">
        <v>47</v>
      </c>
      <c r="K22" s="16">
        <v>14</v>
      </c>
      <c r="L22" s="16">
        <v>59</v>
      </c>
      <c r="P22" s="16">
        <v>6</v>
      </c>
      <c r="Q22" s="16" t="str">
        <v>Tottenham Hotspur</v>
      </c>
      <c r="R22" s="16">
        <v>38</v>
      </c>
      <c r="S22" s="16">
        <v>16</v>
      </c>
      <c r="T22" s="16">
        <v>11</v>
      </c>
      <c r="U22" s="16">
        <v>11</v>
      </c>
      <c r="V22" s="16">
        <v>61</v>
      </c>
      <c r="W22" s="16">
        <v>47</v>
      </c>
      <c r="X22" s="16">
        <v>14</v>
      </c>
      <c r="Y22" s="16">
        <v>59</v>
      </c>
      <c r="AB22"/>
      <c r="AC22"/>
      <c r="AD22"/>
      <c r="AE22"/>
      <c r="AF22"/>
      <c r="AG22"/>
      <c r="AH22"/>
      <c r="AI22"/>
      <c r="AJ22"/>
    </row>
    <row r="23" spans="3:36" ht="15" x14ac:dyDescent="0.2">
      <c r="C23" s="17">
        <v>7</v>
      </c>
      <c r="D23" s="17" t="str">
        <v>Wolverhampton Wanderers</v>
      </c>
      <c r="E23" s="17">
        <v>38</v>
      </c>
      <c r="F23" s="17">
        <v>15</v>
      </c>
      <c r="G23" s="17">
        <v>14</v>
      </c>
      <c r="H23" s="17">
        <v>9</v>
      </c>
      <c r="I23" s="17">
        <v>51</v>
      </c>
      <c r="J23" s="17">
        <v>40</v>
      </c>
      <c r="K23" s="17">
        <v>11</v>
      </c>
      <c r="L23" s="17">
        <v>59</v>
      </c>
      <c r="P23" s="17">
        <v>7</v>
      </c>
      <c r="Q23" s="17" t="str">
        <v>Wolverhampton Wanderers</v>
      </c>
      <c r="R23" s="17">
        <v>38</v>
      </c>
      <c r="S23" s="17">
        <v>15</v>
      </c>
      <c r="T23" s="17">
        <v>14</v>
      </c>
      <c r="U23" s="17">
        <v>9</v>
      </c>
      <c r="V23" s="17">
        <v>51</v>
      </c>
      <c r="W23" s="17">
        <v>40</v>
      </c>
      <c r="X23" s="17">
        <v>11</v>
      </c>
      <c r="Y23" s="17">
        <v>59</v>
      </c>
      <c r="AB23"/>
      <c r="AC23"/>
      <c r="AD23"/>
      <c r="AE23"/>
      <c r="AF23"/>
      <c r="AG23"/>
      <c r="AH23"/>
      <c r="AI23"/>
      <c r="AJ23"/>
    </row>
    <row r="24" spans="3:36" ht="15" x14ac:dyDescent="0.2">
      <c r="C24" s="16">
        <v>8</v>
      </c>
      <c r="D24" s="16" t="str">
        <v>Arsenal</v>
      </c>
      <c r="E24" s="16">
        <v>38</v>
      </c>
      <c r="F24" s="16">
        <v>14</v>
      </c>
      <c r="G24" s="16">
        <v>14</v>
      </c>
      <c r="H24" s="16">
        <v>10</v>
      </c>
      <c r="I24" s="16">
        <v>56</v>
      </c>
      <c r="J24" s="16">
        <v>48</v>
      </c>
      <c r="K24" s="16">
        <v>8</v>
      </c>
      <c r="L24" s="16">
        <v>56</v>
      </c>
      <c r="P24" s="16">
        <v>8</v>
      </c>
      <c r="Q24" s="16" t="str">
        <v>Arsenal</v>
      </c>
      <c r="R24" s="16">
        <v>38</v>
      </c>
      <c r="S24" s="16">
        <v>14</v>
      </c>
      <c r="T24" s="16">
        <v>14</v>
      </c>
      <c r="U24" s="16">
        <v>10</v>
      </c>
      <c r="V24" s="16">
        <v>56</v>
      </c>
      <c r="W24" s="16">
        <v>48</v>
      </c>
      <c r="X24" s="16">
        <v>8</v>
      </c>
      <c r="Y24" s="16">
        <v>56</v>
      </c>
      <c r="AB24"/>
      <c r="AC24"/>
      <c r="AD24"/>
      <c r="AE24"/>
      <c r="AF24"/>
      <c r="AG24"/>
      <c r="AH24"/>
      <c r="AI24"/>
      <c r="AJ24"/>
    </row>
    <row r="25" spans="3:36" ht="15" x14ac:dyDescent="0.2">
      <c r="C25" s="17">
        <v>9</v>
      </c>
      <c r="D25" s="17" t="str">
        <v>Sheffield United</v>
      </c>
      <c r="E25" s="17">
        <v>38</v>
      </c>
      <c r="F25" s="17">
        <v>14</v>
      </c>
      <c r="G25" s="17">
        <v>12</v>
      </c>
      <c r="H25" s="17">
        <v>12</v>
      </c>
      <c r="I25" s="17">
        <v>39</v>
      </c>
      <c r="J25" s="17">
        <v>39</v>
      </c>
      <c r="K25" s="17">
        <v>0</v>
      </c>
      <c r="L25" s="17">
        <v>54</v>
      </c>
      <c r="P25" s="17">
        <v>9</v>
      </c>
      <c r="Q25" s="17" t="str">
        <v>Sheffield United</v>
      </c>
      <c r="R25" s="17">
        <v>38</v>
      </c>
      <c r="S25" s="17">
        <v>14</v>
      </c>
      <c r="T25" s="17">
        <v>12</v>
      </c>
      <c r="U25" s="17">
        <v>12</v>
      </c>
      <c r="V25" s="17">
        <v>39</v>
      </c>
      <c r="W25" s="17">
        <v>39</v>
      </c>
      <c r="X25" s="17">
        <v>0</v>
      </c>
      <c r="Y25" s="17">
        <v>54</v>
      </c>
      <c r="AB25"/>
      <c r="AC25"/>
      <c r="AD25"/>
      <c r="AE25"/>
      <c r="AF25"/>
      <c r="AG25"/>
      <c r="AH25"/>
      <c r="AI25"/>
      <c r="AJ25"/>
    </row>
    <row r="26" spans="3:36" ht="15" x14ac:dyDescent="0.2">
      <c r="C26" s="16">
        <v>10</v>
      </c>
      <c r="D26" s="16" t="str">
        <v>Burnley</v>
      </c>
      <c r="E26" s="16">
        <v>38</v>
      </c>
      <c r="F26" s="16">
        <v>15</v>
      </c>
      <c r="G26" s="16">
        <v>9</v>
      </c>
      <c r="H26" s="16">
        <v>14</v>
      </c>
      <c r="I26" s="16">
        <v>43</v>
      </c>
      <c r="J26" s="16">
        <v>50</v>
      </c>
      <c r="K26" s="16">
        <v>-7</v>
      </c>
      <c r="L26" s="16">
        <v>54</v>
      </c>
      <c r="P26" s="16">
        <v>10</v>
      </c>
      <c r="Q26" s="16" t="str">
        <v>Burnley</v>
      </c>
      <c r="R26" s="16">
        <v>38</v>
      </c>
      <c r="S26" s="16">
        <v>15</v>
      </c>
      <c r="T26" s="16">
        <v>9</v>
      </c>
      <c r="U26" s="16">
        <v>14</v>
      </c>
      <c r="V26" s="16">
        <v>43</v>
      </c>
      <c r="W26" s="16">
        <v>50</v>
      </c>
      <c r="X26" s="16">
        <v>-7</v>
      </c>
      <c r="Y26" s="16">
        <v>54</v>
      </c>
      <c r="AB26"/>
      <c r="AC26"/>
      <c r="AD26"/>
      <c r="AE26"/>
      <c r="AF26"/>
      <c r="AG26"/>
      <c r="AH26"/>
      <c r="AI26"/>
      <c r="AJ26"/>
    </row>
    <row r="27" spans="3:36" ht="15" x14ac:dyDescent="0.2">
      <c r="C27" s="17">
        <v>11</v>
      </c>
      <c r="D27" s="17" t="str">
        <v>Southampton</v>
      </c>
      <c r="E27" s="17">
        <v>38</v>
      </c>
      <c r="F27" s="17">
        <v>15</v>
      </c>
      <c r="G27" s="17">
        <v>7</v>
      </c>
      <c r="H27" s="17">
        <v>16</v>
      </c>
      <c r="I27" s="17">
        <v>51</v>
      </c>
      <c r="J27" s="17">
        <v>60</v>
      </c>
      <c r="K27" s="17">
        <v>-9</v>
      </c>
      <c r="L27" s="17">
        <v>52</v>
      </c>
      <c r="P27" s="17">
        <v>11</v>
      </c>
      <c r="Q27" s="17" t="str">
        <v>Southampton</v>
      </c>
      <c r="R27" s="17">
        <v>38</v>
      </c>
      <c r="S27" s="17">
        <v>15</v>
      </c>
      <c r="T27" s="17">
        <v>7</v>
      </c>
      <c r="U27" s="17">
        <v>16</v>
      </c>
      <c r="V27" s="17">
        <v>51</v>
      </c>
      <c r="W27" s="17">
        <v>60</v>
      </c>
      <c r="X27" s="17">
        <v>-9</v>
      </c>
      <c r="Y27" s="17">
        <v>52</v>
      </c>
      <c r="AB27"/>
      <c r="AC27"/>
      <c r="AD27"/>
      <c r="AE27"/>
      <c r="AF27"/>
      <c r="AG27"/>
      <c r="AH27"/>
      <c r="AI27"/>
      <c r="AJ27"/>
    </row>
    <row r="28" spans="3:36" ht="15" x14ac:dyDescent="0.2">
      <c r="C28" s="16">
        <v>12</v>
      </c>
      <c r="D28" s="16" t="str">
        <v>Everton</v>
      </c>
      <c r="E28" s="16">
        <v>38</v>
      </c>
      <c r="F28" s="16">
        <v>13</v>
      </c>
      <c r="G28" s="16">
        <v>10</v>
      </c>
      <c r="H28" s="16">
        <v>15</v>
      </c>
      <c r="I28" s="16">
        <v>44</v>
      </c>
      <c r="J28" s="16">
        <v>56</v>
      </c>
      <c r="K28" s="16">
        <v>-12</v>
      </c>
      <c r="L28" s="16">
        <v>49</v>
      </c>
      <c r="P28" s="16">
        <v>12</v>
      </c>
      <c r="Q28" s="16" t="str">
        <v>Everton</v>
      </c>
      <c r="R28" s="16">
        <v>38</v>
      </c>
      <c r="S28" s="16">
        <v>13</v>
      </c>
      <c r="T28" s="16">
        <v>10</v>
      </c>
      <c r="U28" s="16">
        <v>15</v>
      </c>
      <c r="V28" s="16">
        <v>44</v>
      </c>
      <c r="W28" s="16">
        <v>56</v>
      </c>
      <c r="X28" s="16">
        <v>-12</v>
      </c>
      <c r="Y28" s="16">
        <v>49</v>
      </c>
      <c r="AB28"/>
      <c r="AC28"/>
      <c r="AD28"/>
      <c r="AE28"/>
      <c r="AF28"/>
      <c r="AG28"/>
      <c r="AH28"/>
      <c r="AI28"/>
      <c r="AJ28"/>
    </row>
    <row r="29" spans="3:36" ht="15" x14ac:dyDescent="0.2">
      <c r="C29" s="17">
        <v>13</v>
      </c>
      <c r="D29" s="17" t="str">
        <v>Newcastle United</v>
      </c>
      <c r="E29" s="17">
        <v>38</v>
      </c>
      <c r="F29" s="17">
        <v>11</v>
      </c>
      <c r="G29" s="17">
        <v>11</v>
      </c>
      <c r="H29" s="17">
        <v>16</v>
      </c>
      <c r="I29" s="17">
        <v>38</v>
      </c>
      <c r="J29" s="17">
        <v>58</v>
      </c>
      <c r="K29" s="17">
        <v>-20</v>
      </c>
      <c r="L29" s="17">
        <v>44</v>
      </c>
      <c r="P29" s="17">
        <v>13</v>
      </c>
      <c r="Q29" s="17" t="str">
        <v>Newcastle United</v>
      </c>
      <c r="R29" s="17">
        <v>38</v>
      </c>
      <c r="S29" s="17">
        <v>11</v>
      </c>
      <c r="T29" s="17">
        <v>11</v>
      </c>
      <c r="U29" s="17">
        <v>16</v>
      </c>
      <c r="V29" s="17">
        <v>38</v>
      </c>
      <c r="W29" s="17">
        <v>58</v>
      </c>
      <c r="X29" s="17">
        <v>-20</v>
      </c>
      <c r="Y29" s="17">
        <v>44</v>
      </c>
      <c r="AB29"/>
      <c r="AC29"/>
      <c r="AD29"/>
      <c r="AE29"/>
      <c r="AF29"/>
      <c r="AG29"/>
      <c r="AH29"/>
      <c r="AI29"/>
      <c r="AJ29"/>
    </row>
    <row r="30" spans="3:36" ht="15" x14ac:dyDescent="0.2">
      <c r="C30" s="16">
        <v>14</v>
      </c>
      <c r="D30" s="16" t="str">
        <v>Crystal Palace</v>
      </c>
      <c r="E30" s="16">
        <v>38</v>
      </c>
      <c r="F30" s="16">
        <v>11</v>
      </c>
      <c r="G30" s="16">
        <v>10</v>
      </c>
      <c r="H30" s="16">
        <v>17</v>
      </c>
      <c r="I30" s="16">
        <v>31</v>
      </c>
      <c r="J30" s="16">
        <v>50</v>
      </c>
      <c r="K30" s="16">
        <v>-19</v>
      </c>
      <c r="L30" s="16">
        <v>43</v>
      </c>
      <c r="P30" s="16">
        <v>14</v>
      </c>
      <c r="Q30" s="16" t="str">
        <v>Crystal Palace</v>
      </c>
      <c r="R30" s="16">
        <v>38</v>
      </c>
      <c r="S30" s="16">
        <v>11</v>
      </c>
      <c r="T30" s="16">
        <v>10</v>
      </c>
      <c r="U30" s="16">
        <v>17</v>
      </c>
      <c r="V30" s="16">
        <v>31</v>
      </c>
      <c r="W30" s="16">
        <v>50</v>
      </c>
      <c r="X30" s="16">
        <v>-19</v>
      </c>
      <c r="Y30" s="16">
        <v>43</v>
      </c>
      <c r="AB30"/>
      <c r="AC30"/>
      <c r="AD30"/>
      <c r="AE30"/>
      <c r="AF30"/>
      <c r="AG30"/>
      <c r="AH30"/>
      <c r="AI30"/>
      <c r="AJ30"/>
    </row>
    <row r="31" spans="3:36" ht="15" x14ac:dyDescent="0.2">
      <c r="C31" s="17">
        <v>15</v>
      </c>
      <c r="D31" s="17" t="str">
        <v>Brighton &amp; Hove Albion</v>
      </c>
      <c r="E31" s="17">
        <v>38</v>
      </c>
      <c r="F31" s="17">
        <v>9</v>
      </c>
      <c r="G31" s="17">
        <v>14</v>
      </c>
      <c r="H31" s="17">
        <v>15</v>
      </c>
      <c r="I31" s="17">
        <v>39</v>
      </c>
      <c r="J31" s="17">
        <v>54</v>
      </c>
      <c r="K31" s="17">
        <v>-15</v>
      </c>
      <c r="L31" s="17">
        <v>41</v>
      </c>
      <c r="P31" s="17">
        <v>15</v>
      </c>
      <c r="Q31" s="17" t="str">
        <v>Brighton &amp; Hove Albion</v>
      </c>
      <c r="R31" s="17">
        <v>38</v>
      </c>
      <c r="S31" s="17">
        <v>9</v>
      </c>
      <c r="T31" s="17">
        <v>14</v>
      </c>
      <c r="U31" s="17">
        <v>15</v>
      </c>
      <c r="V31" s="17">
        <v>39</v>
      </c>
      <c r="W31" s="17">
        <v>54</v>
      </c>
      <c r="X31" s="17">
        <v>-15</v>
      </c>
      <c r="Y31" s="17">
        <v>41</v>
      </c>
      <c r="AB31"/>
      <c r="AC31"/>
      <c r="AD31"/>
      <c r="AE31"/>
      <c r="AF31"/>
      <c r="AG31"/>
      <c r="AH31"/>
      <c r="AI31"/>
      <c r="AJ31"/>
    </row>
    <row r="32" spans="3:36" ht="15" x14ac:dyDescent="0.2">
      <c r="C32" s="16">
        <v>16</v>
      </c>
      <c r="D32" s="16" t="str">
        <v>West Ham United</v>
      </c>
      <c r="E32" s="16">
        <v>38</v>
      </c>
      <c r="F32" s="16">
        <v>10</v>
      </c>
      <c r="G32" s="16">
        <v>9</v>
      </c>
      <c r="H32" s="16">
        <v>19</v>
      </c>
      <c r="I32" s="16">
        <v>49</v>
      </c>
      <c r="J32" s="16">
        <v>62</v>
      </c>
      <c r="K32" s="16">
        <v>-13</v>
      </c>
      <c r="L32" s="16">
        <v>39</v>
      </c>
      <c r="P32" s="16">
        <v>16</v>
      </c>
      <c r="Q32" s="16" t="str">
        <v>West Ham United</v>
      </c>
      <c r="R32" s="16">
        <v>38</v>
      </c>
      <c r="S32" s="16">
        <v>10</v>
      </c>
      <c r="T32" s="16">
        <v>9</v>
      </c>
      <c r="U32" s="16">
        <v>19</v>
      </c>
      <c r="V32" s="16">
        <v>49</v>
      </c>
      <c r="W32" s="16">
        <v>62</v>
      </c>
      <c r="X32" s="16">
        <v>-13</v>
      </c>
      <c r="Y32" s="16">
        <v>39</v>
      </c>
      <c r="AB32"/>
      <c r="AC32"/>
      <c r="AD32"/>
      <c r="AE32"/>
      <c r="AF32"/>
      <c r="AG32"/>
      <c r="AH32"/>
      <c r="AI32"/>
      <c r="AJ32"/>
    </row>
    <row r="33" spans="3:36" ht="15" x14ac:dyDescent="0.2">
      <c r="C33" s="17">
        <v>17</v>
      </c>
      <c r="D33" s="17" t="str">
        <v>Aston Villa</v>
      </c>
      <c r="E33" s="17">
        <v>38</v>
      </c>
      <c r="F33" s="17">
        <v>9</v>
      </c>
      <c r="G33" s="17">
        <v>8</v>
      </c>
      <c r="H33" s="17">
        <v>21</v>
      </c>
      <c r="I33" s="17">
        <v>41</v>
      </c>
      <c r="J33" s="17">
        <v>67</v>
      </c>
      <c r="K33" s="17">
        <v>-26</v>
      </c>
      <c r="L33" s="17">
        <v>35</v>
      </c>
      <c r="P33" s="17">
        <v>17</v>
      </c>
      <c r="Q33" s="17" t="str">
        <v>Aston Villa</v>
      </c>
      <c r="R33" s="17">
        <v>38</v>
      </c>
      <c r="S33" s="17">
        <v>9</v>
      </c>
      <c r="T33" s="17">
        <v>8</v>
      </c>
      <c r="U33" s="17">
        <v>21</v>
      </c>
      <c r="V33" s="17">
        <v>41</v>
      </c>
      <c r="W33" s="17">
        <v>67</v>
      </c>
      <c r="X33" s="17">
        <v>-26</v>
      </c>
      <c r="Y33" s="17">
        <v>35</v>
      </c>
      <c r="AB33"/>
      <c r="AC33"/>
      <c r="AD33"/>
      <c r="AE33"/>
      <c r="AF33"/>
      <c r="AG33"/>
      <c r="AH33"/>
      <c r="AI33"/>
      <c r="AJ33"/>
    </row>
    <row r="34" spans="3:36" ht="15" x14ac:dyDescent="0.2">
      <c r="C34" s="16">
        <v>18</v>
      </c>
      <c r="D34" s="16" t="str">
        <v>Bournemouth</v>
      </c>
      <c r="E34" s="16">
        <v>38</v>
      </c>
      <c r="F34" s="16">
        <v>9</v>
      </c>
      <c r="G34" s="16">
        <v>7</v>
      </c>
      <c r="H34" s="16">
        <v>22</v>
      </c>
      <c r="I34" s="16">
        <v>40</v>
      </c>
      <c r="J34" s="16">
        <v>65</v>
      </c>
      <c r="K34" s="16">
        <v>-25</v>
      </c>
      <c r="L34" s="16">
        <v>34</v>
      </c>
      <c r="P34" s="16">
        <v>18</v>
      </c>
      <c r="Q34" s="16" t="str">
        <v>Bournemouth</v>
      </c>
      <c r="R34" s="16">
        <v>38</v>
      </c>
      <c r="S34" s="16">
        <v>9</v>
      </c>
      <c r="T34" s="16">
        <v>7</v>
      </c>
      <c r="U34" s="16">
        <v>22</v>
      </c>
      <c r="V34" s="16">
        <v>40</v>
      </c>
      <c r="W34" s="16">
        <v>65</v>
      </c>
      <c r="X34" s="16">
        <v>-25</v>
      </c>
      <c r="Y34" s="16">
        <v>34</v>
      </c>
      <c r="AB34"/>
      <c r="AC34"/>
      <c r="AD34"/>
      <c r="AE34"/>
      <c r="AF34"/>
      <c r="AG34"/>
      <c r="AH34"/>
      <c r="AI34"/>
      <c r="AJ34"/>
    </row>
    <row r="35" spans="3:36" ht="15" x14ac:dyDescent="0.2">
      <c r="C35" s="17">
        <v>19</v>
      </c>
      <c r="D35" s="17" t="str">
        <v>Watford</v>
      </c>
      <c r="E35" s="17">
        <v>38</v>
      </c>
      <c r="F35" s="17">
        <v>8</v>
      </c>
      <c r="G35" s="17">
        <v>10</v>
      </c>
      <c r="H35" s="17">
        <v>20</v>
      </c>
      <c r="I35" s="17">
        <v>36</v>
      </c>
      <c r="J35" s="17">
        <v>64</v>
      </c>
      <c r="K35" s="17">
        <v>-28</v>
      </c>
      <c r="L35" s="17">
        <v>34</v>
      </c>
      <c r="P35" s="17">
        <v>19</v>
      </c>
      <c r="Q35" s="17" t="str">
        <v>Watford</v>
      </c>
      <c r="R35" s="17">
        <v>38</v>
      </c>
      <c r="S35" s="17">
        <v>8</v>
      </c>
      <c r="T35" s="17">
        <v>10</v>
      </c>
      <c r="U35" s="17">
        <v>20</v>
      </c>
      <c r="V35" s="17">
        <v>36</v>
      </c>
      <c r="W35" s="17">
        <v>64</v>
      </c>
      <c r="X35" s="17">
        <v>-28</v>
      </c>
      <c r="Y35" s="17">
        <v>34</v>
      </c>
      <c r="AB35"/>
      <c r="AC35"/>
      <c r="AD35"/>
      <c r="AE35"/>
      <c r="AF35"/>
      <c r="AG35"/>
      <c r="AH35"/>
      <c r="AI35"/>
      <c r="AJ35"/>
    </row>
    <row r="36" spans="3:36" ht="15" x14ac:dyDescent="0.2">
      <c r="C36" s="16">
        <v>20</v>
      </c>
      <c r="D36" s="16" t="str">
        <v>Norwich City</v>
      </c>
      <c r="E36" s="16">
        <v>38</v>
      </c>
      <c r="F36" s="16">
        <v>5</v>
      </c>
      <c r="G36" s="16">
        <v>6</v>
      </c>
      <c r="H36" s="16">
        <v>27</v>
      </c>
      <c r="I36" s="16">
        <v>26</v>
      </c>
      <c r="J36" s="16">
        <v>75</v>
      </c>
      <c r="K36" s="16">
        <v>-49</v>
      </c>
      <c r="L36" s="16">
        <v>21</v>
      </c>
      <c r="P36" s="16">
        <v>20</v>
      </c>
      <c r="Q36" s="16" t="str">
        <v>Norwich City</v>
      </c>
      <c r="R36" s="16">
        <v>38</v>
      </c>
      <c r="S36" s="16">
        <v>5</v>
      </c>
      <c r="T36" s="16">
        <v>6</v>
      </c>
      <c r="U36" s="16">
        <v>27</v>
      </c>
      <c r="V36" s="16">
        <v>26</v>
      </c>
      <c r="W36" s="16">
        <v>75</v>
      </c>
      <c r="X36" s="16">
        <v>-49</v>
      </c>
      <c r="Y36" s="16">
        <v>21</v>
      </c>
      <c r="AB36"/>
      <c r="AC36"/>
      <c r="AD36"/>
      <c r="AE36"/>
      <c r="AF36"/>
      <c r="AG36"/>
      <c r="AH36"/>
      <c r="AI36"/>
      <c r="AJ36"/>
    </row>
  </sheetData>
  <mergeCells count="19">
    <mergeCell ref="O9:Z9"/>
    <mergeCell ref="O10:Z10"/>
    <mergeCell ref="O11:Z11"/>
    <mergeCell ref="O2:Z2"/>
    <mergeCell ref="B2:M2"/>
    <mergeCell ref="O4:Z4"/>
    <mergeCell ref="O5:Z5"/>
    <mergeCell ref="O6:Z6"/>
    <mergeCell ref="O7:Z7"/>
    <mergeCell ref="O8:Z8"/>
    <mergeCell ref="B12:M12"/>
    <mergeCell ref="B4:M4"/>
    <mergeCell ref="B5:M5"/>
    <mergeCell ref="B6:M6"/>
    <mergeCell ref="B7:M7"/>
    <mergeCell ref="B8:M8"/>
    <mergeCell ref="B9:M9"/>
    <mergeCell ref="B10:M10"/>
    <mergeCell ref="B11:M11"/>
  </mergeCells>
  <hyperlinks>
    <hyperlink ref="B8:M8" r:id="rId1" display="CHOOSE" xr:uid="{3E0DF8A9-7995-4A7E-93DA-8339F85E2CB5}"/>
    <hyperlink ref="B9:M9" r:id="rId2" display="UNIQUE" xr:uid="{B11F13E1-32ED-4701-B530-DC0EDCC6370B}"/>
    <hyperlink ref="B10:M10" r:id="rId3" display="COUNTIFS" xr:uid="{6BDEDDB0-1C3B-47F1-88A0-8C32AA64A4F3}"/>
    <hyperlink ref="B11:M11" r:id="rId4" display="SUMIFS" xr:uid="{37E928AA-3868-4C74-A9EB-F3946C9B0A0D}"/>
    <hyperlink ref="O8:Z8" r:id="rId5" display="SWITCH" xr:uid="{7F745610-F06B-4BA4-8F41-87CBD73CDC10}"/>
    <hyperlink ref="O9:Z9" r:id="rId6" display="UNIQUE" xr:uid="{F98F30DA-4F20-48E4-854D-A48E1A666BE5}"/>
    <hyperlink ref="O10:Z10" r:id="rId7" display="COUNTIFS" xr:uid="{7D5B998A-F909-48EC-B3BD-00367F41FEE9}"/>
    <hyperlink ref="O11:Z11" r:id="rId8" display="SUMIFS" xr:uid="{0452D28E-DE1B-432E-BA9B-BF540593321C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988EDD-75A9-4100-B626-653E08450E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Part A</vt:lpstr>
      <vt:lpstr>Part B</vt:lpstr>
      <vt:lpstr>Part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Moss</dc:creator>
  <cp:lastModifiedBy>Andrew Moss</cp:lastModifiedBy>
  <dcterms:created xsi:type="dcterms:W3CDTF">2020-07-13T22:29:50Z</dcterms:created>
  <dcterms:modified xsi:type="dcterms:W3CDTF">2021-02-23T13:08:29Z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ba6a67af-9284-47aa-8b0a-8013dd6d7c4a</vt:lpwstr>
  </property>
</Properties>
</file>