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w-wang.NEC\Documents\GitHub\Taipei-102\移動測試\"/>
    </mc:Choice>
  </mc:AlternateContent>
  <bookViews>
    <workbookView xWindow="0" yWindow="0" windowWidth="16400" windowHeight="6950" tabRatio="653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A21" i="14" l="1"/>
  <c r="EB21" i="14"/>
  <c r="EC21" i="14"/>
  <c r="ED21" i="14" s="1"/>
  <c r="DZ21" i="14"/>
  <c r="ED3" i="14" l="1"/>
  <c r="EC3" i="14"/>
  <c r="EB3" i="14"/>
  <c r="EA3" i="14"/>
  <c r="DZ3" i="14"/>
  <c r="DY38" i="14"/>
  <c r="DY20" i="14"/>
  <c r="DY22" i="14"/>
  <c r="DX20" i="14" l="1"/>
  <c r="DX22" i="14"/>
  <c r="ED31" i="14" l="1"/>
  <c r="ED27" i="14"/>
  <c r="ED17" i="14"/>
  <c r="EC31" i="14"/>
  <c r="EC27" i="14"/>
  <c r="EC17" i="14"/>
  <c r="EB31" i="14"/>
  <c r="EB27" i="14"/>
  <c r="EB17" i="14"/>
  <c r="EA31" i="14"/>
  <c r="EA27" i="14"/>
  <c r="EA17" i="14"/>
  <c r="DZ31" i="14"/>
  <c r="DZ27" i="14"/>
  <c r="DZ17" i="14"/>
  <c r="DZ8" i="14"/>
  <c r="DZ29" i="14" s="1"/>
  <c r="DZ7" i="14"/>
  <c r="DZ28" i="14" s="1"/>
  <c r="DZ5" i="14"/>
  <c r="DZ4" i="14"/>
  <c r="DZ25" i="14" s="1"/>
  <c r="DZ22" i="14"/>
  <c r="EA22" i="14" s="1"/>
  <c r="EB22" i="14" s="1"/>
  <c r="EC22" i="14" s="1"/>
  <c r="ED22" i="14" s="1"/>
  <c r="DZ20" i="14"/>
  <c r="EA20" i="14" s="1"/>
  <c r="EB20" i="14" s="1"/>
  <c r="EC20" i="14" s="1"/>
  <c r="ED20" i="14" s="1"/>
  <c r="DY17" i="14"/>
  <c r="DW20" i="14"/>
  <c r="EA7" i="14" l="1"/>
  <c r="EA8" i="14"/>
  <c r="DY9" i="14"/>
  <c r="EA5" i="14"/>
  <c r="EA26" i="14" s="1"/>
  <c r="DZ9" i="14"/>
  <c r="EA4" i="14"/>
  <c r="EA30" i="14"/>
  <c r="DZ26" i="14"/>
  <c r="DZ30" i="14"/>
  <c r="DY26" i="14"/>
  <c r="DV20" i="14"/>
  <c r="DV22" i="14"/>
  <c r="EA28" i="14" l="1"/>
  <c r="EB7" i="14"/>
  <c r="EA29" i="14"/>
  <c r="EB8" i="14"/>
  <c r="EB5" i="14"/>
  <c r="EA9" i="14"/>
  <c r="EB4" i="14"/>
  <c r="EA25" i="14"/>
  <c r="S26" i="22"/>
  <c r="EB28" i="14" l="1"/>
  <c r="EC7" i="14"/>
  <c r="EB29" i="14"/>
  <c r="EC8" i="14"/>
  <c r="EC5" i="14"/>
  <c r="EB26" i="14"/>
  <c r="EB30" i="14"/>
  <c r="EB9" i="14"/>
  <c r="EC4" i="14"/>
  <c r="EB25" i="14"/>
  <c r="DU22" i="14"/>
  <c r="DU20" i="14"/>
  <c r="DU4" i="14"/>
  <c r="EC28" i="14" l="1"/>
  <c r="ED7" i="14"/>
  <c r="ED28" i="14" s="1"/>
  <c r="ED8" i="14"/>
  <c r="ED29" i="14" s="1"/>
  <c r="EC29" i="14"/>
  <c r="ED5" i="14"/>
  <c r="EC30" i="14"/>
  <c r="EC26" i="14"/>
  <c r="ED4" i="14"/>
  <c r="EC25" i="14"/>
  <c r="EC9" i="14"/>
  <c r="DX17" i="14"/>
  <c r="DW17" i="14"/>
  <c r="DV17" i="14"/>
  <c r="DT20" i="14"/>
  <c r="DT22" i="14"/>
  <c r="ED30" i="14" l="1"/>
  <c r="ED26" i="14"/>
  <c r="ED25" i="14"/>
  <c r="ED9" i="14"/>
  <c r="DX26" i="14"/>
  <c r="DW26" i="14"/>
  <c r="DV9" i="14"/>
  <c r="DV26" i="14"/>
  <c r="DR22" i="14"/>
  <c r="DR20" i="14"/>
  <c r="DW9" i="14" l="1"/>
  <c r="DU17" i="14"/>
  <c r="DT17" i="14"/>
  <c r="DS17" i="14"/>
  <c r="DS8" i="14"/>
  <c r="DQ22" i="14"/>
  <c r="DX9" i="14" l="1"/>
  <c r="DS29" i="14"/>
  <c r="DS9" i="14"/>
  <c r="DS26" i="14"/>
  <c r="DP22" i="14"/>
  <c r="DR26" i="14"/>
  <c r="DN20" i="14"/>
  <c r="DN22" i="14"/>
  <c r="DM20" i="14"/>
  <c r="DM22" i="14"/>
  <c r="CH12" i="14"/>
  <c r="CI12" i="14" s="1"/>
  <c r="CJ12" i="14" s="1"/>
  <c r="CK12" i="14" s="1"/>
  <c r="DN26" i="14"/>
  <c r="DP32" i="14"/>
  <c r="DQ32" i="14" s="1"/>
  <c r="DR32" i="14" s="1"/>
  <c r="DS32" i="14" s="1"/>
  <c r="DN9" i="14"/>
  <c r="CQ39" i="14"/>
  <c r="CR39" i="14" s="1"/>
  <c r="CS39" i="14" s="1"/>
  <c r="CT39" i="14" s="1"/>
  <c r="CU39" i="14" s="1"/>
  <c r="CV39" i="14" s="1"/>
  <c r="CW39" i="14" s="1"/>
  <c r="CX39" i="14" s="1"/>
  <c r="CY39" i="14" s="1"/>
  <c r="CZ39" i="14" s="1"/>
  <c r="DA39" i="14" s="1"/>
  <c r="DB39" i="14" s="1"/>
  <c r="DC39" i="14" s="1"/>
  <c r="DD39" i="14" s="1"/>
  <c r="DE39" i="14" s="1"/>
  <c r="DF39" i="14" s="1"/>
  <c r="DG39" i="14" s="1"/>
  <c r="DH39" i="14" s="1"/>
  <c r="DI39" i="14" s="1"/>
  <c r="DJ39" i="14" s="1"/>
  <c r="DK39" i="14" s="1"/>
  <c r="DL39" i="14" s="1"/>
  <c r="DM39" i="14" s="1"/>
  <c r="DN39" i="14" s="1"/>
  <c r="DO39" i="14" s="1"/>
  <c r="DP39" i="14" s="1"/>
  <c r="DQ39" i="14" s="1"/>
  <c r="DR39" i="14" s="1"/>
  <c r="DS39" i="14" s="1"/>
  <c r="DT39" i="14" s="1"/>
  <c r="DU39" i="14" s="1"/>
  <c r="DV39" i="14" s="1"/>
  <c r="DW39" i="14" s="1"/>
  <c r="DX39" i="14" s="1"/>
  <c r="DY39" i="14" s="1"/>
  <c r="DZ39" i="14" s="1"/>
  <c r="EA39" i="14" s="1"/>
  <c r="EB39" i="14" s="1"/>
  <c r="EC39" i="14" s="1"/>
  <c r="ED39" i="14" s="1"/>
  <c r="DR29" i="14"/>
  <c r="AX18" i="14"/>
  <c r="AY18" i="14" s="1"/>
  <c r="AZ18" i="14" s="1"/>
  <c r="BA18" i="14" s="1"/>
  <c r="BB18" i="14" s="1"/>
  <c r="BC18" i="14" s="1"/>
  <c r="BD18" i="14" s="1"/>
  <c r="BE18" i="14" s="1"/>
  <c r="BF18" i="14" s="1"/>
  <c r="BG18" i="14" s="1"/>
  <c r="BH18" i="14" s="1"/>
  <c r="BI18" i="14" s="1"/>
  <c r="BJ18" i="14" s="1"/>
  <c r="BK18" i="14" s="1"/>
  <c r="BL18" i="14" s="1"/>
  <c r="BM18" i="14" s="1"/>
  <c r="BN18" i="14" s="1"/>
  <c r="BO18" i="14" s="1"/>
  <c r="BP18" i="14" s="1"/>
  <c r="BQ18" i="14" s="1"/>
  <c r="BR18" i="14" s="1"/>
  <c r="BS18" i="14" s="1"/>
  <c r="BT18" i="14" s="1"/>
  <c r="BU18" i="14" s="1"/>
  <c r="BV18" i="14" s="1"/>
  <c r="BW18" i="14" s="1"/>
  <c r="BX18" i="14" s="1"/>
  <c r="BY18" i="14" s="1"/>
  <c r="BZ18" i="14" s="1"/>
  <c r="CA18" i="14" s="1"/>
  <c r="CB18" i="14" s="1"/>
  <c r="CC18" i="14" s="1"/>
  <c r="CD18" i="14" s="1"/>
  <c r="CE18" i="14" s="1"/>
  <c r="CF18" i="14" s="1"/>
  <c r="CG18" i="14" s="1"/>
  <c r="CH18" i="14" s="1"/>
  <c r="CI18" i="14" s="1"/>
  <c r="CJ18" i="14" s="1"/>
  <c r="CK18" i="14" s="1"/>
  <c r="CL18" i="14" s="1"/>
  <c r="CM18" i="14" s="1"/>
  <c r="CN18" i="14" s="1"/>
  <c r="CO18" i="14" s="1"/>
  <c r="CP18" i="14" s="1"/>
  <c r="CQ18" i="14" s="1"/>
  <c r="CR18" i="14" s="1"/>
  <c r="CS18" i="14" s="1"/>
  <c r="CT18" i="14" s="1"/>
  <c r="CU18" i="14" s="1"/>
  <c r="CV18" i="14" s="1"/>
  <c r="CW18" i="14" s="1"/>
  <c r="CX18" i="14" s="1"/>
  <c r="CY18" i="14" s="1"/>
  <c r="CZ18" i="14" s="1"/>
  <c r="DA18" i="14" s="1"/>
  <c r="DB18" i="14" s="1"/>
  <c r="DC18" i="14" s="1"/>
  <c r="DD18" i="14" s="1"/>
  <c r="DE18" i="14" s="1"/>
  <c r="DF18" i="14" s="1"/>
  <c r="DG18" i="14" s="1"/>
  <c r="DH18" i="14" s="1"/>
  <c r="DI18" i="14" s="1"/>
  <c r="DJ18" i="14" s="1"/>
  <c r="DK18" i="14" s="1"/>
  <c r="DL18" i="14" s="1"/>
  <c r="DM18" i="14" s="1"/>
  <c r="DN18" i="14" s="1"/>
  <c r="DO18" i="14" s="1"/>
  <c r="DP18" i="14" s="1"/>
  <c r="DQ18" i="14" s="1"/>
  <c r="DR18" i="14" s="1"/>
  <c r="DS18" i="14" s="1"/>
  <c r="DT18" i="14" s="1"/>
  <c r="DU18" i="14" s="1"/>
  <c r="DV18" i="14" s="1"/>
  <c r="DW18" i="14" s="1"/>
  <c r="DX18" i="14" s="1"/>
  <c r="DY18" i="14" s="1"/>
  <c r="DZ18" i="14" s="1"/>
  <c r="EA18" i="14" s="1"/>
  <c r="EB18" i="14" s="1"/>
  <c r="EC18" i="14" s="1"/>
  <c r="ED18" i="14" s="1"/>
  <c r="DR17" i="14"/>
  <c r="BV13" i="14"/>
  <c r="BW13" i="14" s="1"/>
  <c r="BX13" i="14" s="1"/>
  <c r="BY13" i="14" s="1"/>
  <c r="BZ13" i="14" s="1"/>
  <c r="CA13" i="14" s="1"/>
  <c r="DQ26" i="14"/>
  <c r="DQ17" i="14"/>
  <c r="DQ9" i="14"/>
  <c r="DP26" i="14"/>
  <c r="DP17" i="14"/>
  <c r="DP9" i="14"/>
  <c r="DO26" i="14"/>
  <c r="DO17" i="14"/>
  <c r="DO9" i="14"/>
  <c r="DL22" i="14"/>
  <c r="DK22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0" i="14"/>
  <c r="DJ22" i="14"/>
  <c r="S28" i="22"/>
  <c r="DN17" i="14"/>
  <c r="DM17" i="14"/>
  <c r="DL17" i="14"/>
  <c r="DI20" i="14"/>
  <c r="DI22" i="14"/>
  <c r="U31" i="22"/>
  <c r="S25" i="22"/>
  <c r="DH20" i="14"/>
  <c r="DH22" i="14"/>
  <c r="DG22" i="14"/>
  <c r="DG20" i="14"/>
  <c r="DF22" i="14"/>
  <c r="DF20" i="14"/>
  <c r="DE20" i="14"/>
  <c r="DE22" i="14"/>
  <c r="DD20" i="14"/>
  <c r="DL26" i="14"/>
  <c r="DC20" i="14"/>
  <c r="DM26" i="14"/>
  <c r="DC22" i="14"/>
  <c r="DD22" i="14" s="1"/>
  <c r="DK26" i="14"/>
  <c r="DK17" i="14"/>
  <c r="DJ26" i="14"/>
  <c r="DJ17" i="14"/>
  <c r="DI26" i="14"/>
  <c r="DI17" i="14"/>
  <c r="DH26" i="14"/>
  <c r="DH17" i="14"/>
  <c r="DG26" i="14"/>
  <c r="DG17" i="14"/>
  <c r="DB23" i="14"/>
  <c r="DB19" i="14" s="1"/>
  <c r="DB20" i="14"/>
  <c r="DB22" i="14"/>
  <c r="CZ20" i="14"/>
  <c r="DA20" i="14" s="1"/>
  <c r="CZ22" i="14"/>
  <c r="DA22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9" i="14"/>
  <c r="DF30" i="14"/>
  <c r="DF26" i="14"/>
  <c r="DF17" i="14"/>
  <c r="DE30" i="14"/>
  <c r="DE26" i="14"/>
  <c r="DE17" i="14"/>
  <c r="DD30" i="14"/>
  <c r="DD26" i="14"/>
  <c r="DD17" i="14"/>
  <c r="DC30" i="14"/>
  <c r="DC26" i="14"/>
  <c r="DC17" i="14"/>
  <c r="DB30" i="14"/>
  <c r="DB26" i="14"/>
  <c r="DB17" i="14"/>
  <c r="DA30" i="14"/>
  <c r="DA26" i="14"/>
  <c r="DA17" i="14"/>
  <c r="CY22" i="14"/>
  <c r="CY20" i="14"/>
  <c r="DH9" i="14"/>
  <c r="DB9" i="14"/>
  <c r="DA9" i="14"/>
  <c r="CX22" i="14"/>
  <c r="CX24" i="14" s="1"/>
  <c r="DI9" i="14"/>
  <c r="DC9" i="14"/>
  <c r="CW22" i="14"/>
  <c r="DJ9" i="14"/>
  <c r="DD9" i="14"/>
  <c r="CZ30" i="14"/>
  <c r="CZ26" i="14"/>
  <c r="CZ17" i="14"/>
  <c r="CY30" i="14"/>
  <c r="CY26" i="14"/>
  <c r="CY17" i="14"/>
  <c r="CX30" i="14"/>
  <c r="CX29" i="14"/>
  <c r="CX26" i="14"/>
  <c r="CX17" i="14"/>
  <c r="DL9" i="14"/>
  <c r="DK9" i="14"/>
  <c r="DE9" i="14"/>
  <c r="CX9" i="14"/>
  <c r="CV23" i="14"/>
  <c r="CV19" i="14" s="1"/>
  <c r="CV22" i="14"/>
  <c r="DM9" i="14"/>
  <c r="DF9" i="14"/>
  <c r="CY9" i="14"/>
  <c r="CZ9" i="14"/>
  <c r="CU4" i="14"/>
  <c r="CU9" i="14" s="1"/>
  <c r="CW30" i="14"/>
  <c r="CW29" i="14"/>
  <c r="CW26" i="14"/>
  <c r="CW17" i="14"/>
  <c r="CV30" i="14"/>
  <c r="CV29" i="14"/>
  <c r="CV26" i="14"/>
  <c r="CV20" i="14"/>
  <c r="CV17" i="14"/>
  <c r="CU30" i="14"/>
  <c r="CU29" i="14"/>
  <c r="CU26" i="14"/>
  <c r="CU17" i="14"/>
  <c r="CV9" i="14"/>
  <c r="CW9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0" i="14"/>
  <c r="CN23" i="14"/>
  <c r="CN20" i="14"/>
  <c r="CN40" i="14"/>
  <c r="CM40" i="14"/>
  <c r="CT30" i="14"/>
  <c r="CT29" i="14"/>
  <c r="CT26" i="14"/>
  <c r="CT17" i="14"/>
  <c r="CS30" i="14"/>
  <c r="CS29" i="14"/>
  <c r="CS26" i="14"/>
  <c r="CS17" i="14"/>
  <c r="CR30" i="14"/>
  <c r="CR29" i="14"/>
  <c r="CR26" i="14"/>
  <c r="CR17" i="14"/>
  <c r="CQ30" i="14"/>
  <c r="CQ29" i="14"/>
  <c r="CQ26" i="14"/>
  <c r="CQ17" i="14"/>
  <c r="CP30" i="14"/>
  <c r="CP29" i="14"/>
  <c r="CP26" i="14"/>
  <c r="CP17" i="14"/>
  <c r="CO30" i="14"/>
  <c r="CO29" i="14"/>
  <c r="CO26" i="14"/>
  <c r="CO19" i="14"/>
  <c r="CQ22" i="14"/>
  <c r="CQ24" i="14" s="1"/>
  <c r="CO17" i="14"/>
  <c r="CO24" i="14"/>
  <c r="CS20" i="14"/>
  <c r="CT20" i="14" s="1"/>
  <c r="CP23" i="14"/>
  <c r="CP24" i="14" s="1"/>
  <c r="CS22" i="14"/>
  <c r="CT22" i="14" s="1"/>
  <c r="CP9" i="14"/>
  <c r="CO9" i="14"/>
  <c r="CM20" i="14"/>
  <c r="CP19" i="14"/>
  <c r="CQ9" i="14"/>
  <c r="CQ19" i="14"/>
  <c r="CR9" i="14"/>
  <c r="CS23" i="14"/>
  <c r="CS19" i="14" s="1"/>
  <c r="CR19" i="14"/>
  <c r="CR24" i="14"/>
  <c r="CN30" i="14"/>
  <c r="CN26" i="14"/>
  <c r="CN17" i="14"/>
  <c r="CN9" i="14"/>
  <c r="CS9" i="14"/>
  <c r="CT23" i="14"/>
  <c r="CT19" i="14" s="1"/>
  <c r="CM30" i="14"/>
  <c r="CM26" i="14"/>
  <c r="CM19" i="14"/>
  <c r="CM17" i="14"/>
  <c r="CT9" i="14"/>
  <c r="CM9" i="14"/>
  <c r="CL30" i="14"/>
  <c r="CL26" i="14"/>
  <c r="CL19" i="14"/>
  <c r="CL22" i="14"/>
  <c r="CM22" i="14" s="1"/>
  <c r="CM24" i="14" s="1"/>
  <c r="CM36" i="14" s="1"/>
  <c r="CL17" i="14"/>
  <c r="CL9" i="14"/>
  <c r="CL24" i="14"/>
  <c r="CI38" i="14"/>
  <c r="CH38" i="14"/>
  <c r="CK30" i="14"/>
  <c r="CK26" i="14"/>
  <c r="CK17" i="14"/>
  <c r="CJ30" i="14"/>
  <c r="CJ26" i="14"/>
  <c r="CJ17" i="14"/>
  <c r="CI30" i="14"/>
  <c r="CI26" i="14"/>
  <c r="CI19" i="14"/>
  <c r="CI22" i="14"/>
  <c r="CJ22" i="14" s="1"/>
  <c r="CJ24" i="14" s="1"/>
  <c r="CI20" i="14"/>
  <c r="CI24" i="14" s="1"/>
  <c r="CI17" i="14"/>
  <c r="CI9" i="14"/>
  <c r="CG6" i="14"/>
  <c r="CG9" i="14" s="1"/>
  <c r="CJ19" i="14"/>
  <c r="CJ9" i="14"/>
  <c r="CG19" i="14"/>
  <c r="CE19" i="14"/>
  <c r="CC19" i="14"/>
  <c r="CB19" i="14"/>
  <c r="CA19" i="14"/>
  <c r="BZ19" i="14"/>
  <c r="BY19" i="14"/>
  <c r="BX19" i="14"/>
  <c r="BW19" i="14"/>
  <c r="BV19" i="14"/>
  <c r="BU19" i="14"/>
  <c r="BQ19" i="14"/>
  <c r="T14" i="14"/>
  <c r="T19" i="14" s="1"/>
  <c r="CK19" i="14"/>
  <c r="CK24" i="14"/>
  <c r="CK9" i="14"/>
  <c r="C1" i="21"/>
  <c r="B1" i="21"/>
  <c r="H3" i="21"/>
  <c r="H5" i="21" s="1"/>
  <c r="H7" i="21" s="1"/>
  <c r="AI39" i="14"/>
  <c r="CC6" i="14"/>
  <c r="CC9" i="14" s="1"/>
  <c r="CC4" i="14"/>
  <c r="I8" i="20"/>
  <c r="CB22" i="14"/>
  <c r="CB24" i="14" s="1"/>
  <c r="CD23" i="14"/>
  <c r="CD19" i="14" s="1"/>
  <c r="CH30" i="14"/>
  <c r="CH26" i="14"/>
  <c r="CH34" i="14" s="1"/>
  <c r="CH17" i="14"/>
  <c r="CH9" i="14"/>
  <c r="CG30" i="14"/>
  <c r="CG26" i="14"/>
  <c r="CG17" i="14"/>
  <c r="CF30" i="14"/>
  <c r="CF26" i="14"/>
  <c r="CF17" i="14"/>
  <c r="CF9" i="14"/>
  <c r="CE30" i="14"/>
  <c r="CE26" i="14"/>
  <c r="CE17" i="14"/>
  <c r="CE9" i="14"/>
  <c r="CD30" i="14"/>
  <c r="CD26" i="14"/>
  <c r="CD20" i="14"/>
  <c r="CD17" i="14"/>
  <c r="CD9" i="14"/>
  <c r="CC30" i="14"/>
  <c r="CC26" i="14"/>
  <c r="CC24" i="14"/>
  <c r="CC17" i="14"/>
  <c r="CF23" i="14"/>
  <c r="BZ6" i="14"/>
  <c r="CH19" i="14"/>
  <c r="CF19" i="14"/>
  <c r="BZ4" i="14"/>
  <c r="CB30" i="14"/>
  <c r="CB26" i="14"/>
  <c r="CB17" i="14"/>
  <c r="CB9" i="14"/>
  <c r="CA26" i="14"/>
  <c r="CA17" i="14"/>
  <c r="CA9" i="14"/>
  <c r="CG24" i="14"/>
  <c r="CH24" i="14"/>
  <c r="BZ26" i="14"/>
  <c r="BZ17" i="14"/>
  <c r="BY26" i="14"/>
  <c r="BY17" i="14"/>
  <c r="BY9" i="14"/>
  <c r="BX26" i="14"/>
  <c r="BX17" i="14"/>
  <c r="BX9" i="14"/>
  <c r="BW30" i="14"/>
  <c r="BW26" i="14"/>
  <c r="BW17" i="14"/>
  <c r="BW9" i="14"/>
  <c r="BV26" i="14"/>
  <c r="BV17" i="14"/>
  <c r="BT11" i="14"/>
  <c r="BU11" i="14"/>
  <c r="BV9" i="14"/>
  <c r="BU26" i="14"/>
  <c r="BU32" i="14"/>
  <c r="BU17" i="14"/>
  <c r="BU9" i="14"/>
  <c r="BT26" i="14"/>
  <c r="BT17" i="14"/>
  <c r="BT9" i="14"/>
  <c r="BQ20" i="14"/>
  <c r="BQ24" i="14" s="1"/>
  <c r="BR23" i="14"/>
  <c r="BR19" i="14"/>
  <c r="BS26" i="14"/>
  <c r="BS17" i="14"/>
  <c r="BS9" i="14"/>
  <c r="BR26" i="14"/>
  <c r="BR31" i="14"/>
  <c r="BR17" i="14"/>
  <c r="BR9" i="14"/>
  <c r="BQ26" i="14"/>
  <c r="BQ17" i="14"/>
  <c r="BQ9" i="14"/>
  <c r="BO4" i="14"/>
  <c r="BO9" i="14"/>
  <c r="BE20" i="14"/>
  <c r="BF20" i="14" s="1"/>
  <c r="BG20" i="14" s="1"/>
  <c r="BH20" i="14" s="1"/>
  <c r="BM23" i="14"/>
  <c r="BN23" i="14" s="1"/>
  <c r="BO23" i="14" s="1"/>
  <c r="BP23" i="14" s="1"/>
  <c r="BP19" i="14" s="1"/>
  <c r="BP26" i="14"/>
  <c r="BG13" i="14"/>
  <c r="BH13" i="14" s="1"/>
  <c r="BE12" i="14"/>
  <c r="BF12" i="14" s="1"/>
  <c r="BJ11" i="14"/>
  <c r="BK11" i="14" s="1"/>
  <c r="BL11" i="14" s="1"/>
  <c r="BM11" i="14" s="1"/>
  <c r="BN11" i="14" s="1"/>
  <c r="BO11" i="14" s="1"/>
  <c r="BP11" i="14" s="1"/>
  <c r="BQ11" i="14" s="1"/>
  <c r="AM12" i="14"/>
  <c r="AM14" i="14" s="1"/>
  <c r="AN13" i="14"/>
  <c r="AO13" i="14" s="1"/>
  <c r="AP13" i="14" s="1"/>
  <c r="AQ13" i="14" s="1"/>
  <c r="AR13" i="14" s="1"/>
  <c r="AS13" i="14" s="1"/>
  <c r="AT13" i="14" s="1"/>
  <c r="AU12" i="14"/>
  <c r="AU14" i="14" s="1"/>
  <c r="AV12" i="14"/>
  <c r="AW13" i="14"/>
  <c r="AX13" i="14"/>
  <c r="AY13" i="14" s="1"/>
  <c r="AZ13" i="14" s="1"/>
  <c r="BA13" i="14" s="1"/>
  <c r="BB12" i="14"/>
  <c r="BB13" i="14" s="1"/>
  <c r="BC13" i="14" s="1"/>
  <c r="BD14" i="14"/>
  <c r="BE13" i="14"/>
  <c r="BP17" i="14"/>
  <c r="BP9" i="14"/>
  <c r="BO26" i="14"/>
  <c r="BO17" i="14"/>
  <c r="BN26" i="14"/>
  <c r="BN28" i="14"/>
  <c r="BN17" i="14"/>
  <c r="BN9" i="14"/>
  <c r="BM28" i="14"/>
  <c r="BM26" i="14"/>
  <c r="BM17" i="14"/>
  <c r="BM9" i="14"/>
  <c r="BL28" i="14"/>
  <c r="BL26" i="14"/>
  <c r="BL17" i="14"/>
  <c r="BL9" i="14"/>
  <c r="BK28" i="14"/>
  <c r="BK26" i="14"/>
  <c r="BK17" i="14"/>
  <c r="BK9" i="14"/>
  <c r="AQ11" i="14"/>
  <c r="BJ28" i="14"/>
  <c r="BJ26" i="14"/>
  <c r="BJ17" i="14"/>
  <c r="BJ9" i="14"/>
  <c r="BI26" i="14"/>
  <c r="BI17" i="14"/>
  <c r="BI9" i="14"/>
  <c r="BH26" i="14"/>
  <c r="BH17" i="14"/>
  <c r="BH9" i="14"/>
  <c r="BG26" i="14"/>
  <c r="BG17" i="14"/>
  <c r="BE23" i="14"/>
  <c r="BE22" i="14"/>
  <c r="BC20" i="14"/>
  <c r="BC24" i="14" s="1"/>
  <c r="BF27" i="14"/>
  <c r="BF26" i="14"/>
  <c r="BF17" i="14"/>
  <c r="BE26" i="14"/>
  <c r="BE17" i="14"/>
  <c r="BD26" i="14"/>
  <c r="BD17" i="14"/>
  <c r="BC26" i="14"/>
  <c r="BC17" i="14"/>
  <c r="BA20" i="14"/>
  <c r="BA24" i="14" s="1"/>
  <c r="I5" i="14"/>
  <c r="I6" i="14"/>
  <c r="R8" i="14"/>
  <c r="I8" i="14" s="1"/>
  <c r="AZ20" i="14"/>
  <c r="AZ24" i="14" s="1"/>
  <c r="AZ36" i="14" s="1"/>
  <c r="AZ22" i="14"/>
  <c r="AY22" i="14"/>
  <c r="AY20" i="14"/>
  <c r="BD24" i="14"/>
  <c r="AW6" i="14"/>
  <c r="BB27" i="14"/>
  <c r="BB26" i="14"/>
  <c r="BB24" i="14"/>
  <c r="BB36" i="14" s="1"/>
  <c r="BA26" i="14"/>
  <c r="AZ26" i="14"/>
  <c r="AY27" i="14"/>
  <c r="AY26" i="14"/>
  <c r="BB7" i="14"/>
  <c r="BB9" i="14" s="1"/>
  <c r="AZ7" i="14"/>
  <c r="AW22" i="14"/>
  <c r="AV22" i="14"/>
  <c r="AV24" i="14" s="1"/>
  <c r="AV36" i="14" s="1"/>
  <c r="AV20" i="14"/>
  <c r="AX26" i="14"/>
  <c r="AX17" i="14"/>
  <c r="AW26" i="14"/>
  <c r="AW36" i="14" s="1"/>
  <c r="AW17" i="14"/>
  <c r="T38" i="14"/>
  <c r="AT22" i="14"/>
  <c r="AT20" i="14"/>
  <c r="AR29" i="14"/>
  <c r="AW7" i="14"/>
  <c r="AR18" i="14"/>
  <c r="AS18" i="14" s="1"/>
  <c r="AT18" i="14"/>
  <c r="AU18" i="14" s="1"/>
  <c r="AP24" i="14"/>
  <c r="AV26" i="14"/>
  <c r="AU26" i="14"/>
  <c r="AT26" i="14"/>
  <c r="AS26" i="14"/>
  <c r="AR26" i="14"/>
  <c r="AQ26" i="14"/>
  <c r="AO20" i="14"/>
  <c r="AO24" i="14" s="1"/>
  <c r="AP26" i="14"/>
  <c r="AP28" i="14"/>
  <c r="AL12" i="14"/>
  <c r="AL14" i="14" s="1"/>
  <c r="AE12" i="14"/>
  <c r="AF12" i="14" s="1"/>
  <c r="AG12" i="14" s="1"/>
  <c r="AH12" i="14" s="1"/>
  <c r="AI12" i="14" s="1"/>
  <c r="AJ12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2" i="14"/>
  <c r="AN24" i="14" s="1"/>
  <c r="AO28" i="14"/>
  <c r="AO26" i="14"/>
  <c r="AN28" i="14"/>
  <c r="AN26" i="14"/>
  <c r="AM28" i="14"/>
  <c r="AM26" i="14"/>
  <c r="AM24" i="14"/>
  <c r="AL22" i="14"/>
  <c r="AL20" i="14"/>
  <c r="AJ22" i="14"/>
  <c r="AH20" i="14"/>
  <c r="AH24" i="14" s="1"/>
  <c r="AG20" i="14"/>
  <c r="AF20" i="14"/>
  <c r="AF24" i="14" s="1"/>
  <c r="AI16" i="14"/>
  <c r="AJ16" i="14" s="1"/>
  <c r="AI15" i="14"/>
  <c r="AJ15" i="14" s="1"/>
  <c r="AK15" i="14" s="1"/>
  <c r="AL15" i="14" s="1"/>
  <c r="AM15" i="14" s="1"/>
  <c r="AX24" i="14"/>
  <c r="AW24" i="14"/>
  <c r="AQ24" i="14"/>
  <c r="AR24" i="14"/>
  <c r="AR36" i="14" s="1"/>
  <c r="AS24" i="14"/>
  <c r="AS36" i="14"/>
  <c r="AU24" i="14"/>
  <c r="AU36" i="14" s="1"/>
  <c r="AE20" i="14"/>
  <c r="AE24" i="14"/>
  <c r="AD22" i="14"/>
  <c r="AD24" i="14" s="1"/>
  <c r="AD36" i="14" s="1"/>
  <c r="AD4" i="14"/>
  <c r="AD20" i="14"/>
  <c r="N24" i="14"/>
  <c r="AC20" i="14"/>
  <c r="BG28" i="14"/>
  <c r="BC9" i="14"/>
  <c r="D45" i="13"/>
  <c r="AA12" i="14"/>
  <c r="AB12" i="14" s="1"/>
  <c r="AB20" i="14"/>
  <c r="AB22" i="14"/>
  <c r="AB10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4" i="14"/>
  <c r="N9" i="14" s="1"/>
  <c r="P4" i="14"/>
  <c r="P9" i="14" s="1"/>
  <c r="R4" i="14"/>
  <c r="R9" i="14" s="1"/>
  <c r="O6" i="14"/>
  <c r="O9" i="14"/>
  <c r="V6" i="14"/>
  <c r="V9" i="14" s="1"/>
  <c r="W6" i="14"/>
  <c r="W9" i="14" s="1"/>
  <c r="X7" i="14"/>
  <c r="X9" i="14" s="1"/>
  <c r="Y7" i="14"/>
  <c r="Y9" i="14" s="1"/>
  <c r="Z7" i="14"/>
  <c r="Z9" i="14" s="1"/>
  <c r="M8" i="14"/>
  <c r="M9" i="14"/>
  <c r="K9" i="14"/>
  <c r="L9" i="14"/>
  <c r="Q9" i="14"/>
  <c r="S9" i="14"/>
  <c r="T9" i="14"/>
  <c r="U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Y9" i="14"/>
  <c r="AZ9" i="14"/>
  <c r="BA9" i="14"/>
  <c r="EE9" i="14"/>
  <c r="EF9" i="14"/>
  <c r="EG9" i="14"/>
  <c r="EH9" i="14"/>
  <c r="EI9" i="14"/>
  <c r="EJ9" i="14"/>
  <c r="EK9" i="14"/>
  <c r="EL9" i="14"/>
  <c r="EM9" i="14"/>
  <c r="EN9" i="14"/>
  <c r="EO9" i="14"/>
  <c r="EP9" i="14"/>
  <c r="EQ9" i="14"/>
  <c r="ER9" i="14"/>
  <c r="ES9" i="14"/>
  <c r="ET9" i="14"/>
  <c r="EU9" i="14"/>
  <c r="EV9" i="14"/>
  <c r="EW9" i="14"/>
  <c r="EX9" i="14"/>
  <c r="EY9" i="14"/>
  <c r="EZ9" i="14"/>
  <c r="FA9" i="14"/>
  <c r="FB9" i="14"/>
  <c r="FC9" i="14"/>
  <c r="FD9" i="14"/>
  <c r="FE9" i="14"/>
  <c r="FF9" i="14"/>
  <c r="FG9" i="14"/>
  <c r="FH9" i="14"/>
  <c r="FI9" i="14"/>
  <c r="FJ9" i="14"/>
  <c r="FK9" i="14"/>
  <c r="FL9" i="14"/>
  <c r="FM9" i="14"/>
  <c r="FN9" i="14"/>
  <c r="S12" i="14"/>
  <c r="S13" i="14"/>
  <c r="U14" i="14"/>
  <c r="V14" i="14"/>
  <c r="W14" i="14"/>
  <c r="X14" i="14"/>
  <c r="Y14" i="14"/>
  <c r="Z14" i="14"/>
  <c r="EE14" i="14"/>
  <c r="EF14" i="14"/>
  <c r="EG14" i="14"/>
  <c r="EH14" i="14"/>
  <c r="EI14" i="14"/>
  <c r="EJ14" i="14"/>
  <c r="EK14" i="14"/>
  <c r="EL14" i="14"/>
  <c r="EM14" i="14"/>
  <c r="EN14" i="14"/>
  <c r="EO14" i="14"/>
  <c r="EP14" i="14"/>
  <c r="EQ14" i="14"/>
  <c r="ER14" i="14"/>
  <c r="ES14" i="14"/>
  <c r="ET14" i="14"/>
  <c r="EU14" i="14"/>
  <c r="EV14" i="14"/>
  <c r="EW14" i="14"/>
  <c r="EX14" i="14"/>
  <c r="EY14" i="14"/>
  <c r="EZ14" i="14"/>
  <c r="FA14" i="14"/>
  <c r="FB14" i="14"/>
  <c r="FC14" i="14"/>
  <c r="FD14" i="14"/>
  <c r="FE14" i="14"/>
  <c r="FF14" i="14"/>
  <c r="FG14" i="14"/>
  <c r="FH14" i="14"/>
  <c r="FI14" i="14"/>
  <c r="FJ14" i="14"/>
  <c r="FK14" i="14"/>
  <c r="FL14" i="14"/>
  <c r="FM14" i="14"/>
  <c r="FN14" i="14"/>
  <c r="FO14" i="14"/>
  <c r="FP14" i="14"/>
  <c r="FQ14" i="14"/>
  <c r="FR14" i="14"/>
  <c r="FS14" i="14"/>
  <c r="FT14" i="14"/>
  <c r="FU14" i="14"/>
  <c r="FV14" i="14"/>
  <c r="FW14" i="14"/>
  <c r="FX14" i="14"/>
  <c r="FY14" i="14"/>
  <c r="FZ14" i="14"/>
  <c r="GA14" i="14"/>
  <c r="GB14" i="14"/>
  <c r="GC14" i="14"/>
  <c r="GD14" i="14"/>
  <c r="GE14" i="14"/>
  <c r="GF14" i="14"/>
  <c r="GG14" i="14"/>
  <c r="GH14" i="14"/>
  <c r="GI14" i="14"/>
  <c r="GJ14" i="14"/>
  <c r="GK14" i="14"/>
  <c r="GL14" i="14"/>
  <c r="GM14" i="14"/>
  <c r="GN14" i="14"/>
  <c r="M15" i="14"/>
  <c r="L16" i="14"/>
  <c r="M16" i="14" s="1"/>
  <c r="M17" i="14" s="1"/>
  <c r="O16" i="14"/>
  <c r="O17" i="14" s="1"/>
  <c r="Q16" i="14"/>
  <c r="N17" i="14"/>
  <c r="P17" i="14"/>
  <c r="R17" i="14"/>
  <c r="S17" i="14"/>
  <c r="T17" i="14"/>
  <c r="U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P17" i="14"/>
  <c r="AQ17" i="14"/>
  <c r="AR17" i="14"/>
  <c r="AS17" i="14"/>
  <c r="AT17" i="14"/>
  <c r="AU17" i="14"/>
  <c r="AV17" i="14"/>
  <c r="AY17" i="14"/>
  <c r="AZ17" i="14"/>
  <c r="BA17" i="14"/>
  <c r="BB17" i="14"/>
  <c r="S20" i="14"/>
  <c r="S24" i="14" s="1"/>
  <c r="AA20" i="14"/>
  <c r="AA24" i="14" s="1"/>
  <c r="Z22" i="14"/>
  <c r="Z24" i="14" s="1"/>
  <c r="Z36" i="14" s="1"/>
  <c r="J24" i="14"/>
  <c r="M24" i="14"/>
  <c r="O24" i="14"/>
  <c r="P24" i="14"/>
  <c r="P36" i="14" s="1"/>
  <c r="Q24" i="14"/>
  <c r="Q36" i="14" s="1"/>
  <c r="R24" i="14"/>
  <c r="R36" i="14" s="1"/>
  <c r="T24" i="14"/>
  <c r="U24" i="14"/>
  <c r="U36" i="14" s="1"/>
  <c r="V24" i="14"/>
  <c r="V36" i="14" s="1"/>
  <c r="V26" i="14"/>
  <c r="W24" i="14"/>
  <c r="X24" i="14"/>
  <c r="Y24" i="14"/>
  <c r="Z26" i="14"/>
  <c r="AC24" i="14"/>
  <c r="AG24" i="14"/>
  <c r="AI24" i="14"/>
  <c r="AJ24" i="14"/>
  <c r="S25" i="14"/>
  <c r="T26" i="14"/>
  <c r="U26" i="14"/>
  <c r="W26" i="14"/>
  <c r="X26" i="14"/>
  <c r="Y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I27" i="14"/>
  <c r="AC28" i="14"/>
  <c r="AD28" i="14"/>
  <c r="AE28" i="14"/>
  <c r="AF28" i="14"/>
  <c r="AG28" i="14"/>
  <c r="AH28" i="14"/>
  <c r="AI28" i="14"/>
  <c r="AI36" i="14" s="1"/>
  <c r="AJ28" i="14"/>
  <c r="AK28" i="14"/>
  <c r="AL28" i="14"/>
  <c r="O43" i="14"/>
  <c r="B41" i="17" s="1"/>
  <c r="P43" i="14"/>
  <c r="C41" i="17" s="1"/>
  <c r="BD9" i="14"/>
  <c r="F76" i="17"/>
  <c r="R37" i="5"/>
  <c r="AJ22" i="11"/>
  <c r="AJ5" i="9"/>
  <c r="S37" i="8"/>
  <c r="AF13" i="14"/>
  <c r="AG13" i="14" s="1"/>
  <c r="BE9" i="14"/>
  <c r="BG9" i="14"/>
  <c r="BF9" i="14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6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J52" i="18"/>
  <c r="M6" i="18" s="1"/>
  <c r="S37" i="7"/>
  <c r="AJ27" i="4"/>
  <c r="AJ22" i="8"/>
  <c r="AJ42" i="6"/>
  <c r="AJ24" i="8"/>
  <c r="AI45" i="9"/>
  <c r="AB24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4" i="14"/>
  <c r="BC12" i="14"/>
  <c r="BC14" i="14" s="1"/>
  <c r="Y37" i="3"/>
  <c r="AJ25" i="9"/>
  <c r="AJ35" i="10"/>
  <c r="AJ39" i="10"/>
  <c r="AJ43" i="10"/>
  <c r="AI4" i="4"/>
  <c r="T37" i="3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AJ32" i="3"/>
  <c r="AI18" i="4"/>
  <c r="F18" i="25"/>
  <c r="AJ42" i="7"/>
  <c r="AJ22" i="10"/>
  <c r="AJ43" i="11"/>
  <c r="J8" i="18"/>
  <c r="A2" i="18" s="1"/>
  <c r="BR20" i="14"/>
  <c r="BV32" i="14"/>
  <c r="I9" i="14"/>
  <c r="BB14" i="14"/>
  <c r="AJ34" i="2"/>
  <c r="S37" i="4"/>
  <c r="AJ5" i="7"/>
  <c r="AC37" i="2"/>
  <c r="N37" i="4"/>
  <c r="AJ34" i="8"/>
  <c r="AJ34" i="9"/>
  <c r="AJ28" i="9"/>
  <c r="D18" i="23"/>
  <c r="BG24" i="14"/>
  <c r="BG36" i="14" s="1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3" i="14"/>
  <c r="AB13" i="14" s="1"/>
  <c r="AC13" i="14" s="1"/>
  <c r="AD13" i="14" s="1"/>
  <c r="AL24" i="14"/>
  <c r="AP36" i="14"/>
  <c r="AX36" i="14"/>
  <c r="BP24" i="14"/>
  <c r="BP36" i="14" s="1"/>
  <c r="BS23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T24" i="14"/>
  <c r="AT36" i="14" s="1"/>
  <c r="BD36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4" i="14"/>
  <c r="BC36" i="14"/>
  <c r="AQ36" i="14"/>
  <c r="AJ35" i="7"/>
  <c r="Q17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2" i="14"/>
  <c r="AX7" i="14"/>
  <c r="AX9" i="14"/>
  <c r="AW9" i="14"/>
  <c r="AJ42" i="3"/>
  <c r="AI45" i="5"/>
  <c r="AJ33" i="5"/>
  <c r="AJ34" i="6"/>
  <c r="AJ24" i="6"/>
  <c r="AI37" i="8"/>
  <c r="AJ34" i="11"/>
  <c r="AJ22" i="13"/>
  <c r="AJ29" i="3"/>
  <c r="AJ2" i="5"/>
  <c r="AJ39" i="9"/>
  <c r="AJ45" i="9"/>
  <c r="AJ33" i="13"/>
  <c r="AJ15" i="7"/>
  <c r="AJ2" i="6"/>
  <c r="AJ8" i="4"/>
  <c r="AJ2" i="4"/>
  <c r="AJ24" i="7"/>
  <c r="AJ45" i="8"/>
  <c r="AJ27" i="8"/>
  <c r="AJ43" i="9"/>
  <c r="I76" i="17"/>
  <c r="AJ8" i="12"/>
  <c r="AJ5" i="13"/>
  <c r="AJ8" i="5"/>
  <c r="AJ39" i="6"/>
  <c r="Y36" i="14"/>
  <c r="H76" i="17"/>
  <c r="AI39" i="3"/>
  <c r="E39" i="23" s="1"/>
  <c r="D45" i="3"/>
  <c r="AI45" i="3" s="1"/>
  <c r="AI18" i="6"/>
  <c r="T37" i="6"/>
  <c r="AJ15" i="8"/>
  <c r="AJ28" i="11"/>
  <c r="AJ34" i="12"/>
  <c r="AM36" i="14"/>
  <c r="J55" i="18"/>
  <c r="P6" i="18"/>
  <c r="J48" i="18"/>
  <c r="J40" i="18"/>
  <c r="A6" i="18" s="1"/>
  <c r="J33" i="18"/>
  <c r="J4" i="18"/>
  <c r="J32" i="18"/>
  <c r="I4" i="18" s="1"/>
  <c r="J20" i="18"/>
  <c r="M2" i="18"/>
  <c r="AW12" i="14"/>
  <c r="AV14" i="14"/>
  <c r="BE14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1" i="14"/>
  <c r="AS11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6" i="14"/>
  <c r="BW32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AJ35" i="3"/>
  <c r="BS19" i="14"/>
  <c r="BT23" i="14"/>
  <c r="BT19" i="14" s="1"/>
  <c r="N37" i="23"/>
  <c r="L3" i="17" s="1"/>
  <c r="I4" i="17"/>
  <c r="I75" i="17"/>
  <c r="L4" i="17"/>
  <c r="L75" i="17"/>
  <c r="F75" i="17"/>
  <c r="F4" i="17"/>
  <c r="C75" i="17"/>
  <c r="C4" i="17"/>
  <c r="G4" i="17"/>
  <c r="G75" i="17"/>
  <c r="C76" i="17"/>
  <c r="M76" i="17"/>
  <c r="AJ15" i="5"/>
  <c r="E4" i="17"/>
  <c r="E75" i="17"/>
  <c r="B76" i="17"/>
  <c r="J75" i="17"/>
  <c r="J4" i="17"/>
  <c r="D4" i="17"/>
  <c r="D75" i="17"/>
  <c r="BY32" i="14"/>
  <c r="K75" i="17"/>
  <c r="K4" i="17"/>
  <c r="M75" i="17"/>
  <c r="M4" i="17"/>
  <c r="H4" i="17"/>
  <c r="H75" i="17"/>
  <c r="BZ32" i="14"/>
  <c r="B4" i="17"/>
  <c r="B75" i="17"/>
  <c r="CJ34" i="14" l="1"/>
  <c r="AO36" i="14"/>
  <c r="CT24" i="14"/>
  <c r="CT36" i="14" s="1"/>
  <c r="BX32" i="14"/>
  <c r="BF14" i="14"/>
  <c r="BG12" i="14"/>
  <c r="BH24" i="14"/>
  <c r="BH36" i="14" s="1"/>
  <c r="BI20" i="14"/>
  <c r="BI24" i="14" s="1"/>
  <c r="BI36" i="14" s="1"/>
  <c r="G43" i="17"/>
  <c r="U19" i="14"/>
  <c r="AN36" i="14"/>
  <c r="AA14" i="14"/>
  <c r="BE24" i="14"/>
  <c r="BE36" i="14" s="1"/>
  <c r="AE36" i="14"/>
  <c r="AA36" i="14"/>
  <c r="AH36" i="14"/>
  <c r="BZ9" i="14"/>
  <c r="CS24" i="14"/>
  <c r="CS36" i="14" s="1"/>
  <c r="CK36" i="14"/>
  <c r="L17" i="14"/>
  <c r="AE14" i="14"/>
  <c r="BF24" i="14"/>
  <c r="BF36" i="14" s="1"/>
  <c r="AY36" i="14"/>
  <c r="CV24" i="14"/>
  <c r="CV36" i="14" s="1"/>
  <c r="P27" i="25"/>
  <c r="Q27" i="25" s="1"/>
  <c r="AK16" i="14"/>
  <c r="AJ17" i="14"/>
  <c r="D35" i="25"/>
  <c r="P2" i="25"/>
  <c r="CX36" i="14"/>
  <c r="K72" i="24"/>
  <c r="K73" i="24" s="1"/>
  <c r="C57" i="24" s="1"/>
  <c r="AJ37" i="4"/>
  <c r="P8" i="25"/>
  <c r="P23" i="25"/>
  <c r="H45" i="23"/>
  <c r="AG36" i="14"/>
  <c r="AF36" i="14"/>
  <c r="T36" i="14"/>
  <c r="CI34" i="14"/>
  <c r="CQ36" i="14"/>
  <c r="CO36" i="14"/>
  <c r="CR36" i="14"/>
  <c r="R37" i="23"/>
  <c r="K83" i="24"/>
  <c r="C85" i="24" s="1"/>
  <c r="G45" i="25"/>
  <c r="AJ39" i="3"/>
  <c r="AL36" i="14"/>
  <c r="F37" i="23"/>
  <c r="D3" i="17" s="1"/>
  <c r="P30" i="25"/>
  <c r="S14" i="14"/>
  <c r="AI37" i="6"/>
  <c r="AJ45" i="7"/>
  <c r="CL36" i="14"/>
  <c r="DT26" i="14"/>
  <c r="AK12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AJ2" i="2"/>
  <c r="AN14" i="14"/>
  <c r="AO12" i="14"/>
  <c r="AJ36" i="14"/>
  <c r="AC36" i="14"/>
  <c r="P19" i="25"/>
  <c r="P12" i="25"/>
  <c r="BI13" i="14"/>
  <c r="BJ13" i="14" s="1"/>
  <c r="BK13" i="14" s="1"/>
  <c r="BL13" i="14" s="1"/>
  <c r="BM13" i="14" s="1"/>
  <c r="BN13" i="14" s="1"/>
  <c r="BO13" i="14" s="1"/>
  <c r="BP13" i="14" s="1"/>
  <c r="BQ13" i="14" s="1"/>
  <c r="BR13" i="14" s="1"/>
  <c r="BS13" i="14" s="1"/>
  <c r="BT13" i="14" s="1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2" i="14"/>
  <c r="AB14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1" i="14"/>
  <c r="AU11" i="14" s="1"/>
  <c r="AV11" i="14" s="1"/>
  <c r="AW11" i="14" s="1"/>
  <c r="AX11" i="14" s="1"/>
  <c r="AY11" i="14" s="1"/>
  <c r="AZ11" i="14" s="1"/>
  <c r="BA11" i="14" s="1"/>
  <c r="BB11" i="14" s="1"/>
  <c r="BC11" i="14" s="1"/>
  <c r="BD11" i="14" s="1"/>
  <c r="BE11" i="14" s="1"/>
  <c r="BF11" i="14" s="1"/>
  <c r="BG11" i="14" s="1"/>
  <c r="BH11" i="14" s="1"/>
  <c r="AN15" i="14"/>
  <c r="BS20" i="14"/>
  <c r="BR24" i="14"/>
  <c r="BR36" i="14" s="1"/>
  <c r="D9" i="25"/>
  <c r="P41" i="25"/>
  <c r="W36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2" i="14"/>
  <c r="AW14" i="14"/>
  <c r="AJ45" i="3"/>
  <c r="E39" i="25"/>
  <c r="AJ43" i="3"/>
  <c r="AJ37" i="12"/>
  <c r="H36" i="23"/>
  <c r="H36" i="25"/>
  <c r="I45" i="23"/>
  <c r="H43" i="17"/>
  <c r="V19" i="14"/>
  <c r="AB36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6" i="14"/>
  <c r="CL12" i="14"/>
  <c r="CK34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3" i="14"/>
  <c r="AI13" i="14" s="1"/>
  <c r="AJ13" i="14" s="1"/>
  <c r="AK13" i="14" s="1"/>
  <c r="AG14" i="14"/>
  <c r="X36" i="14"/>
  <c r="S36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3" i="14"/>
  <c r="CA32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6" i="14"/>
  <c r="CE20" i="14"/>
  <c r="CD24" i="14"/>
  <c r="CJ36" i="14"/>
  <c r="CN19" i="14"/>
  <c r="CN24" i="14"/>
  <c r="CN36" i="14" s="1"/>
  <c r="S12" i="22"/>
  <c r="S14" i="22" s="1"/>
  <c r="DT32" i="14"/>
  <c r="DU32" i="14" s="1"/>
  <c r="DV32" i="14" s="1"/>
  <c r="CP36" i="14"/>
  <c r="K97" i="24"/>
  <c r="C97" i="24" s="1"/>
  <c r="DB24" i="14"/>
  <c r="DB36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9" i="14"/>
  <c r="DR9" i="14"/>
  <c r="BJ20" i="14" l="1"/>
  <c r="DW32" i="14"/>
  <c r="BG14" i="14"/>
  <c r="BH12" i="14"/>
  <c r="AH14" i="14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4" i="14"/>
  <c r="O45" i="23"/>
  <c r="P17" i="23"/>
  <c r="AL16" i="14"/>
  <c r="AK17" i="14"/>
  <c r="AK22" i="14" s="1"/>
  <c r="AK24" i="14" s="1"/>
  <c r="AK36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0" i="14" s="1"/>
  <c r="C11" i="14"/>
  <c r="I11" i="14" s="1"/>
  <c r="I13" i="14"/>
  <c r="Q2" i="23"/>
  <c r="P11" i="25"/>
  <c r="Q8" i="25" s="1"/>
  <c r="G37" i="25"/>
  <c r="I37" i="25"/>
  <c r="CF20" i="14"/>
  <c r="CF24" i="14" s="1"/>
  <c r="CE24" i="14"/>
  <c r="P3" i="25"/>
  <c r="Q2" i="25" s="1"/>
  <c r="CM12" i="14"/>
  <c r="CL34" i="14"/>
  <c r="E37" i="25"/>
  <c r="P21" i="25"/>
  <c r="E45" i="25"/>
  <c r="P4" i="23"/>
  <c r="J45" i="25"/>
  <c r="AD12" i="14"/>
  <c r="AD14" i="14" s="1"/>
  <c r="AC14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19" i="14"/>
  <c r="I43" i="17"/>
  <c r="AJ37" i="13"/>
  <c r="P5" i="23"/>
  <c r="Q5" i="23" s="1"/>
  <c r="D37" i="23"/>
  <c r="P20" i="23"/>
  <c r="Q15" i="23" s="1"/>
  <c r="O45" i="25"/>
  <c r="BJ24" i="14"/>
  <c r="BJ36" i="14" s="1"/>
  <c r="BK20" i="14"/>
  <c r="D45" i="25"/>
  <c r="AO14" i="14"/>
  <c r="AO19" i="14" s="1"/>
  <c r="AP12" i="14"/>
  <c r="P25" i="25"/>
  <c r="Q25" i="25" s="1"/>
  <c r="AK14" i="14"/>
  <c r="S17" i="22"/>
  <c r="S29" i="22"/>
  <c r="AY12" i="14"/>
  <c r="AX14" i="14"/>
  <c r="D37" i="25"/>
  <c r="P37" i="25" s="1"/>
  <c r="P5" i="25"/>
  <c r="Q5" i="25" s="1"/>
  <c r="P44" i="23"/>
  <c r="J37" i="23"/>
  <c r="H3" i="17" s="1"/>
  <c r="P43" i="23"/>
  <c r="Q43" i="23" s="1"/>
  <c r="CC13" i="14"/>
  <c r="CB32" i="14"/>
  <c r="CB36" i="14" s="1"/>
  <c r="BS24" i="14"/>
  <c r="BS36" i="14" s="1"/>
  <c r="BT20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4" i="14"/>
  <c r="Q29" i="25"/>
  <c r="DU9" i="14"/>
  <c r="DU26" i="14"/>
  <c r="DX32" i="14" l="1"/>
  <c r="BH14" i="14"/>
  <c r="BI12" i="14"/>
  <c r="Q39" i="23"/>
  <c r="AM16" i="14"/>
  <c r="AL17" i="14"/>
  <c r="BT24" i="14"/>
  <c r="BT36" i="14" s="1"/>
  <c r="BU20" i="14"/>
  <c r="BK24" i="14"/>
  <c r="BK36" i="14" s="1"/>
  <c r="BL20" i="14"/>
  <c r="B3" i="17"/>
  <c r="P37" i="23"/>
  <c r="X19" i="14"/>
  <c r="J43" i="17"/>
  <c r="AQ12" i="14"/>
  <c r="AP14" i="14"/>
  <c r="Q45" i="23"/>
  <c r="Q37" i="25"/>
  <c r="Q37" i="23"/>
  <c r="AZ12" i="14"/>
  <c r="AY14" i="14"/>
  <c r="AP19" i="14"/>
  <c r="Q45" i="25"/>
  <c r="Q39" i="25"/>
  <c r="CD13" i="14"/>
  <c r="CC32" i="14"/>
  <c r="CC36" i="14" s="1"/>
  <c r="S32" i="22"/>
  <c r="U20" i="22" s="1"/>
  <c r="U29" i="22"/>
  <c r="P45" i="25"/>
  <c r="CN12" i="14"/>
  <c r="CM34" i="14"/>
  <c r="CM38" i="14" s="1"/>
  <c r="BJ12" i="14" l="1"/>
  <c r="BI14" i="14"/>
  <c r="DY32" i="14"/>
  <c r="DZ32" i="14" s="1"/>
  <c r="EA32" i="14" s="1"/>
  <c r="EB32" i="14" s="1"/>
  <c r="EC32" i="14" s="1"/>
  <c r="ED32" i="14" s="1"/>
  <c r="AN16" i="14"/>
  <c r="AN17" i="14" s="1"/>
  <c r="AM17" i="14"/>
  <c r="CE13" i="14"/>
  <c r="CD32" i="14"/>
  <c r="CD36" i="14" s="1"/>
  <c r="BM20" i="14"/>
  <c r="BL24" i="14"/>
  <c r="BL36" i="14" s="1"/>
  <c r="Y19" i="14"/>
  <c r="K43" i="17"/>
  <c r="AZ14" i="14"/>
  <c r="BA12" i="14"/>
  <c r="BA14" i="14" s="1"/>
  <c r="CO12" i="14"/>
  <c r="CN34" i="14"/>
  <c r="AR12" i="14"/>
  <c r="AQ14" i="14"/>
  <c r="AQ19" i="14" s="1"/>
  <c r="BU24" i="14"/>
  <c r="BU36" i="14" s="1"/>
  <c r="BV20" i="14"/>
  <c r="J16" i="14" l="1"/>
  <c r="BK12" i="14"/>
  <c r="BJ14" i="14"/>
  <c r="CP12" i="14"/>
  <c r="CO34" i="14"/>
  <c r="AS12" i="14"/>
  <c r="AR14" i="14"/>
  <c r="AR19" i="14" s="1"/>
  <c r="Z19" i="14"/>
  <c r="L43" i="17"/>
  <c r="BV24" i="14"/>
  <c r="BV36" i="14" s="1"/>
  <c r="BW20" i="14"/>
  <c r="BM24" i="14"/>
  <c r="BM36" i="14" s="1"/>
  <c r="BN20" i="14"/>
  <c r="CF13" i="14"/>
  <c r="CE32" i="14"/>
  <c r="CE36" i="14" s="1"/>
  <c r="BK14" i="14" l="1"/>
  <c r="BL12" i="14"/>
  <c r="AS14" i="14"/>
  <c r="AS19" i="14" s="1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BJ19" i="14" s="1"/>
  <c r="BK19" i="14" s="1"/>
  <c r="AT12" i="14"/>
  <c r="AT14" i="14" s="1"/>
  <c r="CG13" i="14"/>
  <c r="CF32" i="14"/>
  <c r="CF36" i="14" s="1"/>
  <c r="BX20" i="14"/>
  <c r="BW24" i="14"/>
  <c r="BW36" i="14" s="1"/>
  <c r="BN24" i="14"/>
  <c r="BN36" i="14" s="1"/>
  <c r="BO20" i="14"/>
  <c r="BO24" i="14" s="1"/>
  <c r="BO36" i="14" s="1"/>
  <c r="AA19" i="14"/>
  <c r="AB19" i="14" s="1"/>
  <c r="AC19" i="14" s="1"/>
  <c r="AD19" i="14" s="1"/>
  <c r="AE19" i="14" s="1"/>
  <c r="AF19" i="14" s="1"/>
  <c r="AG19" i="14" s="1"/>
  <c r="AH19" i="14" s="1"/>
  <c r="AI19" i="14" s="1"/>
  <c r="AJ19" i="14" s="1"/>
  <c r="AK19" i="14" s="1"/>
  <c r="AL19" i="14" s="1"/>
  <c r="AM19" i="14" s="1"/>
  <c r="M43" i="17"/>
  <c r="CQ12" i="14"/>
  <c r="CP34" i="14"/>
  <c r="BM12" i="14" l="1"/>
  <c r="BL14" i="14"/>
  <c r="BL19" i="14"/>
  <c r="BY20" i="14"/>
  <c r="BX24" i="14"/>
  <c r="BX36" i="14" s="1"/>
  <c r="CR12" i="14"/>
  <c r="CQ34" i="14"/>
  <c r="CH13" i="14"/>
  <c r="CG14" i="14"/>
  <c r="CG32" i="14"/>
  <c r="CG36" i="14" s="1"/>
  <c r="BM14" i="14" l="1"/>
  <c r="BM19" i="14" s="1"/>
  <c r="BN12" i="14"/>
  <c r="CS12" i="14"/>
  <c r="CR34" i="14"/>
  <c r="CI13" i="14"/>
  <c r="CH14" i="14"/>
  <c r="BY24" i="14"/>
  <c r="BY36" i="14" s="1"/>
  <c r="BZ20" i="14"/>
  <c r="BN14" i="14" l="1"/>
  <c r="BN19" i="14" s="1"/>
  <c r="BO12" i="14"/>
  <c r="CJ13" i="14"/>
  <c r="CI14" i="14"/>
  <c r="CT12" i="14"/>
  <c r="CS34" i="14"/>
  <c r="CA20" i="14"/>
  <c r="CA24" i="14" s="1"/>
  <c r="CA36" i="14" s="1"/>
  <c r="BZ24" i="14"/>
  <c r="BZ36" i="14" s="1"/>
  <c r="BO14" i="14" l="1"/>
  <c r="BO19" i="14" s="1"/>
  <c r="BP12" i="14"/>
  <c r="CU12" i="14"/>
  <c r="CT34" i="14"/>
  <c r="CK13" i="14"/>
  <c r="CJ14" i="14"/>
  <c r="BP14" i="14" l="1"/>
  <c r="BQ12" i="14"/>
  <c r="CV12" i="14"/>
  <c r="CU34" i="14"/>
  <c r="CL13" i="14"/>
  <c r="CK14" i="14"/>
  <c r="BQ14" i="14" l="1"/>
  <c r="BR12" i="14"/>
  <c r="CW12" i="14"/>
  <c r="CV34" i="14"/>
  <c r="CM13" i="14"/>
  <c r="CL14" i="14"/>
  <c r="BS12" i="14" l="1"/>
  <c r="BR14" i="14"/>
  <c r="CX12" i="14"/>
  <c r="CW34" i="14"/>
  <c r="CN13" i="14"/>
  <c r="CM14" i="14"/>
  <c r="BT12" i="14" l="1"/>
  <c r="BS14" i="14"/>
  <c r="CY12" i="14"/>
  <c r="CX34" i="14"/>
  <c r="CO13" i="14"/>
  <c r="CN14" i="14"/>
  <c r="BT14" i="14" l="1"/>
  <c r="BU12" i="14"/>
  <c r="CZ12" i="14"/>
  <c r="CY34" i="14"/>
  <c r="CY23" i="14"/>
  <c r="CP13" i="14"/>
  <c r="CO14" i="14"/>
  <c r="BV12" i="14" l="1"/>
  <c r="BU14" i="14"/>
  <c r="CQ13" i="14"/>
  <c r="CP14" i="14"/>
  <c r="DA12" i="14"/>
  <c r="CZ34" i="14"/>
  <c r="CZ23" i="14"/>
  <c r="CY24" i="14"/>
  <c r="CY36" i="14" s="1"/>
  <c r="CY19" i="14"/>
  <c r="BW12" i="14" l="1"/>
  <c r="BV14" i="14"/>
  <c r="CR13" i="14"/>
  <c r="CQ14" i="14"/>
  <c r="DB12" i="14"/>
  <c r="DA34" i="14"/>
  <c r="CZ24" i="14"/>
  <c r="CZ36" i="14" s="1"/>
  <c r="CZ19" i="14"/>
  <c r="DA23" i="14"/>
  <c r="BX12" i="14" l="1"/>
  <c r="BW14" i="14"/>
  <c r="DC12" i="14"/>
  <c r="DB34" i="14"/>
  <c r="CS13" i="14"/>
  <c r="CR14" i="14"/>
  <c r="DA19" i="14"/>
  <c r="DA24" i="14"/>
  <c r="DA36" i="14" s="1"/>
  <c r="BX14" i="14" l="1"/>
  <c r="BY12" i="14"/>
  <c r="DD12" i="14"/>
  <c r="DC23" i="14"/>
  <c r="DC34" i="14"/>
  <c r="CT13" i="14"/>
  <c r="CS14" i="14"/>
  <c r="BZ12" i="14" l="1"/>
  <c r="BY14" i="14"/>
  <c r="CU13" i="14"/>
  <c r="CT14" i="14"/>
  <c r="DE12" i="14"/>
  <c r="DD23" i="14"/>
  <c r="DD34" i="14"/>
  <c r="DC19" i="14"/>
  <c r="DC24" i="14"/>
  <c r="DC36" i="14" s="1"/>
  <c r="CA12" i="14" l="1"/>
  <c r="BZ14" i="14"/>
  <c r="DD24" i="14"/>
  <c r="DD36" i="14" s="1"/>
  <c r="DD19" i="14"/>
  <c r="CV13" i="14"/>
  <c r="CU14" i="14"/>
  <c r="CU23" i="14" s="1"/>
  <c r="DF12" i="14"/>
  <c r="DE23" i="14"/>
  <c r="DE34" i="14"/>
  <c r="CA14" i="14" l="1"/>
  <c r="CB12" i="14"/>
  <c r="DE19" i="14"/>
  <c r="DE24" i="14"/>
  <c r="DE36" i="14" s="1"/>
  <c r="CU19" i="14"/>
  <c r="CU24" i="14"/>
  <c r="CU36" i="14" s="1"/>
  <c r="DG12" i="14"/>
  <c r="DF23" i="14"/>
  <c r="DF34" i="14"/>
  <c r="CW13" i="14"/>
  <c r="CV14" i="14"/>
  <c r="CC12" i="14" l="1"/>
  <c r="CB14" i="14"/>
  <c r="DF19" i="14"/>
  <c r="DF24" i="14"/>
  <c r="DF36" i="14" s="1"/>
  <c r="CX13" i="14"/>
  <c r="CW14" i="14"/>
  <c r="CW23" i="14" s="1"/>
  <c r="DH12" i="14"/>
  <c r="DG34" i="14"/>
  <c r="DG23" i="14"/>
  <c r="CD12" i="14" l="1"/>
  <c r="CC14" i="14"/>
  <c r="DH23" i="14"/>
  <c r="DI12" i="14"/>
  <c r="DH34" i="14"/>
  <c r="DG19" i="14"/>
  <c r="DG24" i="14"/>
  <c r="DG36" i="14" s="1"/>
  <c r="CW24" i="14"/>
  <c r="CW36" i="14" s="1"/>
  <c r="CW19" i="14"/>
  <c r="CY13" i="14"/>
  <c r="CX14" i="14"/>
  <c r="CE12" i="14" l="1"/>
  <c r="CD14" i="14"/>
  <c r="DJ12" i="14"/>
  <c r="DI34" i="14"/>
  <c r="DI23" i="14"/>
  <c r="CZ13" i="14"/>
  <c r="CY14" i="14"/>
  <c r="DH19" i="14"/>
  <c r="DH24" i="14"/>
  <c r="DH36" i="14" s="1"/>
  <c r="CF12" i="14" l="1"/>
  <c r="CF14" i="14" s="1"/>
  <c r="CE14" i="14"/>
  <c r="DA13" i="14"/>
  <c r="CZ14" i="14"/>
  <c r="DK12" i="14"/>
  <c r="DJ34" i="14"/>
  <c r="DJ23" i="14"/>
  <c r="DI19" i="14"/>
  <c r="DI24" i="14"/>
  <c r="DI36" i="14" s="1"/>
  <c r="DJ19" i="14" l="1"/>
  <c r="DJ24" i="14"/>
  <c r="DJ36" i="14" s="1"/>
  <c r="DB13" i="14"/>
  <c r="DA14" i="14"/>
  <c r="DK34" i="14"/>
  <c r="DL12" i="14"/>
  <c r="DK23" i="14"/>
  <c r="DK24" i="14" l="1"/>
  <c r="DK36" i="14" s="1"/>
  <c r="DK19" i="14"/>
  <c r="DC13" i="14"/>
  <c r="DB14" i="14"/>
  <c r="DL34" i="14"/>
  <c r="DL23" i="14"/>
  <c r="DM12" i="14"/>
  <c r="DM23" i="14" l="1"/>
  <c r="DM34" i="14"/>
  <c r="DN12" i="14"/>
  <c r="DD13" i="14"/>
  <c r="DC14" i="14"/>
  <c r="DL19" i="14"/>
  <c r="DL24" i="14"/>
  <c r="DL36" i="14" s="1"/>
  <c r="DE13" i="14" l="1"/>
  <c r="DD14" i="14"/>
  <c r="DM19" i="14"/>
  <c r="DM24" i="14"/>
  <c r="DM36" i="14" s="1"/>
  <c r="DN34" i="14"/>
  <c r="DO12" i="14"/>
  <c r="DN38" i="14"/>
  <c r="DN23" i="14"/>
  <c r="DF13" i="14" l="1"/>
  <c r="DE14" i="14"/>
  <c r="I19" i="14"/>
  <c r="E19" i="14" s="1"/>
  <c r="DN19" i="14"/>
  <c r="DN24" i="14"/>
  <c r="DN36" i="14" s="1"/>
  <c r="DO23" i="14"/>
  <c r="DO34" i="14"/>
  <c r="DP12" i="14"/>
  <c r="DG13" i="14" l="1"/>
  <c r="DF14" i="14"/>
  <c r="DQ12" i="14"/>
  <c r="DP23" i="14"/>
  <c r="DP34" i="14"/>
  <c r="DO19" i="14"/>
  <c r="DO24" i="14"/>
  <c r="DO36" i="14" s="1"/>
  <c r="DH13" i="14" l="1"/>
  <c r="DG14" i="14"/>
  <c r="DP19" i="14"/>
  <c r="DP24" i="14"/>
  <c r="DP36" i="14" s="1"/>
  <c r="DQ23" i="14"/>
  <c r="DR12" i="14"/>
  <c r="DQ34" i="14"/>
  <c r="DQ24" i="14" l="1"/>
  <c r="DQ36" i="14" s="1"/>
  <c r="DQ19" i="14"/>
  <c r="DI13" i="14"/>
  <c r="DH14" i="14"/>
  <c r="DR23" i="14"/>
  <c r="DS12" i="14"/>
  <c r="DS23" i="14" s="1"/>
  <c r="DR34" i="14"/>
  <c r="DR19" i="14" l="1"/>
  <c r="DR24" i="14"/>
  <c r="DR36" i="14" s="1"/>
  <c r="DJ13" i="14"/>
  <c r="DI14" i="14"/>
  <c r="DT12" i="14"/>
  <c r="DT23" i="14" s="1"/>
  <c r="DS34" i="14"/>
  <c r="DS24" i="14" l="1"/>
  <c r="DS36" i="14" s="1"/>
  <c r="DS19" i="14"/>
  <c r="DK13" i="14"/>
  <c r="DJ14" i="14"/>
  <c r="DU12" i="14"/>
  <c r="DT34" i="14"/>
  <c r="DU23" i="14" l="1"/>
  <c r="DV12" i="14"/>
  <c r="DT19" i="14"/>
  <c r="DT24" i="14"/>
  <c r="DT36" i="14" s="1"/>
  <c r="DL13" i="14"/>
  <c r="DK14" i="14"/>
  <c r="DU34" i="14"/>
  <c r="DV23" i="14" l="1"/>
  <c r="DW12" i="14"/>
  <c r="DV34" i="14"/>
  <c r="DU19" i="14"/>
  <c r="DU24" i="14"/>
  <c r="DU36" i="14" s="1"/>
  <c r="DM13" i="14"/>
  <c r="DL14" i="14"/>
  <c r="DW23" i="14" l="1"/>
  <c r="DX12" i="14"/>
  <c r="DW34" i="14"/>
  <c r="DV24" i="14"/>
  <c r="DV36" i="14" s="1"/>
  <c r="DV19" i="14"/>
  <c r="DN13" i="14"/>
  <c r="DM14" i="14"/>
  <c r="DX23" i="14" l="1"/>
  <c r="DY12" i="14"/>
  <c r="DX34" i="14"/>
  <c r="DW24" i="14"/>
  <c r="DW36" i="14" s="1"/>
  <c r="DW19" i="14"/>
  <c r="DO13" i="14"/>
  <c r="DN14" i="14"/>
  <c r="DY23" i="14" l="1"/>
  <c r="DZ12" i="14"/>
  <c r="DY34" i="14"/>
  <c r="DX19" i="14"/>
  <c r="DX24" i="14"/>
  <c r="DX36" i="14" s="1"/>
  <c r="DP13" i="14"/>
  <c r="DO14" i="14"/>
  <c r="DZ33" i="14" l="1"/>
  <c r="EA12" i="14"/>
  <c r="DZ23" i="14"/>
  <c r="DZ34" i="14"/>
  <c r="DY19" i="14"/>
  <c r="DY24" i="14"/>
  <c r="DY36" i="14" s="1"/>
  <c r="DQ13" i="14"/>
  <c r="DP14" i="14"/>
  <c r="DZ19" i="14" l="1"/>
  <c r="DZ24" i="14"/>
  <c r="DZ36" i="14" s="1"/>
  <c r="EB12" i="14"/>
  <c r="EA33" i="14"/>
  <c r="EA34" i="14"/>
  <c r="EA23" i="14"/>
  <c r="DR13" i="14"/>
  <c r="DQ14" i="14"/>
  <c r="EC12" i="14" l="1"/>
  <c r="EB33" i="14"/>
  <c r="EB23" i="14"/>
  <c r="EB34" i="14"/>
  <c r="EA19" i="14"/>
  <c r="EA24" i="14"/>
  <c r="EA36" i="14" s="1"/>
  <c r="DS13" i="14"/>
  <c r="I12" i="14"/>
  <c r="I18" i="14" s="1"/>
  <c r="I14" i="14" s="1"/>
  <c r="DR14" i="14"/>
  <c r="EB19" i="14" l="1"/>
  <c r="EB24" i="14"/>
  <c r="EB36" i="14" s="1"/>
  <c r="EC33" i="14"/>
  <c r="ED12" i="14"/>
  <c r="EC23" i="14"/>
  <c r="EC34" i="14"/>
  <c r="DT13" i="14"/>
  <c r="DS14" i="14"/>
  <c r="ED33" i="14" l="1"/>
  <c r="ED23" i="14"/>
  <c r="ED34" i="14"/>
  <c r="EC24" i="14"/>
  <c r="EC36" i="14" s="1"/>
  <c r="EC19" i="14"/>
  <c r="DU13" i="14"/>
  <c r="DT14" i="14"/>
  <c r="DU14" i="14" l="1"/>
  <c r="DV13" i="14"/>
  <c r="ED19" i="14"/>
  <c r="ED24" i="14"/>
  <c r="ED36" i="14" s="1"/>
  <c r="DW13" i="14" l="1"/>
  <c r="DV14" i="14"/>
  <c r="DX13" i="14" l="1"/>
  <c r="DW14" i="14"/>
  <c r="DY13" i="14" l="1"/>
  <c r="DX14" i="14"/>
  <c r="DZ13" i="14" l="1"/>
  <c r="DY14" i="14"/>
  <c r="EA13" i="14" l="1"/>
  <c r="DZ14" i="14"/>
  <c r="EB13" i="14" l="1"/>
  <c r="EA14" i="14"/>
  <c r="EC13" i="14" l="1"/>
  <c r="EB14" i="14"/>
  <c r="ED13" i="14" l="1"/>
  <c r="ED14" i="14" s="1"/>
  <c r="EC14" i="14"/>
</calcChain>
</file>

<file path=xl/comments1.xml><?xml version="1.0" encoding="utf-8"?>
<comments xmlns="http://schemas.openxmlformats.org/spreadsheetml/2006/main">
  <authors>
    <author>Andrew_CY_Wang</author>
    <author>Andrew Wang</author>
    <author>Wang, Andrew</author>
    <author>Wang, Andrew CY</author>
    <author>huskywang</author>
    <author>EMC</author>
  </authors>
  <commentList>
    <comment ref="I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6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Y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Z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A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B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C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D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Y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Z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A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B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C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D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0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DY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5/30</t>
        </r>
      </text>
    </comment>
    <comment ref="DZ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6/30</t>
        </r>
      </text>
    </comment>
    <comment ref="EA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7/30</t>
        </r>
      </text>
    </comment>
    <comment ref="EB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8/30</t>
        </r>
      </text>
    </comment>
    <comment ref="EC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9/30</t>
        </r>
      </text>
    </comment>
    <comment ref="ED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10/30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1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1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DY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111/240</t>
        </r>
      </text>
    </comment>
    <comment ref="DZ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112/240</t>
        </r>
      </text>
    </comment>
    <comment ref="EA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113/240</t>
        </r>
      </text>
    </comment>
    <comment ref="EB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114/240</t>
        </r>
      </text>
    </comment>
    <comment ref="EC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115/240</t>
        </r>
      </text>
    </comment>
    <comment ref="ED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116/240</t>
        </r>
      </text>
    </comment>
    <comment ref="EH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Y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Z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A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B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C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D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1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1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Y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Z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A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B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C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D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Y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Z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A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B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C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D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Y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Z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A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B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C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D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>
  <authors>
    <author>Andrew Wang</author>
  </authors>
  <commentLis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>
  <authors>
    <author>Andrew Wang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>
  <authors>
    <author>Andrew Wang</author>
  </authors>
  <commentList>
    <comment ref="AG4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>
  <authors>
    <author>IBM_USER</author>
  </authors>
  <commentLis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>
  <authors>
    <author>IBM_USER</author>
  </authors>
  <commentLis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<sst xmlns="http://schemas.openxmlformats.org/spreadsheetml/2006/main" count="1850" uniqueCount="407">
  <si>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</si>
  <si>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</si>
  <si>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</si>
  <si>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</si>
  <si>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</si>
  <si>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</si>
  <si>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</si>
  <si>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</si>
  <si>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</si>
  <si>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</si>
  <si>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</si>
  <si>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</si>
  <si>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</si>
  <si>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</si>
  <si>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</si>
  <si>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</si>
  <si>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</si>
  <si>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</si>
  <si>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</si>
  <si>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</si>
  <si>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</si>
  <si>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</si>
  <si>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</si>
  <si>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</si>
  <si>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</si>
  <si>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</si>
  <si>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</si>
  <si>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</si>
  <si>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</si>
  <si>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</si>
  <si>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</si>
  <si>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</si>
  <si>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</si>
  <si>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</si>
  <si>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</si>
  <si>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</si>
  <si>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</si>
  <si>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</si>
  <si>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</si>
  <si>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</si>
  <si>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</si>
  <si>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</si>
  <si>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</si>
  <si>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</si>
  <si>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</si>
  <si>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</si>
  <si>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</si>
  <si>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</si>
  <si>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</si>
  <si>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</si>
  <si>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</si>
  <si>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</si>
  <si>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</si>
  <si>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</si>
  <si>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</si>
  <si>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</si>
  <si>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</si>
  <si>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</si>
  <si>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</si>
  <si>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</si>
  <si>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</si>
  <si>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</si>
  <si>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</si>
  <si>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</si>
  <si>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</si>
  <si>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</si>
  <si>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</si>
  <si>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</si>
  <si>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</si>
  <si>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</si>
  <si>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</si>
  <si>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</si>
  <si>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</si>
  <si>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</si>
  <si>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</si>
  <si>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</si>
  <si>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</si>
  <si>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</si>
  <si>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</si>
  <si>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</si>
  <si>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</si>
  <si>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</si>
  <si>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</si>
  <si>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</si>
  <si>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</si>
  <si>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</si>
  <si>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國泰世華銀行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</si>
  <si>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</si>
  <si>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</si>
  <si>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</si>
  <si>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</si>
  <si>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</si>
  <si>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</si>
  <si>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</si>
  <si>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</si>
  <si>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</si>
  <si>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</si>
  <si>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</si>
  <si>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</si>
  <si>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</si>
  <si>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</si>
  <si>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</si>
  <si>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</si>
  <si>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</si>
  <si>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</si>
  <si>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</si>
  <si>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</si>
  <si>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</si>
  <si>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</si>
  <si>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</si>
  <si>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</si>
  <si>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</si>
  <si>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</si>
  <si>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</si>
  <si>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</si>
  <si>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</si>
  <si>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</si>
  <si>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</si>
  <si>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</si>
  <si>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</si>
  <si>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</si>
  <si>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</si>
  <si>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</si>
  <si>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</si>
  <si>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</si>
  <si>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</si>
  <si>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</si>
  <si>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</si>
  <si>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</si>
  <si>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</si>
  <si>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</si>
  <si>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</si>
  <si>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</si>
  <si>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</si>
  <si>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</si>
  <si>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</si>
  <si>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</si>
  <si>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</si>
  <si>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</si>
  <si>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</si>
  <si>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</si>
  <si>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</si>
  <si>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</si>
  <si>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</si>
  <si>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</si>
  <si>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</si>
  <si>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</si>
  <si>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</si>
  <si>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</si>
  <si>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</si>
  <si>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</si>
  <si>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</si>
  <si>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</si>
  <si>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</si>
  <si>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</si>
  <si>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</si>
  <si>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</si>
  <si>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</si>
  <si>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</si>
  <si>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</si>
  <si>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</si>
  <si>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</si>
  <si>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</si>
  <si>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</si>
  <si>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</si>
  <si>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</si>
  <si>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</si>
  <si>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</si>
  <si>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</si>
  <si>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</si>
  <si>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</si>
  <si>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</si>
  <si>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</si>
  <si>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</si>
  <si>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</si>
  <si>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</si>
  <si>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</si>
  <si>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</si>
  <si>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</si>
  <si>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</si>
  <si>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</si>
  <si>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</si>
  <si>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</si>
  <si>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</si>
  <si>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</si>
  <si>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</si>
  <si>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</si>
  <si>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</si>
  <si>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</si>
  <si>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</si>
  <si>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</si>
  <si>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</si>
  <si>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</si>
  <si>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</si>
  <si>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</si>
  <si>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</si>
  <si>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</si>
  <si>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</si>
  <si>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</si>
  <si>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</si>
  <si>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</si>
  <si>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</si>
  <si>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</si>
  <si>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</si>
  <si>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</si>
  <si>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</si>
  <si>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</si>
  <si>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</si>
  <si>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</si>
  <si>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</si>
  <si>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</si>
  <si>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</si>
  <si>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</si>
  <si>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</si>
  <si>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</si>
  <si>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</si>
  <si>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</si>
  <si>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</si>
  <si>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</si>
  <si>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</si>
  <si>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</si>
  <si>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</si>
  <si>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</si>
  <si>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</si>
  <si>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</si>
  <si>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</si>
  <si>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</si>
  <si>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</si>
  <si>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</si>
  <si>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</si>
  <si>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</si>
  <si>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</si>
  <si>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</si>
  <si>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</si>
  <si>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</si>
  <si>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</si>
  <si>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</si>
  <si>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</si>
  <si>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</si>
  <si>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</si>
  <si>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</si>
  <si>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</si>
  <si>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</si>
  <si>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</si>
  <si>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</si>
  <si>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</si>
  <si>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</si>
  <si>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</si>
  <si>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</si>
  <si>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</si>
  <si>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</si>
  <si>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</si>
  <si>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</si>
  <si>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</si>
  <si>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</si>
  <si>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</si>
  <si>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</si>
  <si>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</si>
  <si>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</si>
  <si>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</si>
  <si>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</si>
  <si>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</si>
  <si>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</si>
  <si>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</si>
  <si>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</si>
  <si>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</si>
  <si>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</si>
  <si>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</si>
  <si>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</si>
  <si>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</si>
  <si>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</si>
  <si>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</si>
  <si>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</si>
  <si>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</si>
  <si>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</si>
  <si>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</si>
  <si>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</si>
  <si>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</si>
  <si>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</si>
  <si>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</si>
  <si>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</si>
  <si>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</si>
  <si>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</si>
  <si>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</si>
  <si>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</si>
  <si>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</si>
  <si>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</si>
  <si>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</si>
  <si>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</si>
  <si>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</si>
  <si>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</si>
  <si>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</si>
  <si>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</si>
  <si>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</si>
  <si>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</si>
  <si>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</si>
  <si>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</si>
  <si>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</si>
  <si>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</si>
  <si>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</si>
  <si>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</si>
  <si>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</si>
  <si>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</si>
  <si>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</si>
  <si>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</si>
  <si>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</si>
  <si>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</si>
  <si>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</si>
  <si>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</si>
  <si>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</si>
  <si>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</si>
  <si>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</si>
  <si>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</si>
  <si>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</si>
  <si>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</si>
  <si>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</si>
  <si>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</si>
  <si>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</si>
  <si>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</si>
  <si>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</si>
  <si>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</si>
  <si>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</si>
  <si>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</si>
  <si>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</si>
  <si>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</si>
  <si>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</si>
  <si>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</si>
  <si>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</si>
  <si>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</si>
  <si>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</si>
  <si>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</si>
  <si>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</si>
  <si>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</si>
  <si>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</si>
  <si>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</si>
  <si>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</si>
  <si>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</si>
  <si>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</si>
  <si>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</si>
  <si>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</si>
  <si>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</si>
  <si>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</si>
  <si>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</si>
  <si>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</si>
  <si>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</si>
  <si>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</si>
  <si>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</si>
  <si>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</si>
  <si>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</si>
  <si>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</si>
  <si>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</si>
  <si>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</si>
  <si>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</si>
  <si>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</si>
  <si>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</si>
  <si>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</si>
  <si>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</si>
  <si>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</si>
  <si>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</si>
  <si>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</si>
  <si>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</si>
  <si>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</si>
  <si>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</si>
  <si>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</si>
  <si>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</si>
  <si>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</si>
  <si>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</si>
  <si>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</si>
  <si>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</si>
  <si>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</si>
  <si>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</si>
  <si>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</si>
  <si>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</si>
  <si>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</si>
  <si>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</si>
  <si>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</si>
  <si>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</si>
  <si>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</si>
  <si>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</si>
  <si>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</si>
  <si>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</si>
  <si>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</si>
  <si>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</si>
  <si>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</si>
  <si>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</si>
  <si>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</si>
  <si>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</si>
  <si>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</si>
  <si>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</si>
  <si>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</si>
  <si>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</si>
  <si>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</si>
  <si>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</si>
  <si>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</si>
  <si>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</si>
  <si>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</si>
  <si>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</si>
  <si>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</si>
  <si>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</si>
  <si>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</si>
  <si>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</si>
  <si>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</si>
  <si>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</si>
  <si>
    <t>最高點</t>
    <phoneticPr fontId="18" type="noConversion"/>
  </si>
  <si>
    <t>台中銀行</t>
    <phoneticPr fontId="28" type="noConversion"/>
  </si>
  <si>
    <t>JCB</t>
    <phoneticPr fontId="28" type="noConversion"/>
  </si>
  <si>
    <t>台中銀行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</si>
</sst>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2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655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0" fontId="28" fillId="0" borderId="0" xfId="0" applyFont="1" applyAlignment="1">
      <alignment horizontal="center"/>
    </xf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5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6" fillId="3" borderId="0" xfId="2" applyNumberFormat="1" applyFont="1" applyFill="1"/>
    <xf numFmtId="181" fontId="36" fillId="9" borderId="0" xfId="2" applyNumberFormat="1" applyFont="1" applyFill="1"/>
    <xf numFmtId="181" fontId="36" fillId="9" borderId="15" xfId="2" applyNumberFormat="1" applyFont="1" applyFill="1" applyBorder="1"/>
    <xf numFmtId="181" fontId="36" fillId="0" borderId="0" xfId="2" applyNumberFormat="1" applyFont="1"/>
    <xf numFmtId="181" fontId="36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6" fillId="0" borderId="0" xfId="2" applyNumberFormat="1" applyFont="1" applyAlignment="1">
      <alignment horizontal="center"/>
    </xf>
    <xf numFmtId="180" fontId="35" fillId="3" borderId="0" xfId="0" applyNumberFormat="1" applyFont="1" applyFill="1"/>
    <xf numFmtId="180" fontId="35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6" fillId="5" borderId="0" xfId="1" applyNumberFormat="1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36" fillId="18" borderId="0" xfId="0" applyFont="1" applyFill="1" applyAlignment="1">
      <alignment horizontal="center"/>
    </xf>
    <xf numFmtId="177" fontId="36" fillId="0" borderId="16" xfId="1" applyNumberFormat="1" applyFont="1" applyBorder="1" applyAlignment="1">
      <alignment horizontal="center"/>
    </xf>
    <xf numFmtId="177" fontId="36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7" fillId="0" borderId="0" xfId="0" applyFont="1"/>
    <xf numFmtId="177" fontId="36" fillId="17" borderId="15" xfId="1" applyNumberFormat="1" applyFont="1" applyFill="1" applyBorder="1" applyAlignment="1">
      <alignment horizontal="center"/>
    </xf>
    <xf numFmtId="177" fontId="36" fillId="7" borderId="0" xfId="1" applyNumberFormat="1" applyFont="1" applyFill="1" applyAlignment="1">
      <alignment horizontal="center"/>
    </xf>
    <xf numFmtId="177" fontId="36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39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6" fillId="17" borderId="0" xfId="0" applyFont="1" applyFill="1" applyAlignment="1">
      <alignment horizontal="center"/>
    </xf>
    <xf numFmtId="177" fontId="28" fillId="0" borderId="0" xfId="1" applyNumberFormat="1" applyFont="1"/>
    <xf numFmtId="177" fontId="36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5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6" fillId="2" borderId="18" xfId="2" applyNumberFormat="1" applyFont="1" applyFill="1" applyBorder="1"/>
    <xf numFmtId="177" fontId="36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6" fillId="0" borderId="15" xfId="2" applyNumberFormat="1" applyFont="1" applyBorder="1"/>
    <xf numFmtId="181" fontId="36" fillId="7" borderId="14" xfId="2" applyNumberFormat="1" applyFont="1" applyFill="1" applyBorder="1"/>
    <xf numFmtId="177" fontId="36" fillId="0" borderId="15" xfId="1" applyNumberFormat="1" applyFont="1" applyFill="1" applyBorder="1" applyAlignment="1">
      <alignment horizontal="right"/>
    </xf>
    <xf numFmtId="177" fontId="36" fillId="16" borderId="0" xfId="1" applyNumberFormat="1" applyFont="1" applyFill="1" applyAlignment="1">
      <alignment horizontal="right"/>
    </xf>
    <xf numFmtId="177" fontId="36" fillId="2" borderId="0" xfId="1" applyNumberFormat="1" applyFont="1" applyFill="1" applyAlignment="1">
      <alignment horizontal="right"/>
    </xf>
    <xf numFmtId="177" fontId="36" fillId="0" borderId="0" xfId="1" applyNumberFormat="1" applyFont="1" applyAlignment="1">
      <alignment horizontal="right"/>
    </xf>
    <xf numFmtId="177" fontId="36" fillId="18" borderId="0" xfId="1" applyNumberFormat="1" applyFont="1" applyFill="1" applyAlignment="1">
      <alignment horizontal="right"/>
    </xf>
    <xf numFmtId="177" fontId="36" fillId="5" borderId="0" xfId="1" applyNumberFormat="1" applyFont="1" applyFill="1" applyAlignment="1">
      <alignment horizontal="right"/>
    </xf>
    <xf numFmtId="177" fontId="36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6" fillId="2" borderId="0" xfId="1" applyNumberFormat="1" applyFont="1" applyFill="1"/>
    <xf numFmtId="177" fontId="36" fillId="7" borderId="0" xfId="1" applyNumberFormat="1" applyFont="1" applyFill="1" applyAlignment="1">
      <alignment horizontal="right"/>
    </xf>
    <xf numFmtId="177" fontId="36" fillId="10" borderId="0" xfId="1" applyNumberFormat="1" applyFont="1" applyFill="1" applyAlignment="1">
      <alignment horizontal="right"/>
    </xf>
    <xf numFmtId="177" fontId="36" fillId="18" borderId="0" xfId="1" applyNumberFormat="1" applyFont="1" applyFill="1" applyAlignment="1">
      <alignment horizontal="center"/>
    </xf>
    <xf numFmtId="177" fontId="36" fillId="17" borderId="0" xfId="1" applyNumberFormat="1" applyFont="1" applyFill="1" applyAlignment="1">
      <alignment horizontal="center"/>
    </xf>
    <xf numFmtId="177" fontId="36" fillId="0" borderId="0" xfId="1" applyNumberFormat="1" applyFont="1" applyAlignment="1">
      <alignment horizontal="center"/>
    </xf>
    <xf numFmtId="177" fontId="36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6" fillId="18" borderId="2" xfId="1" applyNumberFormat="1" applyFont="1" applyFill="1" applyBorder="1" applyAlignment="1">
      <alignment horizontal="center"/>
    </xf>
    <xf numFmtId="177" fontId="36" fillId="21" borderId="0" xfId="1" applyNumberFormat="1" applyFont="1" applyFill="1"/>
    <xf numFmtId="0" fontId="0" fillId="0" borderId="0" xfId="0" quotePrefix="1"/>
    <xf numFmtId="0" fontId="42" fillId="0" borderId="0" xfId="0" applyFont="1"/>
    <xf numFmtId="0" fontId="43" fillId="0" borderId="0" xfId="0" applyFont="1"/>
    <xf numFmtId="183" fontId="0" fillId="0" borderId="0" xfId="0" applyNumberFormat="1"/>
    <xf numFmtId="0" fontId="44" fillId="0" borderId="0" xfId="0" applyFont="1"/>
    <xf numFmtId="10" fontId="0" fillId="0" borderId="0" xfId="4" applyNumberFormat="1" applyFont="1"/>
    <xf numFmtId="2" fontId="0" fillId="0" borderId="0" xfId="0" applyNumberFormat="1"/>
    <xf numFmtId="181" fontId="42" fillId="0" borderId="0" xfId="2" applyNumberFormat="1" applyFont="1"/>
    <xf numFmtId="181" fontId="0" fillId="0" borderId="0" xfId="2" applyNumberFormat="1" applyFont="1"/>
    <xf numFmtId="0" fontId="45" fillId="0" borderId="0" xfId="0" applyFont="1"/>
    <xf numFmtId="0" fontId="42" fillId="23" borderId="0" xfId="0" applyFont="1" applyFill="1"/>
    <xf numFmtId="0" fontId="43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6" fillId="0" borderId="0" xfId="1" applyNumberFormat="1" applyFont="1"/>
    <xf numFmtId="177" fontId="47" fillId="0" borderId="0" xfId="0" applyNumberFormat="1" applyFont="1"/>
    <xf numFmtId="181" fontId="36" fillId="3" borderId="16" xfId="2" applyNumberFormat="1" applyFont="1" applyFill="1" applyBorder="1" applyAlignment="1">
      <alignment horizontal="right"/>
    </xf>
    <xf numFmtId="177" fontId="48" fillId="0" borderId="0" xfId="1" applyNumberFormat="1" applyFont="1"/>
    <xf numFmtId="177" fontId="49" fillId="0" borderId="0" xfId="1" applyNumberFormat="1" applyFont="1"/>
    <xf numFmtId="177" fontId="48" fillId="0" borderId="15" xfId="1" applyNumberFormat="1" applyFont="1" applyFill="1" applyBorder="1" applyAlignment="1">
      <alignment horizontal="center"/>
    </xf>
    <xf numFmtId="177" fontId="48" fillId="2" borderId="0" xfId="1" applyNumberFormat="1" applyFont="1" applyFill="1"/>
    <xf numFmtId="177" fontId="48" fillId="0" borderId="0" xfId="1" applyNumberFormat="1" applyFont="1" applyAlignment="1">
      <alignment horizontal="center"/>
    </xf>
    <xf numFmtId="177" fontId="48" fillId="18" borderId="0" xfId="1" applyNumberFormat="1" applyFont="1" applyFill="1" applyAlignment="1">
      <alignment horizontal="center"/>
    </xf>
    <xf numFmtId="177" fontId="48" fillId="5" borderId="0" xfId="1" applyNumberFormat="1" applyFont="1" applyFill="1" applyAlignment="1">
      <alignment horizontal="center"/>
    </xf>
    <xf numFmtId="177" fontId="48" fillId="21" borderId="0" xfId="1" applyNumberFormat="1" applyFont="1" applyFill="1"/>
    <xf numFmtId="177" fontId="49" fillId="0" borderId="0" xfId="0" applyNumberFormat="1" applyFont="1"/>
    <xf numFmtId="0" fontId="50" fillId="3" borderId="0" xfId="3" applyFont="1" applyFill="1" applyAlignment="1" applyProtection="1"/>
    <xf numFmtId="177" fontId="51" fillId="0" borderId="0" xfId="1" applyNumberFormat="1" applyFont="1" applyAlignment="1">
      <alignment horizontal="center"/>
    </xf>
    <xf numFmtId="4" fontId="28" fillId="0" borderId="0" xfId="0" applyNumberFormat="1" applyFont="1"/>
    <xf numFmtId="4" fontId="36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6" fillId="9" borderId="0" xfId="2" applyNumberFormat="1" applyFont="1" applyFill="1"/>
    <xf numFmtId="3" fontId="36" fillId="3" borderId="0" xfId="2" applyNumberFormat="1" applyFont="1" applyFill="1"/>
    <xf numFmtId="3" fontId="36" fillId="9" borderId="15" xfId="2" applyNumberFormat="1" applyFont="1" applyFill="1" applyBorder="1"/>
    <xf numFmtId="3" fontId="36" fillId="0" borderId="0" xfId="2" applyNumberFormat="1" applyFont="1"/>
    <xf numFmtId="177" fontId="52" fillId="0" borderId="0" xfId="1" applyNumberFormat="1" applyFont="1"/>
    <xf numFmtId="177" fontId="53" fillId="0" borderId="0" xfId="0" applyNumberFormat="1" applyFont="1"/>
    <xf numFmtId="177" fontId="52" fillId="5" borderId="0" xfId="1" applyNumberFormat="1" applyFont="1" applyFill="1" applyAlignment="1">
      <alignment horizontal="center"/>
    </xf>
    <xf numFmtId="177" fontId="52" fillId="21" borderId="0" xfId="1" applyNumberFormat="1" applyFont="1" applyFill="1"/>
    <xf numFmtId="177" fontId="52" fillId="2" borderId="0" xfId="1" applyNumberFormat="1" applyFont="1" applyFill="1"/>
    <xf numFmtId="177" fontId="52" fillId="0" borderId="0" xfId="1" applyNumberFormat="1" applyFont="1" applyAlignment="1">
      <alignment horizontal="center"/>
    </xf>
    <xf numFmtId="177" fontId="52" fillId="18" borderId="0" xfId="1" applyNumberFormat="1" applyFont="1" applyFill="1" applyAlignment="1">
      <alignment horizontal="center"/>
    </xf>
    <xf numFmtId="177" fontId="52" fillId="0" borderId="15" xfId="1" applyNumberFormat="1" applyFont="1" applyFill="1" applyBorder="1" applyAlignment="1">
      <alignment horizontal="center"/>
    </xf>
    <xf numFmtId="177" fontId="46" fillId="0" borderId="0" xfId="0" applyNumberFormat="1" applyFont="1"/>
    <xf numFmtId="178" fontId="28" fillId="0" borderId="0" xfId="2" applyNumberFormat="1" applyFont="1" applyAlignment="1">
      <alignment horizontal="center"/>
    </xf>
    <xf numFmtId="177" fontId="46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5" fillId="13" borderId="0" xfId="1" applyNumberFormat="1" applyFont="1" applyFill="1" applyAlignment="1">
      <alignment horizontal="center"/>
    </xf>
    <xf numFmtId="41" fontId="36" fillId="0" borderId="0" xfId="2" applyNumberFormat="1" applyFont="1"/>
    <xf numFmtId="177" fontId="56" fillId="0" borderId="0" xfId="1" applyNumberFormat="1" applyFont="1"/>
    <xf numFmtId="177" fontId="56" fillId="0" borderId="0" xfId="0" applyNumberFormat="1" applyFont="1"/>
    <xf numFmtId="22" fontId="57" fillId="26" borderId="0" xfId="0" applyNumberFormat="1" applyFont="1" applyFill="1" applyAlignment="1">
      <alignment horizontal="center" vertical="center" wrapText="1"/>
    </xf>
    <xf numFmtId="14" fontId="57" fillId="26" borderId="0" xfId="0" applyNumberFormat="1" applyFont="1" applyFill="1" applyAlignment="1">
      <alignment horizontal="center" vertical="center" wrapText="1"/>
    </xf>
    <xf numFmtId="0" fontId="57" fillId="26" borderId="0" xfId="0" applyFont="1" applyFill="1" applyAlignment="1">
      <alignment horizontal="center" vertical="center" wrapText="1"/>
    </xf>
    <xf numFmtId="3" fontId="57" fillId="26" borderId="0" xfId="0" applyNumberFormat="1" applyFont="1" applyFill="1" applyAlignment="1">
      <alignment horizontal="right" vertical="center" wrapText="1"/>
    </xf>
    <xf numFmtId="0" fontId="57" fillId="26" borderId="0" xfId="0" applyFont="1" applyFill="1" applyAlignment="1">
      <alignment horizontal="right" vertical="center" wrapText="1"/>
    </xf>
    <xf numFmtId="22" fontId="57" fillId="27" borderId="0" xfId="0" applyNumberFormat="1" applyFont="1" applyFill="1" applyAlignment="1">
      <alignment horizontal="center" vertical="center" wrapText="1"/>
    </xf>
    <xf numFmtId="14" fontId="57" fillId="27" borderId="0" xfId="0" applyNumberFormat="1" applyFont="1" applyFill="1" applyAlignment="1">
      <alignment horizontal="center" vertical="center" wrapText="1"/>
    </xf>
    <xf numFmtId="0" fontId="57" fillId="27" borderId="0" xfId="0" applyFont="1" applyFill="1" applyAlignment="1">
      <alignment horizontal="center" vertical="center" wrapText="1"/>
    </xf>
    <xf numFmtId="3" fontId="57" fillId="27" borderId="0" xfId="0" applyNumberFormat="1" applyFont="1" applyFill="1" applyAlignment="1">
      <alignment horizontal="right" vertical="center" wrapText="1"/>
    </xf>
    <xf numFmtId="0" fontId="57" fillId="27" borderId="0" xfId="0" applyFont="1" applyFill="1" applyAlignment="1">
      <alignment horizontal="right" vertical="center" wrapText="1"/>
    </xf>
    <xf numFmtId="0" fontId="58" fillId="28" borderId="0" xfId="0" applyFont="1" applyFill="1" applyAlignment="1">
      <alignment horizontal="center" vertical="center" wrapText="1"/>
    </xf>
    <xf numFmtId="1" fontId="57" fillId="26" borderId="0" xfId="0" quotePrefix="1" applyNumberFormat="1" applyFont="1" applyFill="1" applyAlignment="1">
      <alignment horizontal="left" vertical="center" wrapText="1"/>
    </xf>
    <xf numFmtId="1" fontId="57" fillId="27" borderId="0" xfId="0" quotePrefix="1" applyNumberFormat="1" applyFont="1" applyFill="1" applyAlignment="1">
      <alignment horizontal="left" vertical="center" wrapText="1"/>
    </xf>
    <xf numFmtId="3" fontId="57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59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6" fillId="29" borderId="0" xfId="2" applyNumberFormat="1" applyFont="1" applyFill="1"/>
    <xf numFmtId="41" fontId="36" fillId="29" borderId="0" xfId="2" applyNumberFormat="1" applyFont="1" applyFill="1" applyBorder="1"/>
    <xf numFmtId="177" fontId="36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6" fillId="30" borderId="0" xfId="2" applyNumberFormat="1" applyFont="1" applyFill="1"/>
    <xf numFmtId="177" fontId="36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6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7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8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6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1" fillId="0" borderId="14" xfId="0" applyFont="1" applyBorder="1"/>
    <xf numFmtId="43" fontId="37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7" fillId="0" borderId="0" xfId="2" applyNumberFormat="1" applyFont="1"/>
    <xf numFmtId="185" fontId="0" fillId="0" borderId="0" xfId="2" applyNumberFormat="1" applyFont="1"/>
    <xf numFmtId="185" fontId="65" fillId="0" borderId="0" xfId="2" applyNumberFormat="1" applyFont="1"/>
    <xf numFmtId="185" fontId="65" fillId="0" borderId="2" xfId="2" applyNumberFormat="1" applyFont="1" applyBorder="1"/>
    <xf numFmtId="185" fontId="65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5" fillId="20" borderId="0" xfId="2" applyNumberFormat="1" applyFont="1" applyFill="1"/>
    <xf numFmtId="185" fontId="0" fillId="0" borderId="15" xfId="2" applyNumberFormat="1" applyFont="1" applyBorder="1"/>
    <xf numFmtId="185" fontId="65" fillId="20" borderId="15" xfId="2" applyNumberFormat="1" applyFont="1" applyFill="1" applyBorder="1"/>
    <xf numFmtId="0" fontId="0" fillId="0" borderId="15" xfId="0" applyBorder="1"/>
    <xf numFmtId="185" fontId="66" fillId="20" borderId="0" xfId="2" applyNumberFormat="1" applyFont="1" applyFill="1"/>
    <xf numFmtId="14" fontId="68" fillId="0" borderId="2" xfId="0" applyNumberFormat="1" applyFont="1" applyBorder="1" applyAlignment="1">
      <alignment horizontal="left"/>
    </xf>
    <xf numFmtId="179" fontId="68" fillId="0" borderId="2" xfId="1" applyNumberFormat="1" applyFont="1" applyBorder="1" applyAlignment="1">
      <alignment horizontal="right"/>
    </xf>
    <xf numFmtId="0" fontId="68" fillId="0" borderId="2" xfId="0" applyFont="1" applyBorder="1"/>
    <xf numFmtId="186" fontId="68" fillId="0" borderId="2" xfId="0" applyNumberFormat="1" applyFont="1" applyBorder="1" applyAlignment="1">
      <alignment horizontal="left"/>
    </xf>
    <xf numFmtId="0" fontId="68" fillId="0" borderId="2" xfId="0" applyFont="1" applyFill="1" applyBorder="1"/>
    <xf numFmtId="0" fontId="70" fillId="0" borderId="2" xfId="0" applyFont="1" applyBorder="1" applyAlignment="1">
      <alignment horizontal="left"/>
    </xf>
    <xf numFmtId="179" fontId="70" fillId="0" borderId="2" xfId="1" applyNumberFormat="1" applyFont="1" applyBorder="1" applyAlignment="1">
      <alignment horizontal="right"/>
    </xf>
    <xf numFmtId="0" fontId="68" fillId="0" borderId="2" xfId="0" applyFont="1" applyBorder="1" applyAlignment="1">
      <alignment horizontal="left"/>
    </xf>
    <xf numFmtId="0" fontId="71" fillId="20" borderId="20" xfId="0" applyFont="1" applyFill="1" applyBorder="1" applyAlignment="1">
      <alignment horizontal="left"/>
    </xf>
    <xf numFmtId="179" fontId="71" fillId="20" borderId="20" xfId="0" applyNumberFormat="1" applyFont="1" applyFill="1" applyBorder="1"/>
    <xf numFmtId="0" fontId="68" fillId="20" borderId="20" xfId="0" applyFont="1" applyFill="1" applyBorder="1"/>
    <xf numFmtId="179" fontId="68" fillId="0" borderId="2" xfId="1" applyNumberFormat="1" applyFont="1" applyBorder="1"/>
    <xf numFmtId="0" fontId="70" fillId="20" borderId="20" xfId="0" applyFont="1" applyFill="1" applyBorder="1" applyAlignment="1">
      <alignment horizontal="left"/>
    </xf>
    <xf numFmtId="179" fontId="70" fillId="20" borderId="20" xfId="1" applyNumberFormat="1" applyFont="1" applyFill="1" applyBorder="1"/>
    <xf numFmtId="185" fontId="66" fillId="20" borderId="15" xfId="2" applyNumberFormat="1" applyFont="1" applyFill="1" applyBorder="1"/>
    <xf numFmtId="179" fontId="68" fillId="0" borderId="2" xfId="1" applyNumberFormat="1" applyFont="1" applyFill="1" applyBorder="1"/>
    <xf numFmtId="181" fontId="36" fillId="31" borderId="0" xfId="2" applyNumberFormat="1" applyFont="1" applyFill="1"/>
    <xf numFmtId="181" fontId="46" fillId="20" borderId="0" xfId="2" applyNumberFormat="1" applyFont="1" applyFill="1"/>
    <xf numFmtId="43" fontId="42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6" fillId="2" borderId="16" xfId="1" applyNumberFormat="1" applyFont="1" applyFill="1" applyBorder="1"/>
    <xf numFmtId="0" fontId="36" fillId="0" borderId="0" xfId="0" applyFont="1"/>
    <xf numFmtId="0" fontId="30" fillId="9" borderId="15" xfId="3" applyFont="1" applyFill="1" applyBorder="1" applyAlignment="1" applyProtection="1"/>
    <xf numFmtId="0" fontId="67" fillId="0" borderId="11" xfId="0" applyFont="1" applyBorder="1" applyAlignment="1">
      <alignment horizontal="left"/>
    </xf>
    <xf numFmtId="0" fontId="67" fillId="0" borderId="13" xfId="0" applyFont="1" applyBorder="1" applyAlignment="1">
      <alignment horizontal="left"/>
    </xf>
    <xf numFmtId="0" fontId="67" fillId="0" borderId="1" xfId="0" applyFont="1" applyBorder="1" applyAlignment="1">
      <alignment horizontal="left"/>
    </xf>
    <xf numFmtId="0" fontId="67" fillId="0" borderId="10" xfId="0" applyFont="1" applyBorder="1" applyAlignment="1">
      <alignment horizontal="left"/>
    </xf>
    <xf numFmtId="0" fontId="67" fillId="0" borderId="21" xfId="0" applyFont="1" applyBorder="1" applyAlignment="1">
      <alignment horizontal="left"/>
    </xf>
    <xf numFmtId="0" fontId="67" fillId="0" borderId="8" xfId="0" applyFont="1" applyBorder="1" applyAlignment="1">
      <alignment horizontal="left"/>
    </xf>
    <xf numFmtId="0" fontId="58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信用卡!$R$2:$ED$2</c:f>
              <c:strCache>
                <c:ptCount val="109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  <c:pt idx="100">
                  <c:v>April</c:v>
                </c:pt>
                <c:pt idx="101">
                  <c:v>May</c:v>
                </c:pt>
                <c:pt idx="102">
                  <c:v>June</c:v>
                </c:pt>
                <c:pt idx="103">
                  <c:v>July</c:v>
                </c:pt>
                <c:pt idx="104">
                  <c:v>August</c:v>
                </c:pt>
                <c:pt idx="105">
                  <c:v>September</c:v>
                </c:pt>
                <c:pt idx="106">
                  <c:v>October</c:v>
                </c:pt>
                <c:pt idx="107">
                  <c:v>November</c:v>
                </c:pt>
                <c:pt idx="108">
                  <c:v>December</c:v>
                </c:pt>
              </c:strCache>
            </c:strRef>
          </c:cat>
          <c:val>
            <c:numRef>
              <c:f>信用卡!$R$24:$ED$24</c:f>
              <c:numCache>
                <c:formatCode>_(* #,##0_);_(* \(#,##0\);_(* "-"_);_(@_)</c:formatCode>
                <c:ptCount val="109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  <c:pt idx="100">
                  <c:v>501200</c:v>
                </c:pt>
                <c:pt idx="101">
                  <c:v>666898</c:v>
                </c:pt>
                <c:pt idx="102">
                  <c:v>621523</c:v>
                </c:pt>
                <c:pt idx="103">
                  <c:v>528738</c:v>
                </c:pt>
                <c:pt idx="104">
                  <c:v>439233</c:v>
                </c:pt>
                <c:pt idx="105">
                  <c:v>439233</c:v>
                </c:pt>
                <c:pt idx="106">
                  <c:v>439233</c:v>
                </c:pt>
                <c:pt idx="107">
                  <c:v>439233</c:v>
                </c:pt>
                <c:pt idx="108">
                  <c:v>439233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19049</xdr:rowOff>
    </xdr:from>
    <xdr:to>
      <xdr:col>9</xdr:col>
      <xdr:colOff>1123950</xdr:colOff>
      <xdr:row>39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42</xdr:row>
      <xdr:rowOff>141816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32</xdr:row>
      <xdr:rowOff>152400</xdr:rowOff>
    </xdr:from>
    <xdr:to>
      <xdr:col>35</xdr:col>
      <xdr:colOff>292726</xdr:colOff>
      <xdr:row>48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48</xdr:row>
      <xdr:rowOff>133350</xdr:rowOff>
    </xdr:from>
    <xdr:to>
      <xdr:col>30</xdr:col>
      <xdr:colOff>188343</xdr:colOff>
      <xdr:row>67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16</xdr:col>
      <xdr:colOff>523875</xdr:colOff>
      <xdr:row>67</xdr:row>
      <xdr:rowOff>113862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</xdr:rowOff>
    </xdr:from>
    <xdr:to>
      <xdr:col>16</xdr:col>
      <xdr:colOff>582084</xdr:colOff>
      <xdr:row>102</xdr:row>
      <xdr:rowOff>80109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75D9B0-243B-44E1-A08A-4CF652DC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948460"/>
          <a:ext cx="10911416" cy="565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skywang/Documents/My%20Personal/Finance/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sinocard.com.tw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reemall.com.tw/" TargetMode="External"/><Relationship Id="rId4" Type="http://schemas.openxmlformats.org/officeDocument/2006/relationships/hyperlink" Target="http://www.taipeifubon.com.tw/" TargetMode="External"/><Relationship Id="rId9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IN44"/>
  <sheetViews>
    <sheetView tabSelected="1" zoomScaleNormal="100" workbookViewId="0">
      <pane xSplit="10" ySplit="2" topLeftCell="DW10" activePane="bottomRight" state="frozen"/>
      <selection pane="topRight" activeCell="K1" sqref="K1"/>
      <selection pane="bottomLeft" activeCell="A3" sqref="A3"/>
      <selection pane="bottomRight" activeCell="EE23" sqref="EE23"/>
    </sheetView>
  </sheetViews>
  <sheetFormatPr defaultColWidth="8.7265625" defaultRowHeight="13.5" customHeight="1" outlineLevelRow="1" outlineLevelCol="1"/>
  <cols>
    <col min="1" max="1" width="11.08984375" style="258" customWidth="1"/>
    <col min="2" max="2" width="8.7265625" style="258"/>
    <col min="3" max="3" width="21.81640625" style="258" customWidth="1"/>
    <col min="4" max="4" width="9.6328125" style="258" hidden="1" customWidth="1" outlineLevel="1"/>
    <col min="5" max="5" width="12" style="259" hidden="1" customWidth="1" outlineLevel="1"/>
    <col min="6" max="6" width="8.6328125" style="260" hidden="1" customWidth="1" outlineLevel="1"/>
    <col min="7" max="7" width="8.7265625" style="260" hidden="1" customWidth="1" outlineLevel="1"/>
    <col min="8" max="8" width="8.7265625" style="261" hidden="1" customWidth="1" outlineLevel="1"/>
    <col min="9" max="9" width="16.08984375" style="299" bestFit="1" customWidth="1" collapsed="1"/>
    <col min="10" max="10" width="26.6328125" style="258" customWidth="1"/>
    <col min="11" max="11" width="8.08984375" style="258" hidden="1" customWidth="1" outlineLevel="1"/>
    <col min="12" max="12" width="9" style="258" hidden="1" customWidth="1" outlineLevel="1"/>
    <col min="13" max="13" width="8.7265625" style="258" hidden="1" customWidth="1" outlineLevel="1"/>
    <col min="14" max="14" width="10" style="258" customWidth="1" collapsed="1"/>
    <col min="15" max="17" width="12.36328125" style="258" hidden="1" customWidth="1" outlineLevel="1"/>
    <col min="18" max="18" width="12" style="258" hidden="1" customWidth="1" outlineLevel="1"/>
    <col min="19" max="19" width="10.7265625" style="348" hidden="1" customWidth="1" outlineLevel="1"/>
    <col min="20" max="20" width="12.36328125" style="258" hidden="1" customWidth="1" outlineLevel="1"/>
    <col min="21" max="21" width="9.81640625" style="258" hidden="1" customWidth="1" outlineLevel="1"/>
    <col min="22" max="25" width="11.36328125" style="258" hidden="1" customWidth="1" outlineLevel="1"/>
    <col min="26" max="26" width="11.36328125" style="258" bestFit="1" customWidth="1" collapsed="1"/>
    <col min="27" max="29" width="11.36328125" style="258" customWidth="1" outlineLevel="1"/>
    <col min="30" max="30" width="9.08984375" style="258" customWidth="1" outlineLevel="1"/>
    <col min="31" max="31" width="11.36328125" style="258" customWidth="1" outlineLevel="1"/>
    <col min="32" max="34" width="9.08984375" style="258" customWidth="1" outlineLevel="1"/>
    <col min="35" max="35" width="10" style="258" customWidth="1" outlineLevel="1"/>
    <col min="36" max="37" width="9.81640625" style="258" customWidth="1" outlineLevel="1"/>
    <col min="38" max="38" width="9.81640625" style="258" bestFit="1" customWidth="1"/>
    <col min="39" max="41" width="9.81640625" style="258" customWidth="1" outlineLevel="1"/>
    <col min="42" max="43" width="11.36328125" style="258" customWidth="1" outlineLevel="1"/>
    <col min="44" max="44" width="12.36328125" style="258" customWidth="1" outlineLevel="1"/>
    <col min="45" max="48" width="11.36328125" style="258" customWidth="1" outlineLevel="1"/>
    <col min="49" max="49" width="9.08984375" style="258" customWidth="1" outlineLevel="1"/>
    <col min="50" max="50" width="9.81640625" style="258" bestFit="1" customWidth="1"/>
    <col min="51" max="53" width="9.81640625" style="258" customWidth="1" outlineLevel="1"/>
    <col min="54" max="54" width="11.36328125" style="258" customWidth="1" outlineLevel="1"/>
    <col min="55" max="56" width="9.08984375" style="258" customWidth="1" outlineLevel="1"/>
    <col min="57" max="60" width="8.7265625" style="258" customWidth="1" outlineLevel="1"/>
    <col min="61" max="61" width="9.08984375" style="258" customWidth="1" outlineLevel="1"/>
    <col min="62" max="67" width="9.08984375" style="258" bestFit="1" customWidth="1"/>
    <col min="68" max="77" width="9.6328125" style="258" bestFit="1" customWidth="1"/>
    <col min="78" max="79" width="10.08984375" style="258" bestFit="1" customWidth="1"/>
    <col min="80" max="80" width="9.6328125" style="258" bestFit="1" customWidth="1"/>
    <col min="81" max="81" width="10.08984375" style="258" bestFit="1" customWidth="1"/>
    <col min="82" max="84" width="9.6328125" style="258" bestFit="1" customWidth="1"/>
    <col min="85" max="86" width="11.36328125" style="258" bestFit="1" customWidth="1"/>
    <col min="87" max="87" width="10.08984375" style="258" bestFit="1" customWidth="1"/>
    <col min="88" max="88" width="8.7265625" style="258"/>
    <col min="89" max="89" width="9.7265625" style="258" bestFit="1" customWidth="1"/>
    <col min="90" max="90" width="8.7265625" style="258"/>
    <col min="91" max="92" width="9.7265625" style="258" bestFit="1" customWidth="1"/>
    <col min="93" max="93" width="8.7265625" style="258"/>
    <col min="94" max="94" width="10.08984375" style="258" customWidth="1"/>
    <col min="95" max="96" width="8.7265625" style="258"/>
    <col min="97" max="97" width="9.7265625" style="258" customWidth="1"/>
    <col min="98" max="98" width="8.7265625" style="258"/>
    <col min="99" max="99" width="9.36328125" style="258" customWidth="1"/>
    <col min="100" max="116" width="8.7265625" style="258"/>
    <col min="117" max="117" width="9.7265625" style="258" bestFit="1" customWidth="1"/>
    <col min="118" max="144" width="8.7265625" style="258"/>
    <col min="145" max="145" width="9.08984375" style="258" customWidth="1"/>
    <col min="146" max="16384" width="8.7265625" style="258"/>
  </cols>
  <sheetData>
    <row r="1" spans="1:248" ht="13.5" customHeight="1">
      <c r="K1" s="305">
        <v>2008</v>
      </c>
      <c r="L1" s="305">
        <v>2008</v>
      </c>
      <c r="M1" s="305">
        <v>2008</v>
      </c>
      <c r="N1" s="305">
        <v>2008</v>
      </c>
      <c r="O1" s="305">
        <v>2009</v>
      </c>
      <c r="P1" s="305">
        <v>2009</v>
      </c>
      <c r="Q1" s="305">
        <v>2009</v>
      </c>
      <c r="R1" s="305">
        <v>2009</v>
      </c>
      <c r="S1" s="350">
        <v>2009</v>
      </c>
      <c r="T1" s="305">
        <v>2009</v>
      </c>
      <c r="U1" s="305">
        <v>2009</v>
      </c>
      <c r="V1" s="305">
        <v>2009</v>
      </c>
      <c r="W1" s="305">
        <v>2009</v>
      </c>
      <c r="X1" s="305">
        <v>2009</v>
      </c>
      <c r="Y1" s="305">
        <v>2009</v>
      </c>
      <c r="Z1" s="305">
        <v>2009</v>
      </c>
      <c r="AA1" s="305">
        <v>2010</v>
      </c>
      <c r="AB1" s="305">
        <v>2010</v>
      </c>
      <c r="AC1" s="305">
        <v>2010</v>
      </c>
      <c r="AD1" s="305">
        <v>2010</v>
      </c>
      <c r="AE1" s="305">
        <v>2010</v>
      </c>
      <c r="AF1" s="305">
        <v>2010</v>
      </c>
      <c r="AG1" s="305">
        <v>2010</v>
      </c>
      <c r="AH1" s="305">
        <v>2010</v>
      </c>
      <c r="AI1" s="305">
        <v>2010</v>
      </c>
      <c r="AJ1" s="305">
        <v>2010</v>
      </c>
      <c r="AK1" s="305">
        <v>2010</v>
      </c>
      <c r="AL1" s="305">
        <v>2010</v>
      </c>
      <c r="AM1" s="305">
        <v>2011</v>
      </c>
      <c r="AN1" s="305">
        <v>2011</v>
      </c>
      <c r="AO1" s="305">
        <v>2011</v>
      </c>
      <c r="AP1" s="305">
        <v>2011</v>
      </c>
      <c r="AQ1" s="305">
        <v>2011</v>
      </c>
      <c r="AR1" s="305">
        <v>2011</v>
      </c>
      <c r="AS1" s="305">
        <v>2011</v>
      </c>
      <c r="AT1" s="305">
        <v>2011</v>
      </c>
      <c r="AU1" s="305">
        <v>2011</v>
      </c>
      <c r="AV1" s="305">
        <v>2011</v>
      </c>
      <c r="AW1" s="305">
        <v>2011</v>
      </c>
      <c r="AX1" s="305">
        <v>2011</v>
      </c>
      <c r="AY1" s="305">
        <v>2012</v>
      </c>
      <c r="AZ1" s="305">
        <v>2012</v>
      </c>
      <c r="BA1" s="305">
        <v>2012</v>
      </c>
      <c r="BB1" s="305">
        <v>2012</v>
      </c>
      <c r="BC1" s="305">
        <v>2012</v>
      </c>
      <c r="BD1" s="305">
        <v>2012</v>
      </c>
      <c r="BE1" s="305">
        <v>2012</v>
      </c>
      <c r="BF1" s="305">
        <v>2012</v>
      </c>
      <c r="BG1" s="305">
        <v>2012</v>
      </c>
      <c r="BH1" s="305">
        <v>2012</v>
      </c>
      <c r="BI1" s="305">
        <v>2012</v>
      </c>
      <c r="BJ1" s="305">
        <v>2012</v>
      </c>
      <c r="BK1" s="305">
        <v>2013</v>
      </c>
      <c r="BL1" s="305">
        <v>2013</v>
      </c>
      <c r="BM1" s="305">
        <v>2013</v>
      </c>
      <c r="BN1" s="305">
        <v>2013</v>
      </c>
      <c r="BO1" s="305">
        <v>2013</v>
      </c>
      <c r="BP1" s="305">
        <v>2013</v>
      </c>
      <c r="BQ1" s="305">
        <v>2013</v>
      </c>
      <c r="BR1" s="305">
        <v>2013</v>
      </c>
      <c r="BS1" s="305">
        <v>2013</v>
      </c>
      <c r="BT1" s="305">
        <v>2013</v>
      </c>
      <c r="BU1" s="305">
        <v>2013</v>
      </c>
      <c r="BV1" s="305">
        <v>2013</v>
      </c>
      <c r="BW1" s="305">
        <v>2014</v>
      </c>
      <c r="BX1" s="305">
        <v>2014</v>
      </c>
      <c r="BY1" s="305">
        <v>2014</v>
      </c>
      <c r="BZ1" s="305">
        <v>2014</v>
      </c>
      <c r="CA1" s="305">
        <v>2014</v>
      </c>
      <c r="CB1" s="305">
        <v>2014</v>
      </c>
      <c r="CC1" s="305">
        <v>2014</v>
      </c>
      <c r="CD1" s="305">
        <v>2014</v>
      </c>
      <c r="CE1" s="305">
        <v>2014</v>
      </c>
      <c r="CF1" s="305">
        <v>2014</v>
      </c>
      <c r="CG1" s="305">
        <v>2014</v>
      </c>
      <c r="CH1" s="305">
        <v>2014</v>
      </c>
      <c r="CI1" s="305">
        <v>2015</v>
      </c>
      <c r="CJ1" s="305">
        <v>2015</v>
      </c>
      <c r="CK1" s="305">
        <v>2015</v>
      </c>
      <c r="CL1" s="305">
        <v>2015</v>
      </c>
      <c r="CM1" s="305">
        <v>2015</v>
      </c>
      <c r="CN1" s="305">
        <v>2015</v>
      </c>
      <c r="CO1" s="305">
        <v>2015</v>
      </c>
      <c r="CP1" s="305">
        <v>2015</v>
      </c>
      <c r="CQ1" s="305">
        <v>2015</v>
      </c>
      <c r="CR1" s="305">
        <v>2015</v>
      </c>
      <c r="CS1" s="305">
        <v>2015</v>
      </c>
      <c r="CT1" s="305">
        <v>2015</v>
      </c>
      <c r="CU1" s="305">
        <v>2016</v>
      </c>
      <c r="CV1" s="305">
        <v>2016</v>
      </c>
      <c r="CW1" s="305">
        <v>2016</v>
      </c>
      <c r="CX1" s="305">
        <v>2016</v>
      </c>
      <c r="CY1" s="305">
        <v>2016</v>
      </c>
      <c r="CZ1" s="305">
        <v>2016</v>
      </c>
      <c r="DA1" s="305">
        <v>2016</v>
      </c>
      <c r="DB1" s="305">
        <v>2016</v>
      </c>
      <c r="DC1" s="305">
        <v>2016</v>
      </c>
      <c r="DD1" s="305">
        <v>2016</v>
      </c>
      <c r="DE1" s="305">
        <v>2016</v>
      </c>
      <c r="DF1" s="305">
        <v>2016</v>
      </c>
      <c r="DG1" s="305">
        <v>2017</v>
      </c>
      <c r="DH1" s="305">
        <v>2017</v>
      </c>
      <c r="DI1" s="305">
        <v>2017</v>
      </c>
      <c r="DJ1" s="305">
        <v>2017</v>
      </c>
      <c r="DK1" s="305">
        <v>2017</v>
      </c>
      <c r="DL1" s="305">
        <v>2017</v>
      </c>
      <c r="DM1" s="305">
        <v>2017</v>
      </c>
      <c r="DN1" s="305">
        <v>2017</v>
      </c>
      <c r="DO1" s="305">
        <v>2017</v>
      </c>
      <c r="DP1" s="305">
        <v>2017</v>
      </c>
      <c r="DQ1" s="305">
        <v>2017</v>
      </c>
      <c r="DR1" s="305">
        <v>2017</v>
      </c>
      <c r="DS1" s="305">
        <v>2018</v>
      </c>
      <c r="DT1" s="305">
        <v>2018</v>
      </c>
      <c r="DU1" s="305">
        <v>2018</v>
      </c>
      <c r="DV1" s="305">
        <v>2018</v>
      </c>
      <c r="DW1" s="305">
        <v>2018</v>
      </c>
      <c r="DX1" s="305">
        <v>2018</v>
      </c>
      <c r="DY1" s="305">
        <v>2018</v>
      </c>
      <c r="DZ1" s="305">
        <v>2018</v>
      </c>
      <c r="EA1" s="305">
        <v>2018</v>
      </c>
      <c r="EB1" s="305">
        <v>2018</v>
      </c>
      <c r="EC1" s="305">
        <v>2018</v>
      </c>
      <c r="ED1" s="305">
        <v>2018</v>
      </c>
      <c r="EE1" s="305">
        <v>2019</v>
      </c>
      <c r="EF1" s="305">
        <v>2019</v>
      </c>
      <c r="EG1" s="305">
        <v>2019</v>
      </c>
      <c r="EH1" s="305">
        <v>2019</v>
      </c>
      <c r="EI1" s="305">
        <v>2019</v>
      </c>
      <c r="EJ1" s="305">
        <v>2019</v>
      </c>
      <c r="EK1" s="305">
        <v>2019</v>
      </c>
      <c r="EL1" s="305">
        <v>2019</v>
      </c>
      <c r="EM1" s="305">
        <v>2019</v>
      </c>
      <c r="EN1" s="305">
        <v>2019</v>
      </c>
      <c r="EO1" s="305">
        <v>2019</v>
      </c>
      <c r="EP1" s="305">
        <v>2019</v>
      </c>
      <c r="EQ1" s="305">
        <v>2020</v>
      </c>
      <c r="ER1" s="305">
        <v>2020</v>
      </c>
      <c r="ES1" s="305">
        <v>2020</v>
      </c>
      <c r="ET1" s="305">
        <v>2020</v>
      </c>
      <c r="EU1" s="305">
        <v>2020</v>
      </c>
      <c r="EV1" s="305">
        <v>2020</v>
      </c>
      <c r="EW1" s="305">
        <v>2020</v>
      </c>
      <c r="EX1" s="305">
        <v>2020</v>
      </c>
      <c r="EY1" s="305">
        <v>2020</v>
      </c>
      <c r="EZ1" s="305">
        <v>2020</v>
      </c>
      <c r="FA1" s="305">
        <v>2020</v>
      </c>
      <c r="FB1" s="305">
        <v>2020</v>
      </c>
      <c r="FC1" s="305">
        <v>2021</v>
      </c>
      <c r="FD1" s="305">
        <v>2021</v>
      </c>
      <c r="FE1" s="305">
        <v>2021</v>
      </c>
      <c r="FF1" s="305">
        <v>2021</v>
      </c>
      <c r="FG1" s="305">
        <v>2021</v>
      </c>
      <c r="FH1" s="305">
        <v>2021</v>
      </c>
      <c r="FI1" s="305">
        <v>2021</v>
      </c>
      <c r="FJ1" s="305">
        <v>2021</v>
      </c>
      <c r="FK1" s="305">
        <v>2021</v>
      </c>
      <c r="FL1" s="305">
        <v>2021</v>
      </c>
      <c r="FM1" s="305">
        <v>2021</v>
      </c>
      <c r="FN1" s="305">
        <v>2021</v>
      </c>
    </row>
    <row r="2" spans="1:248" ht="13.5" customHeigh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94</v>
      </c>
      <c r="H2" s="257" t="s">
        <v>84</v>
      </c>
      <c r="I2" s="298" t="s">
        <v>92</v>
      </c>
      <c r="J2" s="254" t="s">
        <v>85</v>
      </c>
      <c r="K2" s="304" t="s">
        <v>105</v>
      </c>
      <c r="L2" s="304" t="s">
        <v>106</v>
      </c>
      <c r="M2" s="304" t="s">
        <v>107</v>
      </c>
      <c r="N2" s="304" t="s">
        <v>108</v>
      </c>
      <c r="O2" s="304" t="s">
        <v>109</v>
      </c>
      <c r="P2" s="304" t="s">
        <v>110</v>
      </c>
      <c r="Q2" s="304" t="s">
        <v>111</v>
      </c>
      <c r="R2" s="304" t="s">
        <v>112</v>
      </c>
      <c r="S2" s="351" t="s">
        <v>113</v>
      </c>
      <c r="T2" s="304" t="s">
        <v>114</v>
      </c>
      <c r="U2" s="304" t="s">
        <v>103</v>
      </c>
      <c r="V2" s="304" t="s">
        <v>104</v>
      </c>
      <c r="W2" s="304" t="s">
        <v>105</v>
      </c>
      <c r="X2" s="304" t="s">
        <v>106</v>
      </c>
      <c r="Y2" s="304" t="s">
        <v>107</v>
      </c>
      <c r="Z2" s="304" t="s">
        <v>108</v>
      </c>
      <c r="AA2" s="304" t="s">
        <v>109</v>
      </c>
      <c r="AB2" s="304" t="s">
        <v>110</v>
      </c>
      <c r="AC2" s="304" t="s">
        <v>111</v>
      </c>
      <c r="AD2" s="304" t="s">
        <v>112</v>
      </c>
      <c r="AE2" s="304" t="s">
        <v>113</v>
      </c>
      <c r="AF2" s="304" t="s">
        <v>117</v>
      </c>
      <c r="AG2" s="304" t="s">
        <v>118</v>
      </c>
      <c r="AH2" s="304" t="s">
        <v>119</v>
      </c>
      <c r="AI2" s="304" t="s">
        <v>120</v>
      </c>
      <c r="AJ2" s="304" t="s">
        <v>121</v>
      </c>
      <c r="AK2" s="304" t="s">
        <v>122</v>
      </c>
      <c r="AL2" s="304" t="s">
        <v>123</v>
      </c>
      <c r="AM2" s="304" t="s">
        <v>124</v>
      </c>
      <c r="AN2" s="304" t="s">
        <v>125</v>
      </c>
      <c r="AO2" s="304" t="s">
        <v>126</v>
      </c>
      <c r="AP2" s="304" t="s">
        <v>127</v>
      </c>
      <c r="AQ2" s="304" t="s">
        <v>113</v>
      </c>
      <c r="AR2" s="304" t="s">
        <v>117</v>
      </c>
      <c r="AS2" s="304" t="s">
        <v>118</v>
      </c>
      <c r="AT2" s="304" t="s">
        <v>119</v>
      </c>
      <c r="AU2" s="304" t="s">
        <v>120</v>
      </c>
      <c r="AV2" s="304" t="s">
        <v>121</v>
      </c>
      <c r="AW2" s="304" t="s">
        <v>122</v>
      </c>
      <c r="AX2" s="304" t="s">
        <v>123</v>
      </c>
      <c r="AY2" s="304" t="s">
        <v>124</v>
      </c>
      <c r="AZ2" s="304" t="s">
        <v>125</v>
      </c>
      <c r="BA2" s="304" t="s">
        <v>126</v>
      </c>
      <c r="BB2" s="304" t="s">
        <v>127</v>
      </c>
      <c r="BC2" s="304" t="s">
        <v>113</v>
      </c>
      <c r="BD2" s="304" t="s">
        <v>117</v>
      </c>
      <c r="BE2" s="304" t="s">
        <v>118</v>
      </c>
      <c r="BF2" s="304" t="s">
        <v>119</v>
      </c>
      <c r="BG2" s="304" t="s">
        <v>120</v>
      </c>
      <c r="BH2" s="304" t="s">
        <v>121</v>
      </c>
      <c r="BI2" s="304" t="s">
        <v>122</v>
      </c>
      <c r="BJ2" s="304" t="s">
        <v>123</v>
      </c>
      <c r="BK2" s="304" t="s">
        <v>124</v>
      </c>
      <c r="BL2" s="304" t="s">
        <v>125</v>
      </c>
      <c r="BM2" s="304" t="s">
        <v>126</v>
      </c>
      <c r="BN2" s="304" t="s">
        <v>127</v>
      </c>
      <c r="BO2" s="304" t="s">
        <v>113</v>
      </c>
      <c r="BP2" s="442" t="s">
        <v>117</v>
      </c>
      <c r="BQ2" s="304" t="s">
        <v>118</v>
      </c>
      <c r="BR2" s="304" t="s">
        <v>119</v>
      </c>
      <c r="BS2" s="304" t="s">
        <v>120</v>
      </c>
      <c r="BT2" s="304" t="s">
        <v>121</v>
      </c>
      <c r="BU2" s="304" t="s">
        <v>122</v>
      </c>
      <c r="BV2" s="304" t="s">
        <v>123</v>
      </c>
      <c r="BW2" s="304" t="s">
        <v>124</v>
      </c>
      <c r="BX2" s="304" t="s">
        <v>125</v>
      </c>
      <c r="BY2" s="304" t="s">
        <v>126</v>
      </c>
      <c r="BZ2" s="304" t="s">
        <v>127</v>
      </c>
      <c r="CA2" s="304" t="s">
        <v>113</v>
      </c>
      <c r="CB2" s="304" t="s">
        <v>117</v>
      </c>
      <c r="CC2" s="304" t="s">
        <v>118</v>
      </c>
      <c r="CD2" s="304" t="s">
        <v>119</v>
      </c>
      <c r="CE2" s="304" t="s">
        <v>120</v>
      </c>
      <c r="CF2" s="304" t="s">
        <v>121</v>
      </c>
      <c r="CG2" s="304" t="s">
        <v>122</v>
      </c>
      <c r="CH2" s="304" t="s">
        <v>123</v>
      </c>
      <c r="CI2" s="304" t="s">
        <v>124</v>
      </c>
      <c r="CJ2" s="304" t="s">
        <v>125</v>
      </c>
      <c r="CK2" s="304" t="s">
        <v>126</v>
      </c>
      <c r="CL2" s="304" t="s">
        <v>127</v>
      </c>
      <c r="CM2" s="304" t="s">
        <v>113</v>
      </c>
      <c r="CN2" s="304" t="s">
        <v>117</v>
      </c>
      <c r="CO2" s="304" t="s">
        <v>118</v>
      </c>
      <c r="CP2" s="304" t="s">
        <v>119</v>
      </c>
      <c r="CQ2" s="304" t="s">
        <v>120</v>
      </c>
      <c r="CR2" s="304" t="s">
        <v>121</v>
      </c>
      <c r="CS2" s="304" t="s">
        <v>122</v>
      </c>
      <c r="CT2" s="304" t="s">
        <v>123</v>
      </c>
      <c r="CU2" s="304" t="s">
        <v>124</v>
      </c>
      <c r="CV2" s="304" t="s">
        <v>125</v>
      </c>
      <c r="CW2" s="304" t="s">
        <v>126</v>
      </c>
      <c r="CX2" s="304" t="s">
        <v>127</v>
      </c>
      <c r="CY2" s="304" t="s">
        <v>113</v>
      </c>
      <c r="CZ2" s="304" t="s">
        <v>117</v>
      </c>
      <c r="DA2" s="304" t="s">
        <v>118</v>
      </c>
      <c r="DB2" s="304" t="s">
        <v>119</v>
      </c>
      <c r="DC2" s="304" t="s">
        <v>120</v>
      </c>
      <c r="DD2" s="304" t="s">
        <v>121</v>
      </c>
      <c r="DE2" s="304" t="s">
        <v>122</v>
      </c>
      <c r="DF2" s="304" t="s">
        <v>123</v>
      </c>
      <c r="DG2" s="304" t="s">
        <v>124</v>
      </c>
      <c r="DH2" s="304" t="s">
        <v>125</v>
      </c>
      <c r="DI2" s="304" t="s">
        <v>126</v>
      </c>
      <c r="DJ2" s="304" t="s">
        <v>127</v>
      </c>
      <c r="DK2" s="304" t="s">
        <v>113</v>
      </c>
      <c r="DL2" s="304" t="s">
        <v>117</v>
      </c>
      <c r="DM2" s="304" t="s">
        <v>118</v>
      </c>
      <c r="DN2" s="304" t="s">
        <v>119</v>
      </c>
      <c r="DO2" s="304" t="s">
        <v>120</v>
      </c>
      <c r="DP2" s="304" t="s">
        <v>121</v>
      </c>
      <c r="DQ2" s="304" t="s">
        <v>122</v>
      </c>
      <c r="DR2" s="304" t="s">
        <v>123</v>
      </c>
      <c r="DS2" s="304" t="s">
        <v>124</v>
      </c>
      <c r="DT2" s="304" t="s">
        <v>125</v>
      </c>
      <c r="DU2" s="304" t="s">
        <v>126</v>
      </c>
      <c r="DV2" s="304" t="s">
        <v>127</v>
      </c>
      <c r="DW2" s="304" t="s">
        <v>113</v>
      </c>
      <c r="DX2" s="304" t="s">
        <v>117</v>
      </c>
      <c r="DY2" s="304" t="s">
        <v>118</v>
      </c>
      <c r="DZ2" s="304" t="s">
        <v>119</v>
      </c>
      <c r="EA2" s="304" t="s">
        <v>120</v>
      </c>
      <c r="EB2" s="304" t="s">
        <v>121</v>
      </c>
      <c r="EC2" s="304" t="s">
        <v>122</v>
      </c>
      <c r="ED2" s="304" t="s">
        <v>123</v>
      </c>
      <c r="EE2" s="304" t="s">
        <v>124</v>
      </c>
      <c r="EF2" s="304" t="s">
        <v>125</v>
      </c>
      <c r="EG2" s="304" t="s">
        <v>126</v>
      </c>
      <c r="EH2" s="304" t="s">
        <v>127</v>
      </c>
      <c r="EI2" s="304" t="s">
        <v>113</v>
      </c>
      <c r="EJ2" s="304" t="s">
        <v>117</v>
      </c>
      <c r="EK2" s="304" t="s">
        <v>118</v>
      </c>
      <c r="EL2" s="304" t="s">
        <v>119</v>
      </c>
      <c r="EM2" s="304" t="s">
        <v>120</v>
      </c>
      <c r="EN2" s="304" t="s">
        <v>121</v>
      </c>
      <c r="EO2" s="304" t="s">
        <v>122</v>
      </c>
      <c r="EP2" s="304" t="s">
        <v>123</v>
      </c>
      <c r="EQ2" s="304" t="s">
        <v>124</v>
      </c>
      <c r="ER2" s="304" t="s">
        <v>125</v>
      </c>
      <c r="ES2" s="304" t="s">
        <v>126</v>
      </c>
      <c r="ET2" s="304" t="s">
        <v>127</v>
      </c>
      <c r="EU2" s="304" t="s">
        <v>113</v>
      </c>
      <c r="EV2" s="304" t="s">
        <v>117</v>
      </c>
      <c r="EW2" s="304" t="s">
        <v>118</v>
      </c>
      <c r="EX2" s="304" t="s">
        <v>119</v>
      </c>
      <c r="EY2" s="304" t="s">
        <v>120</v>
      </c>
      <c r="EZ2" s="304" t="s">
        <v>121</v>
      </c>
      <c r="FA2" s="304" t="s">
        <v>122</v>
      </c>
      <c r="FB2" s="304" t="s">
        <v>123</v>
      </c>
      <c r="FC2" s="304" t="s">
        <v>124</v>
      </c>
      <c r="FD2" s="304" t="s">
        <v>125</v>
      </c>
      <c r="FE2" s="304" t="s">
        <v>126</v>
      </c>
      <c r="FF2" s="304" t="s">
        <v>127</v>
      </c>
      <c r="FG2" s="304" t="s">
        <v>113</v>
      </c>
      <c r="FH2" s="304" t="s">
        <v>117</v>
      </c>
      <c r="FI2" s="304" t="s">
        <v>118</v>
      </c>
      <c r="FJ2" s="304" t="s">
        <v>119</v>
      </c>
      <c r="FK2" s="304" t="s">
        <v>120</v>
      </c>
      <c r="FL2" s="304" t="s">
        <v>121</v>
      </c>
      <c r="FM2" s="304" t="s">
        <v>122</v>
      </c>
      <c r="FN2" s="304" t="s">
        <v>123</v>
      </c>
    </row>
    <row r="3" spans="1:248" ht="13.5" customHeight="1" outlineLevel="1" thickBot="1">
      <c r="A3" s="268" t="s">
        <v>404</v>
      </c>
      <c r="B3" s="268" t="s">
        <v>405</v>
      </c>
      <c r="C3" s="269"/>
      <c r="D3" s="270">
        <v>24</v>
      </c>
      <c r="E3" s="271">
        <v>490000</v>
      </c>
      <c r="F3" s="272">
        <v>0</v>
      </c>
      <c r="G3" s="275">
        <v>0.1971</v>
      </c>
      <c r="H3" s="273"/>
      <c r="I3" s="307">
        <v>0</v>
      </c>
      <c r="J3" s="274"/>
      <c r="K3" s="277" t="s">
        <v>97</v>
      </c>
      <c r="L3" s="277" t="s">
        <v>97</v>
      </c>
      <c r="M3" s="277" t="s">
        <v>97</v>
      </c>
      <c r="N3" s="277" t="s">
        <v>97</v>
      </c>
      <c r="O3" s="277" t="s">
        <v>97</v>
      </c>
      <c r="P3" s="277" t="s">
        <v>97</v>
      </c>
      <c r="Q3" s="277" t="s">
        <v>97</v>
      </c>
      <c r="R3" s="277" t="s">
        <v>97</v>
      </c>
      <c r="S3" s="347" t="s">
        <v>97</v>
      </c>
      <c r="DY3" s="345">
        <v>0</v>
      </c>
      <c r="DZ3" s="345">
        <f>DY3</f>
        <v>0</v>
      </c>
      <c r="EA3" s="345">
        <f>DZ3</f>
        <v>0</v>
      </c>
      <c r="EB3" s="345">
        <f>EA3</f>
        <v>0</v>
      </c>
      <c r="EC3" s="345">
        <f>EB3</f>
        <v>0</v>
      </c>
      <c r="ED3" s="345">
        <f>EC3</f>
        <v>0</v>
      </c>
    </row>
    <row r="4" spans="1:248" ht="13.5" customHeight="1" thickBot="1">
      <c r="A4" s="268" t="s">
        <v>86</v>
      </c>
      <c r="B4" s="268"/>
      <c r="C4" s="269" t="s">
        <v>170</v>
      </c>
      <c r="D4" s="270">
        <v>7</v>
      </c>
      <c r="E4" s="271">
        <v>300000</v>
      </c>
      <c r="F4" s="272">
        <v>18113</v>
      </c>
      <c r="G4" s="275">
        <v>0.19700000000000001</v>
      </c>
      <c r="H4" s="273"/>
      <c r="I4" s="307">
        <v>0</v>
      </c>
      <c r="J4" s="405" t="s">
        <v>169</v>
      </c>
      <c r="K4" s="300">
        <v>38348</v>
      </c>
      <c r="L4" s="300">
        <v>20083</v>
      </c>
      <c r="M4" s="300">
        <v>30882</v>
      </c>
      <c r="N4" s="327">
        <f>44000+1005</f>
        <v>45005</v>
      </c>
      <c r="O4" s="310">
        <v>100241</v>
      </c>
      <c r="P4" s="327">
        <f>39700+9300</f>
        <v>49000</v>
      </c>
      <c r="Q4" s="327">
        <v>30000</v>
      </c>
      <c r="R4" s="346">
        <f>26053+284045</f>
        <v>310098</v>
      </c>
      <c r="S4" s="364">
        <v>0</v>
      </c>
      <c r="T4" s="364">
        <v>54749</v>
      </c>
      <c r="U4" s="364">
        <v>33044</v>
      </c>
      <c r="V4" s="364">
        <v>31571</v>
      </c>
      <c r="W4" s="364">
        <v>29846</v>
      </c>
      <c r="X4" s="364">
        <v>40604</v>
      </c>
      <c r="Y4" s="364">
        <v>24262</v>
      </c>
      <c r="Z4" s="364">
        <v>31620</v>
      </c>
      <c r="AA4" s="346">
        <v>48381</v>
      </c>
      <c r="AB4" s="346">
        <v>48605</v>
      </c>
      <c r="AC4" s="346">
        <v>25009</v>
      </c>
      <c r="AD4" s="346">
        <f>65771</f>
        <v>65771</v>
      </c>
      <c r="AE4" s="346">
        <v>15091</v>
      </c>
      <c r="AF4" s="346">
        <v>8380</v>
      </c>
      <c r="AG4" s="346">
        <v>72768</v>
      </c>
      <c r="AH4" s="346">
        <v>188795</v>
      </c>
      <c r="AI4" s="346">
        <v>30964</v>
      </c>
      <c r="AJ4" s="346">
        <v>63433</v>
      </c>
      <c r="AK4" s="346">
        <v>54676</v>
      </c>
      <c r="AL4" s="346">
        <v>42847</v>
      </c>
      <c r="AM4" s="346">
        <v>42426</v>
      </c>
      <c r="AN4" s="346">
        <v>48551</v>
      </c>
      <c r="AO4" s="346">
        <v>47611</v>
      </c>
      <c r="AP4" s="346">
        <v>55041</v>
      </c>
      <c r="AQ4" s="346">
        <v>100744</v>
      </c>
      <c r="AR4" s="346">
        <v>46772</v>
      </c>
      <c r="AS4" s="346">
        <v>121099</v>
      </c>
      <c r="AT4" s="346">
        <v>51502</v>
      </c>
      <c r="AU4" s="346">
        <v>39296</v>
      </c>
      <c r="AV4" s="346">
        <v>44251</v>
      </c>
      <c r="AW4" s="396">
        <v>67395</v>
      </c>
      <c r="AX4" s="396">
        <v>58578</v>
      </c>
      <c r="AY4" s="396">
        <v>53013</v>
      </c>
      <c r="AZ4" s="396">
        <v>48407</v>
      </c>
      <c r="BA4" s="396">
        <v>108974</v>
      </c>
      <c r="BB4" s="429">
        <v>47646</v>
      </c>
      <c r="BC4" s="346">
        <v>102221</v>
      </c>
      <c r="BD4" s="346">
        <v>26766</v>
      </c>
      <c r="BE4" s="346">
        <v>94747</v>
      </c>
      <c r="BF4" s="346">
        <v>35551</v>
      </c>
      <c r="BG4" s="346">
        <v>39966</v>
      </c>
      <c r="BH4" s="346">
        <v>25719</v>
      </c>
      <c r="BI4" s="346">
        <v>9701</v>
      </c>
      <c r="BJ4" s="346">
        <v>27249</v>
      </c>
      <c r="BK4" s="346">
        <v>26436</v>
      </c>
      <c r="BL4" s="346">
        <v>25096</v>
      </c>
      <c r="BM4" s="346">
        <v>22237</v>
      </c>
      <c r="BN4" s="346">
        <v>8500</v>
      </c>
      <c r="BO4" s="346">
        <f>35171+1165</f>
        <v>36336</v>
      </c>
      <c r="BP4" s="346">
        <v>14227</v>
      </c>
      <c r="BQ4" s="346">
        <v>47116</v>
      </c>
      <c r="BR4" s="346">
        <v>14353</v>
      </c>
      <c r="BS4" s="346">
        <v>16938</v>
      </c>
      <c r="BT4" s="346">
        <v>30659</v>
      </c>
      <c r="BU4" s="444">
        <v>10000</v>
      </c>
      <c r="BV4" s="346">
        <v>20000</v>
      </c>
      <c r="BW4" s="346">
        <v>11966</v>
      </c>
      <c r="BX4" s="346">
        <v>13565</v>
      </c>
      <c r="BY4" s="346">
        <v>23994</v>
      </c>
      <c r="BZ4" s="346">
        <f>12238+73803</f>
        <v>86041</v>
      </c>
      <c r="CA4" s="346">
        <v>20121</v>
      </c>
      <c r="CB4" s="346">
        <v>19339</v>
      </c>
      <c r="CC4" s="346">
        <f>39988+15932</f>
        <v>55920</v>
      </c>
      <c r="CD4" s="346">
        <v>27621</v>
      </c>
      <c r="CE4" s="346">
        <v>37671</v>
      </c>
      <c r="CF4" s="346">
        <v>69050</v>
      </c>
      <c r="CG4" s="346">
        <v>67287</v>
      </c>
      <c r="CH4" s="346">
        <v>26128</v>
      </c>
      <c r="CI4" s="346">
        <v>345205</v>
      </c>
      <c r="CJ4" s="346">
        <v>90422</v>
      </c>
      <c r="CK4" s="346">
        <v>52349</v>
      </c>
      <c r="CL4" s="346">
        <v>59816</v>
      </c>
      <c r="CM4" s="346">
        <v>79349</v>
      </c>
      <c r="CN4" s="346">
        <v>42281</v>
      </c>
      <c r="CO4" s="346">
        <v>394060</v>
      </c>
      <c r="CP4" s="346">
        <v>17350</v>
      </c>
      <c r="CQ4" s="346">
        <v>77228</v>
      </c>
      <c r="CR4" s="346">
        <v>44887</v>
      </c>
      <c r="CS4" s="346">
        <v>35863</v>
      </c>
      <c r="CT4" s="346">
        <v>17737</v>
      </c>
      <c r="CU4" s="346">
        <f>2545+23009</f>
        <v>25554</v>
      </c>
      <c r="CV4" s="346">
        <v>18678</v>
      </c>
      <c r="CW4" s="346">
        <v>6493</v>
      </c>
      <c r="CX4" s="346">
        <v>6523</v>
      </c>
      <c r="CY4" s="346">
        <v>6822</v>
      </c>
      <c r="CZ4" s="346">
        <v>6415</v>
      </c>
      <c r="DA4" s="346">
        <v>9858</v>
      </c>
      <c r="DB4" s="346">
        <v>5113</v>
      </c>
      <c r="DC4" s="346">
        <v>2477</v>
      </c>
      <c r="DD4" s="346">
        <v>15051</v>
      </c>
      <c r="DE4" s="346">
        <v>6816</v>
      </c>
      <c r="DF4" s="346">
        <v>13497</v>
      </c>
      <c r="DG4" s="346">
        <v>4688</v>
      </c>
      <c r="DH4" s="346">
        <v>3161</v>
      </c>
      <c r="DI4" s="346">
        <v>6197</v>
      </c>
      <c r="DJ4" s="346">
        <v>2866</v>
      </c>
      <c r="DK4" s="346">
        <v>1687</v>
      </c>
      <c r="DL4" s="346">
        <v>2228</v>
      </c>
      <c r="DM4" s="346">
        <v>8326</v>
      </c>
      <c r="DN4" s="346">
        <v>3619</v>
      </c>
      <c r="DO4" s="346">
        <v>981</v>
      </c>
      <c r="DP4" s="346">
        <v>4589</v>
      </c>
      <c r="DQ4" s="346">
        <v>15703</v>
      </c>
      <c r="DR4" s="346">
        <v>7089</v>
      </c>
      <c r="DS4" s="346">
        <v>-9</v>
      </c>
      <c r="DT4" s="346">
        <v>6778</v>
      </c>
      <c r="DU4" s="346">
        <f>19725</f>
        <v>19725</v>
      </c>
      <c r="DV4" s="346">
        <v>5992</v>
      </c>
      <c r="DW4" s="346">
        <v>9883</v>
      </c>
      <c r="DX4" s="346">
        <v>16541</v>
      </c>
      <c r="DY4" s="346">
        <v>14136</v>
      </c>
      <c r="DZ4" s="345">
        <f t="shared" ref="DZ4:ED4" si="0">DY4</f>
        <v>14136</v>
      </c>
      <c r="EA4" s="345">
        <f t="shared" si="0"/>
        <v>14136</v>
      </c>
      <c r="EB4" s="345">
        <f t="shared" si="0"/>
        <v>14136</v>
      </c>
      <c r="EC4" s="345">
        <f t="shared" si="0"/>
        <v>14136</v>
      </c>
      <c r="ED4" s="345">
        <f t="shared" si="0"/>
        <v>14136</v>
      </c>
    </row>
    <row r="5" spans="1:248" ht="13.5" customHeight="1" outlineLevel="1">
      <c r="A5" s="279" t="s">
        <v>369</v>
      </c>
      <c r="B5" s="279" t="s">
        <v>370</v>
      </c>
      <c r="C5" s="280" t="s">
        <v>371</v>
      </c>
      <c r="D5" s="281">
        <v>5</v>
      </c>
      <c r="E5" s="282">
        <v>340000</v>
      </c>
      <c r="F5" s="283">
        <v>25152</v>
      </c>
      <c r="G5" s="285">
        <v>0.18720000000000001</v>
      </c>
      <c r="H5" s="286" t="s">
        <v>93</v>
      </c>
      <c r="I5" s="308">
        <f>52190-R5</f>
        <v>0</v>
      </c>
      <c r="J5" s="287" t="s">
        <v>87</v>
      </c>
      <c r="K5" s="306">
        <v>20000</v>
      </c>
      <c r="L5" s="306">
        <v>15000</v>
      </c>
      <c r="M5" s="306">
        <v>13000</v>
      </c>
      <c r="N5" s="333">
        <v>13000</v>
      </c>
      <c r="O5" s="333">
        <v>30000</v>
      </c>
      <c r="P5" s="333">
        <v>11656</v>
      </c>
      <c r="Q5" s="333">
        <v>11519</v>
      </c>
      <c r="R5" s="333">
        <v>52190</v>
      </c>
      <c r="S5" s="369">
        <v>10016</v>
      </c>
      <c r="AC5" s="345">
        <v>0</v>
      </c>
      <c r="AD5" s="345">
        <v>0</v>
      </c>
      <c r="AE5" s="345">
        <v>0</v>
      </c>
      <c r="AF5" s="345">
        <v>0</v>
      </c>
      <c r="AG5" s="345">
        <v>0</v>
      </c>
      <c r="AH5" s="345">
        <v>0</v>
      </c>
      <c r="BP5" s="346">
        <v>1400</v>
      </c>
      <c r="BQ5" s="346">
        <v>9366</v>
      </c>
      <c r="BR5" s="346">
        <v>7506</v>
      </c>
      <c r="BS5" s="346">
        <v>2261</v>
      </c>
      <c r="BT5" s="346">
        <v>1490</v>
      </c>
      <c r="BU5" s="444">
        <v>1400</v>
      </c>
      <c r="BV5" s="346">
        <v>4346</v>
      </c>
      <c r="BW5" s="345">
        <v>0</v>
      </c>
      <c r="BX5" s="346">
        <v>2010</v>
      </c>
      <c r="BY5" s="346">
        <v>8047</v>
      </c>
      <c r="BZ5" s="346">
        <v>2747</v>
      </c>
      <c r="CA5" s="346">
        <v>1050</v>
      </c>
      <c r="CB5" s="345">
        <v>0</v>
      </c>
      <c r="CC5" s="345">
        <v>0</v>
      </c>
      <c r="CD5" s="345">
        <v>0</v>
      </c>
      <c r="CE5" s="345">
        <v>0</v>
      </c>
      <c r="CF5" s="345">
        <v>0</v>
      </c>
      <c r="CG5" s="345">
        <v>0</v>
      </c>
      <c r="CH5" s="345">
        <v>0</v>
      </c>
      <c r="CI5" s="345">
        <v>0</v>
      </c>
      <c r="CJ5" s="345">
        <v>0</v>
      </c>
      <c r="CK5" s="345">
        <v>0</v>
      </c>
      <c r="CL5" s="345">
        <v>0</v>
      </c>
      <c r="CM5" s="345">
        <v>0</v>
      </c>
      <c r="CN5" s="345">
        <v>0</v>
      </c>
      <c r="CO5" s="345">
        <v>0</v>
      </c>
      <c r="CP5" s="345">
        <v>0</v>
      </c>
      <c r="CQ5" s="345">
        <v>0</v>
      </c>
      <c r="CR5" s="345">
        <v>0</v>
      </c>
      <c r="CS5" s="345">
        <v>0</v>
      </c>
      <c r="CT5" s="345">
        <v>0</v>
      </c>
      <c r="CU5" s="345">
        <v>0</v>
      </c>
      <c r="CV5" s="345">
        <v>0</v>
      </c>
      <c r="CW5" s="345">
        <v>0</v>
      </c>
      <c r="CX5" s="345">
        <v>0</v>
      </c>
      <c r="CY5" s="345">
        <v>0</v>
      </c>
      <c r="CZ5" s="345">
        <v>0</v>
      </c>
      <c r="DA5" s="345">
        <v>0</v>
      </c>
      <c r="DB5" s="345">
        <v>0</v>
      </c>
      <c r="DC5" s="345">
        <v>0</v>
      </c>
      <c r="DD5" s="345">
        <v>0</v>
      </c>
      <c r="DE5" s="345">
        <v>0</v>
      </c>
      <c r="DF5" s="345">
        <v>0</v>
      </c>
      <c r="DG5" s="346">
        <v>10069</v>
      </c>
      <c r="DH5" s="346">
        <v>7637</v>
      </c>
      <c r="DI5" s="346">
        <v>11124</v>
      </c>
      <c r="DJ5" s="346">
        <v>450</v>
      </c>
      <c r="DK5" s="393">
        <v>-15</v>
      </c>
      <c r="DL5" s="346">
        <v>375</v>
      </c>
      <c r="DM5" s="346">
        <v>20807</v>
      </c>
      <c r="DN5" s="346">
        <v>9223</v>
      </c>
      <c r="DO5" s="346">
        <v>7826</v>
      </c>
      <c r="DP5" s="346">
        <v>17503</v>
      </c>
      <c r="DQ5" s="346">
        <v>43618</v>
      </c>
      <c r="DR5" s="346">
        <v>38763</v>
      </c>
      <c r="DS5" s="346">
        <v>212</v>
      </c>
      <c r="DT5" s="346">
        <v>3542</v>
      </c>
      <c r="DU5" s="346">
        <v>5065</v>
      </c>
      <c r="DV5" s="346">
        <v>12518</v>
      </c>
      <c r="DW5" s="346">
        <v>6945</v>
      </c>
      <c r="DX5" s="346">
        <v>18034</v>
      </c>
      <c r="DY5" s="346">
        <v>10668</v>
      </c>
      <c r="DZ5" s="345">
        <f t="shared" ref="DZ5:ED5" si="1">DY5</f>
        <v>10668</v>
      </c>
      <c r="EA5" s="345">
        <f t="shared" si="1"/>
        <v>10668</v>
      </c>
      <c r="EB5" s="345">
        <f t="shared" si="1"/>
        <v>10668</v>
      </c>
      <c r="EC5" s="345">
        <f t="shared" si="1"/>
        <v>10668</v>
      </c>
      <c r="ED5" s="345">
        <f t="shared" si="1"/>
        <v>10668</v>
      </c>
    </row>
    <row r="6" spans="1:248" ht="13.5" customHeight="1">
      <c r="A6" s="279" t="s">
        <v>88</v>
      </c>
      <c r="B6" s="279"/>
      <c r="C6" s="280" t="s">
        <v>253</v>
      </c>
      <c r="D6" s="281">
        <v>28</v>
      </c>
      <c r="E6" s="282">
        <v>350000</v>
      </c>
      <c r="F6" s="283">
        <v>37162</v>
      </c>
      <c r="G6" s="285">
        <v>0.10730000000000001</v>
      </c>
      <c r="H6" s="286">
        <v>40117</v>
      </c>
      <c r="I6" s="308">
        <f>250534-R6</f>
        <v>0</v>
      </c>
      <c r="J6" s="287" t="s">
        <v>89</v>
      </c>
      <c r="K6" s="313">
        <v>20000</v>
      </c>
      <c r="L6" s="313">
        <v>15000</v>
      </c>
      <c r="M6" s="313">
        <v>18000</v>
      </c>
      <c r="N6" s="334">
        <v>15000</v>
      </c>
      <c r="O6" s="334">
        <f>82365-17</f>
        <v>82348</v>
      </c>
      <c r="P6" s="334">
        <v>13764</v>
      </c>
      <c r="Q6" s="334">
        <v>10000</v>
      </c>
      <c r="R6" s="334">
        <v>250534</v>
      </c>
      <c r="S6" s="370">
        <v>10809</v>
      </c>
      <c r="T6" s="334">
        <v>10684</v>
      </c>
      <c r="U6" s="334">
        <v>10809</v>
      </c>
      <c r="V6" s="334">
        <f>6229+2175</f>
        <v>8404</v>
      </c>
      <c r="W6" s="334">
        <f>6229+2175</f>
        <v>8404</v>
      </c>
      <c r="X6" s="334">
        <v>12447</v>
      </c>
      <c r="Y6" s="334">
        <v>19771</v>
      </c>
      <c r="Z6" s="334">
        <v>70113</v>
      </c>
      <c r="AA6" s="334">
        <v>12692</v>
      </c>
      <c r="AB6" s="334">
        <v>40000</v>
      </c>
      <c r="AC6" s="334">
        <v>23316</v>
      </c>
      <c r="AD6" s="346">
        <v>11880</v>
      </c>
      <c r="AE6" s="346">
        <v>20867</v>
      </c>
      <c r="AF6" s="346">
        <v>18581</v>
      </c>
      <c r="AG6" s="346">
        <v>96978</v>
      </c>
      <c r="AH6" s="346">
        <v>10549</v>
      </c>
      <c r="AI6" s="346">
        <v>7771</v>
      </c>
      <c r="AJ6" s="346">
        <v>19264</v>
      </c>
      <c r="AK6" s="346">
        <v>69374</v>
      </c>
      <c r="AL6" s="346">
        <v>17025</v>
      </c>
      <c r="AM6" s="346">
        <v>3000</v>
      </c>
      <c r="AN6" s="346">
        <v>6960</v>
      </c>
      <c r="AO6" s="346">
        <v>3000</v>
      </c>
      <c r="AP6" s="346">
        <v>3000</v>
      </c>
      <c r="AQ6" s="346">
        <v>3000</v>
      </c>
      <c r="AR6" s="346">
        <v>3000</v>
      </c>
      <c r="AS6" s="346">
        <v>85587</v>
      </c>
      <c r="AT6" s="346">
        <v>3000</v>
      </c>
      <c r="AU6" s="346">
        <v>3000</v>
      </c>
      <c r="AV6" s="396">
        <v>3000</v>
      </c>
      <c r="AW6" s="396">
        <f>63884+3000</f>
        <v>66884</v>
      </c>
      <c r="AX6" s="396">
        <v>3000</v>
      </c>
      <c r="AY6" s="345">
        <v>0</v>
      </c>
      <c r="AZ6" s="396">
        <v>3000</v>
      </c>
      <c r="BA6" s="396">
        <v>3000</v>
      </c>
      <c r="BB6" s="345">
        <v>0</v>
      </c>
      <c r="BC6" s="346">
        <v>3000</v>
      </c>
      <c r="BD6" s="346">
        <v>3000</v>
      </c>
      <c r="BE6" s="346">
        <v>85587</v>
      </c>
      <c r="BF6" s="345">
        <v>0</v>
      </c>
      <c r="BG6" s="346">
        <v>3000</v>
      </c>
      <c r="BH6" s="346">
        <v>3000</v>
      </c>
      <c r="BI6" s="346">
        <v>60884</v>
      </c>
      <c r="BJ6" s="346">
        <v>3000</v>
      </c>
      <c r="BK6" s="346">
        <v>3000</v>
      </c>
      <c r="BL6" s="346">
        <v>3000</v>
      </c>
      <c r="BM6" s="346">
        <v>3000</v>
      </c>
      <c r="BN6" s="346">
        <v>3000</v>
      </c>
      <c r="BO6" s="346">
        <v>3000</v>
      </c>
      <c r="BP6" s="346">
        <v>3000</v>
      </c>
      <c r="BQ6" s="346">
        <v>3000</v>
      </c>
      <c r="BR6" s="346">
        <v>86525</v>
      </c>
      <c r="BS6" s="346">
        <v>3000</v>
      </c>
      <c r="BT6" s="346">
        <v>3000</v>
      </c>
      <c r="BU6" s="346">
        <v>3000</v>
      </c>
      <c r="BV6" s="346">
        <v>3000</v>
      </c>
      <c r="BW6" s="346">
        <v>3000</v>
      </c>
      <c r="BX6" s="346">
        <v>3000</v>
      </c>
      <c r="BY6" s="346">
        <v>3000</v>
      </c>
      <c r="BZ6" s="346">
        <f>3000+56941</f>
        <v>59941</v>
      </c>
      <c r="CA6" s="346">
        <v>3000</v>
      </c>
      <c r="CB6" s="346">
        <v>3000</v>
      </c>
      <c r="CC6" s="346">
        <f>82527+3000</f>
        <v>85527</v>
      </c>
      <c r="CD6" s="346">
        <v>4776</v>
      </c>
      <c r="CE6" s="346">
        <v>3000</v>
      </c>
      <c r="CF6" s="346">
        <v>3000</v>
      </c>
      <c r="CG6" s="470">
        <f>3000+60884</f>
        <v>63884</v>
      </c>
      <c r="CH6" s="346">
        <v>3000</v>
      </c>
      <c r="CI6" s="346">
        <v>3000</v>
      </c>
      <c r="CJ6" s="346">
        <v>3000</v>
      </c>
      <c r="CK6" s="346">
        <v>3000</v>
      </c>
      <c r="CL6" s="346">
        <v>3000</v>
      </c>
      <c r="CM6" s="346">
        <v>3000</v>
      </c>
      <c r="CN6" s="346">
        <v>3342</v>
      </c>
      <c r="CO6" s="484">
        <v>85929</v>
      </c>
      <c r="CP6" s="346">
        <v>3000</v>
      </c>
      <c r="CQ6" s="346">
        <v>3000</v>
      </c>
      <c r="CR6" s="346">
        <v>3000</v>
      </c>
      <c r="CS6" s="346">
        <v>63884</v>
      </c>
      <c r="CT6" s="346">
        <v>3000</v>
      </c>
      <c r="CU6" s="346">
        <v>3000</v>
      </c>
      <c r="CV6" s="346">
        <v>3000</v>
      </c>
      <c r="CW6" s="346">
        <v>3000</v>
      </c>
      <c r="CX6" s="346">
        <v>3000</v>
      </c>
      <c r="CY6" s="346">
        <v>3000</v>
      </c>
      <c r="CZ6" s="346">
        <v>3000</v>
      </c>
      <c r="DA6" s="346">
        <v>3000</v>
      </c>
      <c r="DB6" s="346">
        <v>74477</v>
      </c>
      <c r="DC6" s="346">
        <v>3000</v>
      </c>
      <c r="DD6" s="346">
        <v>3000</v>
      </c>
      <c r="DE6" s="346">
        <v>3000</v>
      </c>
      <c r="DF6" s="346">
        <v>63884</v>
      </c>
      <c r="DG6" s="346">
        <v>3000</v>
      </c>
      <c r="DH6" s="346">
        <v>3000</v>
      </c>
      <c r="DI6" s="346">
        <v>3000</v>
      </c>
      <c r="DJ6" s="346">
        <v>3000</v>
      </c>
      <c r="DK6" s="346">
        <v>3000</v>
      </c>
      <c r="DL6" s="346">
        <v>3000</v>
      </c>
      <c r="DM6" s="346">
        <v>3000</v>
      </c>
      <c r="DN6" s="346">
        <v>74477</v>
      </c>
      <c r="DO6" s="346">
        <v>3000</v>
      </c>
      <c r="DP6" s="346">
        <v>3000</v>
      </c>
      <c r="DQ6" s="346">
        <v>3000</v>
      </c>
      <c r="DR6" s="346">
        <v>63884</v>
      </c>
      <c r="DS6" s="346">
        <v>3000</v>
      </c>
      <c r="DT6" s="346">
        <v>3000</v>
      </c>
      <c r="DU6" s="346">
        <v>3000</v>
      </c>
      <c r="DV6" s="346">
        <v>3000</v>
      </c>
      <c r="DW6" s="346">
        <v>3000</v>
      </c>
      <c r="DX6" s="346">
        <v>3000</v>
      </c>
      <c r="DY6" s="346">
        <v>3000</v>
      </c>
      <c r="DZ6" s="345">
        <v>3000</v>
      </c>
      <c r="EA6" s="345">
        <v>3000</v>
      </c>
      <c r="EB6" s="345">
        <v>3000</v>
      </c>
      <c r="EC6" s="345">
        <v>3000</v>
      </c>
      <c r="ED6" s="345">
        <v>3000</v>
      </c>
    </row>
    <row r="7" spans="1:248" ht="13.5" customHeight="1">
      <c r="A7" s="268" t="s">
        <v>152</v>
      </c>
      <c r="B7" s="268" t="s">
        <v>128</v>
      </c>
      <c r="C7" s="269" t="s">
        <v>90</v>
      </c>
      <c r="D7" s="320">
        <v>11</v>
      </c>
      <c r="E7" s="271">
        <v>300000</v>
      </c>
      <c r="F7" s="272">
        <v>478</v>
      </c>
      <c r="G7" s="275">
        <v>0.19969999999999999</v>
      </c>
      <c r="H7" s="273">
        <v>39447</v>
      </c>
      <c r="I7" s="307">
        <v>0</v>
      </c>
      <c r="J7" s="274" t="s">
        <v>95</v>
      </c>
      <c r="K7" s="301">
        <v>37795</v>
      </c>
      <c r="L7" s="301">
        <v>30000</v>
      </c>
      <c r="M7" s="301">
        <v>40650</v>
      </c>
      <c r="N7" s="328">
        <v>40357</v>
      </c>
      <c r="O7" s="328">
        <v>46494</v>
      </c>
      <c r="P7" s="328">
        <v>39809</v>
      </c>
      <c r="Q7" s="328">
        <v>38735</v>
      </c>
      <c r="R7" s="328">
        <v>29027</v>
      </c>
      <c r="S7" s="360">
        <v>30653</v>
      </c>
      <c r="T7" s="328">
        <v>35339</v>
      </c>
      <c r="U7" s="328">
        <v>120000</v>
      </c>
      <c r="V7" s="328">
        <v>88324</v>
      </c>
      <c r="W7" s="374">
        <v>17879</v>
      </c>
      <c r="X7" s="374">
        <f>8865+946+2650+2024+98</f>
        <v>14583</v>
      </c>
      <c r="Y7" s="374">
        <f>8865+946+2650+2024+98</f>
        <v>14583</v>
      </c>
      <c r="Z7" s="374">
        <f>8865+946+2650</f>
        <v>12461</v>
      </c>
      <c r="AA7" s="374">
        <v>2650</v>
      </c>
      <c r="AB7" s="374">
        <v>2650</v>
      </c>
      <c r="AC7" s="345">
        <v>0</v>
      </c>
      <c r="AD7" s="345">
        <v>0</v>
      </c>
      <c r="AE7" s="345">
        <v>0</v>
      </c>
      <c r="AF7" s="345">
        <v>0</v>
      </c>
      <c r="AG7" s="345">
        <v>0</v>
      </c>
      <c r="AH7" s="345">
        <v>0</v>
      </c>
      <c r="AP7" s="345"/>
      <c r="AQ7" s="393">
        <v>5600</v>
      </c>
      <c r="AR7" s="393">
        <v>2608</v>
      </c>
      <c r="AS7" s="393">
        <v>1000</v>
      </c>
      <c r="AT7" s="393">
        <v>1000</v>
      </c>
      <c r="AU7" s="393">
        <v>1000</v>
      </c>
      <c r="AV7" s="397">
        <v>1251</v>
      </c>
      <c r="AW7" s="404">
        <f t="shared" ref="AW7:BB7" si="2">AV7</f>
        <v>1251</v>
      </c>
      <c r="AX7" s="404">
        <f t="shared" si="2"/>
        <v>1251</v>
      </c>
      <c r="AY7" s="404">
        <v>300</v>
      </c>
      <c r="AZ7" s="404">
        <f t="shared" si="2"/>
        <v>300</v>
      </c>
      <c r="BA7" s="404">
        <v>1808</v>
      </c>
      <c r="BB7" s="430">
        <f t="shared" si="2"/>
        <v>1808</v>
      </c>
      <c r="BC7" s="437">
        <v>135</v>
      </c>
      <c r="BD7" s="437">
        <v>2246</v>
      </c>
      <c r="BE7" s="437">
        <v>5995</v>
      </c>
      <c r="BF7" s="437">
        <v>38899</v>
      </c>
      <c r="BG7" s="394">
        <v>0</v>
      </c>
      <c r="BH7" s="437">
        <v>64866</v>
      </c>
      <c r="BI7" s="437">
        <v>6980</v>
      </c>
      <c r="BJ7" s="394">
        <v>0</v>
      </c>
      <c r="BK7" s="394">
        <v>0</v>
      </c>
      <c r="BL7" s="394">
        <v>0</v>
      </c>
      <c r="BM7" s="437">
        <v>0</v>
      </c>
      <c r="BN7" s="437">
        <v>0</v>
      </c>
      <c r="BO7" s="437">
        <v>23977</v>
      </c>
      <c r="BP7" s="437">
        <v>120000</v>
      </c>
      <c r="BQ7" s="437">
        <v>27246</v>
      </c>
      <c r="BR7" s="437">
        <v>24992</v>
      </c>
      <c r="BS7" s="437">
        <v>14282</v>
      </c>
      <c r="BT7" s="437">
        <v>19311</v>
      </c>
      <c r="BU7" s="445">
        <v>10000</v>
      </c>
      <c r="BV7" s="437">
        <v>10000</v>
      </c>
      <c r="BW7" s="437">
        <v>28000</v>
      </c>
      <c r="BX7" s="437">
        <v>101655</v>
      </c>
      <c r="BY7" s="437">
        <v>10000</v>
      </c>
      <c r="BZ7" s="437">
        <v>35490</v>
      </c>
      <c r="CA7" s="437">
        <v>24307</v>
      </c>
      <c r="CB7" s="437">
        <v>56523</v>
      </c>
      <c r="CC7" s="437">
        <v>51106</v>
      </c>
      <c r="CD7" s="437">
        <v>63401</v>
      </c>
      <c r="CE7" s="437">
        <v>-2657</v>
      </c>
      <c r="CF7" s="437">
        <v>57634</v>
      </c>
      <c r="CG7" s="437">
        <v>59385</v>
      </c>
      <c r="CH7" s="437">
        <v>22163</v>
      </c>
      <c r="CI7" s="437">
        <v>22219</v>
      </c>
      <c r="CJ7" s="437">
        <v>22100</v>
      </c>
      <c r="CK7" s="437">
        <v>22423</v>
      </c>
      <c r="CL7" s="437">
        <v>24126</v>
      </c>
      <c r="CM7" s="437">
        <v>21657</v>
      </c>
      <c r="CN7" s="437">
        <v>30849</v>
      </c>
      <c r="CO7" s="437">
        <v>38673</v>
      </c>
      <c r="CP7" s="437">
        <v>113182</v>
      </c>
      <c r="CQ7" s="437">
        <v>28283</v>
      </c>
      <c r="CR7" s="437">
        <v>27560</v>
      </c>
      <c r="CS7" s="437">
        <v>17159</v>
      </c>
      <c r="CT7" s="437">
        <v>59983</v>
      </c>
      <c r="CU7" s="437">
        <v>29820</v>
      </c>
      <c r="CV7" s="437">
        <v>36442</v>
      </c>
      <c r="CW7" s="437">
        <v>28385</v>
      </c>
      <c r="CX7" s="437">
        <v>17244</v>
      </c>
      <c r="CY7" s="437">
        <v>20902</v>
      </c>
      <c r="CZ7" s="437">
        <v>17284</v>
      </c>
      <c r="DA7" s="437">
        <v>12320</v>
      </c>
      <c r="DB7" s="437">
        <v>13130</v>
      </c>
      <c r="DC7" s="437">
        <v>37219</v>
      </c>
      <c r="DD7" s="437">
        <v>37636</v>
      </c>
      <c r="DE7" s="437">
        <v>38025</v>
      </c>
      <c r="DF7" s="437">
        <v>14628</v>
      </c>
      <c r="DG7" s="437">
        <v>16504</v>
      </c>
      <c r="DH7" s="437">
        <v>86546</v>
      </c>
      <c r="DI7" s="437">
        <v>12850</v>
      </c>
      <c r="DJ7" s="437">
        <v>12817</v>
      </c>
      <c r="DK7" s="437">
        <v>13368</v>
      </c>
      <c r="DL7" s="437">
        <v>23290</v>
      </c>
      <c r="DM7" s="437">
        <v>80125</v>
      </c>
      <c r="DN7" s="437">
        <v>12903</v>
      </c>
      <c r="DO7" s="394">
        <v>13310</v>
      </c>
      <c r="DP7" s="437">
        <v>13009</v>
      </c>
      <c r="DQ7" s="437">
        <v>16713</v>
      </c>
      <c r="DR7" s="437">
        <v>42245</v>
      </c>
      <c r="DS7" s="437">
        <v>16606</v>
      </c>
      <c r="DT7" s="437">
        <v>22429</v>
      </c>
      <c r="DU7" s="437">
        <v>14789</v>
      </c>
      <c r="DV7" s="437">
        <v>-5090</v>
      </c>
      <c r="DW7" s="437">
        <v>-1994</v>
      </c>
      <c r="DX7" s="437">
        <v>-1629</v>
      </c>
      <c r="DY7" s="437">
        <v>6252</v>
      </c>
      <c r="DZ7" s="394">
        <f t="shared" ref="DS7:ED8" si="3">DY7</f>
        <v>6252</v>
      </c>
      <c r="EA7" s="394">
        <f t="shared" si="3"/>
        <v>6252</v>
      </c>
      <c r="EB7" s="394">
        <f t="shared" si="3"/>
        <v>6252</v>
      </c>
      <c r="EC7" s="394">
        <f t="shared" si="3"/>
        <v>6252</v>
      </c>
      <c r="ED7" s="394">
        <f t="shared" si="3"/>
        <v>6252</v>
      </c>
    </row>
    <row r="8" spans="1:248" ht="13.5" customHeight="1" thickBot="1">
      <c r="A8" s="288" t="s">
        <v>274</v>
      </c>
      <c r="B8" s="288" t="s">
        <v>275</v>
      </c>
      <c r="C8" s="289" t="s">
        <v>96</v>
      </c>
      <c r="D8" s="321">
        <v>23</v>
      </c>
      <c r="E8" s="290">
        <v>340000</v>
      </c>
      <c r="F8" s="291">
        <v>8813</v>
      </c>
      <c r="G8" s="292">
        <v>0.1736</v>
      </c>
      <c r="H8" s="293">
        <v>40195</v>
      </c>
      <c r="I8" s="309">
        <f>73900-R8</f>
        <v>0</v>
      </c>
      <c r="J8" s="617" t="s">
        <v>402</v>
      </c>
      <c r="K8" s="312">
        <v>31000</v>
      </c>
      <c r="L8" s="312">
        <v>34399</v>
      </c>
      <c r="M8" s="312">
        <f>23000+6504</f>
        <v>29504</v>
      </c>
      <c r="N8" s="332">
        <v>35849</v>
      </c>
      <c r="O8" s="332">
        <v>45493</v>
      </c>
      <c r="P8" s="332">
        <v>30776</v>
      </c>
      <c r="Q8" s="332">
        <v>30559</v>
      </c>
      <c r="R8" s="353">
        <f>102159-28259</f>
        <v>73900</v>
      </c>
      <c r="S8" s="359">
        <v>9961</v>
      </c>
      <c r="T8" s="353">
        <v>8741</v>
      </c>
      <c r="U8" s="353">
        <v>6650</v>
      </c>
      <c r="V8" s="353">
        <v>8000</v>
      </c>
      <c r="W8" s="353">
        <v>4165</v>
      </c>
      <c r="X8" s="353">
        <v>4172</v>
      </c>
      <c r="Y8" s="353">
        <v>2092</v>
      </c>
      <c r="Z8" s="353">
        <v>1857</v>
      </c>
      <c r="AA8" s="353">
        <v>519</v>
      </c>
      <c r="AB8" s="353">
        <v>2729</v>
      </c>
      <c r="AC8" s="353">
        <v>1909</v>
      </c>
      <c r="AD8" s="353">
        <v>3119</v>
      </c>
      <c r="AE8" s="353">
        <v>4848</v>
      </c>
      <c r="AF8" s="353">
        <v>2046</v>
      </c>
      <c r="AG8" s="353">
        <v>9132</v>
      </c>
      <c r="AH8" s="353">
        <v>3269</v>
      </c>
      <c r="AI8" s="353">
        <v>15760</v>
      </c>
      <c r="AJ8" s="353">
        <v>5849</v>
      </c>
      <c r="AK8" s="353">
        <v>2509</v>
      </c>
      <c r="AL8" s="353">
        <v>3785</v>
      </c>
      <c r="AM8" s="353">
        <v>4207</v>
      </c>
      <c r="AN8" s="353">
        <v>2755</v>
      </c>
      <c r="AO8" s="353">
        <v>2648</v>
      </c>
      <c r="AP8" s="353">
        <v>269</v>
      </c>
      <c r="AQ8" s="353">
        <v>592</v>
      </c>
      <c r="AR8" s="353">
        <v>1775</v>
      </c>
      <c r="AS8" s="353">
        <v>2204</v>
      </c>
      <c r="AT8" s="353">
        <v>4910</v>
      </c>
      <c r="AU8" s="353">
        <v>1750</v>
      </c>
      <c r="AV8" s="398">
        <v>789</v>
      </c>
      <c r="AW8" s="398">
        <v>983</v>
      </c>
      <c r="AX8" s="398">
        <v>951</v>
      </c>
      <c r="AY8" s="398">
        <v>361</v>
      </c>
      <c r="AZ8" s="398">
        <v>299</v>
      </c>
      <c r="BA8" s="398">
        <v>77</v>
      </c>
      <c r="BB8" s="436">
        <v>658</v>
      </c>
      <c r="BC8" s="353">
        <v>628</v>
      </c>
      <c r="BD8" s="353">
        <v>1636</v>
      </c>
      <c r="BE8" s="353">
        <v>1499</v>
      </c>
      <c r="BF8" s="353">
        <v>512</v>
      </c>
      <c r="BG8" s="353">
        <v>269</v>
      </c>
      <c r="BH8" s="353">
        <v>1769</v>
      </c>
      <c r="BI8" s="353">
        <v>152</v>
      </c>
      <c r="BJ8" s="353">
        <v>364</v>
      </c>
      <c r="BK8" s="353">
        <v>456</v>
      </c>
      <c r="BL8" s="353">
        <v>4159</v>
      </c>
      <c r="BM8" s="353">
        <v>7076</v>
      </c>
      <c r="BN8" s="353">
        <v>3821</v>
      </c>
      <c r="BO8" s="353">
        <v>5130</v>
      </c>
      <c r="BP8" s="353">
        <v>4332</v>
      </c>
      <c r="BQ8" s="353">
        <v>3407</v>
      </c>
      <c r="BR8" s="353">
        <v>2177</v>
      </c>
      <c r="BS8" s="353">
        <v>2479</v>
      </c>
      <c r="BT8" s="353">
        <v>3707</v>
      </c>
      <c r="BU8" s="353">
        <v>2177</v>
      </c>
      <c r="BV8" s="353">
        <v>2480</v>
      </c>
      <c r="BW8" s="353">
        <v>1667</v>
      </c>
      <c r="BX8" s="353">
        <v>1902</v>
      </c>
      <c r="BY8" s="353">
        <v>1902</v>
      </c>
      <c r="BZ8" s="353">
        <v>4106</v>
      </c>
      <c r="CA8" s="353">
        <v>1902</v>
      </c>
      <c r="CB8" s="353">
        <v>2203</v>
      </c>
      <c r="CC8" s="353">
        <v>1902</v>
      </c>
      <c r="CD8" s="353">
        <v>2205</v>
      </c>
      <c r="CE8" s="353">
        <v>1902</v>
      </c>
      <c r="CF8" s="353">
        <v>1902</v>
      </c>
      <c r="CG8" s="353">
        <v>2203</v>
      </c>
      <c r="CH8" s="474">
        <v>1902</v>
      </c>
      <c r="CI8" s="353">
        <v>1908</v>
      </c>
      <c r="CJ8" s="353">
        <v>1896</v>
      </c>
      <c r="CK8" s="353">
        <v>1902</v>
      </c>
      <c r="CL8" s="353">
        <v>1902</v>
      </c>
      <c r="CM8" s="353">
        <v>1412</v>
      </c>
      <c r="CN8" s="353">
        <v>1902</v>
      </c>
      <c r="CO8" s="316">
        <v>0</v>
      </c>
      <c r="CP8" s="316">
        <v>0</v>
      </c>
      <c r="CQ8" s="316">
        <v>0</v>
      </c>
      <c r="CR8" s="316">
        <v>0</v>
      </c>
      <c r="CS8" s="316">
        <v>0</v>
      </c>
      <c r="CT8" s="316"/>
      <c r="CU8" s="316"/>
      <c r="CV8" s="316"/>
      <c r="CW8" s="316"/>
      <c r="CX8" s="316"/>
      <c r="CY8" s="353">
        <v>320</v>
      </c>
      <c r="CZ8" s="353">
        <v>16594</v>
      </c>
      <c r="DA8" s="353">
        <v>57840</v>
      </c>
      <c r="DB8" s="353">
        <v>25066</v>
      </c>
      <c r="DC8" s="353">
        <v>20179</v>
      </c>
      <c r="DD8" s="353">
        <v>23958</v>
      </c>
      <c r="DE8" s="353">
        <v>16130</v>
      </c>
      <c r="DF8" s="353">
        <v>22000</v>
      </c>
      <c r="DG8" s="353">
        <v>20000</v>
      </c>
      <c r="DH8" s="353">
        <v>33961</v>
      </c>
      <c r="DI8" s="353">
        <v>13142</v>
      </c>
      <c r="DJ8" s="353">
        <v>15347</v>
      </c>
      <c r="DK8" s="353">
        <v>31575</v>
      </c>
      <c r="DL8" s="353">
        <v>24266</v>
      </c>
      <c r="DM8" s="353">
        <v>3987</v>
      </c>
      <c r="DN8" s="353">
        <v>33941</v>
      </c>
      <c r="DO8" s="353">
        <v>5344</v>
      </c>
      <c r="DP8" s="353">
        <v>33935</v>
      </c>
      <c r="DQ8" s="353">
        <v>2801</v>
      </c>
      <c r="DR8" s="316">
        <v>0</v>
      </c>
      <c r="DS8" s="316">
        <f t="shared" si="3"/>
        <v>0</v>
      </c>
      <c r="DT8" s="353">
        <v>14765</v>
      </c>
      <c r="DU8" s="353">
        <v>9202</v>
      </c>
      <c r="DV8" s="353">
        <v>16233</v>
      </c>
      <c r="DW8" s="353">
        <v>39796</v>
      </c>
      <c r="DX8" s="353">
        <v>16820</v>
      </c>
      <c r="DY8" s="353">
        <v>95017</v>
      </c>
      <c r="DZ8" s="316">
        <f t="shared" si="3"/>
        <v>95017</v>
      </c>
      <c r="EA8" s="316">
        <f t="shared" si="3"/>
        <v>95017</v>
      </c>
      <c r="EB8" s="316">
        <f t="shared" si="3"/>
        <v>95017</v>
      </c>
      <c r="EC8" s="316">
        <f t="shared" si="3"/>
        <v>95017</v>
      </c>
      <c r="ED8" s="316">
        <f t="shared" si="3"/>
        <v>95017</v>
      </c>
      <c r="EE8" s="316"/>
      <c r="EF8" s="316"/>
      <c r="EG8" s="316"/>
      <c r="EH8" s="316"/>
      <c r="EI8" s="316"/>
      <c r="EJ8" s="316"/>
      <c r="EK8" s="316"/>
      <c r="EL8" s="316"/>
      <c r="EM8" s="316"/>
      <c r="EN8" s="316"/>
      <c r="EO8" s="316"/>
      <c r="EP8" s="316"/>
      <c r="EQ8" s="316"/>
      <c r="ER8" s="316"/>
      <c r="ES8" s="316"/>
      <c r="ET8" s="316"/>
      <c r="EU8" s="316"/>
      <c r="EV8" s="316"/>
      <c r="EW8" s="316"/>
      <c r="EX8" s="316"/>
      <c r="EY8" s="316"/>
      <c r="EZ8" s="316"/>
      <c r="FA8" s="316"/>
      <c r="FB8" s="316"/>
      <c r="FC8" s="316"/>
      <c r="FD8" s="316"/>
      <c r="FE8" s="316"/>
      <c r="FF8" s="316"/>
      <c r="FG8" s="316"/>
      <c r="FH8" s="316"/>
      <c r="FI8" s="316"/>
      <c r="FJ8" s="316"/>
      <c r="FK8" s="316"/>
      <c r="FL8" s="316"/>
      <c r="FM8" s="316"/>
      <c r="FN8" s="316"/>
    </row>
    <row r="9" spans="1:248" ht="13.5" customHeight="1" thickTop="1">
      <c r="C9" s="258" t="s">
        <v>148</v>
      </c>
      <c r="H9" s="261" t="s">
        <v>100</v>
      </c>
      <c r="I9" s="310">
        <f>SUM(I3:I8)</f>
        <v>0</v>
      </c>
      <c r="J9" s="276" t="s">
        <v>389</v>
      </c>
      <c r="K9" s="278">
        <f t="shared" ref="K9:AP9" si="4">SUM(K3:K8)</f>
        <v>147143</v>
      </c>
      <c r="L9" s="278">
        <f t="shared" si="4"/>
        <v>114482</v>
      </c>
      <c r="M9" s="278">
        <f t="shared" si="4"/>
        <v>132036</v>
      </c>
      <c r="N9" s="278">
        <f t="shared" si="4"/>
        <v>149211</v>
      </c>
      <c r="O9" s="278">
        <f t="shared" si="4"/>
        <v>304576</v>
      </c>
      <c r="P9" s="278">
        <f t="shared" si="4"/>
        <v>145005</v>
      </c>
      <c r="Q9" s="278">
        <f t="shared" si="4"/>
        <v>120813</v>
      </c>
      <c r="R9" s="278">
        <f t="shared" si="4"/>
        <v>715749</v>
      </c>
      <c r="S9" s="348">
        <f t="shared" si="4"/>
        <v>61439</v>
      </c>
      <c r="T9" s="278">
        <f t="shared" si="4"/>
        <v>109513</v>
      </c>
      <c r="U9" s="278">
        <f t="shared" si="4"/>
        <v>170503</v>
      </c>
      <c r="V9" s="278">
        <f t="shared" si="4"/>
        <v>136299</v>
      </c>
      <c r="W9" s="278">
        <f t="shared" si="4"/>
        <v>60294</v>
      </c>
      <c r="X9" s="278">
        <f t="shared" si="4"/>
        <v>71806</v>
      </c>
      <c r="Y9" s="278">
        <f t="shared" si="4"/>
        <v>60708</v>
      </c>
      <c r="Z9" s="278">
        <f t="shared" si="4"/>
        <v>116051</v>
      </c>
      <c r="AA9" s="278">
        <f t="shared" si="4"/>
        <v>64242</v>
      </c>
      <c r="AB9" s="278">
        <f t="shared" si="4"/>
        <v>93984</v>
      </c>
      <c r="AC9" s="278">
        <f t="shared" si="4"/>
        <v>50234</v>
      </c>
      <c r="AD9" s="278">
        <f t="shared" si="4"/>
        <v>80770</v>
      </c>
      <c r="AE9" s="278">
        <f t="shared" si="4"/>
        <v>40806</v>
      </c>
      <c r="AF9" s="278">
        <f t="shared" si="4"/>
        <v>29007</v>
      </c>
      <c r="AG9" s="278">
        <f t="shared" si="4"/>
        <v>178878</v>
      </c>
      <c r="AH9" s="278">
        <f t="shared" si="4"/>
        <v>202613</v>
      </c>
      <c r="AI9" s="278">
        <f t="shared" si="4"/>
        <v>54495</v>
      </c>
      <c r="AJ9" s="278">
        <f t="shared" si="4"/>
        <v>88546</v>
      </c>
      <c r="AK9" s="278">
        <f t="shared" si="4"/>
        <v>126559</v>
      </c>
      <c r="AL9" s="278">
        <f t="shared" si="4"/>
        <v>63657</v>
      </c>
      <c r="AM9" s="278">
        <f t="shared" si="4"/>
        <v>49633</v>
      </c>
      <c r="AN9" s="278">
        <f t="shared" si="4"/>
        <v>58266</v>
      </c>
      <c r="AO9" s="278">
        <f t="shared" si="4"/>
        <v>53259</v>
      </c>
      <c r="AP9" s="278">
        <f t="shared" si="4"/>
        <v>58310</v>
      </c>
      <c r="AQ9" s="278">
        <f t="shared" ref="AQ9:BV9" si="5">SUM(AQ3:AQ8)</f>
        <v>109936</v>
      </c>
      <c r="AR9" s="278">
        <f t="shared" si="5"/>
        <v>54155</v>
      </c>
      <c r="AS9" s="278">
        <f t="shared" si="5"/>
        <v>209890</v>
      </c>
      <c r="AT9" s="278">
        <f t="shared" si="5"/>
        <v>60412</v>
      </c>
      <c r="AU9" s="278">
        <f t="shared" si="5"/>
        <v>45046</v>
      </c>
      <c r="AV9" s="278">
        <f t="shared" si="5"/>
        <v>49291</v>
      </c>
      <c r="AW9" s="278">
        <f t="shared" si="5"/>
        <v>136513</v>
      </c>
      <c r="AX9" s="278">
        <f t="shared" si="5"/>
        <v>63780</v>
      </c>
      <c r="AY9" s="278">
        <f t="shared" si="5"/>
        <v>53674</v>
      </c>
      <c r="AZ9" s="278">
        <f t="shared" si="5"/>
        <v>52006</v>
      </c>
      <c r="BA9" s="278">
        <f t="shared" si="5"/>
        <v>113859</v>
      </c>
      <c r="BB9" s="278">
        <f t="shared" si="5"/>
        <v>50112</v>
      </c>
      <c r="BC9" s="278">
        <f t="shared" si="5"/>
        <v>105984</v>
      </c>
      <c r="BD9" s="278">
        <f t="shared" si="5"/>
        <v>33648</v>
      </c>
      <c r="BE9" s="278">
        <f t="shared" si="5"/>
        <v>187828</v>
      </c>
      <c r="BF9" s="278">
        <f t="shared" si="5"/>
        <v>74962</v>
      </c>
      <c r="BG9" s="278">
        <f t="shared" si="5"/>
        <v>43235</v>
      </c>
      <c r="BH9" s="278">
        <f t="shared" si="5"/>
        <v>95354</v>
      </c>
      <c r="BI9" s="278">
        <f t="shared" si="5"/>
        <v>77717</v>
      </c>
      <c r="BJ9" s="278">
        <f t="shared" si="5"/>
        <v>30613</v>
      </c>
      <c r="BK9" s="278">
        <f t="shared" si="5"/>
        <v>29892</v>
      </c>
      <c r="BL9" s="278">
        <f t="shared" si="5"/>
        <v>32255</v>
      </c>
      <c r="BM9" s="278">
        <f t="shared" si="5"/>
        <v>32313</v>
      </c>
      <c r="BN9" s="278">
        <f t="shared" si="5"/>
        <v>15321</v>
      </c>
      <c r="BO9" s="278">
        <f t="shared" si="5"/>
        <v>68443</v>
      </c>
      <c r="BP9" s="278">
        <f t="shared" si="5"/>
        <v>142959</v>
      </c>
      <c r="BQ9" s="278">
        <f t="shared" si="5"/>
        <v>90135</v>
      </c>
      <c r="BR9" s="278">
        <f t="shared" si="5"/>
        <v>135553</v>
      </c>
      <c r="BS9" s="278">
        <f t="shared" si="5"/>
        <v>38960</v>
      </c>
      <c r="BT9" s="278">
        <f t="shared" si="5"/>
        <v>58167</v>
      </c>
      <c r="BU9" s="278">
        <f t="shared" si="5"/>
        <v>26577</v>
      </c>
      <c r="BV9" s="278">
        <f t="shared" si="5"/>
        <v>39826</v>
      </c>
      <c r="BW9" s="278">
        <f t="shared" ref="BW9:DB9" si="6">SUM(BW3:BW8)</f>
        <v>44633</v>
      </c>
      <c r="BX9" s="278">
        <f t="shared" si="6"/>
        <v>122132</v>
      </c>
      <c r="BY9" s="278">
        <f t="shared" si="6"/>
        <v>46943</v>
      </c>
      <c r="BZ9" s="278">
        <f t="shared" si="6"/>
        <v>188325</v>
      </c>
      <c r="CA9" s="278">
        <f t="shared" si="6"/>
        <v>50380</v>
      </c>
      <c r="CB9" s="278">
        <f t="shared" si="6"/>
        <v>81065</v>
      </c>
      <c r="CC9" s="278">
        <f t="shared" si="6"/>
        <v>194455</v>
      </c>
      <c r="CD9" s="278">
        <f t="shared" si="6"/>
        <v>98003</v>
      </c>
      <c r="CE9" s="278">
        <f t="shared" si="6"/>
        <v>39916</v>
      </c>
      <c r="CF9" s="278">
        <f t="shared" si="6"/>
        <v>131586</v>
      </c>
      <c r="CG9" s="278">
        <f t="shared" si="6"/>
        <v>192759</v>
      </c>
      <c r="CH9" s="278">
        <f t="shared" si="6"/>
        <v>53193</v>
      </c>
      <c r="CI9" s="278">
        <f t="shared" si="6"/>
        <v>372332</v>
      </c>
      <c r="CJ9" s="278">
        <f t="shared" si="6"/>
        <v>117418</v>
      </c>
      <c r="CK9" s="278">
        <f t="shared" si="6"/>
        <v>79674</v>
      </c>
      <c r="CL9" s="278">
        <f t="shared" si="6"/>
        <v>88844</v>
      </c>
      <c r="CM9" s="278">
        <f t="shared" si="6"/>
        <v>105418</v>
      </c>
      <c r="CN9" s="278">
        <f t="shared" si="6"/>
        <v>78374</v>
      </c>
      <c r="CO9" s="278">
        <f t="shared" si="6"/>
        <v>518662</v>
      </c>
      <c r="CP9" s="278">
        <f t="shared" si="6"/>
        <v>133532</v>
      </c>
      <c r="CQ9" s="278">
        <f t="shared" si="6"/>
        <v>108511</v>
      </c>
      <c r="CR9" s="278">
        <f t="shared" si="6"/>
        <v>75447</v>
      </c>
      <c r="CS9" s="278">
        <f t="shared" si="6"/>
        <v>116906</v>
      </c>
      <c r="CT9" s="278">
        <f t="shared" si="6"/>
        <v>80720</v>
      </c>
      <c r="CU9" s="278">
        <f t="shared" si="6"/>
        <v>58374</v>
      </c>
      <c r="CV9" s="278">
        <f t="shared" si="6"/>
        <v>58120</v>
      </c>
      <c r="CW9" s="278">
        <f t="shared" si="6"/>
        <v>37878</v>
      </c>
      <c r="CX9" s="278">
        <f t="shared" si="6"/>
        <v>26767</v>
      </c>
      <c r="CY9" s="278">
        <f t="shared" si="6"/>
        <v>31044</v>
      </c>
      <c r="CZ9" s="278">
        <f t="shared" si="6"/>
        <v>43293</v>
      </c>
      <c r="DA9" s="278">
        <f t="shared" si="6"/>
        <v>83018</v>
      </c>
      <c r="DB9" s="278">
        <f t="shared" si="6"/>
        <v>117786</v>
      </c>
      <c r="DC9" s="278">
        <f t="shared" ref="DC9:EH9" si="7">SUM(DC3:DC8)</f>
        <v>62875</v>
      </c>
      <c r="DD9" s="278">
        <f t="shared" si="7"/>
        <v>79645</v>
      </c>
      <c r="DE9" s="278">
        <f t="shared" si="7"/>
        <v>63971</v>
      </c>
      <c r="DF9" s="278">
        <f t="shared" si="7"/>
        <v>114009</v>
      </c>
      <c r="DG9" s="278">
        <f t="shared" si="7"/>
        <v>54261</v>
      </c>
      <c r="DH9" s="278">
        <f t="shared" si="7"/>
        <v>134305</v>
      </c>
      <c r="DI9" s="278">
        <f t="shared" si="7"/>
        <v>46313</v>
      </c>
      <c r="DJ9" s="278">
        <f t="shared" si="7"/>
        <v>34480</v>
      </c>
      <c r="DK9" s="278">
        <f t="shared" si="7"/>
        <v>49615</v>
      </c>
      <c r="DL9" s="278">
        <f t="shared" si="7"/>
        <v>53159</v>
      </c>
      <c r="DM9" s="278">
        <f t="shared" si="7"/>
        <v>116245</v>
      </c>
      <c r="DN9" s="278">
        <f t="shared" si="7"/>
        <v>134163</v>
      </c>
      <c r="DO9" s="278">
        <f t="shared" si="7"/>
        <v>30461</v>
      </c>
      <c r="DP9" s="278">
        <f t="shared" si="7"/>
        <v>72036</v>
      </c>
      <c r="DQ9" s="278">
        <f t="shared" si="7"/>
        <v>81835</v>
      </c>
      <c r="DR9" s="278">
        <f t="shared" si="7"/>
        <v>151981</v>
      </c>
      <c r="DS9" s="278">
        <f t="shared" si="7"/>
        <v>19809</v>
      </c>
      <c r="DT9" s="278">
        <f t="shared" si="7"/>
        <v>50514</v>
      </c>
      <c r="DU9" s="278">
        <f t="shared" si="7"/>
        <v>51781</v>
      </c>
      <c r="DV9" s="278">
        <f t="shared" si="7"/>
        <v>32653</v>
      </c>
      <c r="DW9" s="278">
        <f t="shared" si="7"/>
        <v>57630</v>
      </c>
      <c r="DX9" s="278">
        <f t="shared" si="7"/>
        <v>52766</v>
      </c>
      <c r="DY9" s="278">
        <f t="shared" si="7"/>
        <v>129073</v>
      </c>
      <c r="DZ9" s="278">
        <f t="shared" si="7"/>
        <v>129073</v>
      </c>
      <c r="EA9" s="278">
        <f t="shared" si="7"/>
        <v>129073</v>
      </c>
      <c r="EB9" s="278">
        <f t="shared" si="7"/>
        <v>129073</v>
      </c>
      <c r="EC9" s="278">
        <f t="shared" si="7"/>
        <v>129073</v>
      </c>
      <c r="ED9" s="278">
        <f t="shared" si="7"/>
        <v>129073</v>
      </c>
      <c r="EE9" s="278">
        <f t="shared" si="7"/>
        <v>0</v>
      </c>
      <c r="EF9" s="278">
        <f t="shared" si="7"/>
        <v>0</v>
      </c>
      <c r="EG9" s="278">
        <f t="shared" si="7"/>
        <v>0</v>
      </c>
      <c r="EH9" s="278">
        <f t="shared" si="7"/>
        <v>0</v>
      </c>
      <c r="EI9" s="278">
        <f t="shared" ref="EI9:FN9" si="8">SUM(EI3:EI8)</f>
        <v>0</v>
      </c>
      <c r="EJ9" s="278">
        <f t="shared" si="8"/>
        <v>0</v>
      </c>
      <c r="EK9" s="278">
        <f t="shared" si="8"/>
        <v>0</v>
      </c>
      <c r="EL9" s="278">
        <f t="shared" si="8"/>
        <v>0</v>
      </c>
      <c r="EM9" s="278">
        <f t="shared" si="8"/>
        <v>0</v>
      </c>
      <c r="EN9" s="278">
        <f t="shared" si="8"/>
        <v>0</v>
      </c>
      <c r="EO9" s="278">
        <f t="shared" si="8"/>
        <v>0</v>
      </c>
      <c r="EP9" s="278">
        <f t="shared" si="8"/>
        <v>0</v>
      </c>
      <c r="EQ9" s="278">
        <f t="shared" si="8"/>
        <v>0</v>
      </c>
      <c r="ER9" s="278">
        <f t="shared" si="8"/>
        <v>0</v>
      </c>
      <c r="ES9" s="278">
        <f t="shared" si="8"/>
        <v>0</v>
      </c>
      <c r="ET9" s="278">
        <f t="shared" si="8"/>
        <v>0</v>
      </c>
      <c r="EU9" s="278">
        <f t="shared" si="8"/>
        <v>0</v>
      </c>
      <c r="EV9" s="278">
        <f t="shared" si="8"/>
        <v>0</v>
      </c>
      <c r="EW9" s="278">
        <f t="shared" si="8"/>
        <v>0</v>
      </c>
      <c r="EX9" s="278">
        <f t="shared" si="8"/>
        <v>0</v>
      </c>
      <c r="EY9" s="278">
        <f t="shared" si="8"/>
        <v>0</v>
      </c>
      <c r="EZ9" s="278">
        <f t="shared" si="8"/>
        <v>0</v>
      </c>
      <c r="FA9" s="278">
        <f t="shared" si="8"/>
        <v>0</v>
      </c>
      <c r="FB9" s="278">
        <f t="shared" si="8"/>
        <v>0</v>
      </c>
      <c r="FC9" s="278">
        <f t="shared" si="8"/>
        <v>0</v>
      </c>
      <c r="FD9" s="278">
        <f t="shared" si="8"/>
        <v>0</v>
      </c>
      <c r="FE9" s="278">
        <f t="shared" si="8"/>
        <v>0</v>
      </c>
      <c r="FF9" s="278">
        <f t="shared" si="8"/>
        <v>0</v>
      </c>
      <c r="FG9" s="278">
        <f t="shared" si="8"/>
        <v>0</v>
      </c>
      <c r="FH9" s="278">
        <f t="shared" si="8"/>
        <v>0</v>
      </c>
      <c r="FI9" s="278">
        <f t="shared" si="8"/>
        <v>0</v>
      </c>
      <c r="FJ9" s="278">
        <f t="shared" si="8"/>
        <v>0</v>
      </c>
      <c r="FK9" s="278">
        <f t="shared" si="8"/>
        <v>0</v>
      </c>
      <c r="FL9" s="278">
        <f t="shared" si="8"/>
        <v>0</v>
      </c>
      <c r="FM9" s="278">
        <f t="shared" si="8"/>
        <v>0</v>
      </c>
      <c r="FN9" s="278">
        <f t="shared" si="8"/>
        <v>0</v>
      </c>
    </row>
    <row r="10" spans="1:248" ht="13.5" customHeight="1" thickBot="1">
      <c r="A10" s="294" t="s">
        <v>98</v>
      </c>
      <c r="B10" s="294" t="s">
        <v>99</v>
      </c>
      <c r="C10" s="294" t="s">
        <v>225</v>
      </c>
      <c r="D10" s="264">
        <v>16</v>
      </c>
      <c r="E10" s="295"/>
      <c r="F10" s="296"/>
      <c r="G10" s="296"/>
      <c r="H10" s="297" t="s">
        <v>99</v>
      </c>
      <c r="I10" s="311">
        <f>淑琪!E102</f>
        <v>170437</v>
      </c>
      <c r="J10" s="294" t="s">
        <v>134</v>
      </c>
      <c r="K10" s="302">
        <v>12500</v>
      </c>
      <c r="L10" s="302">
        <v>12500</v>
      </c>
      <c r="M10" s="302">
        <v>12500</v>
      </c>
      <c r="N10" s="324">
        <v>12500</v>
      </c>
      <c r="O10" s="324">
        <v>12500</v>
      </c>
      <c r="P10" s="324">
        <v>12500</v>
      </c>
      <c r="Q10" s="324">
        <v>12500</v>
      </c>
      <c r="R10" s="324">
        <v>12500</v>
      </c>
      <c r="S10" s="364">
        <v>0</v>
      </c>
      <c r="T10" s="324">
        <v>0</v>
      </c>
      <c r="U10" s="302">
        <v>0</v>
      </c>
      <c r="V10" s="302">
        <v>0</v>
      </c>
      <c r="W10" s="324">
        <v>4900</v>
      </c>
      <c r="X10" s="302">
        <v>0</v>
      </c>
      <c r="Y10" s="324">
        <v>4900</v>
      </c>
      <c r="Z10" s="324">
        <v>4900</v>
      </c>
      <c r="AA10" s="324">
        <v>4900</v>
      </c>
      <c r="AB10" s="324">
        <f>4900+(3600/2)+(8000/2)</f>
        <v>10700</v>
      </c>
      <c r="AC10" s="324">
        <v>4900</v>
      </c>
      <c r="AD10" s="324">
        <v>7100</v>
      </c>
      <c r="AE10" s="324">
        <v>7100</v>
      </c>
      <c r="AF10" s="324">
        <v>7100</v>
      </c>
      <c r="AG10" s="324">
        <v>7100</v>
      </c>
      <c r="AH10" s="324">
        <v>7100</v>
      </c>
      <c r="AI10" s="324">
        <v>7100</v>
      </c>
      <c r="AJ10" s="324">
        <v>7100</v>
      </c>
      <c r="AK10" s="324">
        <v>7100</v>
      </c>
      <c r="AL10" s="324">
        <v>7100</v>
      </c>
      <c r="AM10" s="324">
        <v>6800</v>
      </c>
      <c r="AN10" s="402">
        <v>10000</v>
      </c>
      <c r="AO10" s="402">
        <v>10000</v>
      </c>
      <c r="AP10" s="402">
        <v>10000</v>
      </c>
      <c r="AQ10" s="402">
        <v>10000</v>
      </c>
      <c r="AR10" s="402">
        <v>10000</v>
      </c>
      <c r="AS10" s="402">
        <v>10000</v>
      </c>
      <c r="AT10" s="402">
        <v>10000</v>
      </c>
      <c r="AU10" s="402">
        <v>10000</v>
      </c>
      <c r="AV10" s="402">
        <v>10000</v>
      </c>
      <c r="AW10" s="402">
        <v>10000</v>
      </c>
      <c r="AX10" s="402">
        <v>10000</v>
      </c>
      <c r="AY10" s="402">
        <v>10000</v>
      </c>
      <c r="AZ10" s="402">
        <v>10000</v>
      </c>
      <c r="BA10" s="402">
        <v>10000</v>
      </c>
      <c r="BB10" s="431">
        <v>10000</v>
      </c>
      <c r="BC10" s="324">
        <v>10000</v>
      </c>
      <c r="BD10" s="324">
        <v>10000</v>
      </c>
      <c r="BE10" s="324">
        <v>10000</v>
      </c>
      <c r="BF10" s="324">
        <v>10000</v>
      </c>
      <c r="BG10" s="324">
        <v>10000</v>
      </c>
      <c r="BH10" s="324">
        <v>10000</v>
      </c>
      <c r="BI10" s="324">
        <v>10000</v>
      </c>
      <c r="BJ10" s="324">
        <v>10000</v>
      </c>
      <c r="BK10" s="324">
        <v>10000</v>
      </c>
      <c r="BL10" s="324">
        <v>10000</v>
      </c>
      <c r="BM10" s="324">
        <v>10000</v>
      </c>
      <c r="BN10" s="324">
        <v>10000</v>
      </c>
      <c r="BO10" s="324">
        <v>10000</v>
      </c>
      <c r="BP10" s="324">
        <v>10000</v>
      </c>
      <c r="BQ10" s="324">
        <v>10000</v>
      </c>
      <c r="BR10" s="302">
        <v>0</v>
      </c>
      <c r="BS10" s="324">
        <v>10000</v>
      </c>
      <c r="BT10" s="324">
        <v>10000</v>
      </c>
      <c r="BU10" s="324">
        <v>10000</v>
      </c>
      <c r="BV10" s="324">
        <v>10000</v>
      </c>
      <c r="BW10" s="324">
        <v>10000</v>
      </c>
      <c r="BX10" s="324">
        <v>0</v>
      </c>
      <c r="BY10" s="324">
        <v>20000</v>
      </c>
      <c r="BZ10" s="324">
        <v>10000</v>
      </c>
      <c r="CA10" s="324">
        <v>10000</v>
      </c>
      <c r="CB10" s="324">
        <v>10000</v>
      </c>
      <c r="CC10" s="324">
        <v>10000</v>
      </c>
      <c r="CD10" s="324">
        <v>10000</v>
      </c>
      <c r="CE10" s="324">
        <v>10000</v>
      </c>
      <c r="CF10" s="324">
        <v>10000</v>
      </c>
      <c r="CG10" s="324">
        <v>10000</v>
      </c>
      <c r="CH10" s="324">
        <v>10000</v>
      </c>
      <c r="CI10" s="324">
        <v>10000</v>
      </c>
      <c r="CJ10" s="324">
        <v>10000</v>
      </c>
      <c r="CK10" s="324">
        <v>10000</v>
      </c>
      <c r="CL10" s="324">
        <v>10000</v>
      </c>
      <c r="CM10" s="324">
        <v>10000</v>
      </c>
      <c r="CN10" s="324">
        <v>10000</v>
      </c>
      <c r="CO10" s="324">
        <v>10000</v>
      </c>
      <c r="CP10" s="324">
        <v>10000</v>
      </c>
      <c r="CQ10" s="324">
        <v>10000</v>
      </c>
      <c r="CR10" s="324">
        <v>10000</v>
      </c>
      <c r="CS10" s="324">
        <v>10000</v>
      </c>
      <c r="CT10" s="324">
        <v>10000</v>
      </c>
      <c r="CU10" s="324">
        <v>10000</v>
      </c>
      <c r="CV10" s="324">
        <v>10000</v>
      </c>
      <c r="CW10" s="324">
        <v>10000</v>
      </c>
      <c r="CX10" s="324">
        <v>10000</v>
      </c>
      <c r="CY10" s="324">
        <v>10000</v>
      </c>
      <c r="CZ10" s="324">
        <v>10000</v>
      </c>
      <c r="DA10" s="324">
        <v>10000</v>
      </c>
      <c r="DB10" s="324">
        <v>10000</v>
      </c>
      <c r="DC10" s="324">
        <v>10000</v>
      </c>
      <c r="DD10" s="324">
        <v>10000</v>
      </c>
      <c r="DE10" s="324">
        <v>10000</v>
      </c>
      <c r="DF10" s="324">
        <v>10000</v>
      </c>
      <c r="DG10" s="324">
        <v>10000</v>
      </c>
      <c r="DH10" s="324">
        <v>10000</v>
      </c>
      <c r="DI10" s="324">
        <v>10000</v>
      </c>
      <c r="DJ10" s="324">
        <v>10000</v>
      </c>
      <c r="DK10" s="324">
        <v>10000</v>
      </c>
      <c r="DL10" s="324">
        <v>10000</v>
      </c>
      <c r="DM10" s="324">
        <v>10000</v>
      </c>
      <c r="DN10" s="324">
        <v>10000</v>
      </c>
      <c r="DO10" s="324">
        <v>10000</v>
      </c>
      <c r="DP10" s="324">
        <v>10000</v>
      </c>
      <c r="DQ10" s="324">
        <v>10000</v>
      </c>
      <c r="DR10" s="324">
        <v>10000</v>
      </c>
      <c r="DS10" s="324">
        <v>10000</v>
      </c>
      <c r="DT10" s="324">
        <v>10000</v>
      </c>
      <c r="DU10" s="324">
        <v>13300</v>
      </c>
      <c r="DV10" s="324">
        <v>13300</v>
      </c>
      <c r="DW10" s="324">
        <v>13300</v>
      </c>
      <c r="DX10" s="324">
        <v>13300</v>
      </c>
      <c r="DY10" s="324">
        <v>13300</v>
      </c>
      <c r="DZ10" s="302">
        <v>13300</v>
      </c>
      <c r="EA10" s="302">
        <v>13300</v>
      </c>
      <c r="EB10" s="302">
        <v>13300</v>
      </c>
      <c r="EC10" s="302">
        <v>13300</v>
      </c>
      <c r="ED10" s="302">
        <v>13300</v>
      </c>
    </row>
    <row r="11" spans="1:248" ht="13.5" hidden="1" customHeight="1" outlineLevel="1" thickBot="1">
      <c r="A11" s="294" t="s">
        <v>171</v>
      </c>
      <c r="B11" s="294" t="s">
        <v>172</v>
      </c>
      <c r="C11" s="392">
        <f>SUM(AK11:CD11)+2170000</f>
        <v>2900000</v>
      </c>
      <c r="D11" s="264">
        <v>5</v>
      </c>
      <c r="E11" s="295"/>
      <c r="F11" s="296"/>
      <c r="G11" s="296"/>
      <c r="H11" s="297" t="s">
        <v>222</v>
      </c>
      <c r="I11" s="311">
        <f>2900000-C11</f>
        <v>0</v>
      </c>
      <c r="J11" s="294" t="s">
        <v>173</v>
      </c>
      <c r="K11" s="303">
        <v>33</v>
      </c>
      <c r="L11" s="303">
        <v>34</v>
      </c>
      <c r="M11" s="303">
        <v>35</v>
      </c>
      <c r="N11" s="325">
        <v>36</v>
      </c>
      <c r="O11" s="325">
        <v>37</v>
      </c>
      <c r="P11" s="325">
        <v>38</v>
      </c>
      <c r="Q11" s="325">
        <v>39</v>
      </c>
      <c r="R11" s="325">
        <v>40</v>
      </c>
      <c r="AK11" s="379">
        <v>10000</v>
      </c>
      <c r="AL11" s="379">
        <v>10000</v>
      </c>
      <c r="AM11" s="379">
        <v>10000</v>
      </c>
      <c r="AN11" s="379">
        <v>10000</v>
      </c>
      <c r="AO11" s="379">
        <v>10000</v>
      </c>
      <c r="AP11" s="379">
        <v>20000</v>
      </c>
      <c r="AQ11" s="379">
        <f t="shared" ref="AQ11:AY11" si="9">AP11</f>
        <v>20000</v>
      </c>
      <c r="AR11" s="379">
        <f t="shared" si="9"/>
        <v>20000</v>
      </c>
      <c r="AS11" s="379">
        <f t="shared" si="9"/>
        <v>20000</v>
      </c>
      <c r="AT11" s="379">
        <f t="shared" si="9"/>
        <v>20000</v>
      </c>
      <c r="AU11" s="379">
        <f t="shared" si="9"/>
        <v>20000</v>
      </c>
      <c r="AV11" s="379">
        <f t="shared" si="9"/>
        <v>20000</v>
      </c>
      <c r="AW11" s="403">
        <f t="shared" si="9"/>
        <v>20000</v>
      </c>
      <c r="AX11" s="403">
        <f t="shared" si="9"/>
        <v>20000</v>
      </c>
      <c r="AY11" s="403">
        <f t="shared" si="9"/>
        <v>20000</v>
      </c>
      <c r="AZ11" s="403">
        <f t="shared" ref="AZ11:AZ13" si="10">AY11</f>
        <v>20000</v>
      </c>
      <c r="BA11" s="403">
        <f t="shared" ref="BA11:BA13" si="11">AZ11</f>
        <v>20000</v>
      </c>
      <c r="BB11" s="432">
        <f t="shared" ref="BB11:BU11" si="12">BA11</f>
        <v>20000</v>
      </c>
      <c r="BC11" s="379">
        <f t="shared" si="12"/>
        <v>20000</v>
      </c>
      <c r="BD11" s="379">
        <f t="shared" si="12"/>
        <v>20000</v>
      </c>
      <c r="BE11" s="379">
        <f t="shared" si="12"/>
        <v>20000</v>
      </c>
      <c r="BF11" s="379">
        <f t="shared" si="12"/>
        <v>20000</v>
      </c>
      <c r="BG11" s="379">
        <f t="shared" si="12"/>
        <v>20000</v>
      </c>
      <c r="BH11" s="379">
        <f t="shared" si="12"/>
        <v>20000</v>
      </c>
      <c r="BI11" s="379">
        <v>10000</v>
      </c>
      <c r="BJ11" s="379">
        <f t="shared" si="12"/>
        <v>10000</v>
      </c>
      <c r="BK11" s="379">
        <f t="shared" si="12"/>
        <v>10000</v>
      </c>
      <c r="BL11" s="379">
        <f t="shared" si="12"/>
        <v>10000</v>
      </c>
      <c r="BM11" s="379">
        <f t="shared" si="12"/>
        <v>10000</v>
      </c>
      <c r="BN11" s="379">
        <f t="shared" si="12"/>
        <v>10000</v>
      </c>
      <c r="BO11" s="379">
        <f t="shared" si="12"/>
        <v>10000</v>
      </c>
      <c r="BP11" s="379">
        <f t="shared" si="12"/>
        <v>10000</v>
      </c>
      <c r="BQ11" s="379">
        <f t="shared" si="12"/>
        <v>10000</v>
      </c>
      <c r="BR11" s="440">
        <v>0</v>
      </c>
      <c r="BS11" s="379">
        <v>10000</v>
      </c>
      <c r="BT11" s="379">
        <f t="shared" si="12"/>
        <v>10000</v>
      </c>
      <c r="BU11" s="379">
        <f t="shared" si="12"/>
        <v>10000</v>
      </c>
      <c r="BV11" s="379">
        <v>20000</v>
      </c>
      <c r="BW11" s="379">
        <v>20000</v>
      </c>
      <c r="BX11" s="379">
        <v>20000</v>
      </c>
      <c r="BY11" s="379">
        <v>20000</v>
      </c>
      <c r="BZ11" s="379">
        <v>20000</v>
      </c>
      <c r="CA11" s="379">
        <v>20000</v>
      </c>
      <c r="CB11" s="379">
        <v>20000</v>
      </c>
      <c r="CC11" s="379">
        <v>20000</v>
      </c>
      <c r="CD11" s="379">
        <v>20000</v>
      </c>
      <c r="CE11" s="440">
        <v>0</v>
      </c>
      <c r="CF11" s="440">
        <v>0</v>
      </c>
      <c r="CG11" s="440">
        <v>0</v>
      </c>
      <c r="CH11" s="440">
        <v>0</v>
      </c>
      <c r="CI11" s="440">
        <v>0</v>
      </c>
      <c r="CJ11" s="440">
        <v>0</v>
      </c>
      <c r="CK11" s="379">
        <v>0</v>
      </c>
      <c r="CL11" s="440">
        <v>0</v>
      </c>
      <c r="CM11" s="440">
        <v>0</v>
      </c>
      <c r="CN11" s="440">
        <v>0</v>
      </c>
      <c r="CO11" s="440">
        <v>0</v>
      </c>
      <c r="CP11" s="440">
        <v>0</v>
      </c>
      <c r="CQ11" s="440">
        <v>0</v>
      </c>
      <c r="CR11" s="440">
        <v>0</v>
      </c>
      <c r="CS11" s="440">
        <v>0</v>
      </c>
      <c r="CT11" s="440">
        <v>0</v>
      </c>
      <c r="CU11" s="440">
        <v>0</v>
      </c>
      <c r="CV11" s="440">
        <v>0</v>
      </c>
      <c r="CW11" s="379">
        <v>0</v>
      </c>
      <c r="CX11" s="440">
        <v>0</v>
      </c>
      <c r="CY11" s="440">
        <v>0</v>
      </c>
      <c r="CZ11" s="440">
        <v>0</v>
      </c>
      <c r="DA11" s="440">
        <v>0</v>
      </c>
      <c r="DB11" s="379">
        <v>0</v>
      </c>
      <c r="DC11" s="440">
        <v>0</v>
      </c>
      <c r="DD11" s="440">
        <v>0</v>
      </c>
      <c r="DE11" s="440">
        <v>0</v>
      </c>
      <c r="DF11" s="440">
        <v>0</v>
      </c>
      <c r="DG11" s="440">
        <v>0</v>
      </c>
      <c r="DH11" s="440">
        <v>0</v>
      </c>
      <c r="DI11" s="440">
        <v>0</v>
      </c>
      <c r="DJ11" s="440">
        <v>0</v>
      </c>
      <c r="DK11" s="440">
        <v>0</v>
      </c>
      <c r="DL11" s="440">
        <v>0</v>
      </c>
      <c r="DM11" s="440">
        <v>0</v>
      </c>
      <c r="DN11" s="440">
        <v>0</v>
      </c>
      <c r="DO11" s="440">
        <v>0</v>
      </c>
      <c r="DP11" s="379">
        <v>0</v>
      </c>
      <c r="DQ11" s="440">
        <v>0</v>
      </c>
      <c r="DR11" s="379">
        <v>0</v>
      </c>
      <c r="DS11" s="440">
        <v>0</v>
      </c>
      <c r="DT11" s="440">
        <v>0</v>
      </c>
      <c r="DU11" s="440">
        <v>0</v>
      </c>
      <c r="DV11" s="440">
        <v>0</v>
      </c>
      <c r="DW11" s="440">
        <v>0</v>
      </c>
      <c r="DX11" s="440">
        <v>0</v>
      </c>
      <c r="DY11" s="440">
        <v>0</v>
      </c>
      <c r="DZ11" s="440">
        <v>0</v>
      </c>
      <c r="EA11" s="440">
        <v>0</v>
      </c>
      <c r="EB11" s="440">
        <v>0</v>
      </c>
      <c r="EC11" s="440">
        <v>0</v>
      </c>
      <c r="ED11" s="440">
        <v>0</v>
      </c>
    </row>
    <row r="12" spans="1:248" ht="13.5" customHeight="1" collapsed="1" thickBot="1">
      <c r="A12" s="294" t="s">
        <v>153</v>
      </c>
      <c r="B12" s="294" t="s">
        <v>101</v>
      </c>
      <c r="C12" s="294" t="s">
        <v>161</v>
      </c>
      <c r="D12" s="264">
        <v>10</v>
      </c>
      <c r="E12" s="295"/>
      <c r="F12" s="296"/>
      <c r="G12" s="296"/>
      <c r="H12" s="297" t="s">
        <v>220</v>
      </c>
      <c r="I12" s="311">
        <f>6559309-SUM(BD12:DR13)</f>
        <v>3323356</v>
      </c>
      <c r="J12" s="294"/>
      <c r="K12" s="317" t="s">
        <v>129</v>
      </c>
      <c r="L12" s="303"/>
      <c r="M12" s="303"/>
      <c r="N12" s="325"/>
      <c r="O12" s="325"/>
      <c r="P12" s="325"/>
      <c r="Q12" s="325"/>
      <c r="R12" s="317" t="s">
        <v>129</v>
      </c>
      <c r="S12" s="361">
        <f>6966+10031</f>
        <v>16997</v>
      </c>
      <c r="T12" s="368">
        <v>16997</v>
      </c>
      <c r="U12" s="368">
        <v>16997</v>
      </c>
      <c r="V12" s="368">
        <v>16997</v>
      </c>
      <c r="W12" s="368">
        <v>16997</v>
      </c>
      <c r="X12" s="368">
        <v>16997</v>
      </c>
      <c r="Y12" s="368">
        <v>16997</v>
      </c>
      <c r="Z12" s="368">
        <v>16997</v>
      </c>
      <c r="AA12" s="368">
        <f t="shared" ref="AA12:AY12" si="13">Z12</f>
        <v>16997</v>
      </c>
      <c r="AB12" s="368">
        <f t="shared" si="13"/>
        <v>16997</v>
      </c>
      <c r="AC12" s="368">
        <f t="shared" si="13"/>
        <v>16997</v>
      </c>
      <c r="AD12" s="368">
        <f t="shared" si="13"/>
        <v>16997</v>
      </c>
      <c r="AE12" s="368">
        <f>14231+1581</f>
        <v>15812</v>
      </c>
      <c r="AF12" s="368">
        <f t="shared" si="13"/>
        <v>15812</v>
      </c>
      <c r="AG12" s="368">
        <f t="shared" si="13"/>
        <v>15812</v>
      </c>
      <c r="AH12" s="368">
        <f t="shared" si="13"/>
        <v>15812</v>
      </c>
      <c r="AI12" s="368">
        <f t="shared" si="13"/>
        <v>15812</v>
      </c>
      <c r="AJ12" s="368">
        <f t="shared" si="13"/>
        <v>15812</v>
      </c>
      <c r="AK12" s="368">
        <f t="shared" si="13"/>
        <v>15812</v>
      </c>
      <c r="AL12" s="368">
        <f>14695+1633</f>
        <v>16328</v>
      </c>
      <c r="AM12" s="368">
        <f>15143+1683</f>
        <v>16826</v>
      </c>
      <c r="AN12" s="368">
        <f t="shared" si="13"/>
        <v>16826</v>
      </c>
      <c r="AO12" s="368">
        <f>AN12-2028</f>
        <v>14798</v>
      </c>
      <c r="AP12" s="368">
        <f t="shared" si="13"/>
        <v>14798</v>
      </c>
      <c r="AQ12" s="368">
        <f t="shared" si="13"/>
        <v>14798</v>
      </c>
      <c r="AR12" s="368">
        <f t="shared" si="13"/>
        <v>14798</v>
      </c>
      <c r="AS12" s="368">
        <f t="shared" si="13"/>
        <v>14798</v>
      </c>
      <c r="AT12" s="368">
        <f t="shared" si="13"/>
        <v>14798</v>
      </c>
      <c r="AU12" s="368">
        <f>11713+1600</f>
        <v>13313</v>
      </c>
      <c r="AV12" s="368">
        <f>12080+1650</f>
        <v>13730</v>
      </c>
      <c r="AW12" s="399">
        <f t="shared" si="13"/>
        <v>13730</v>
      </c>
      <c r="AX12" s="399">
        <f t="shared" si="13"/>
        <v>13730</v>
      </c>
      <c r="AY12" s="399">
        <f t="shared" si="13"/>
        <v>13730</v>
      </c>
      <c r="AZ12" s="399">
        <f t="shared" si="10"/>
        <v>13730</v>
      </c>
      <c r="BA12" s="399">
        <f t="shared" si="11"/>
        <v>13730</v>
      </c>
      <c r="BB12" s="433">
        <f>7048+1128+5639</f>
        <v>13815</v>
      </c>
      <c r="BC12" s="368">
        <f t="shared" ref="BC12:ED13" si="14">BB12</f>
        <v>13815</v>
      </c>
      <c r="BD12" s="368">
        <v>36045</v>
      </c>
      <c r="BE12" s="368">
        <f>10314+1650+6245+16350+1486</f>
        <v>36045</v>
      </c>
      <c r="BF12" s="368">
        <f t="shared" si="14"/>
        <v>36045</v>
      </c>
      <c r="BG12" s="368">
        <f t="shared" si="14"/>
        <v>36045</v>
      </c>
      <c r="BH12" s="368">
        <f t="shared" si="14"/>
        <v>36045</v>
      </c>
      <c r="BI12" s="368">
        <f t="shared" si="14"/>
        <v>36045</v>
      </c>
      <c r="BJ12" s="368">
        <f t="shared" si="14"/>
        <v>36045</v>
      </c>
      <c r="BK12" s="368">
        <f t="shared" si="14"/>
        <v>36045</v>
      </c>
      <c r="BL12" s="368">
        <f t="shared" si="14"/>
        <v>36045</v>
      </c>
      <c r="BM12" s="368">
        <f t="shared" si="14"/>
        <v>36045</v>
      </c>
      <c r="BN12" s="368">
        <f t="shared" si="14"/>
        <v>36045</v>
      </c>
      <c r="BO12" s="368">
        <f t="shared" si="14"/>
        <v>36045</v>
      </c>
      <c r="BP12" s="368">
        <f t="shared" si="14"/>
        <v>36045</v>
      </c>
      <c r="BQ12" s="368">
        <f t="shared" si="14"/>
        <v>36045</v>
      </c>
      <c r="BR12" s="368">
        <f t="shared" si="14"/>
        <v>36045</v>
      </c>
      <c r="BS12" s="368">
        <f t="shared" si="14"/>
        <v>36045</v>
      </c>
      <c r="BT12" s="368">
        <f t="shared" si="14"/>
        <v>36045</v>
      </c>
      <c r="BU12" s="368">
        <f t="shared" si="14"/>
        <v>36045</v>
      </c>
      <c r="BV12" s="368">
        <f t="shared" si="14"/>
        <v>36045</v>
      </c>
      <c r="BW12" s="368">
        <f t="shared" si="14"/>
        <v>36045</v>
      </c>
      <c r="BX12" s="368">
        <f t="shared" si="14"/>
        <v>36045</v>
      </c>
      <c r="BY12" s="368">
        <f t="shared" si="14"/>
        <v>36045</v>
      </c>
      <c r="BZ12" s="368">
        <f t="shared" si="14"/>
        <v>36045</v>
      </c>
      <c r="CA12" s="368">
        <f t="shared" si="14"/>
        <v>36045</v>
      </c>
      <c r="CB12" s="368">
        <f t="shared" si="14"/>
        <v>36045</v>
      </c>
      <c r="CC12" s="368">
        <f t="shared" si="14"/>
        <v>36045</v>
      </c>
      <c r="CD12" s="368">
        <f t="shared" si="14"/>
        <v>36045</v>
      </c>
      <c r="CE12" s="368">
        <f t="shared" si="14"/>
        <v>36045</v>
      </c>
      <c r="CF12" s="368">
        <f t="shared" si="14"/>
        <v>36045</v>
      </c>
      <c r="CG12" s="368">
        <v>36681</v>
      </c>
      <c r="CH12" s="368">
        <f t="shared" si="14"/>
        <v>36681</v>
      </c>
      <c r="CI12" s="368">
        <f t="shared" si="14"/>
        <v>36681</v>
      </c>
      <c r="CJ12" s="368">
        <f t="shared" si="14"/>
        <v>36681</v>
      </c>
      <c r="CK12" s="368">
        <f t="shared" si="14"/>
        <v>36681</v>
      </c>
      <c r="CL12" s="368">
        <f t="shared" si="14"/>
        <v>36681</v>
      </c>
      <c r="CM12" s="368">
        <f t="shared" si="14"/>
        <v>36681</v>
      </c>
      <c r="CN12" s="368">
        <f t="shared" si="14"/>
        <v>36681</v>
      </c>
      <c r="CO12" s="368">
        <f t="shared" si="14"/>
        <v>36681</v>
      </c>
      <c r="CP12" s="368">
        <f t="shared" si="14"/>
        <v>36681</v>
      </c>
      <c r="CQ12" s="368">
        <f t="shared" si="14"/>
        <v>36681</v>
      </c>
      <c r="CR12" s="368">
        <f t="shared" si="14"/>
        <v>36681</v>
      </c>
      <c r="CS12" s="368">
        <f t="shared" si="14"/>
        <v>36681</v>
      </c>
      <c r="CT12" s="368">
        <f t="shared" si="14"/>
        <v>36681</v>
      </c>
      <c r="CU12" s="368">
        <f t="shared" si="14"/>
        <v>36681</v>
      </c>
      <c r="CV12" s="368">
        <f t="shared" si="14"/>
        <v>36681</v>
      </c>
      <c r="CW12" s="368">
        <f t="shared" si="14"/>
        <v>36681</v>
      </c>
      <c r="CX12" s="368">
        <f t="shared" si="14"/>
        <v>36681</v>
      </c>
      <c r="CY12" s="368">
        <f t="shared" si="14"/>
        <v>36681</v>
      </c>
      <c r="CZ12" s="368">
        <f t="shared" si="14"/>
        <v>36681</v>
      </c>
      <c r="DA12" s="368">
        <f t="shared" si="14"/>
        <v>36681</v>
      </c>
      <c r="DB12" s="368">
        <f t="shared" si="14"/>
        <v>36681</v>
      </c>
      <c r="DC12" s="368">
        <f t="shared" si="14"/>
        <v>36681</v>
      </c>
      <c r="DD12" s="368">
        <f t="shared" si="14"/>
        <v>36681</v>
      </c>
      <c r="DE12" s="368">
        <f t="shared" si="14"/>
        <v>36681</v>
      </c>
      <c r="DF12" s="368">
        <f t="shared" si="14"/>
        <v>36681</v>
      </c>
      <c r="DG12" s="368">
        <f t="shared" si="14"/>
        <v>36681</v>
      </c>
      <c r="DH12" s="368">
        <f t="shared" si="14"/>
        <v>36681</v>
      </c>
      <c r="DI12" s="368">
        <f t="shared" si="14"/>
        <v>36681</v>
      </c>
      <c r="DJ12" s="368">
        <f t="shared" si="14"/>
        <v>36681</v>
      </c>
      <c r="DK12" s="368">
        <f t="shared" si="14"/>
        <v>36681</v>
      </c>
      <c r="DL12" s="368">
        <f t="shared" si="14"/>
        <v>36681</v>
      </c>
      <c r="DM12" s="368">
        <f t="shared" si="14"/>
        <v>36681</v>
      </c>
      <c r="DN12" s="615">
        <f t="shared" si="14"/>
        <v>36681</v>
      </c>
      <c r="DO12" s="368">
        <f t="shared" si="14"/>
        <v>36681</v>
      </c>
      <c r="DP12" s="368">
        <f t="shared" si="14"/>
        <v>36681</v>
      </c>
      <c r="DQ12" s="368">
        <f t="shared" si="14"/>
        <v>36681</v>
      </c>
      <c r="DR12" s="368">
        <f t="shared" si="14"/>
        <v>36681</v>
      </c>
      <c r="DS12" s="368">
        <f t="shared" si="14"/>
        <v>36681</v>
      </c>
      <c r="DT12" s="368">
        <f t="shared" si="14"/>
        <v>36681</v>
      </c>
      <c r="DU12" s="368">
        <f t="shared" si="14"/>
        <v>36681</v>
      </c>
      <c r="DV12" s="368">
        <f t="shared" si="14"/>
        <v>36681</v>
      </c>
      <c r="DW12" s="368">
        <f t="shared" si="14"/>
        <v>36681</v>
      </c>
      <c r="DX12" s="368">
        <f t="shared" si="14"/>
        <v>36681</v>
      </c>
      <c r="DY12" s="368">
        <f t="shared" si="14"/>
        <v>36681</v>
      </c>
      <c r="DZ12" s="441">
        <f t="shared" si="14"/>
        <v>36681</v>
      </c>
      <c r="EA12" s="441">
        <f t="shared" si="14"/>
        <v>36681</v>
      </c>
      <c r="EB12" s="441">
        <f t="shared" si="14"/>
        <v>36681</v>
      </c>
      <c r="EC12" s="441">
        <f t="shared" si="14"/>
        <v>36681</v>
      </c>
      <c r="ED12" s="441">
        <f t="shared" si="14"/>
        <v>36681</v>
      </c>
      <c r="EE12" s="263"/>
      <c r="EF12" s="263"/>
      <c r="EG12" s="263"/>
      <c r="EH12" s="375"/>
      <c r="EI12" s="263"/>
      <c r="EJ12" s="263"/>
      <c r="EK12" s="263"/>
      <c r="EL12" s="263"/>
      <c r="EM12" s="263"/>
      <c r="EN12" s="263"/>
      <c r="EO12" s="263"/>
      <c r="EP12" s="263"/>
      <c r="EQ12" s="263"/>
      <c r="ER12" s="263"/>
      <c r="ES12" s="263"/>
      <c r="ET12" s="263"/>
      <c r="EU12" s="263"/>
      <c r="EV12" s="263"/>
      <c r="EW12" s="263"/>
      <c r="EX12" s="263"/>
      <c r="EY12" s="263"/>
      <c r="EZ12" s="263"/>
      <c r="FA12" s="263"/>
      <c r="FB12" s="375"/>
      <c r="FC12" s="263"/>
      <c r="FD12" s="263"/>
      <c r="FE12" s="263"/>
      <c r="FF12" s="263"/>
      <c r="FG12" s="263"/>
      <c r="FH12" s="263"/>
      <c r="FI12" s="263"/>
      <c r="FJ12" s="263"/>
      <c r="FK12" s="263"/>
      <c r="FL12" s="263"/>
      <c r="FM12" s="263"/>
      <c r="FN12" s="263"/>
      <c r="FO12" s="263"/>
      <c r="FP12" s="263"/>
      <c r="FQ12" s="263"/>
      <c r="FR12" s="263"/>
      <c r="FS12" s="263"/>
      <c r="FT12" s="263"/>
      <c r="FU12" s="263"/>
      <c r="FV12" s="263"/>
      <c r="FW12" s="263"/>
      <c r="FX12" s="263"/>
      <c r="FY12" s="263"/>
      <c r="FZ12" s="263"/>
      <c r="GA12" s="263"/>
      <c r="GB12" s="263"/>
      <c r="GC12" s="263"/>
      <c r="GD12" s="263"/>
      <c r="GE12" s="263"/>
      <c r="GF12" s="375"/>
      <c r="GG12" s="263"/>
      <c r="GH12" s="263"/>
      <c r="GI12" s="263"/>
      <c r="GJ12" s="263"/>
      <c r="GK12" s="263"/>
      <c r="GL12" s="263"/>
      <c r="GM12" s="263"/>
      <c r="GN12" s="263"/>
      <c r="GO12" s="263"/>
      <c r="GP12" s="263"/>
      <c r="GQ12" s="263"/>
      <c r="GR12" s="263"/>
      <c r="GS12" s="263"/>
      <c r="GT12" s="263"/>
      <c r="GU12" s="263"/>
      <c r="GV12" s="263"/>
      <c r="GW12" s="263"/>
      <c r="GX12" s="263"/>
      <c r="GY12" s="263"/>
      <c r="GZ12" s="263"/>
      <c r="HA12" s="263"/>
      <c r="HB12" s="263"/>
      <c r="HC12" s="263"/>
      <c r="HD12" s="263"/>
      <c r="HE12" s="263"/>
      <c r="HF12" s="263"/>
      <c r="HG12" s="263"/>
      <c r="HH12" s="263"/>
      <c r="HI12" s="263"/>
      <c r="HJ12" s="375"/>
      <c r="HK12" s="263"/>
      <c r="HL12" s="263"/>
      <c r="HM12" s="263"/>
      <c r="HN12" s="263"/>
      <c r="HO12" s="263"/>
      <c r="HP12" s="263"/>
      <c r="HQ12" s="263"/>
      <c r="HR12" s="263"/>
      <c r="HS12" s="263"/>
      <c r="HT12" s="263"/>
      <c r="HU12" s="263"/>
      <c r="HV12" s="263"/>
      <c r="HW12" s="263"/>
      <c r="HX12" s="263"/>
      <c r="HY12" s="263"/>
      <c r="HZ12" s="263"/>
      <c r="IA12" s="263"/>
      <c r="IB12" s="263"/>
      <c r="IC12" s="263"/>
      <c r="ID12" s="263"/>
      <c r="IE12" s="263"/>
      <c r="IF12" s="263"/>
      <c r="IG12" s="263"/>
      <c r="IH12" s="263"/>
      <c r="II12" s="263"/>
      <c r="IJ12" s="263"/>
      <c r="IK12" s="263"/>
      <c r="IL12" s="263"/>
      <c r="IM12" s="263"/>
      <c r="IN12" s="263"/>
    </row>
    <row r="13" spans="1:248" ht="13.5" hidden="1" customHeight="1" outlineLevel="1">
      <c r="A13" s="294" t="s">
        <v>226</v>
      </c>
      <c r="B13" s="294" t="s">
        <v>101</v>
      </c>
      <c r="H13" s="297" t="s">
        <v>221</v>
      </c>
      <c r="I13" s="462">
        <f>10500000-SUM(BF13:BS13)</f>
        <v>9756348</v>
      </c>
      <c r="J13" s="438"/>
      <c r="K13" s="317" t="s">
        <v>130</v>
      </c>
      <c r="L13" s="276"/>
      <c r="M13" s="276"/>
      <c r="N13" s="276"/>
      <c r="O13" s="276"/>
      <c r="P13" s="276"/>
      <c r="Q13" s="276"/>
      <c r="R13" s="317" t="s">
        <v>130</v>
      </c>
      <c r="S13" s="362">
        <f>2917+4200+1114+467</f>
        <v>8698</v>
      </c>
      <c r="T13" s="373">
        <v>8698</v>
      </c>
      <c r="U13" s="373">
        <v>8698</v>
      </c>
      <c r="V13" s="373">
        <v>8698</v>
      </c>
      <c r="W13" s="373">
        <v>8698</v>
      </c>
      <c r="X13" s="373">
        <v>8698</v>
      </c>
      <c r="Y13" s="373">
        <v>8698</v>
      </c>
      <c r="Z13" s="373">
        <v>8698</v>
      </c>
      <c r="AA13" s="373">
        <f>26776-AA12</f>
        <v>9779</v>
      </c>
      <c r="AB13" s="373">
        <f t="shared" ref="AB13:AY13" si="15">AA13</f>
        <v>9779</v>
      </c>
      <c r="AC13" s="373">
        <f t="shared" si="15"/>
        <v>9779</v>
      </c>
      <c r="AD13" s="373">
        <f t="shared" si="15"/>
        <v>9779</v>
      </c>
      <c r="AE13" s="373">
        <v>9883</v>
      </c>
      <c r="AF13" s="373">
        <f t="shared" si="15"/>
        <v>9883</v>
      </c>
      <c r="AG13" s="373">
        <f t="shared" si="15"/>
        <v>9883</v>
      </c>
      <c r="AH13" s="373">
        <f t="shared" si="15"/>
        <v>9883</v>
      </c>
      <c r="AI13" s="373">
        <f t="shared" si="15"/>
        <v>9883</v>
      </c>
      <c r="AJ13" s="373">
        <f t="shared" si="15"/>
        <v>9883</v>
      </c>
      <c r="AK13" s="373">
        <f t="shared" si="15"/>
        <v>9883</v>
      </c>
      <c r="AL13" s="373">
        <v>10250</v>
      </c>
      <c r="AM13" s="373">
        <v>10516</v>
      </c>
      <c r="AN13" s="373">
        <f t="shared" si="15"/>
        <v>10516</v>
      </c>
      <c r="AO13" s="373">
        <f>AN13-2000</f>
        <v>8516</v>
      </c>
      <c r="AP13" s="373">
        <f t="shared" si="15"/>
        <v>8516</v>
      </c>
      <c r="AQ13" s="373">
        <f t="shared" si="15"/>
        <v>8516</v>
      </c>
      <c r="AR13" s="373">
        <f t="shared" si="15"/>
        <v>8516</v>
      </c>
      <c r="AS13" s="373">
        <f t="shared" si="15"/>
        <v>8516</v>
      </c>
      <c r="AT13" s="373">
        <f t="shared" si="15"/>
        <v>8516</v>
      </c>
      <c r="AU13" s="373">
        <v>10001</v>
      </c>
      <c r="AV13" s="373">
        <v>10314</v>
      </c>
      <c r="AW13" s="400">
        <f t="shared" si="15"/>
        <v>10314</v>
      </c>
      <c r="AX13" s="400">
        <f t="shared" si="15"/>
        <v>10314</v>
      </c>
      <c r="AY13" s="400">
        <f t="shared" si="15"/>
        <v>10314</v>
      </c>
      <c r="AZ13" s="400">
        <f t="shared" si="10"/>
        <v>10314</v>
      </c>
      <c r="BA13" s="400">
        <f t="shared" si="11"/>
        <v>10314</v>
      </c>
      <c r="BB13" s="434">
        <f>10314+1650+6253-BB12</f>
        <v>4402</v>
      </c>
      <c r="BC13" s="373">
        <f t="shared" si="14"/>
        <v>4402</v>
      </c>
      <c r="BD13" s="373">
        <v>0</v>
      </c>
      <c r="BE13" s="406">
        <f>36045*BD13/(BD13+BD12)</f>
        <v>0</v>
      </c>
      <c r="BF13" s="439">
        <v>53118</v>
      </c>
      <c r="BG13" s="373">
        <f t="shared" si="14"/>
        <v>53118</v>
      </c>
      <c r="BH13" s="373">
        <f t="shared" si="14"/>
        <v>53118</v>
      </c>
      <c r="BI13" s="373">
        <f t="shared" si="14"/>
        <v>53118</v>
      </c>
      <c r="BJ13" s="373">
        <f t="shared" si="14"/>
        <v>53118</v>
      </c>
      <c r="BK13" s="373">
        <f t="shared" si="14"/>
        <v>53118</v>
      </c>
      <c r="BL13" s="373">
        <f t="shared" si="14"/>
        <v>53118</v>
      </c>
      <c r="BM13" s="373">
        <f t="shared" si="14"/>
        <v>53118</v>
      </c>
      <c r="BN13" s="373">
        <f t="shared" si="14"/>
        <v>53118</v>
      </c>
      <c r="BO13" s="373">
        <f t="shared" si="14"/>
        <v>53118</v>
      </c>
      <c r="BP13" s="373">
        <f t="shared" si="14"/>
        <v>53118</v>
      </c>
      <c r="BQ13" s="373">
        <f t="shared" si="14"/>
        <v>53118</v>
      </c>
      <c r="BR13" s="373">
        <f t="shared" si="14"/>
        <v>53118</v>
      </c>
      <c r="BS13" s="373">
        <f t="shared" si="14"/>
        <v>53118</v>
      </c>
      <c r="BT13" s="373">
        <f t="shared" si="14"/>
        <v>53118</v>
      </c>
      <c r="BU13" s="278">
        <v>0</v>
      </c>
      <c r="BV13" s="278">
        <f t="shared" si="14"/>
        <v>0</v>
      </c>
      <c r="BW13" s="278">
        <f t="shared" si="14"/>
        <v>0</v>
      </c>
      <c r="BX13" s="278">
        <f t="shared" si="14"/>
        <v>0</v>
      </c>
      <c r="BY13" s="278">
        <f t="shared" si="14"/>
        <v>0</v>
      </c>
      <c r="BZ13" s="278">
        <f t="shared" si="14"/>
        <v>0</v>
      </c>
      <c r="CA13" s="278">
        <f t="shared" si="14"/>
        <v>0</v>
      </c>
      <c r="CB13" s="278">
        <f t="shared" si="14"/>
        <v>0</v>
      </c>
      <c r="CC13" s="278">
        <f t="shared" si="14"/>
        <v>0</v>
      </c>
      <c r="CD13" s="278">
        <f t="shared" si="14"/>
        <v>0</v>
      </c>
      <c r="CE13" s="278">
        <f t="shared" si="14"/>
        <v>0</v>
      </c>
      <c r="CF13" s="278">
        <f t="shared" si="14"/>
        <v>0</v>
      </c>
      <c r="CG13" s="278">
        <f t="shared" si="14"/>
        <v>0</v>
      </c>
      <c r="CH13" s="278">
        <f t="shared" si="14"/>
        <v>0</v>
      </c>
      <c r="CI13" s="278">
        <f t="shared" si="14"/>
        <v>0</v>
      </c>
      <c r="CJ13" s="373">
        <f t="shared" si="14"/>
        <v>0</v>
      </c>
      <c r="CK13" s="373">
        <f t="shared" si="14"/>
        <v>0</v>
      </c>
      <c r="CL13" s="373">
        <f t="shared" si="14"/>
        <v>0</v>
      </c>
      <c r="CM13" s="373">
        <f t="shared" si="14"/>
        <v>0</v>
      </c>
      <c r="CN13" s="373">
        <f t="shared" si="14"/>
        <v>0</v>
      </c>
      <c r="CO13" s="373">
        <f t="shared" si="14"/>
        <v>0</v>
      </c>
      <c r="CP13" s="373">
        <f t="shared" si="14"/>
        <v>0</v>
      </c>
      <c r="CQ13" s="373">
        <f t="shared" si="14"/>
        <v>0</v>
      </c>
      <c r="CR13" s="373">
        <f t="shared" si="14"/>
        <v>0</v>
      </c>
      <c r="CS13" s="373">
        <f t="shared" si="14"/>
        <v>0</v>
      </c>
      <c r="CT13" s="373">
        <f t="shared" si="14"/>
        <v>0</v>
      </c>
      <c r="CU13" s="373">
        <f t="shared" si="14"/>
        <v>0</v>
      </c>
      <c r="CV13" s="373">
        <f t="shared" si="14"/>
        <v>0</v>
      </c>
      <c r="CW13" s="373">
        <f t="shared" si="14"/>
        <v>0</v>
      </c>
      <c r="CX13" s="278">
        <f t="shared" si="14"/>
        <v>0</v>
      </c>
      <c r="CY13" s="373">
        <f t="shared" si="14"/>
        <v>0</v>
      </c>
      <c r="CZ13" s="373">
        <f t="shared" si="14"/>
        <v>0</v>
      </c>
      <c r="DA13" s="373">
        <f t="shared" si="14"/>
        <v>0</v>
      </c>
      <c r="DB13" s="373">
        <f t="shared" si="14"/>
        <v>0</v>
      </c>
      <c r="DC13" s="373">
        <f t="shared" si="14"/>
        <v>0</v>
      </c>
      <c r="DD13" s="373">
        <f t="shared" si="14"/>
        <v>0</v>
      </c>
      <c r="DE13" s="373">
        <f t="shared" si="14"/>
        <v>0</v>
      </c>
      <c r="DF13" s="373">
        <f t="shared" si="14"/>
        <v>0</v>
      </c>
      <c r="DG13" s="373">
        <f t="shared" si="14"/>
        <v>0</v>
      </c>
      <c r="DH13" s="373">
        <f t="shared" si="14"/>
        <v>0</v>
      </c>
      <c r="DI13" s="373">
        <f t="shared" si="14"/>
        <v>0</v>
      </c>
      <c r="DJ13" s="373">
        <f t="shared" si="14"/>
        <v>0</v>
      </c>
      <c r="DK13" s="373">
        <f t="shared" si="14"/>
        <v>0</v>
      </c>
      <c r="DL13" s="373">
        <f t="shared" si="14"/>
        <v>0</v>
      </c>
      <c r="DM13" s="373">
        <f t="shared" si="14"/>
        <v>0</v>
      </c>
      <c r="DN13" s="373">
        <f t="shared" si="14"/>
        <v>0</v>
      </c>
      <c r="DO13" s="373">
        <f t="shared" si="14"/>
        <v>0</v>
      </c>
      <c r="DP13" s="373">
        <f t="shared" si="14"/>
        <v>0</v>
      </c>
      <c r="DQ13" s="373">
        <f t="shared" si="14"/>
        <v>0</v>
      </c>
      <c r="DR13" s="373">
        <f t="shared" si="14"/>
        <v>0</v>
      </c>
      <c r="DS13" s="373">
        <f t="shared" si="14"/>
        <v>0</v>
      </c>
      <c r="DT13" s="373">
        <f t="shared" si="14"/>
        <v>0</v>
      </c>
      <c r="DU13" s="373">
        <f t="shared" si="14"/>
        <v>0</v>
      </c>
      <c r="DV13" s="373">
        <f t="shared" si="14"/>
        <v>0</v>
      </c>
      <c r="DW13" s="373">
        <f t="shared" si="14"/>
        <v>0</v>
      </c>
      <c r="DX13" s="373">
        <f t="shared" si="14"/>
        <v>0</v>
      </c>
      <c r="DY13" s="373">
        <f t="shared" si="14"/>
        <v>0</v>
      </c>
      <c r="DZ13" s="278">
        <f t="shared" si="14"/>
        <v>0</v>
      </c>
      <c r="EA13" s="278">
        <f t="shared" si="14"/>
        <v>0</v>
      </c>
      <c r="EB13" s="278">
        <f t="shared" si="14"/>
        <v>0</v>
      </c>
      <c r="EC13" s="278">
        <f t="shared" si="14"/>
        <v>0</v>
      </c>
      <c r="ED13" s="278">
        <f t="shared" si="14"/>
        <v>0</v>
      </c>
    </row>
    <row r="14" spans="1:248" ht="13.5" customHeight="1" collapsed="1" thickBot="1">
      <c r="C14" s="377" t="s">
        <v>164</v>
      </c>
      <c r="H14" s="261" t="s">
        <v>164</v>
      </c>
      <c r="I14" s="358">
        <f>I19-I18</f>
        <v>-2560615</v>
      </c>
      <c r="K14" s="317" t="s">
        <v>131</v>
      </c>
      <c r="L14" s="318"/>
      <c r="M14" s="318"/>
      <c r="N14" s="326"/>
      <c r="O14" s="326"/>
      <c r="P14" s="326"/>
      <c r="Q14" s="326"/>
      <c r="R14" s="317" t="s">
        <v>131</v>
      </c>
      <c r="S14" s="363">
        <f t="shared" ref="S14:AW14" si="16">S12+S13</f>
        <v>25695</v>
      </c>
      <c r="T14" s="371">
        <f>T12+T13</f>
        <v>25695</v>
      </c>
      <c r="U14" s="371">
        <f t="shared" si="16"/>
        <v>25695</v>
      </c>
      <c r="V14" s="371">
        <f t="shared" si="16"/>
        <v>25695</v>
      </c>
      <c r="W14" s="371">
        <f t="shared" si="16"/>
        <v>25695</v>
      </c>
      <c r="X14" s="371">
        <f t="shared" si="16"/>
        <v>25695</v>
      </c>
      <c r="Y14" s="371">
        <f t="shared" si="16"/>
        <v>25695</v>
      </c>
      <c r="Z14" s="371">
        <f t="shared" si="16"/>
        <v>25695</v>
      </c>
      <c r="AA14" s="371">
        <f>AA12+AA13</f>
        <v>26776</v>
      </c>
      <c r="AB14" s="371">
        <f t="shared" si="16"/>
        <v>26776</v>
      </c>
      <c r="AC14" s="371">
        <f t="shared" si="16"/>
        <v>26776</v>
      </c>
      <c r="AD14" s="371">
        <f t="shared" si="16"/>
        <v>26776</v>
      </c>
      <c r="AE14" s="371">
        <f t="shared" si="16"/>
        <v>25695</v>
      </c>
      <c r="AF14" s="371">
        <f t="shared" si="16"/>
        <v>25695</v>
      </c>
      <c r="AG14" s="371">
        <f t="shared" si="16"/>
        <v>25695</v>
      </c>
      <c r="AH14" s="371">
        <f t="shared" si="16"/>
        <v>25695</v>
      </c>
      <c r="AI14" s="371">
        <f t="shared" si="16"/>
        <v>25695</v>
      </c>
      <c r="AJ14" s="371">
        <f t="shared" si="16"/>
        <v>25695</v>
      </c>
      <c r="AK14" s="371">
        <f t="shared" si="16"/>
        <v>25695</v>
      </c>
      <c r="AL14" s="378">
        <f t="shared" si="16"/>
        <v>26578</v>
      </c>
      <c r="AM14" s="371">
        <f t="shared" si="16"/>
        <v>27342</v>
      </c>
      <c r="AN14" s="371">
        <f t="shared" si="16"/>
        <v>27342</v>
      </c>
      <c r="AO14" s="378">
        <f t="shared" ref="AO14:AU14" si="17">AO12+AO13</f>
        <v>23314</v>
      </c>
      <c r="AP14" s="371">
        <f t="shared" si="17"/>
        <v>23314</v>
      </c>
      <c r="AQ14" s="371">
        <f t="shared" si="17"/>
        <v>23314</v>
      </c>
      <c r="AR14" s="371">
        <f t="shared" si="17"/>
        <v>23314</v>
      </c>
      <c r="AS14" s="371">
        <f t="shared" si="17"/>
        <v>23314</v>
      </c>
      <c r="AT14" s="371">
        <f t="shared" si="17"/>
        <v>23314</v>
      </c>
      <c r="AU14" s="371">
        <f t="shared" si="17"/>
        <v>23314</v>
      </c>
      <c r="AV14" s="371">
        <f t="shared" si="16"/>
        <v>24044</v>
      </c>
      <c r="AW14" s="401">
        <f t="shared" si="16"/>
        <v>24044</v>
      </c>
      <c r="AX14" s="401">
        <f t="shared" ref="AX14:AY14" si="18">AX12+AX13</f>
        <v>24044</v>
      </c>
      <c r="AY14" s="401">
        <f t="shared" si="18"/>
        <v>24044</v>
      </c>
      <c r="AZ14" s="401">
        <f t="shared" ref="AZ14:BB14" si="19">AZ12+AZ13</f>
        <v>24044</v>
      </c>
      <c r="BA14" s="401">
        <f t="shared" si="19"/>
        <v>24044</v>
      </c>
      <c r="BB14" s="435">
        <f t="shared" si="19"/>
        <v>18217</v>
      </c>
      <c r="BC14" s="371">
        <f t="shared" ref="BC14:BD14" si="20">BC12+BC13</f>
        <v>18217</v>
      </c>
      <c r="BD14" s="371">
        <f t="shared" si="20"/>
        <v>36045</v>
      </c>
      <c r="BE14" s="371">
        <f t="shared" ref="BE14:BF14" si="21">BE12+BE13</f>
        <v>36045</v>
      </c>
      <c r="BF14" s="371">
        <f t="shared" si="21"/>
        <v>89163</v>
      </c>
      <c r="BG14" s="371">
        <f t="shared" ref="BG14:BH14" si="22">BG12+BG13</f>
        <v>89163</v>
      </c>
      <c r="BH14" s="371">
        <f t="shared" si="22"/>
        <v>89163</v>
      </c>
      <c r="BI14" s="371">
        <f t="shared" ref="BI14:BJ14" si="23">BI12+BI13</f>
        <v>89163</v>
      </c>
      <c r="BJ14" s="371">
        <f t="shared" si="23"/>
        <v>89163</v>
      </c>
      <c r="BK14" s="371">
        <f t="shared" ref="BK14:BL14" si="24">BK12+BK13</f>
        <v>89163</v>
      </c>
      <c r="BL14" s="366">
        <f t="shared" si="24"/>
        <v>89163</v>
      </c>
      <c r="BM14" s="366">
        <f t="shared" ref="BM14:BN14" si="25">BM12+BM13</f>
        <v>89163</v>
      </c>
      <c r="BN14" s="366">
        <f t="shared" si="25"/>
        <v>89163</v>
      </c>
      <c r="BO14" s="366">
        <f t="shared" ref="BO14:BP14" si="26">BO12+BO13</f>
        <v>89163</v>
      </c>
      <c r="BP14" s="366">
        <f t="shared" si="26"/>
        <v>89163</v>
      </c>
      <c r="BQ14" s="366">
        <f t="shared" ref="BQ14:BS14" si="27">BQ12+BQ13</f>
        <v>89163</v>
      </c>
      <c r="BR14" s="366">
        <f t="shared" si="27"/>
        <v>89163</v>
      </c>
      <c r="BS14" s="366">
        <f t="shared" si="27"/>
        <v>89163</v>
      </c>
      <c r="BT14" s="366">
        <f t="shared" ref="BT14:BV14" si="28">BT12+BT13</f>
        <v>89163</v>
      </c>
      <c r="BU14" s="366">
        <f t="shared" si="28"/>
        <v>36045</v>
      </c>
      <c r="BV14" s="366">
        <f t="shared" si="28"/>
        <v>36045</v>
      </c>
      <c r="BW14" s="366">
        <f t="shared" ref="BW14:BX14" si="29">BW12+BW13</f>
        <v>36045</v>
      </c>
      <c r="BX14" s="366">
        <f t="shared" si="29"/>
        <v>36045</v>
      </c>
      <c r="BY14" s="366">
        <f t="shared" ref="BY14:BZ14" si="30">BY12+BY13</f>
        <v>36045</v>
      </c>
      <c r="BZ14" s="366">
        <f t="shared" si="30"/>
        <v>36045</v>
      </c>
      <c r="CA14" s="366">
        <f>CA12+CA13</f>
        <v>36045</v>
      </c>
      <c r="CB14" s="366">
        <f t="shared" ref="CB14" si="31">CB12+CB13</f>
        <v>36045</v>
      </c>
      <c r="CC14" s="366">
        <f t="shared" ref="CC14:CH14" si="32">CC12+CC13</f>
        <v>36045</v>
      </c>
      <c r="CD14" s="366">
        <f t="shared" si="32"/>
        <v>36045</v>
      </c>
      <c r="CE14" s="366">
        <f t="shared" si="32"/>
        <v>36045</v>
      </c>
      <c r="CF14" s="366">
        <f t="shared" si="32"/>
        <v>36045</v>
      </c>
      <c r="CG14" s="366">
        <f t="shared" si="32"/>
        <v>36681</v>
      </c>
      <c r="CH14" s="366">
        <f t="shared" si="32"/>
        <v>36681</v>
      </c>
      <c r="CI14" s="366">
        <f t="shared" ref="CI14:CK14" si="33">CI12+CI13</f>
        <v>36681</v>
      </c>
      <c r="CJ14" s="371">
        <f t="shared" si="33"/>
        <v>36681</v>
      </c>
      <c r="CK14" s="371">
        <f t="shared" si="33"/>
        <v>36681</v>
      </c>
      <c r="CL14" s="371">
        <f t="shared" ref="CL14:CM14" si="34">CL12+CL13</f>
        <v>36681</v>
      </c>
      <c r="CM14" s="371">
        <f t="shared" si="34"/>
        <v>36681</v>
      </c>
      <c r="CN14" s="371">
        <f t="shared" ref="CN14:CO14" si="35">CN12+CN13</f>
        <v>36681</v>
      </c>
      <c r="CO14" s="371">
        <f t="shared" si="35"/>
        <v>36681</v>
      </c>
      <c r="CP14" s="371">
        <f t="shared" ref="CP14:CT14" si="36">CP12+CP13</f>
        <v>36681</v>
      </c>
      <c r="CQ14" s="371">
        <f t="shared" si="36"/>
        <v>36681</v>
      </c>
      <c r="CR14" s="371">
        <f t="shared" si="36"/>
        <v>36681</v>
      </c>
      <c r="CS14" s="371">
        <f t="shared" si="36"/>
        <v>36681</v>
      </c>
      <c r="CT14" s="371">
        <f t="shared" si="36"/>
        <v>36681</v>
      </c>
      <c r="CU14" s="371">
        <f t="shared" ref="CU14:CW14" si="37">CU12+CU13</f>
        <v>36681</v>
      </c>
      <c r="CV14" s="371">
        <f t="shared" si="37"/>
        <v>36681</v>
      </c>
      <c r="CW14" s="371">
        <f t="shared" si="37"/>
        <v>36681</v>
      </c>
      <c r="CX14" s="371">
        <f t="shared" ref="CX14:CZ14" si="38">CX12+CX13</f>
        <v>36681</v>
      </c>
      <c r="CY14" s="371">
        <f t="shared" si="38"/>
        <v>36681</v>
      </c>
      <c r="CZ14" s="371">
        <f t="shared" si="38"/>
        <v>36681</v>
      </c>
      <c r="DA14" s="371">
        <f t="shared" ref="DA14:DF14" si="39">DA12+DA13</f>
        <v>36681</v>
      </c>
      <c r="DB14" s="371">
        <f t="shared" si="39"/>
        <v>36681</v>
      </c>
      <c r="DC14" s="371">
        <f t="shared" si="39"/>
        <v>36681</v>
      </c>
      <c r="DD14" s="371">
        <f t="shared" si="39"/>
        <v>36681</v>
      </c>
      <c r="DE14" s="371">
        <f t="shared" si="39"/>
        <v>36681</v>
      </c>
      <c r="DF14" s="371">
        <f t="shared" si="39"/>
        <v>36681</v>
      </c>
      <c r="DG14" s="371">
        <f t="shared" ref="DG14:DH14" si="40">DG12+DG13</f>
        <v>36681</v>
      </c>
      <c r="DH14" s="371">
        <f t="shared" si="40"/>
        <v>36681</v>
      </c>
      <c r="DI14" s="371">
        <f t="shared" ref="DI14:DK14" si="41">DI12+DI13</f>
        <v>36681</v>
      </c>
      <c r="DJ14" s="371">
        <f t="shared" si="41"/>
        <v>36681</v>
      </c>
      <c r="DK14" s="371">
        <f t="shared" si="41"/>
        <v>36681</v>
      </c>
      <c r="DL14" s="371">
        <f t="shared" ref="DL14:DN14" si="42">DL12+DL13</f>
        <v>36681</v>
      </c>
      <c r="DM14" s="371">
        <f t="shared" si="42"/>
        <v>36681</v>
      </c>
      <c r="DN14" s="371">
        <f t="shared" si="42"/>
        <v>36681</v>
      </c>
      <c r="DO14" s="371">
        <f t="shared" ref="DO14:DR14" si="43">DO12+DO13</f>
        <v>36681</v>
      </c>
      <c r="DP14" s="371">
        <f t="shared" si="43"/>
        <v>36681</v>
      </c>
      <c r="DQ14" s="371">
        <f t="shared" si="43"/>
        <v>36681</v>
      </c>
      <c r="DR14" s="371">
        <f t="shared" si="43"/>
        <v>36681</v>
      </c>
      <c r="DS14" s="371">
        <f t="shared" ref="DS14:DU14" si="44">DS12+DS13</f>
        <v>36681</v>
      </c>
      <c r="DT14" s="371">
        <f t="shared" si="44"/>
        <v>36681</v>
      </c>
      <c r="DU14" s="371">
        <f t="shared" si="44"/>
        <v>36681</v>
      </c>
      <c r="DV14" s="371">
        <f t="shared" ref="DV14:DX14" si="45">DV12+DV13</f>
        <v>36681</v>
      </c>
      <c r="DW14" s="371">
        <f t="shared" si="45"/>
        <v>36681</v>
      </c>
      <c r="DX14" s="371">
        <f t="shared" si="45"/>
        <v>36681</v>
      </c>
      <c r="DY14" s="371">
        <f t="shared" ref="DY14:ED14" si="46">DY12+DY13</f>
        <v>36681</v>
      </c>
      <c r="DZ14" s="366">
        <f t="shared" si="46"/>
        <v>36681</v>
      </c>
      <c r="EA14" s="366">
        <f t="shared" si="46"/>
        <v>36681</v>
      </c>
      <c r="EB14" s="366">
        <f t="shared" si="46"/>
        <v>36681</v>
      </c>
      <c r="EC14" s="366">
        <f t="shared" si="46"/>
        <v>36681</v>
      </c>
      <c r="ED14" s="366">
        <f t="shared" si="46"/>
        <v>36681</v>
      </c>
      <c r="EE14" s="318">
        <f t="shared" ref="EE14:EL14" si="47">EE12+EE13</f>
        <v>0</v>
      </c>
      <c r="EF14" s="318">
        <f t="shared" si="47"/>
        <v>0</v>
      </c>
      <c r="EG14" s="318">
        <f t="shared" si="47"/>
        <v>0</v>
      </c>
      <c r="EH14" s="318">
        <f t="shared" si="47"/>
        <v>0</v>
      </c>
      <c r="EI14" s="318">
        <f t="shared" si="47"/>
        <v>0</v>
      </c>
      <c r="EJ14" s="318">
        <f t="shared" si="47"/>
        <v>0</v>
      </c>
      <c r="EK14" s="318">
        <f t="shared" si="47"/>
        <v>0</v>
      </c>
      <c r="EL14" s="318">
        <f t="shared" si="47"/>
        <v>0</v>
      </c>
      <c r="EM14" s="318">
        <f t="shared" ref="EM14:FR14" si="48">EM12+EM13</f>
        <v>0</v>
      </c>
      <c r="EN14" s="318">
        <f t="shared" si="48"/>
        <v>0</v>
      </c>
      <c r="EO14" s="318">
        <f t="shared" si="48"/>
        <v>0</v>
      </c>
      <c r="EP14" s="318">
        <f t="shared" si="48"/>
        <v>0</v>
      </c>
      <c r="EQ14" s="318">
        <f t="shared" si="48"/>
        <v>0</v>
      </c>
      <c r="ER14" s="318">
        <f t="shared" si="48"/>
        <v>0</v>
      </c>
      <c r="ES14" s="318">
        <f t="shared" si="48"/>
        <v>0</v>
      </c>
      <c r="ET14" s="318">
        <f t="shared" si="48"/>
        <v>0</v>
      </c>
      <c r="EU14" s="318">
        <f t="shared" si="48"/>
        <v>0</v>
      </c>
      <c r="EV14" s="318">
        <f t="shared" si="48"/>
        <v>0</v>
      </c>
      <c r="EW14" s="318">
        <f t="shared" si="48"/>
        <v>0</v>
      </c>
      <c r="EX14" s="318">
        <f t="shared" si="48"/>
        <v>0</v>
      </c>
      <c r="EY14" s="318">
        <f t="shared" si="48"/>
        <v>0</v>
      </c>
      <c r="EZ14" s="318">
        <f t="shared" si="48"/>
        <v>0</v>
      </c>
      <c r="FA14" s="318">
        <f t="shared" si="48"/>
        <v>0</v>
      </c>
      <c r="FB14" s="318">
        <f t="shared" si="48"/>
        <v>0</v>
      </c>
      <c r="FC14" s="318">
        <f t="shared" si="48"/>
        <v>0</v>
      </c>
      <c r="FD14" s="318">
        <f t="shared" si="48"/>
        <v>0</v>
      </c>
      <c r="FE14" s="318">
        <f t="shared" si="48"/>
        <v>0</v>
      </c>
      <c r="FF14" s="318">
        <f t="shared" si="48"/>
        <v>0</v>
      </c>
      <c r="FG14" s="318">
        <f t="shared" si="48"/>
        <v>0</v>
      </c>
      <c r="FH14" s="318">
        <f t="shared" si="48"/>
        <v>0</v>
      </c>
      <c r="FI14" s="318">
        <f t="shared" si="48"/>
        <v>0</v>
      </c>
      <c r="FJ14" s="318">
        <f t="shared" si="48"/>
        <v>0</v>
      </c>
      <c r="FK14" s="318">
        <f t="shared" si="48"/>
        <v>0</v>
      </c>
      <c r="FL14" s="318">
        <f t="shared" si="48"/>
        <v>0</v>
      </c>
      <c r="FM14" s="318">
        <f t="shared" si="48"/>
        <v>0</v>
      </c>
      <c r="FN14" s="318">
        <f t="shared" si="48"/>
        <v>0</v>
      </c>
      <c r="FO14" s="318">
        <f t="shared" si="48"/>
        <v>0</v>
      </c>
      <c r="FP14" s="318">
        <f t="shared" si="48"/>
        <v>0</v>
      </c>
      <c r="FQ14" s="318">
        <f t="shared" si="48"/>
        <v>0</v>
      </c>
      <c r="FR14" s="318">
        <f t="shared" si="48"/>
        <v>0</v>
      </c>
      <c r="FS14" s="318">
        <f t="shared" ref="FS14:GN14" si="49">FS12+FS13</f>
        <v>0</v>
      </c>
      <c r="FT14" s="318">
        <f t="shared" si="49"/>
        <v>0</v>
      </c>
      <c r="FU14" s="318">
        <f t="shared" si="49"/>
        <v>0</v>
      </c>
      <c r="FV14" s="318">
        <f t="shared" si="49"/>
        <v>0</v>
      </c>
      <c r="FW14" s="318">
        <f t="shared" si="49"/>
        <v>0</v>
      </c>
      <c r="FX14" s="318">
        <f t="shared" si="49"/>
        <v>0</v>
      </c>
      <c r="FY14" s="318">
        <f t="shared" si="49"/>
        <v>0</v>
      </c>
      <c r="FZ14" s="318">
        <f t="shared" si="49"/>
        <v>0</v>
      </c>
      <c r="GA14" s="318">
        <f t="shared" si="49"/>
        <v>0</v>
      </c>
      <c r="GB14" s="318">
        <f t="shared" si="49"/>
        <v>0</v>
      </c>
      <c r="GC14" s="318">
        <f t="shared" si="49"/>
        <v>0</v>
      </c>
      <c r="GD14" s="318">
        <f t="shared" si="49"/>
        <v>0</v>
      </c>
      <c r="GE14" s="318">
        <f t="shared" si="49"/>
        <v>0</v>
      </c>
      <c r="GF14" s="318">
        <f t="shared" si="49"/>
        <v>0</v>
      </c>
      <c r="GG14" s="318">
        <f t="shared" si="49"/>
        <v>0</v>
      </c>
      <c r="GH14" s="318">
        <f t="shared" si="49"/>
        <v>0</v>
      </c>
      <c r="GI14" s="318">
        <f t="shared" si="49"/>
        <v>0</v>
      </c>
      <c r="GJ14" s="318">
        <f t="shared" si="49"/>
        <v>0</v>
      </c>
      <c r="GK14" s="318">
        <f t="shared" si="49"/>
        <v>0</v>
      </c>
      <c r="GL14" s="318">
        <f t="shared" si="49"/>
        <v>0</v>
      </c>
      <c r="GM14" s="318">
        <f t="shared" si="49"/>
        <v>0</v>
      </c>
      <c r="GN14" s="318">
        <f t="shared" si="49"/>
        <v>0</v>
      </c>
    </row>
    <row r="15" spans="1:248" ht="13.5" hidden="1" customHeight="1" thickBot="1">
      <c r="A15" s="294" t="s">
        <v>115</v>
      </c>
      <c r="B15" s="294" t="s">
        <v>116</v>
      </c>
      <c r="C15" s="294" t="s">
        <v>133</v>
      </c>
      <c r="D15" s="264">
        <v>5</v>
      </c>
      <c r="E15" s="295"/>
      <c r="F15" s="296"/>
      <c r="G15" s="296"/>
      <c r="H15" s="297" t="s">
        <v>132</v>
      </c>
      <c r="I15" s="311">
        <v>0</v>
      </c>
      <c r="J15" s="294" t="s">
        <v>174</v>
      </c>
      <c r="K15" s="317" t="s">
        <v>129</v>
      </c>
      <c r="L15" s="314">
        <v>4203</v>
      </c>
      <c r="M15" s="314">
        <f>L15</f>
        <v>4203</v>
      </c>
      <c r="N15" s="314">
        <v>4203</v>
      </c>
      <c r="O15" s="314">
        <v>4203</v>
      </c>
      <c r="P15" s="314">
        <v>4203</v>
      </c>
      <c r="Q15" s="344">
        <v>4203</v>
      </c>
      <c r="R15" s="344">
        <v>4203</v>
      </c>
      <c r="S15" s="365">
        <v>4203</v>
      </c>
      <c r="T15" s="372">
        <v>4203</v>
      </c>
      <c r="U15" s="372">
        <v>4203</v>
      </c>
      <c r="V15" s="372">
        <v>4203</v>
      </c>
      <c r="W15" s="372">
        <v>4203</v>
      </c>
      <c r="X15" s="372">
        <v>4203</v>
      </c>
      <c r="Y15" s="372">
        <v>4203</v>
      </c>
      <c r="Z15" s="372">
        <v>4203</v>
      </c>
      <c r="AA15" s="372">
        <v>4203</v>
      </c>
      <c r="AB15" s="372">
        <v>4203</v>
      </c>
      <c r="AC15" s="372">
        <v>4203</v>
      </c>
      <c r="AD15" s="372">
        <v>4203</v>
      </c>
      <c r="AE15" s="372">
        <v>4203</v>
      </c>
      <c r="AF15" s="372">
        <v>4203</v>
      </c>
      <c r="AG15" s="372">
        <v>4403</v>
      </c>
      <c r="AH15" s="372">
        <v>4303</v>
      </c>
      <c r="AI15" s="372">
        <f t="shared" ref="AI15:AN16" si="50">AH15</f>
        <v>4303</v>
      </c>
      <c r="AJ15" s="372">
        <f t="shared" si="50"/>
        <v>4303</v>
      </c>
      <c r="AK15" s="372">
        <f t="shared" si="50"/>
        <v>4303</v>
      </c>
      <c r="AL15" s="372">
        <f>AK15</f>
        <v>4303</v>
      </c>
      <c r="AM15" s="372">
        <f>AL15</f>
        <v>4303</v>
      </c>
      <c r="AN15" s="372">
        <f>AM15</f>
        <v>4303</v>
      </c>
      <c r="AO15" s="367"/>
      <c r="AP15" s="367"/>
      <c r="AQ15" s="367"/>
      <c r="AR15" s="367"/>
      <c r="AS15" s="367"/>
      <c r="AT15" s="367"/>
      <c r="AU15" s="367"/>
      <c r="AV15" s="367"/>
      <c r="AW15" s="367"/>
      <c r="AX15" s="367"/>
      <c r="AY15" s="367"/>
      <c r="AZ15" s="367"/>
      <c r="BA15" s="367"/>
      <c r="BB15" s="367"/>
      <c r="BC15" s="367"/>
      <c r="BD15" s="367"/>
      <c r="BE15" s="367"/>
      <c r="BF15" s="367"/>
      <c r="BG15" s="367"/>
      <c r="BH15" s="367"/>
      <c r="BI15" s="367"/>
      <c r="BJ15" s="367"/>
      <c r="BK15" s="367"/>
      <c r="BL15" s="367"/>
      <c r="BM15" s="367"/>
      <c r="BN15" s="367"/>
      <c r="BO15" s="367"/>
      <c r="BP15" s="367"/>
      <c r="BQ15" s="367"/>
      <c r="BR15" s="367"/>
      <c r="BS15" s="367"/>
      <c r="BT15" s="367"/>
      <c r="BU15" s="367"/>
      <c r="BV15" s="367"/>
      <c r="BW15" s="367"/>
      <c r="BX15" s="367"/>
      <c r="BY15" s="367"/>
      <c r="BZ15" s="367"/>
      <c r="CA15" s="367"/>
      <c r="CB15" s="367"/>
      <c r="CC15" s="367"/>
      <c r="CD15" s="367"/>
      <c r="CE15" s="367"/>
      <c r="CF15" s="367"/>
      <c r="CG15" s="367"/>
      <c r="CH15" s="367"/>
      <c r="CI15" s="367"/>
      <c r="CJ15" s="367"/>
      <c r="CK15" s="367"/>
      <c r="CL15" s="367"/>
      <c r="CM15" s="367"/>
      <c r="CN15" s="367"/>
      <c r="CO15" s="367"/>
      <c r="CP15" s="367"/>
      <c r="CQ15" s="367"/>
      <c r="CR15" s="367"/>
      <c r="CS15" s="367"/>
      <c r="CT15" s="367"/>
      <c r="CU15" s="367"/>
      <c r="CV15" s="367"/>
      <c r="CW15" s="367"/>
      <c r="CX15" s="367"/>
      <c r="CY15" s="367"/>
      <c r="CZ15" s="367"/>
      <c r="DA15" s="367"/>
      <c r="DB15" s="367"/>
      <c r="DC15" s="367"/>
      <c r="DD15" s="367"/>
      <c r="DE15" s="367"/>
      <c r="DF15" s="367"/>
      <c r="DG15" s="367"/>
      <c r="DH15" s="367"/>
      <c r="DI15" s="367"/>
      <c r="DJ15" s="367"/>
      <c r="DK15" s="367"/>
      <c r="DL15" s="367"/>
      <c r="DM15" s="367"/>
      <c r="DN15" s="367"/>
      <c r="DO15" s="367"/>
      <c r="DP15" s="367"/>
      <c r="DQ15" s="367"/>
      <c r="DR15" s="367"/>
      <c r="DS15" s="367"/>
      <c r="DT15" s="367"/>
      <c r="DU15" s="367"/>
      <c r="DV15" s="367"/>
      <c r="DW15" s="367"/>
      <c r="DX15" s="367"/>
      <c r="DY15" s="367"/>
      <c r="DZ15" s="367"/>
      <c r="EA15" s="367"/>
      <c r="EB15" s="367"/>
      <c r="EC15" s="367"/>
      <c r="ED15" s="367"/>
      <c r="EE15" s="314"/>
      <c r="EF15" s="315"/>
      <c r="EG15" s="314"/>
      <c r="EH15" s="376"/>
      <c r="EI15" s="314"/>
      <c r="EJ15" s="315"/>
      <c r="EK15" s="314"/>
      <c r="EL15" s="315"/>
      <c r="EM15" s="314"/>
      <c r="EN15" s="315"/>
      <c r="EO15" s="314"/>
      <c r="EP15" s="315"/>
      <c r="EQ15" s="314"/>
      <c r="ER15" s="315"/>
      <c r="ES15" s="314"/>
      <c r="ET15" s="315"/>
      <c r="EU15" s="314"/>
      <c r="EV15" s="315"/>
      <c r="EW15" s="314"/>
      <c r="EX15" s="315"/>
      <c r="EY15" s="314"/>
      <c r="EZ15" s="315"/>
      <c r="FA15" s="314"/>
      <c r="FB15" s="376"/>
      <c r="FC15" s="314"/>
      <c r="FD15" s="315"/>
      <c r="FE15" s="314"/>
      <c r="FF15" s="315"/>
      <c r="FG15" s="314"/>
      <c r="FH15" s="315"/>
      <c r="FI15" s="314"/>
      <c r="FJ15" s="315"/>
      <c r="FK15" s="314"/>
      <c r="FL15" s="315"/>
      <c r="FM15" s="314"/>
      <c r="FN15" s="315"/>
      <c r="FO15" s="315"/>
      <c r="FP15" s="315"/>
      <c r="FQ15" s="315"/>
      <c r="FR15" s="315"/>
      <c r="FS15" s="315"/>
      <c r="FT15" s="315"/>
      <c r="FU15" s="315"/>
      <c r="FV15" s="315"/>
      <c r="FW15" s="315"/>
      <c r="FX15" s="315"/>
      <c r="FY15" s="315"/>
      <c r="FZ15" s="315"/>
    </row>
    <row r="16" spans="1:248" ht="13.5" hidden="1" customHeight="1">
      <c r="I16" s="319" t="s">
        <v>175</v>
      </c>
      <c r="J16" s="323">
        <f>SUM(L16:DF16)</f>
        <v>89691</v>
      </c>
      <c r="K16" s="317" t="s">
        <v>130</v>
      </c>
      <c r="L16" s="276">
        <f>4178+45</f>
        <v>4223</v>
      </c>
      <c r="M16" s="276">
        <f>L16</f>
        <v>4223</v>
      </c>
      <c r="N16" s="276">
        <v>4223</v>
      </c>
      <c r="O16" s="276">
        <f>4223-426</f>
        <v>3797</v>
      </c>
      <c r="P16" s="276">
        <v>3797</v>
      </c>
      <c r="Q16" s="317">
        <f>P16</f>
        <v>3797</v>
      </c>
      <c r="R16" s="317">
        <v>1897</v>
      </c>
      <c r="S16" s="362">
        <v>2897</v>
      </c>
      <c r="T16" s="373">
        <v>2897</v>
      </c>
      <c r="U16" s="373">
        <v>2897</v>
      </c>
      <c r="V16" s="373">
        <v>2897</v>
      </c>
      <c r="W16" s="373">
        <v>2897</v>
      </c>
      <c r="X16" s="373">
        <v>2897</v>
      </c>
      <c r="Y16" s="373">
        <v>2897</v>
      </c>
      <c r="Z16" s="373">
        <v>2897</v>
      </c>
      <c r="AA16" s="373">
        <v>2897</v>
      </c>
      <c r="AB16" s="373">
        <v>2897</v>
      </c>
      <c r="AC16" s="373">
        <v>2897</v>
      </c>
      <c r="AD16" s="373">
        <v>2897</v>
      </c>
      <c r="AE16" s="373">
        <v>2897</v>
      </c>
      <c r="AF16" s="373">
        <v>2897</v>
      </c>
      <c r="AG16" s="373">
        <v>2897</v>
      </c>
      <c r="AH16" s="373">
        <v>2897</v>
      </c>
      <c r="AI16" s="373">
        <f t="shared" si="50"/>
        <v>2897</v>
      </c>
      <c r="AJ16" s="373">
        <f t="shared" si="50"/>
        <v>2897</v>
      </c>
      <c r="AK16" s="373">
        <f t="shared" si="50"/>
        <v>2897</v>
      </c>
      <c r="AL16" s="373">
        <f t="shared" si="50"/>
        <v>2897</v>
      </c>
      <c r="AM16" s="373">
        <f t="shared" si="50"/>
        <v>2897</v>
      </c>
      <c r="AN16" s="373">
        <f t="shared" si="50"/>
        <v>2897</v>
      </c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  <c r="BU16" s="278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8"/>
      <c r="DB16" s="278"/>
      <c r="DC16" s="278"/>
      <c r="DD16" s="278"/>
      <c r="DE16" s="278"/>
      <c r="DF16" s="278"/>
      <c r="DG16" s="278"/>
      <c r="DH16" s="278"/>
      <c r="DI16" s="278"/>
      <c r="DJ16" s="278"/>
      <c r="DK16" s="278"/>
      <c r="DL16" s="278"/>
      <c r="DM16" s="278"/>
      <c r="DN16" s="278"/>
      <c r="DO16" s="278"/>
      <c r="DP16" s="278"/>
      <c r="DQ16" s="278"/>
      <c r="DR16" s="278"/>
      <c r="DS16" s="278"/>
      <c r="DT16" s="278"/>
      <c r="DU16" s="278"/>
      <c r="DV16" s="278"/>
      <c r="DW16" s="278"/>
      <c r="DX16" s="278"/>
      <c r="DY16" s="278"/>
      <c r="DZ16" s="278"/>
      <c r="EA16" s="278"/>
      <c r="EB16" s="278"/>
      <c r="EC16" s="278"/>
      <c r="ED16" s="278"/>
    </row>
    <row r="17" spans="1:134" ht="13.5" hidden="1" customHeight="1" thickTop="1">
      <c r="K17" s="317" t="s">
        <v>131</v>
      </c>
      <c r="L17" s="318">
        <f>L15+L16</f>
        <v>8426</v>
      </c>
      <c r="M17" s="318">
        <f t="shared" ref="M17:BB17" si="51">M15+M16</f>
        <v>8426</v>
      </c>
      <c r="N17" s="326">
        <f t="shared" si="51"/>
        <v>8426</v>
      </c>
      <c r="O17" s="326">
        <f t="shared" si="51"/>
        <v>8000</v>
      </c>
      <c r="P17" s="326">
        <f t="shared" si="51"/>
        <v>8000</v>
      </c>
      <c r="Q17" s="326">
        <f t="shared" si="51"/>
        <v>8000</v>
      </c>
      <c r="R17" s="326">
        <f t="shared" si="51"/>
        <v>6100</v>
      </c>
      <c r="S17" s="363">
        <f t="shared" si="51"/>
        <v>7100</v>
      </c>
      <c r="T17" s="371">
        <f t="shared" si="51"/>
        <v>7100</v>
      </c>
      <c r="U17" s="371">
        <f t="shared" si="51"/>
        <v>7100</v>
      </c>
      <c r="V17" s="371">
        <v>8800</v>
      </c>
      <c r="W17" s="371">
        <f t="shared" si="51"/>
        <v>7100</v>
      </c>
      <c r="X17" s="371">
        <f t="shared" si="51"/>
        <v>7100</v>
      </c>
      <c r="Y17" s="371">
        <f t="shared" si="51"/>
        <v>7100</v>
      </c>
      <c r="Z17" s="371">
        <f t="shared" si="51"/>
        <v>7100</v>
      </c>
      <c r="AA17" s="371">
        <f>AA15+AA16</f>
        <v>7100</v>
      </c>
      <c r="AB17" s="371">
        <f t="shared" si="51"/>
        <v>7100</v>
      </c>
      <c r="AC17" s="371">
        <f t="shared" si="51"/>
        <v>7100</v>
      </c>
      <c r="AD17" s="371">
        <f t="shared" si="51"/>
        <v>7100</v>
      </c>
      <c r="AE17" s="378">
        <f t="shared" si="51"/>
        <v>7100</v>
      </c>
      <c r="AF17" s="371">
        <f t="shared" si="51"/>
        <v>7100</v>
      </c>
      <c r="AG17" s="371">
        <f t="shared" si="51"/>
        <v>7300</v>
      </c>
      <c r="AH17" s="371">
        <f t="shared" si="51"/>
        <v>7200</v>
      </c>
      <c r="AI17" s="371">
        <v>7400</v>
      </c>
      <c r="AJ17" s="371">
        <f t="shared" si="51"/>
        <v>7200</v>
      </c>
      <c r="AK17" s="371">
        <f t="shared" si="51"/>
        <v>7200</v>
      </c>
      <c r="AL17" s="371">
        <f t="shared" si="51"/>
        <v>7200</v>
      </c>
      <c r="AM17" s="371">
        <f>AM15+AM16</f>
        <v>7200</v>
      </c>
      <c r="AN17" s="371">
        <f>AN15+AN16</f>
        <v>7200</v>
      </c>
      <c r="AO17" s="366">
        <v>0</v>
      </c>
      <c r="AP17" s="366">
        <f t="shared" si="51"/>
        <v>0</v>
      </c>
      <c r="AQ17" s="366">
        <f t="shared" si="51"/>
        <v>0</v>
      </c>
      <c r="AR17" s="366">
        <f t="shared" si="51"/>
        <v>0</v>
      </c>
      <c r="AS17" s="366">
        <f t="shared" si="51"/>
        <v>0</v>
      </c>
      <c r="AT17" s="366">
        <f t="shared" si="51"/>
        <v>0</v>
      </c>
      <c r="AU17" s="366">
        <f t="shared" si="51"/>
        <v>0</v>
      </c>
      <c r="AV17" s="366">
        <f t="shared" si="51"/>
        <v>0</v>
      </c>
      <c r="AW17" s="366">
        <f t="shared" ref="AW17:AX17" si="52">AW15+AW16</f>
        <v>0</v>
      </c>
      <c r="AX17" s="366">
        <f t="shared" si="52"/>
        <v>0</v>
      </c>
      <c r="AY17" s="366">
        <f t="shared" si="51"/>
        <v>0</v>
      </c>
      <c r="AZ17" s="366">
        <f t="shared" si="51"/>
        <v>0</v>
      </c>
      <c r="BA17" s="366">
        <f t="shared" si="51"/>
        <v>0</v>
      </c>
      <c r="BB17" s="366">
        <f t="shared" si="51"/>
        <v>0</v>
      </c>
      <c r="BC17" s="366">
        <f t="shared" ref="BC17:BD17" si="53">BC15+BC16</f>
        <v>0</v>
      </c>
      <c r="BD17" s="366">
        <f t="shared" si="53"/>
        <v>0</v>
      </c>
      <c r="BE17" s="366">
        <f t="shared" ref="BE17:BF17" si="54">BE15+BE16</f>
        <v>0</v>
      </c>
      <c r="BF17" s="366">
        <f t="shared" si="54"/>
        <v>0</v>
      </c>
      <c r="BG17" s="366">
        <f t="shared" ref="BG17:BH17" si="55">BG15+BG16</f>
        <v>0</v>
      </c>
      <c r="BH17" s="366">
        <f t="shared" si="55"/>
        <v>0</v>
      </c>
      <c r="BI17" s="366">
        <f t="shared" ref="BI17:BJ17" si="56">BI15+BI16</f>
        <v>0</v>
      </c>
      <c r="BJ17" s="366">
        <f t="shared" si="56"/>
        <v>0</v>
      </c>
      <c r="BK17" s="366">
        <f t="shared" ref="BK17:BL17" si="57">BK15+BK16</f>
        <v>0</v>
      </c>
      <c r="BL17" s="366">
        <f t="shared" si="57"/>
        <v>0</v>
      </c>
      <c r="BM17" s="366">
        <f t="shared" ref="BM17:BN17" si="58">BM15+BM16</f>
        <v>0</v>
      </c>
      <c r="BN17" s="366">
        <f t="shared" si="58"/>
        <v>0</v>
      </c>
      <c r="BO17" s="366">
        <f t="shared" ref="BO17:BP17" si="59">BO15+BO16</f>
        <v>0</v>
      </c>
      <c r="BP17" s="366">
        <f t="shared" si="59"/>
        <v>0</v>
      </c>
      <c r="BQ17" s="366">
        <f t="shared" ref="BQ17:BS17" si="60">BQ15+BQ16</f>
        <v>0</v>
      </c>
      <c r="BR17" s="366">
        <f t="shared" si="60"/>
        <v>0</v>
      </c>
      <c r="BS17" s="366">
        <f t="shared" si="60"/>
        <v>0</v>
      </c>
      <c r="BT17" s="366">
        <f t="shared" ref="BT17:BV17" si="61">BT15+BT16</f>
        <v>0</v>
      </c>
      <c r="BU17" s="366">
        <f t="shared" si="61"/>
        <v>0</v>
      </c>
      <c r="BV17" s="366">
        <f t="shared" si="61"/>
        <v>0</v>
      </c>
      <c r="BW17" s="366">
        <f t="shared" ref="BW17:BX17" si="62">BW15+BW16</f>
        <v>0</v>
      </c>
      <c r="BX17" s="366">
        <f t="shared" si="62"/>
        <v>0</v>
      </c>
      <c r="BY17" s="366">
        <f t="shared" ref="BY17:BZ17" si="63">BY15+BY16</f>
        <v>0</v>
      </c>
      <c r="BZ17" s="366">
        <f t="shared" si="63"/>
        <v>0</v>
      </c>
      <c r="CA17" s="366">
        <f t="shared" ref="CA17:CB17" si="64">CA15+CA16</f>
        <v>0</v>
      </c>
      <c r="CB17" s="366">
        <f t="shared" si="64"/>
        <v>0</v>
      </c>
      <c r="CC17" s="366">
        <f t="shared" ref="CC17:CH17" si="65">CC15+CC16</f>
        <v>0</v>
      </c>
      <c r="CD17" s="366">
        <f t="shared" si="65"/>
        <v>0</v>
      </c>
      <c r="CE17" s="366">
        <f t="shared" si="65"/>
        <v>0</v>
      </c>
      <c r="CF17" s="366">
        <f t="shared" si="65"/>
        <v>0</v>
      </c>
      <c r="CG17" s="366">
        <f t="shared" si="65"/>
        <v>0</v>
      </c>
      <c r="CH17" s="366">
        <f t="shared" si="65"/>
        <v>0</v>
      </c>
      <c r="CI17" s="366">
        <f t="shared" ref="CI17:CK17" si="66">CI15+CI16</f>
        <v>0</v>
      </c>
      <c r="CJ17" s="366">
        <f t="shared" si="66"/>
        <v>0</v>
      </c>
      <c r="CK17" s="366">
        <f t="shared" si="66"/>
        <v>0</v>
      </c>
      <c r="CL17" s="366">
        <f t="shared" ref="CL17:CM17" si="67">CL15+CL16</f>
        <v>0</v>
      </c>
      <c r="CM17" s="366">
        <f t="shared" si="67"/>
        <v>0</v>
      </c>
      <c r="CN17" s="366">
        <f t="shared" ref="CN17:CO17" si="68">CN15+CN16</f>
        <v>0</v>
      </c>
      <c r="CO17" s="366">
        <f t="shared" si="68"/>
        <v>0</v>
      </c>
      <c r="CP17" s="366">
        <f t="shared" ref="CP17:CT17" si="69">CP15+CP16</f>
        <v>0</v>
      </c>
      <c r="CQ17" s="366">
        <f t="shared" si="69"/>
        <v>0</v>
      </c>
      <c r="CR17" s="366">
        <f t="shared" si="69"/>
        <v>0</v>
      </c>
      <c r="CS17" s="366">
        <f t="shared" si="69"/>
        <v>0</v>
      </c>
      <c r="CT17" s="366">
        <f t="shared" si="69"/>
        <v>0</v>
      </c>
      <c r="CU17" s="366">
        <f t="shared" ref="CU17:CW17" si="70">CU15+CU16</f>
        <v>0</v>
      </c>
      <c r="CV17" s="366">
        <f t="shared" si="70"/>
        <v>0</v>
      </c>
      <c r="CW17" s="366">
        <f t="shared" si="70"/>
        <v>0</v>
      </c>
      <c r="CX17" s="366">
        <f t="shared" ref="CX17:CZ17" si="71">CX15+CX16</f>
        <v>0</v>
      </c>
      <c r="CY17" s="366">
        <f t="shared" si="71"/>
        <v>0</v>
      </c>
      <c r="CZ17" s="366">
        <f t="shared" si="71"/>
        <v>0</v>
      </c>
      <c r="DA17" s="366">
        <f t="shared" ref="DA17:DF17" si="72">DA15+DA16</f>
        <v>0</v>
      </c>
      <c r="DB17" s="366">
        <f t="shared" si="72"/>
        <v>0</v>
      </c>
      <c r="DC17" s="366">
        <f t="shared" si="72"/>
        <v>0</v>
      </c>
      <c r="DD17" s="366">
        <f t="shared" si="72"/>
        <v>0</v>
      </c>
      <c r="DE17" s="366">
        <f t="shared" si="72"/>
        <v>0</v>
      </c>
      <c r="DF17" s="366">
        <f t="shared" si="72"/>
        <v>0</v>
      </c>
      <c r="DG17" s="366">
        <f t="shared" ref="DG17:DH17" si="73">DG15+DG16</f>
        <v>0</v>
      </c>
      <c r="DH17" s="366">
        <f t="shared" si="73"/>
        <v>0</v>
      </c>
      <c r="DI17" s="366">
        <f t="shared" ref="DI17:DK17" si="74">DI15+DI16</f>
        <v>0</v>
      </c>
      <c r="DJ17" s="366">
        <f t="shared" si="74"/>
        <v>0</v>
      </c>
      <c r="DK17" s="366">
        <f t="shared" si="74"/>
        <v>0</v>
      </c>
      <c r="DL17" s="366">
        <f t="shared" ref="DL17:DN17" si="75">DL15+DL16</f>
        <v>0</v>
      </c>
      <c r="DM17" s="366">
        <f t="shared" si="75"/>
        <v>0</v>
      </c>
      <c r="DN17" s="366">
        <f t="shared" si="75"/>
        <v>0</v>
      </c>
      <c r="DO17" s="366">
        <f t="shared" ref="DO17:DR17" si="76">DO15+DO16</f>
        <v>0</v>
      </c>
      <c r="DP17" s="366">
        <f t="shared" si="76"/>
        <v>0</v>
      </c>
      <c r="DQ17" s="366">
        <f t="shared" si="76"/>
        <v>0</v>
      </c>
      <c r="DR17" s="366">
        <f t="shared" si="76"/>
        <v>0</v>
      </c>
      <c r="DS17" s="366">
        <f t="shared" ref="DS17:DU17" si="77">DS15+DS16</f>
        <v>0</v>
      </c>
      <c r="DT17" s="366">
        <f t="shared" si="77"/>
        <v>0</v>
      </c>
      <c r="DU17" s="366">
        <f t="shared" si="77"/>
        <v>0</v>
      </c>
      <c r="DV17" s="366">
        <f t="shared" ref="DV17:DX17" si="78">DV15+DV16</f>
        <v>0</v>
      </c>
      <c r="DW17" s="366">
        <f t="shared" si="78"/>
        <v>0</v>
      </c>
      <c r="DX17" s="366">
        <f t="shared" si="78"/>
        <v>0</v>
      </c>
      <c r="DY17" s="366">
        <f t="shared" ref="DY17:ED17" si="79">DY15+DY16</f>
        <v>0</v>
      </c>
      <c r="DZ17" s="366">
        <f t="shared" si="79"/>
        <v>0</v>
      </c>
      <c r="EA17" s="366">
        <f t="shared" si="79"/>
        <v>0</v>
      </c>
      <c r="EB17" s="366">
        <f t="shared" si="79"/>
        <v>0</v>
      </c>
      <c r="EC17" s="366">
        <f t="shared" si="79"/>
        <v>0</v>
      </c>
      <c r="ED17" s="366">
        <f t="shared" si="79"/>
        <v>0</v>
      </c>
    </row>
    <row r="18" spans="1:134" ht="13.5" customHeight="1" thickTop="1" thickBot="1">
      <c r="C18" s="377" t="s">
        <v>162</v>
      </c>
      <c r="H18" s="261" t="s">
        <v>162</v>
      </c>
      <c r="I18" s="357">
        <f>SUM(I9:I12)</f>
        <v>3493793</v>
      </c>
      <c r="J18" s="276" t="s">
        <v>102</v>
      </c>
      <c r="K18" s="284">
        <v>916287</v>
      </c>
      <c r="L18" s="284">
        <v>2371767</v>
      </c>
      <c r="M18" s="284">
        <v>2401805</v>
      </c>
      <c r="N18" s="284">
        <v>2387243</v>
      </c>
      <c r="O18" s="284">
        <v>2088535</v>
      </c>
      <c r="P18" s="284">
        <v>2181129</v>
      </c>
      <c r="Q18" s="284">
        <v>2228415</v>
      </c>
      <c r="R18" s="284">
        <v>6502446</v>
      </c>
      <c r="S18" s="349">
        <v>6502437</v>
      </c>
      <c r="T18" s="284">
        <v>6481043</v>
      </c>
      <c r="U18" s="284">
        <v>6459843</v>
      </c>
      <c r="V18" s="284">
        <v>6436540</v>
      </c>
      <c r="W18" s="284">
        <v>6419543</v>
      </c>
      <c r="X18" s="284">
        <v>6393443</v>
      </c>
      <c r="Y18" s="284">
        <v>6377343</v>
      </c>
      <c r="Z18" s="284">
        <v>6351243</v>
      </c>
      <c r="AA18" s="284">
        <v>6121364</v>
      </c>
      <c r="AB18" s="284">
        <v>6106461</v>
      </c>
      <c r="AC18" s="284">
        <v>6059161</v>
      </c>
      <c r="AD18" s="284">
        <v>6052061</v>
      </c>
      <c r="AE18" s="284">
        <v>6044961</v>
      </c>
      <c r="AF18" s="284">
        <v>6020349</v>
      </c>
      <c r="AG18" s="284">
        <v>6006149</v>
      </c>
      <c r="AH18" s="284">
        <v>6006149</v>
      </c>
      <c r="AI18" s="284">
        <v>5999049</v>
      </c>
      <c r="AJ18" s="284">
        <v>8891949</v>
      </c>
      <c r="AK18" s="284">
        <v>8864849</v>
      </c>
      <c r="AL18" s="284">
        <v>8849143</v>
      </c>
      <c r="AM18" s="284">
        <v>7072692</v>
      </c>
      <c r="AN18" s="284">
        <v>7072692</v>
      </c>
      <c r="AO18" s="284">
        <v>6971160</v>
      </c>
      <c r="AP18" s="284">
        <v>6837160</v>
      </c>
      <c r="AQ18" s="284">
        <v>6797160</v>
      </c>
      <c r="AR18" s="284">
        <f t="shared" ref="AR18:ED18" si="80">AQ18</f>
        <v>6797160</v>
      </c>
      <c r="AS18" s="284">
        <f t="shared" si="80"/>
        <v>6797160</v>
      </c>
      <c r="AT18" s="284">
        <f t="shared" si="80"/>
        <v>6797160</v>
      </c>
      <c r="AU18" s="284">
        <f t="shared" si="80"/>
        <v>6797160</v>
      </c>
      <c r="AV18" s="284">
        <v>6700364</v>
      </c>
      <c r="AW18" s="284">
        <v>6705053</v>
      </c>
      <c r="AX18" s="284">
        <f t="shared" si="80"/>
        <v>6705053</v>
      </c>
      <c r="AY18" s="284">
        <f t="shared" si="80"/>
        <v>6705053</v>
      </c>
      <c r="AZ18" s="284">
        <f t="shared" si="80"/>
        <v>6705053</v>
      </c>
      <c r="BA18" s="284">
        <f t="shared" si="80"/>
        <v>6705053</v>
      </c>
      <c r="BB18" s="284">
        <f t="shared" si="80"/>
        <v>6705053</v>
      </c>
      <c r="BC18" s="284">
        <f t="shared" si="80"/>
        <v>6705053</v>
      </c>
      <c r="BD18" s="284">
        <f t="shared" si="80"/>
        <v>6705053</v>
      </c>
      <c r="BE18" s="284">
        <f t="shared" si="80"/>
        <v>6705053</v>
      </c>
      <c r="BF18" s="284">
        <f t="shared" si="80"/>
        <v>6705053</v>
      </c>
      <c r="BG18" s="284">
        <f t="shared" si="80"/>
        <v>6705053</v>
      </c>
      <c r="BH18" s="284">
        <f t="shared" si="80"/>
        <v>6705053</v>
      </c>
      <c r="BI18" s="284">
        <f t="shared" si="80"/>
        <v>6705053</v>
      </c>
      <c r="BJ18" s="284">
        <f t="shared" si="80"/>
        <v>6705053</v>
      </c>
      <c r="BK18" s="284">
        <f t="shared" si="80"/>
        <v>6705053</v>
      </c>
      <c r="BL18" s="284">
        <f t="shared" si="80"/>
        <v>6705053</v>
      </c>
      <c r="BM18" s="284">
        <f t="shared" si="80"/>
        <v>6705053</v>
      </c>
      <c r="BN18" s="284">
        <f t="shared" si="80"/>
        <v>6705053</v>
      </c>
      <c r="BO18" s="284">
        <f t="shared" si="80"/>
        <v>6705053</v>
      </c>
      <c r="BP18" s="284">
        <f t="shared" si="80"/>
        <v>6705053</v>
      </c>
      <c r="BQ18" s="284">
        <f t="shared" si="80"/>
        <v>6705053</v>
      </c>
      <c r="BR18" s="284">
        <f t="shared" si="80"/>
        <v>6705053</v>
      </c>
      <c r="BS18" s="284">
        <f t="shared" si="80"/>
        <v>6705053</v>
      </c>
      <c r="BT18" s="284">
        <f t="shared" si="80"/>
        <v>6705053</v>
      </c>
      <c r="BU18" s="284">
        <f t="shared" si="80"/>
        <v>6705053</v>
      </c>
      <c r="BV18" s="284">
        <f t="shared" si="80"/>
        <v>6705053</v>
      </c>
      <c r="BW18" s="284">
        <f t="shared" si="80"/>
        <v>6705053</v>
      </c>
      <c r="BX18" s="284">
        <f t="shared" si="80"/>
        <v>6705053</v>
      </c>
      <c r="BY18" s="284">
        <f t="shared" si="80"/>
        <v>6705053</v>
      </c>
      <c r="BZ18" s="284">
        <f>BY18</f>
        <v>6705053</v>
      </c>
      <c r="CA18" s="284">
        <f t="shared" si="80"/>
        <v>6705053</v>
      </c>
      <c r="CB18" s="284">
        <f t="shared" si="80"/>
        <v>6705053</v>
      </c>
      <c r="CC18" s="284">
        <f t="shared" si="80"/>
        <v>6705053</v>
      </c>
      <c r="CD18" s="284">
        <f t="shared" si="80"/>
        <v>6705053</v>
      </c>
      <c r="CE18" s="284">
        <f t="shared" si="80"/>
        <v>6705053</v>
      </c>
      <c r="CF18" s="284">
        <f t="shared" si="80"/>
        <v>6705053</v>
      </c>
      <c r="CG18" s="284">
        <f t="shared" si="80"/>
        <v>6705053</v>
      </c>
      <c r="CH18" s="284">
        <f t="shared" si="80"/>
        <v>6705053</v>
      </c>
      <c r="CI18" s="284">
        <f t="shared" si="80"/>
        <v>6705053</v>
      </c>
      <c r="CJ18" s="284">
        <f t="shared" si="80"/>
        <v>6705053</v>
      </c>
      <c r="CK18" s="284">
        <f t="shared" si="80"/>
        <v>6705053</v>
      </c>
      <c r="CL18" s="284">
        <f t="shared" si="80"/>
        <v>6705053</v>
      </c>
      <c r="CM18" s="284">
        <f t="shared" si="80"/>
        <v>6705053</v>
      </c>
      <c r="CN18" s="284">
        <f t="shared" si="80"/>
        <v>6705053</v>
      </c>
      <c r="CO18" s="284">
        <f t="shared" si="80"/>
        <v>6705053</v>
      </c>
      <c r="CP18" s="284">
        <f t="shared" si="80"/>
        <v>6705053</v>
      </c>
      <c r="CQ18" s="284">
        <f t="shared" si="80"/>
        <v>6705053</v>
      </c>
      <c r="CR18" s="284">
        <f t="shared" si="80"/>
        <v>6705053</v>
      </c>
      <c r="CS18" s="284">
        <f t="shared" si="80"/>
        <v>6705053</v>
      </c>
      <c r="CT18" s="284">
        <f t="shared" si="80"/>
        <v>6705053</v>
      </c>
      <c r="CU18" s="284">
        <f t="shared" si="80"/>
        <v>6705053</v>
      </c>
      <c r="CV18" s="284">
        <f t="shared" si="80"/>
        <v>6705053</v>
      </c>
      <c r="CW18" s="284">
        <f t="shared" si="80"/>
        <v>6705053</v>
      </c>
      <c r="CX18" s="284">
        <f t="shared" si="80"/>
        <v>6705053</v>
      </c>
      <c r="CY18" s="284">
        <f t="shared" si="80"/>
        <v>6705053</v>
      </c>
      <c r="CZ18" s="284">
        <f t="shared" si="80"/>
        <v>6705053</v>
      </c>
      <c r="DA18" s="284">
        <f t="shared" si="80"/>
        <v>6705053</v>
      </c>
      <c r="DB18" s="284">
        <f t="shared" si="80"/>
        <v>6705053</v>
      </c>
      <c r="DC18" s="284">
        <f t="shared" si="80"/>
        <v>6705053</v>
      </c>
      <c r="DD18" s="284">
        <f t="shared" si="80"/>
        <v>6705053</v>
      </c>
      <c r="DE18" s="284">
        <f t="shared" si="80"/>
        <v>6705053</v>
      </c>
      <c r="DF18" s="284">
        <f t="shared" si="80"/>
        <v>6705053</v>
      </c>
      <c r="DG18" s="284">
        <f t="shared" si="80"/>
        <v>6705053</v>
      </c>
      <c r="DH18" s="284">
        <f t="shared" si="80"/>
        <v>6705053</v>
      </c>
      <c r="DI18" s="284">
        <f t="shared" si="80"/>
        <v>6705053</v>
      </c>
      <c r="DJ18" s="284">
        <f t="shared" si="80"/>
        <v>6705053</v>
      </c>
      <c r="DK18" s="284">
        <f t="shared" si="80"/>
        <v>6705053</v>
      </c>
      <c r="DL18" s="284">
        <f t="shared" si="80"/>
        <v>6705053</v>
      </c>
      <c r="DM18" s="284">
        <f t="shared" si="80"/>
        <v>6705053</v>
      </c>
      <c r="DN18" s="284">
        <f t="shared" si="80"/>
        <v>6705053</v>
      </c>
      <c r="DO18" s="284">
        <f t="shared" si="80"/>
        <v>6705053</v>
      </c>
      <c r="DP18" s="284">
        <f t="shared" si="80"/>
        <v>6705053</v>
      </c>
      <c r="DQ18" s="284">
        <f t="shared" si="80"/>
        <v>6705053</v>
      </c>
      <c r="DR18" s="284">
        <f t="shared" si="80"/>
        <v>6705053</v>
      </c>
      <c r="DS18" s="284">
        <f t="shared" si="80"/>
        <v>6705053</v>
      </c>
      <c r="DT18" s="284">
        <f t="shared" si="80"/>
        <v>6705053</v>
      </c>
      <c r="DU18" s="284">
        <f t="shared" si="80"/>
        <v>6705053</v>
      </c>
      <c r="DV18" s="284">
        <f t="shared" si="80"/>
        <v>6705053</v>
      </c>
      <c r="DW18" s="284">
        <f t="shared" si="80"/>
        <v>6705053</v>
      </c>
      <c r="DX18" s="284">
        <f t="shared" si="80"/>
        <v>6705053</v>
      </c>
      <c r="DY18" s="284">
        <f t="shared" si="80"/>
        <v>6705053</v>
      </c>
      <c r="DZ18" s="284">
        <f t="shared" si="80"/>
        <v>6705053</v>
      </c>
      <c r="EA18" s="284">
        <f t="shared" si="80"/>
        <v>6705053</v>
      </c>
      <c r="EB18" s="284">
        <f t="shared" si="80"/>
        <v>6705053</v>
      </c>
      <c r="EC18" s="284">
        <f t="shared" si="80"/>
        <v>6705053</v>
      </c>
      <c r="ED18" s="284">
        <f t="shared" si="80"/>
        <v>6705053</v>
      </c>
    </row>
    <row r="19" spans="1:134" ht="13.5" customHeight="1" thickTop="1" thickBot="1">
      <c r="A19" s="263" t="s">
        <v>163</v>
      </c>
      <c r="B19" s="263"/>
      <c r="C19" s="263"/>
      <c r="D19" s="263" t="s">
        <v>160</v>
      </c>
      <c r="E19" s="265">
        <f>3400000-I19</f>
        <v>2466822</v>
      </c>
      <c r="F19" s="266"/>
      <c r="G19" s="266"/>
      <c r="H19" s="267" t="s">
        <v>163</v>
      </c>
      <c r="I19" s="352">
        <f>SUM(DN20:DN23)</f>
        <v>933178</v>
      </c>
      <c r="J19" s="355" t="s">
        <v>249</v>
      </c>
      <c r="R19" s="354">
        <v>2363545</v>
      </c>
      <c r="S19" s="356">
        <v>1979883</v>
      </c>
      <c r="T19" s="356">
        <f>S19-T14</f>
        <v>1954188</v>
      </c>
      <c r="U19" s="356">
        <f t="shared" ref="U19:Y19" si="81">T19-U14</f>
        <v>1928493</v>
      </c>
      <c r="V19" s="356">
        <f t="shared" si="81"/>
        <v>1902798</v>
      </c>
      <c r="W19" s="356">
        <f t="shared" si="81"/>
        <v>1877103</v>
      </c>
      <c r="X19" s="356">
        <f t="shared" si="81"/>
        <v>1851408</v>
      </c>
      <c r="Y19" s="356">
        <f t="shared" si="81"/>
        <v>1825713</v>
      </c>
      <c r="Z19" s="356">
        <f>Y19-Z14</f>
        <v>1800018</v>
      </c>
      <c r="AA19" s="356">
        <f>Z19-AA14</f>
        <v>1773242</v>
      </c>
      <c r="AB19" s="356">
        <f>AA19-AB14-380000</f>
        <v>1366466</v>
      </c>
      <c r="AC19" s="356">
        <f>AB19-AC14</f>
        <v>1339690</v>
      </c>
      <c r="AD19" s="356">
        <f t="shared" ref="AD19:AK19" si="82">AC19-AD14</f>
        <v>1312914</v>
      </c>
      <c r="AE19" s="356">
        <f>AD19-AE14</f>
        <v>1287219</v>
      </c>
      <c r="AF19" s="356">
        <f t="shared" si="82"/>
        <v>1261524</v>
      </c>
      <c r="AG19" s="356">
        <f t="shared" si="82"/>
        <v>1235829</v>
      </c>
      <c r="AH19" s="356">
        <f t="shared" si="82"/>
        <v>1210134</v>
      </c>
      <c r="AI19" s="356">
        <f t="shared" si="82"/>
        <v>1184439</v>
      </c>
      <c r="AJ19" s="356">
        <f t="shared" si="82"/>
        <v>1158744</v>
      </c>
      <c r="AK19" s="356">
        <f t="shared" si="82"/>
        <v>1133049</v>
      </c>
      <c r="AL19" s="356">
        <f>AK19-AL14</f>
        <v>1106471</v>
      </c>
      <c r="AM19" s="356">
        <f>AL19-AM14</f>
        <v>1079129</v>
      </c>
      <c r="AN19" s="356">
        <v>958006</v>
      </c>
      <c r="AO19" s="356">
        <f>AN19-AO14-500000</f>
        <v>434692</v>
      </c>
      <c r="AP19" s="356">
        <f t="shared" ref="AP19:BO19" si="83">AO19-AP14</f>
        <v>411378</v>
      </c>
      <c r="AQ19" s="356">
        <f t="shared" si="83"/>
        <v>388064</v>
      </c>
      <c r="AR19" s="356">
        <f t="shared" si="83"/>
        <v>364750</v>
      </c>
      <c r="AS19" s="356">
        <f t="shared" si="83"/>
        <v>341436</v>
      </c>
      <c r="AT19" s="356">
        <f t="shared" si="83"/>
        <v>318122</v>
      </c>
      <c r="AU19" s="356">
        <f t="shared" si="83"/>
        <v>294808</v>
      </c>
      <c r="AV19" s="356">
        <f t="shared" si="83"/>
        <v>270764</v>
      </c>
      <c r="AW19" s="356">
        <f t="shared" si="83"/>
        <v>246720</v>
      </c>
      <c r="AX19" s="356">
        <f t="shared" si="83"/>
        <v>222676</v>
      </c>
      <c r="AY19" s="356">
        <f t="shared" si="83"/>
        <v>198632</v>
      </c>
      <c r="AZ19" s="356">
        <f t="shared" si="83"/>
        <v>174588</v>
      </c>
      <c r="BA19" s="356">
        <f t="shared" si="83"/>
        <v>150544</v>
      </c>
      <c r="BB19" s="356">
        <f t="shared" si="83"/>
        <v>132327</v>
      </c>
      <c r="BC19" s="356">
        <f t="shared" si="83"/>
        <v>114110</v>
      </c>
      <c r="BD19" s="356">
        <f t="shared" si="83"/>
        <v>78065</v>
      </c>
      <c r="BE19" s="356">
        <f t="shared" si="83"/>
        <v>42020</v>
      </c>
      <c r="BF19" s="356">
        <f t="shared" si="83"/>
        <v>-47143</v>
      </c>
      <c r="BG19" s="356">
        <f t="shared" si="83"/>
        <v>-136306</v>
      </c>
      <c r="BH19" s="356">
        <f t="shared" si="83"/>
        <v>-225469</v>
      </c>
      <c r="BI19" s="356">
        <f t="shared" si="83"/>
        <v>-314632</v>
      </c>
      <c r="BJ19" s="356">
        <f t="shared" si="83"/>
        <v>-403795</v>
      </c>
      <c r="BK19" s="356">
        <f t="shared" si="83"/>
        <v>-492958</v>
      </c>
      <c r="BL19" s="356">
        <f t="shared" si="83"/>
        <v>-582121</v>
      </c>
      <c r="BM19" s="356">
        <f t="shared" si="83"/>
        <v>-671284</v>
      </c>
      <c r="BN19" s="356">
        <f t="shared" si="83"/>
        <v>-760447</v>
      </c>
      <c r="BO19" s="356">
        <f t="shared" si="83"/>
        <v>-849610</v>
      </c>
      <c r="BP19" s="356">
        <f t="shared" ref="BP19:CH19" si="84">BP23</f>
        <v>-759191</v>
      </c>
      <c r="BQ19" s="356">
        <f t="shared" si="84"/>
        <v>-1067596</v>
      </c>
      <c r="BR19" s="356">
        <f t="shared" si="84"/>
        <v>-1067596</v>
      </c>
      <c r="BS19" s="356">
        <f t="shared" si="84"/>
        <v>-1067596</v>
      </c>
      <c r="BT19" s="356">
        <f t="shared" si="84"/>
        <v>-1067596</v>
      </c>
      <c r="BU19" s="356">
        <f t="shared" si="84"/>
        <v>-1290000</v>
      </c>
      <c r="BV19" s="356">
        <f t="shared" si="84"/>
        <v>-720000</v>
      </c>
      <c r="BW19" s="356">
        <f t="shared" si="84"/>
        <v>-680000</v>
      </c>
      <c r="BX19" s="356">
        <f t="shared" si="84"/>
        <v>-760000</v>
      </c>
      <c r="BY19" s="356">
        <f t="shared" si="84"/>
        <v>-880000</v>
      </c>
      <c r="BZ19" s="356">
        <f t="shared" si="84"/>
        <v>-599426</v>
      </c>
      <c r="CA19" s="356">
        <f t="shared" si="84"/>
        <v>-804118</v>
      </c>
      <c r="CB19" s="356">
        <f t="shared" si="84"/>
        <v>4317</v>
      </c>
      <c r="CC19" s="356">
        <f t="shared" si="84"/>
        <v>-157573</v>
      </c>
      <c r="CD19" s="356">
        <f t="shared" si="84"/>
        <v>-157573</v>
      </c>
      <c r="CE19" s="356">
        <f t="shared" si="84"/>
        <v>99707</v>
      </c>
      <c r="CF19" s="356">
        <f t="shared" si="84"/>
        <v>99707</v>
      </c>
      <c r="CG19" s="356">
        <f t="shared" si="84"/>
        <v>51846</v>
      </c>
      <c r="CH19" s="356">
        <f t="shared" si="84"/>
        <v>60996</v>
      </c>
      <c r="CI19" s="356">
        <f t="shared" ref="CI19:CK19" si="85">CI23</f>
        <v>60000</v>
      </c>
      <c r="CJ19" s="356">
        <f t="shared" si="85"/>
        <v>44000</v>
      </c>
      <c r="CK19" s="356">
        <f t="shared" si="85"/>
        <v>45914</v>
      </c>
      <c r="CL19" s="356">
        <f t="shared" ref="CL19:CM19" si="86">CL23</f>
        <v>116951</v>
      </c>
      <c r="CM19" s="356">
        <f t="shared" si="86"/>
        <v>77812</v>
      </c>
      <c r="CN19" s="356">
        <f t="shared" ref="CN19:CO19" si="87">CN23</f>
        <v>196963</v>
      </c>
      <c r="CO19" s="356">
        <f t="shared" si="87"/>
        <v>195819</v>
      </c>
      <c r="CP19" s="356">
        <f t="shared" ref="CP19:CT19" si="88">CP23</f>
        <v>195819</v>
      </c>
      <c r="CQ19" s="356">
        <f t="shared" si="88"/>
        <v>150000</v>
      </c>
      <c r="CR19" s="356">
        <f t="shared" si="88"/>
        <v>5700</v>
      </c>
      <c r="CS19" s="356">
        <f t="shared" si="88"/>
        <v>5700</v>
      </c>
      <c r="CT19" s="356">
        <f t="shared" si="88"/>
        <v>5700</v>
      </c>
      <c r="CU19" s="356">
        <f>CU23-CU7</f>
        <v>10419</v>
      </c>
      <c r="CV19" s="356">
        <f t="shared" ref="CV19:CW19" si="89">CV23</f>
        <v>3328</v>
      </c>
      <c r="CW19" s="356">
        <f t="shared" si="89"/>
        <v>12012</v>
      </c>
      <c r="CX19" s="356">
        <v>75330</v>
      </c>
      <c r="CY19" s="356">
        <f t="shared" ref="CY19:CZ19" si="90">CY23</f>
        <v>37466</v>
      </c>
      <c r="CZ19" s="356">
        <f t="shared" si="90"/>
        <v>29580</v>
      </c>
      <c r="DA19" s="356">
        <f t="shared" ref="DA19:DF19" si="91">DA23</f>
        <v>29580</v>
      </c>
      <c r="DB19" s="356">
        <f t="shared" si="91"/>
        <v>16370</v>
      </c>
      <c r="DC19" s="356">
        <f t="shared" si="91"/>
        <v>3886</v>
      </c>
      <c r="DD19" s="356">
        <f t="shared" si="91"/>
        <v>7303</v>
      </c>
      <c r="DE19" s="356">
        <f t="shared" si="91"/>
        <v>25157</v>
      </c>
      <c r="DF19" s="356">
        <f t="shared" si="91"/>
        <v>27522</v>
      </c>
      <c r="DG19" s="356">
        <f t="shared" ref="DG19:DH19" si="92">DG23</f>
        <v>18585</v>
      </c>
      <c r="DH19" s="356">
        <f t="shared" si="92"/>
        <v>429</v>
      </c>
      <c r="DI19" s="356">
        <f t="shared" ref="DI19:DK19" si="93">DI23</f>
        <v>81319</v>
      </c>
      <c r="DJ19" s="356">
        <f t="shared" si="93"/>
        <v>9649</v>
      </c>
      <c r="DK19" s="356">
        <f t="shared" si="93"/>
        <v>10801</v>
      </c>
      <c r="DL19" s="356">
        <f t="shared" ref="DL19:DN19" si="94">DL23</f>
        <v>6730</v>
      </c>
      <c r="DM19" s="356">
        <f t="shared" si="94"/>
        <v>31650</v>
      </c>
      <c r="DN19" s="356">
        <f t="shared" si="94"/>
        <v>24754</v>
      </c>
      <c r="DO19" s="356">
        <f t="shared" ref="DO19:DR19" si="95">DO23</f>
        <v>52447</v>
      </c>
      <c r="DP19" s="356">
        <f t="shared" si="95"/>
        <v>41184</v>
      </c>
      <c r="DQ19" s="356">
        <f t="shared" si="95"/>
        <v>68973</v>
      </c>
      <c r="DR19" s="356">
        <f t="shared" si="95"/>
        <v>34575</v>
      </c>
      <c r="DS19" s="356">
        <f t="shared" ref="DS19:DU19" si="96">DS23</f>
        <v>71953</v>
      </c>
      <c r="DT19" s="356">
        <f t="shared" si="96"/>
        <v>79452</v>
      </c>
      <c r="DU19" s="356">
        <f t="shared" si="96"/>
        <v>67279</v>
      </c>
      <c r="DV19" s="356">
        <f t="shared" ref="DV19:DX19" si="97">DV23</f>
        <v>29504</v>
      </c>
      <c r="DW19" s="356">
        <f t="shared" si="97"/>
        <v>22695</v>
      </c>
      <c r="DX19" s="356">
        <f t="shared" si="97"/>
        <v>91947</v>
      </c>
      <c r="DY19" s="356">
        <f t="shared" ref="DY19:ED19" si="98">DY23</f>
        <v>53195</v>
      </c>
      <c r="DZ19" s="356">
        <f t="shared" si="98"/>
        <v>-36310</v>
      </c>
      <c r="EA19" s="356">
        <f t="shared" si="98"/>
        <v>-36310</v>
      </c>
      <c r="EB19" s="356">
        <f t="shared" si="98"/>
        <v>-36310</v>
      </c>
      <c r="EC19" s="356">
        <f t="shared" si="98"/>
        <v>-36310</v>
      </c>
      <c r="ED19" s="356">
        <f t="shared" si="98"/>
        <v>-36310</v>
      </c>
    </row>
    <row r="20" spans="1:134" ht="13.5" customHeight="1" thickTop="1">
      <c r="J20" s="340" t="s">
        <v>273</v>
      </c>
      <c r="M20" s="299" t="s">
        <v>143</v>
      </c>
      <c r="N20" s="340" t="s">
        <v>165</v>
      </c>
      <c r="O20" s="299" t="s">
        <v>143</v>
      </c>
      <c r="P20" s="409">
        <v>0</v>
      </c>
      <c r="Q20" s="409">
        <v>0</v>
      </c>
      <c r="R20" s="409">
        <v>35440</v>
      </c>
      <c r="S20" s="413">
        <f>135469-S6</f>
        <v>124660</v>
      </c>
      <c r="T20" s="409">
        <v>52</v>
      </c>
      <c r="U20" s="409">
        <v>28256</v>
      </c>
      <c r="V20" s="409">
        <v>100000</v>
      </c>
      <c r="W20" s="409">
        <v>170066</v>
      </c>
      <c r="X20" s="409">
        <v>200000</v>
      </c>
      <c r="Y20" s="409">
        <v>278144</v>
      </c>
      <c r="Z20" s="409">
        <v>300236</v>
      </c>
      <c r="AA20" s="409">
        <f>591590-30000</f>
        <v>561590</v>
      </c>
      <c r="AB20" s="409">
        <f>528364-30000</f>
        <v>498364</v>
      </c>
      <c r="AC20" s="409">
        <f>626718-30000</f>
        <v>596718</v>
      </c>
      <c r="AD20" s="409">
        <f>634492-30000</f>
        <v>604492</v>
      </c>
      <c r="AE20" s="409">
        <f>700241-30000</f>
        <v>670241</v>
      </c>
      <c r="AF20" s="409">
        <f>808350-30000</f>
        <v>778350</v>
      </c>
      <c r="AG20" s="409">
        <f>704099-30000</f>
        <v>674099</v>
      </c>
      <c r="AH20" s="409">
        <f>619848-30000-88000</f>
        <v>501848</v>
      </c>
      <c r="AI20" s="409">
        <v>878781</v>
      </c>
      <c r="AJ20" s="409">
        <v>865530</v>
      </c>
      <c r="AK20" s="409">
        <v>901279</v>
      </c>
      <c r="AL20" s="409">
        <f>928481-50000</f>
        <v>878481</v>
      </c>
      <c r="AM20" s="409">
        <v>1131993</v>
      </c>
      <c r="AN20" s="409">
        <v>1327698</v>
      </c>
      <c r="AO20" s="409">
        <f>242589-50000</f>
        <v>192589</v>
      </c>
      <c r="AP20" s="409">
        <v>292106</v>
      </c>
      <c r="AQ20" s="409">
        <v>389839</v>
      </c>
      <c r="AR20" s="409">
        <v>627142</v>
      </c>
      <c r="AS20" s="409">
        <v>626764</v>
      </c>
      <c r="AT20" s="409">
        <f>722629-50000</f>
        <v>672629</v>
      </c>
      <c r="AU20" s="409">
        <v>854338</v>
      </c>
      <c r="AV20" s="409">
        <f>803071-20000</f>
        <v>783071</v>
      </c>
      <c r="AW20" s="409">
        <v>840804</v>
      </c>
      <c r="AX20" s="409">
        <v>862090</v>
      </c>
      <c r="AY20" s="409">
        <f>1168957-100000</f>
        <v>1068957</v>
      </c>
      <c r="AZ20" s="409">
        <f>1410201</f>
        <v>1410201</v>
      </c>
      <c r="BA20" s="409">
        <f>1410201-1200000</f>
        <v>210201</v>
      </c>
      <c r="BB20" s="409">
        <v>155037</v>
      </c>
      <c r="BC20" s="409">
        <f>BB20+100000</f>
        <v>255037</v>
      </c>
      <c r="BD20" s="409">
        <v>591003</v>
      </c>
      <c r="BE20" s="409">
        <f>95079-BE4</f>
        <v>332</v>
      </c>
      <c r="BF20" s="409">
        <f t="shared" ref="BF20:ED21" si="99">BE20</f>
        <v>332</v>
      </c>
      <c r="BG20" s="409">
        <f t="shared" si="99"/>
        <v>332</v>
      </c>
      <c r="BH20" s="409">
        <f t="shared" si="99"/>
        <v>332</v>
      </c>
      <c r="BI20" s="409">
        <f t="shared" si="99"/>
        <v>332</v>
      </c>
      <c r="BJ20" s="409">
        <f t="shared" si="99"/>
        <v>332</v>
      </c>
      <c r="BK20" s="409">
        <f t="shared" si="99"/>
        <v>332</v>
      </c>
      <c r="BL20" s="409">
        <f t="shared" si="99"/>
        <v>332</v>
      </c>
      <c r="BM20" s="409">
        <f t="shared" si="99"/>
        <v>332</v>
      </c>
      <c r="BN20" s="409">
        <f t="shared" si="99"/>
        <v>332</v>
      </c>
      <c r="BO20" s="409">
        <f t="shared" si="99"/>
        <v>332</v>
      </c>
      <c r="BP20" s="409">
        <v>0</v>
      </c>
      <c r="BQ20" s="409">
        <f t="shared" si="99"/>
        <v>0</v>
      </c>
      <c r="BR20" s="409">
        <f t="shared" si="99"/>
        <v>0</v>
      </c>
      <c r="BS20" s="409">
        <f t="shared" si="99"/>
        <v>0</v>
      </c>
      <c r="BT20" s="409">
        <f t="shared" si="99"/>
        <v>0</v>
      </c>
      <c r="BU20" s="409">
        <f t="shared" si="99"/>
        <v>0</v>
      </c>
      <c r="BV20" s="409">
        <f t="shared" si="99"/>
        <v>0</v>
      </c>
      <c r="BW20" s="409">
        <f t="shared" si="99"/>
        <v>0</v>
      </c>
      <c r="BX20" s="409">
        <f t="shared" si="99"/>
        <v>0</v>
      </c>
      <c r="BY20" s="409">
        <f t="shared" si="99"/>
        <v>0</v>
      </c>
      <c r="BZ20" s="409">
        <f t="shared" si="99"/>
        <v>0</v>
      </c>
      <c r="CA20" s="409">
        <f t="shared" si="99"/>
        <v>0</v>
      </c>
      <c r="CB20" s="409">
        <v>71251</v>
      </c>
      <c r="CC20" s="409">
        <v>0</v>
      </c>
      <c r="CD20" s="409">
        <f t="shared" si="99"/>
        <v>0</v>
      </c>
      <c r="CE20" s="409">
        <f t="shared" si="99"/>
        <v>0</v>
      </c>
      <c r="CF20" s="409">
        <f t="shared" si="99"/>
        <v>0</v>
      </c>
      <c r="CG20" s="468">
        <v>806317</v>
      </c>
      <c r="CH20" s="468">
        <v>766361</v>
      </c>
      <c r="CI20" s="409">
        <f t="shared" si="99"/>
        <v>766361</v>
      </c>
      <c r="CJ20" s="409">
        <v>20000</v>
      </c>
      <c r="CK20" s="409">
        <v>40000</v>
      </c>
      <c r="CL20" s="409">
        <v>87401</v>
      </c>
      <c r="CM20" s="409">
        <f>101481-CM4-3000</f>
        <v>19132</v>
      </c>
      <c r="CN20" s="409">
        <f>180000-CN4</f>
        <v>137719</v>
      </c>
      <c r="CO20" s="409">
        <v>2000</v>
      </c>
      <c r="CP20" s="409">
        <v>16000</v>
      </c>
      <c r="CQ20" s="409">
        <v>63030</v>
      </c>
      <c r="CR20" s="409">
        <v>18143</v>
      </c>
      <c r="CS20" s="409">
        <f t="shared" si="99"/>
        <v>18143</v>
      </c>
      <c r="CT20" s="409">
        <f t="shared" si="99"/>
        <v>18143</v>
      </c>
      <c r="CU20" s="409">
        <v>0</v>
      </c>
      <c r="CV20" s="409">
        <f t="shared" si="99"/>
        <v>0</v>
      </c>
      <c r="CW20" s="409">
        <v>600000</v>
      </c>
      <c r="CX20" s="409">
        <v>619250</v>
      </c>
      <c r="CY20" s="409">
        <f>713767-120000</f>
        <v>593767</v>
      </c>
      <c r="CZ20" s="409">
        <f>611242-CZ6</f>
        <v>608242</v>
      </c>
      <c r="DA20" s="409">
        <f t="shared" si="99"/>
        <v>608242</v>
      </c>
      <c r="DB20" s="409">
        <f>477657-DB6</f>
        <v>403180</v>
      </c>
      <c r="DC20" s="409">
        <f>507773-DC6-20000</f>
        <v>484773</v>
      </c>
      <c r="DD20" s="409">
        <f>644880-140000-20000</f>
        <v>484880</v>
      </c>
      <c r="DE20" s="409">
        <f>484034-3000</f>
        <v>481034</v>
      </c>
      <c r="DF20" s="409">
        <f>592663-150000-15</f>
        <v>442648</v>
      </c>
      <c r="DG20" s="409">
        <f>746599-DG6</f>
        <v>743599</v>
      </c>
      <c r="DH20" s="409">
        <f>554148-200000-15-3000-15</f>
        <v>351118</v>
      </c>
      <c r="DI20" s="409">
        <f>483988-3015-200015</f>
        <v>280958</v>
      </c>
      <c r="DJ20" s="409">
        <f>429112-60000-15</f>
        <v>369097</v>
      </c>
      <c r="DK20" s="409">
        <v>360772</v>
      </c>
      <c r="DL20" s="409">
        <v>986249</v>
      </c>
      <c r="DM20" s="409">
        <f>1108444-DM6-180000-15</f>
        <v>925429</v>
      </c>
      <c r="DN20" s="409">
        <f>905187</f>
        <v>905187</v>
      </c>
      <c r="DO20" s="409">
        <v>609581</v>
      </c>
      <c r="DP20" s="409">
        <v>632340</v>
      </c>
      <c r="DQ20" s="409">
        <v>603772</v>
      </c>
      <c r="DR20" s="409">
        <f>679362-100015</f>
        <v>579347</v>
      </c>
      <c r="DS20" s="409">
        <v>606522</v>
      </c>
      <c r="DT20" s="409">
        <f>586522-DT6-100000-15</f>
        <v>483507</v>
      </c>
      <c r="DU20" s="409">
        <f>613931-80000-15-3000</f>
        <v>530916</v>
      </c>
      <c r="DV20" s="409">
        <f>425911-DV6</f>
        <v>422911</v>
      </c>
      <c r="DW20" s="409">
        <f>601301</f>
        <v>601301</v>
      </c>
      <c r="DX20" s="409">
        <f>662230-DX6-15-160000</f>
        <v>499215</v>
      </c>
      <c r="DY20" s="409">
        <f>442679-140000-15</f>
        <v>302664</v>
      </c>
      <c r="DZ20" s="409">
        <f t="shared" si="99"/>
        <v>302664</v>
      </c>
      <c r="EA20" s="409">
        <f t="shared" si="99"/>
        <v>302664</v>
      </c>
      <c r="EB20" s="409">
        <f t="shared" si="99"/>
        <v>302664</v>
      </c>
      <c r="EC20" s="409">
        <f t="shared" si="99"/>
        <v>302664</v>
      </c>
      <c r="ED20" s="409">
        <f t="shared" si="99"/>
        <v>302664</v>
      </c>
    </row>
    <row r="21" spans="1:134" ht="13.5" customHeight="1">
      <c r="J21" s="340" t="s">
        <v>406</v>
      </c>
      <c r="M21" s="299"/>
      <c r="N21" s="340"/>
      <c r="O21" s="299"/>
      <c r="P21" s="409"/>
      <c r="Q21" s="409"/>
      <c r="R21" s="409"/>
      <c r="S21" s="413"/>
      <c r="T21" s="409"/>
      <c r="U21" s="409"/>
      <c r="V21" s="409"/>
      <c r="W21" s="409"/>
      <c r="X21" s="409"/>
      <c r="Y21" s="409"/>
      <c r="Z21" s="409"/>
      <c r="AA21" s="409"/>
      <c r="AB21" s="409"/>
      <c r="AC21" s="409"/>
      <c r="AD21" s="409"/>
      <c r="AE21" s="409"/>
      <c r="AF21" s="409"/>
      <c r="AG21" s="409"/>
      <c r="AH21" s="409"/>
      <c r="AI21" s="409"/>
      <c r="AJ21" s="409"/>
      <c r="AK21" s="409"/>
      <c r="AL21" s="409"/>
      <c r="AM21" s="409"/>
      <c r="AN21" s="409"/>
      <c r="AO21" s="409"/>
      <c r="AP21" s="409"/>
      <c r="AQ21" s="409"/>
      <c r="AR21" s="409"/>
      <c r="AS21" s="409"/>
      <c r="AT21" s="409"/>
      <c r="AU21" s="409"/>
      <c r="AV21" s="409"/>
      <c r="AW21" s="409"/>
      <c r="AX21" s="409"/>
      <c r="AY21" s="409"/>
      <c r="AZ21" s="409"/>
      <c r="BA21" s="409"/>
      <c r="BB21" s="409"/>
      <c r="BC21" s="409"/>
      <c r="BD21" s="409"/>
      <c r="BE21" s="409"/>
      <c r="BF21" s="409"/>
      <c r="BG21" s="409"/>
      <c r="BH21" s="409"/>
      <c r="BI21" s="409"/>
      <c r="BJ21" s="409"/>
      <c r="BK21" s="409"/>
      <c r="BL21" s="409"/>
      <c r="BM21" s="409"/>
      <c r="BN21" s="409"/>
      <c r="BO21" s="409"/>
      <c r="BP21" s="409"/>
      <c r="BQ21" s="409"/>
      <c r="BR21" s="409"/>
      <c r="BS21" s="409"/>
      <c r="BT21" s="409"/>
      <c r="BU21" s="409"/>
      <c r="BV21" s="409"/>
      <c r="BW21" s="409"/>
      <c r="BX21" s="409"/>
      <c r="BY21" s="409"/>
      <c r="BZ21" s="409"/>
      <c r="CA21" s="409"/>
      <c r="CB21" s="409"/>
      <c r="CC21" s="409"/>
      <c r="CD21" s="409"/>
      <c r="CE21" s="409"/>
      <c r="CF21" s="409"/>
      <c r="CG21" s="468"/>
      <c r="CH21" s="468"/>
      <c r="CI21" s="409"/>
      <c r="CJ21" s="409"/>
      <c r="CK21" s="409"/>
      <c r="CL21" s="409"/>
      <c r="CM21" s="409"/>
      <c r="CN21" s="409"/>
      <c r="CO21" s="409"/>
      <c r="CP21" s="409"/>
      <c r="CQ21" s="409"/>
      <c r="CR21" s="409"/>
      <c r="CS21" s="409"/>
      <c r="CT21" s="409"/>
      <c r="CU21" s="409"/>
      <c r="CV21" s="409"/>
      <c r="CW21" s="409"/>
      <c r="CX21" s="409"/>
      <c r="CY21" s="409"/>
      <c r="CZ21" s="409"/>
      <c r="DA21" s="409"/>
      <c r="DB21" s="409"/>
      <c r="DC21" s="409"/>
      <c r="DD21" s="409"/>
      <c r="DE21" s="409"/>
      <c r="DF21" s="409"/>
      <c r="DG21" s="409"/>
      <c r="DH21" s="409"/>
      <c r="DI21" s="409"/>
      <c r="DJ21" s="409"/>
      <c r="DK21" s="409"/>
      <c r="DL21" s="409"/>
      <c r="DM21" s="409"/>
      <c r="DN21" s="409"/>
      <c r="DO21" s="409"/>
      <c r="DP21" s="409"/>
      <c r="DQ21" s="409"/>
      <c r="DR21" s="409"/>
      <c r="DS21" s="409"/>
      <c r="DT21" s="409"/>
      <c r="DU21" s="409"/>
      <c r="DV21" s="409"/>
      <c r="DW21" s="409"/>
      <c r="DX21" s="409"/>
      <c r="DY21" s="409">
        <v>152637</v>
      </c>
      <c r="DZ21" s="409">
        <f>DY21</f>
        <v>152637</v>
      </c>
      <c r="EA21" s="409">
        <f t="shared" si="99"/>
        <v>152637</v>
      </c>
      <c r="EB21" s="409">
        <f t="shared" si="99"/>
        <v>152637</v>
      </c>
      <c r="EC21" s="409">
        <f t="shared" si="99"/>
        <v>152637</v>
      </c>
      <c r="ED21" s="409">
        <f t="shared" si="99"/>
        <v>152637</v>
      </c>
    </row>
    <row r="22" spans="1:134" ht="13.5" customHeight="1">
      <c r="J22" s="341" t="s">
        <v>144</v>
      </c>
      <c r="M22" s="330" t="s">
        <v>144</v>
      </c>
      <c r="N22" s="341" t="s">
        <v>144</v>
      </c>
      <c r="O22" s="330" t="s">
        <v>144</v>
      </c>
      <c r="P22" s="414">
        <v>0</v>
      </c>
      <c r="Q22" s="414">
        <v>0</v>
      </c>
      <c r="R22" s="414">
        <v>17148</v>
      </c>
      <c r="S22" s="415">
        <v>57</v>
      </c>
      <c r="T22" s="415">
        <v>1135</v>
      </c>
      <c r="U22" s="415">
        <v>5990</v>
      </c>
      <c r="V22" s="415">
        <v>10000</v>
      </c>
      <c r="W22" s="415">
        <v>12888</v>
      </c>
      <c r="X22" s="415">
        <v>10000</v>
      </c>
      <c r="Y22" s="414">
        <v>29833</v>
      </c>
      <c r="Z22" s="414">
        <f>45368-3000-30000-10113</f>
        <v>2255</v>
      </c>
      <c r="AA22" s="414">
        <v>7947</v>
      </c>
      <c r="AB22" s="414">
        <f>24137+20000</f>
        <v>44137</v>
      </c>
      <c r="AC22" s="414">
        <v>14007</v>
      </c>
      <c r="AD22" s="414">
        <f>30000-29297</f>
        <v>703</v>
      </c>
      <c r="AE22" s="414">
        <v>2455</v>
      </c>
      <c r="AF22" s="414">
        <v>28682</v>
      </c>
      <c r="AG22" s="414">
        <v>33108</v>
      </c>
      <c r="AH22" s="414">
        <v>14472</v>
      </c>
      <c r="AI22" s="414">
        <v>20302</v>
      </c>
      <c r="AJ22" s="414">
        <f>31500-AJ6</f>
        <v>12236</v>
      </c>
      <c r="AK22" s="414">
        <f>99336-AK17-10000-8100-AK4</f>
        <v>19360</v>
      </c>
      <c r="AL22" s="414">
        <f>60497-AL4+50000-10000-10000-9000</f>
        <v>38650</v>
      </c>
      <c r="AM22" s="414">
        <v>68307</v>
      </c>
      <c r="AN22" s="414">
        <f>49798-AN4+21000</f>
        <v>22247</v>
      </c>
      <c r="AO22" s="414">
        <v>482533</v>
      </c>
      <c r="AP22" s="414">
        <v>190776</v>
      </c>
      <c r="AQ22" s="414">
        <v>113040</v>
      </c>
      <c r="AR22" s="414">
        <v>11000</v>
      </c>
      <c r="AS22" s="414">
        <v>12557</v>
      </c>
      <c r="AT22" s="414">
        <f>65312-AT4</f>
        <v>13810</v>
      </c>
      <c r="AU22" s="414">
        <v>2417</v>
      </c>
      <c r="AV22" s="414">
        <f>76986-AV8-AV7-3000</f>
        <v>71946</v>
      </c>
      <c r="AW22" s="414">
        <f>33107-10000-2000</f>
        <v>21107</v>
      </c>
      <c r="AX22" s="414">
        <v>33377</v>
      </c>
      <c r="AY22" s="414">
        <f>49377+100000-AY4-29500-10000</f>
        <v>56864</v>
      </c>
      <c r="AZ22" s="414">
        <f>120945-AZ4-20000-10000</f>
        <v>42538</v>
      </c>
      <c r="BA22" s="414">
        <v>14788</v>
      </c>
      <c r="BB22" s="414">
        <v>38086</v>
      </c>
      <c r="BC22" s="414">
        <v>2826</v>
      </c>
      <c r="BD22" s="414">
        <v>4</v>
      </c>
      <c r="BE22" s="414">
        <f>BD22</f>
        <v>4</v>
      </c>
      <c r="BF22" s="414">
        <v>58480</v>
      </c>
      <c r="BG22" s="414">
        <v>6227</v>
      </c>
      <c r="BH22" s="414">
        <v>6496</v>
      </c>
      <c r="BI22" s="414">
        <v>6496</v>
      </c>
      <c r="BJ22" s="414">
        <v>20000</v>
      </c>
      <c r="BK22" s="414">
        <v>54536</v>
      </c>
      <c r="BL22" s="414">
        <v>20000</v>
      </c>
      <c r="BM22" s="414">
        <v>20000</v>
      </c>
      <c r="BN22" s="414">
        <v>20000</v>
      </c>
      <c r="BO22" s="414">
        <v>20000</v>
      </c>
      <c r="BP22" s="414">
        <v>20000</v>
      </c>
      <c r="BQ22" s="414">
        <v>152754</v>
      </c>
      <c r="BR22" s="414">
        <v>20000</v>
      </c>
      <c r="BS22" s="414">
        <v>20000</v>
      </c>
      <c r="BT22" s="414">
        <v>20000</v>
      </c>
      <c r="BU22" s="414">
        <v>20000</v>
      </c>
      <c r="BV22" s="414">
        <v>20000</v>
      </c>
      <c r="BW22" s="414">
        <v>20000</v>
      </c>
      <c r="BX22" s="414">
        <v>20000</v>
      </c>
      <c r="BY22" s="414">
        <v>20000</v>
      </c>
      <c r="BZ22" s="414">
        <v>0</v>
      </c>
      <c r="CA22" s="414">
        <v>0</v>
      </c>
      <c r="CB22" s="414">
        <f>63886-CB4</f>
        <v>44547</v>
      </c>
      <c r="CC22" s="414">
        <v>93906</v>
      </c>
      <c r="CD22" s="414">
        <v>1000000</v>
      </c>
      <c r="CE22" s="414">
        <v>1250000</v>
      </c>
      <c r="CF22" s="414">
        <v>1600000</v>
      </c>
      <c r="CG22" s="469">
        <v>1588598</v>
      </c>
      <c r="CH22" s="469">
        <v>1226654</v>
      </c>
      <c r="CI22" s="414">
        <f>CH22</f>
        <v>1226654</v>
      </c>
      <c r="CJ22" s="414">
        <f>CI22</f>
        <v>1226654</v>
      </c>
      <c r="CK22" s="414">
        <v>1180539</v>
      </c>
      <c r="CL22" s="414">
        <f>CK22</f>
        <v>1180539</v>
      </c>
      <c r="CM22" s="414">
        <f>CL22-30000</f>
        <v>1150539</v>
      </c>
      <c r="CN22" s="414">
        <v>1000524</v>
      </c>
      <c r="CO22" s="414">
        <v>782271</v>
      </c>
      <c r="CP22" s="414">
        <v>650000</v>
      </c>
      <c r="CQ22" s="414">
        <f t="shared" ref="CQ22:ED22" si="100">CP22</f>
        <v>650000</v>
      </c>
      <c r="CR22" s="414">
        <v>612241</v>
      </c>
      <c r="CS22" s="414">
        <f t="shared" si="100"/>
        <v>612241</v>
      </c>
      <c r="CT22" s="414">
        <f t="shared" si="100"/>
        <v>612241</v>
      </c>
      <c r="CU22" s="414">
        <v>43</v>
      </c>
      <c r="CV22" s="414">
        <f>26573-CV4</f>
        <v>7895</v>
      </c>
      <c r="CW22" s="414">
        <f>11895-CW4</f>
        <v>5402</v>
      </c>
      <c r="CX22" s="414">
        <f>11978-CX4</f>
        <v>5455</v>
      </c>
      <c r="CY22" s="414">
        <f>9455-CY4</f>
        <v>2633</v>
      </c>
      <c r="CZ22" s="414">
        <f>6633-CZ4</f>
        <v>218</v>
      </c>
      <c r="DA22" s="414">
        <f t="shared" si="100"/>
        <v>218</v>
      </c>
      <c r="DB22" s="414">
        <f>5785-5113</f>
        <v>672</v>
      </c>
      <c r="DC22" s="414">
        <f>4672-DC4</f>
        <v>2195</v>
      </c>
      <c r="DD22" s="414">
        <f t="shared" si="100"/>
        <v>2195</v>
      </c>
      <c r="DE22" s="414">
        <f>5144+2000-DE4</f>
        <v>328</v>
      </c>
      <c r="DF22" s="414">
        <f>7854+6000-DF4</f>
        <v>357</v>
      </c>
      <c r="DG22" s="414">
        <f>4238+1000-DG4</f>
        <v>550</v>
      </c>
      <c r="DH22" s="414">
        <f>4550-DH4</f>
        <v>1389</v>
      </c>
      <c r="DI22" s="414">
        <f>5157+3000-DI4</f>
        <v>1960</v>
      </c>
      <c r="DJ22" s="414">
        <f>5960-DJ4</f>
        <v>3094</v>
      </c>
      <c r="DK22" s="414">
        <f>7094-DK4</f>
        <v>5407</v>
      </c>
      <c r="DL22" s="414">
        <f>9407-DL4</f>
        <v>7179</v>
      </c>
      <c r="DM22" s="414">
        <f>11182-DM4</f>
        <v>2856</v>
      </c>
      <c r="DN22" s="414">
        <f>6856-DN4</f>
        <v>3237</v>
      </c>
      <c r="DO22" s="414">
        <v>10256</v>
      </c>
      <c r="DP22" s="414">
        <f>DO22-DP4</f>
        <v>5667</v>
      </c>
      <c r="DQ22" s="414">
        <f>9667+7000-DQ4</f>
        <v>964</v>
      </c>
      <c r="DR22" s="414">
        <f>4964+3000-DR4</f>
        <v>875</v>
      </c>
      <c r="DS22" s="414">
        <v>5280</v>
      </c>
      <c r="DT22" s="414">
        <f>9280-DT4</f>
        <v>2502</v>
      </c>
      <c r="DU22" s="414">
        <f>6502+14000-DU4</f>
        <v>777</v>
      </c>
      <c r="DV22" s="414">
        <f>54777-DV4</f>
        <v>48785</v>
      </c>
      <c r="DW22" s="414">
        <v>42902</v>
      </c>
      <c r="DX22" s="414">
        <f>DW22+4000-DX4</f>
        <v>30361</v>
      </c>
      <c r="DY22" s="414">
        <f>34378-DY4</f>
        <v>20242</v>
      </c>
      <c r="DZ22" s="414">
        <f t="shared" si="100"/>
        <v>20242</v>
      </c>
      <c r="EA22" s="414">
        <f t="shared" si="100"/>
        <v>20242</v>
      </c>
      <c r="EB22" s="414">
        <f t="shared" si="100"/>
        <v>20242</v>
      </c>
      <c r="EC22" s="414">
        <f t="shared" si="100"/>
        <v>20242</v>
      </c>
      <c r="ED22" s="414">
        <f t="shared" si="100"/>
        <v>20242</v>
      </c>
    </row>
    <row r="23" spans="1:134" ht="13.5" customHeight="1">
      <c r="J23" s="341" t="s">
        <v>219</v>
      </c>
      <c r="M23" s="330" t="s">
        <v>91</v>
      </c>
      <c r="N23" s="341" t="s">
        <v>219</v>
      </c>
      <c r="O23" s="330" t="s">
        <v>91</v>
      </c>
      <c r="P23" s="414">
        <v>0</v>
      </c>
      <c r="Q23" s="414">
        <v>0</v>
      </c>
      <c r="R23" s="414">
        <v>0</v>
      </c>
      <c r="S23" s="415">
        <v>0</v>
      </c>
      <c r="T23" s="414">
        <v>0</v>
      </c>
      <c r="U23" s="414">
        <v>0</v>
      </c>
      <c r="V23" s="414">
        <v>0</v>
      </c>
      <c r="W23" s="414">
        <v>0</v>
      </c>
      <c r="X23" s="414">
        <v>0</v>
      </c>
      <c r="Y23" s="414">
        <v>0</v>
      </c>
      <c r="Z23" s="414">
        <v>0</v>
      </c>
      <c r="AA23" s="414">
        <v>0</v>
      </c>
      <c r="AB23" s="414">
        <v>0</v>
      </c>
      <c r="AC23" s="414">
        <v>0</v>
      </c>
      <c r="AD23" s="414">
        <v>0</v>
      </c>
      <c r="AE23" s="414">
        <v>0</v>
      </c>
      <c r="AF23" s="414">
        <v>0</v>
      </c>
      <c r="AG23" s="414">
        <v>0</v>
      </c>
      <c r="AH23" s="414">
        <v>0</v>
      </c>
      <c r="AI23" s="414">
        <v>0</v>
      </c>
      <c r="AJ23" s="414">
        <v>0</v>
      </c>
      <c r="AK23" s="414">
        <v>0</v>
      </c>
      <c r="AL23" s="414">
        <v>0</v>
      </c>
      <c r="AM23" s="414">
        <v>0</v>
      </c>
      <c r="AN23" s="414">
        <v>0</v>
      </c>
      <c r="AO23" s="414">
        <v>0</v>
      </c>
      <c r="AP23" s="414">
        <v>0</v>
      </c>
      <c r="AQ23" s="414">
        <v>0</v>
      </c>
      <c r="AR23" s="414">
        <v>0</v>
      </c>
      <c r="AS23" s="414">
        <v>0</v>
      </c>
      <c r="AT23" s="414">
        <v>0</v>
      </c>
      <c r="AU23" s="414">
        <v>0</v>
      </c>
      <c r="AV23" s="414">
        <v>0</v>
      </c>
      <c r="AW23" s="414">
        <v>0</v>
      </c>
      <c r="AX23" s="414">
        <v>0</v>
      </c>
      <c r="AY23" s="414">
        <v>0</v>
      </c>
      <c r="AZ23" s="414">
        <v>0</v>
      </c>
      <c r="BA23" s="414">
        <v>0</v>
      </c>
      <c r="BB23" s="414">
        <v>0</v>
      </c>
      <c r="BC23" s="414">
        <v>0</v>
      </c>
      <c r="BD23" s="414">
        <v>114565</v>
      </c>
      <c r="BE23" s="414">
        <f>323939+30000-10015-20015</f>
        <v>323909</v>
      </c>
      <c r="BF23" s="414">
        <v>-639476</v>
      </c>
      <c r="BG23" s="414">
        <v>-857880</v>
      </c>
      <c r="BH23" s="414">
        <v>-857880</v>
      </c>
      <c r="BI23" s="414">
        <v>-986891</v>
      </c>
      <c r="BJ23" s="414">
        <v>-1037404</v>
      </c>
      <c r="BK23" s="414">
        <v>-830111</v>
      </c>
      <c r="BL23" s="414">
        <v>-759191</v>
      </c>
      <c r="BM23" s="414">
        <f t="shared" ref="BM23:BT23" si="101">BL23</f>
        <v>-759191</v>
      </c>
      <c r="BN23" s="414">
        <f t="shared" si="101"/>
        <v>-759191</v>
      </c>
      <c r="BO23" s="414">
        <f t="shared" si="101"/>
        <v>-759191</v>
      </c>
      <c r="BP23" s="414">
        <f t="shared" si="101"/>
        <v>-759191</v>
      </c>
      <c r="BQ23" s="414">
        <v>-1067596</v>
      </c>
      <c r="BR23" s="414">
        <f t="shared" si="101"/>
        <v>-1067596</v>
      </c>
      <c r="BS23" s="414">
        <f t="shared" si="101"/>
        <v>-1067596</v>
      </c>
      <c r="BT23" s="414">
        <f t="shared" si="101"/>
        <v>-1067596</v>
      </c>
      <c r="BU23" s="414">
        <v>-1290000</v>
      </c>
      <c r="BV23" s="414">
        <v>-720000</v>
      </c>
      <c r="BW23" s="414">
        <v>-680000</v>
      </c>
      <c r="BX23" s="414">
        <v>-760000</v>
      </c>
      <c r="BY23" s="414">
        <v>-880000</v>
      </c>
      <c r="BZ23" s="414">
        <v>-599426</v>
      </c>
      <c r="CA23" s="414">
        <v>-804118</v>
      </c>
      <c r="CB23" s="414">
        <v>4317</v>
      </c>
      <c r="CC23" s="414">
        <v>-157573</v>
      </c>
      <c r="CD23" s="414">
        <f t="shared" ref="CD23:DA23" si="102">CC23</f>
        <v>-157573</v>
      </c>
      <c r="CE23" s="414">
        <v>99707</v>
      </c>
      <c r="CF23" s="414">
        <f t="shared" si="102"/>
        <v>99707</v>
      </c>
      <c r="CG23" s="469">
        <v>51846</v>
      </c>
      <c r="CH23" s="469">
        <v>60996</v>
      </c>
      <c r="CI23" s="414">
        <v>60000</v>
      </c>
      <c r="CJ23" s="414">
        <v>44000</v>
      </c>
      <c r="CK23" s="414">
        <v>45914</v>
      </c>
      <c r="CL23" s="414">
        <v>116951</v>
      </c>
      <c r="CM23" s="414">
        <v>77812</v>
      </c>
      <c r="CN23" s="414">
        <f>CM23+150000-CN7</f>
        <v>196963</v>
      </c>
      <c r="CO23" s="414">
        <v>195819</v>
      </c>
      <c r="CP23" s="414">
        <f t="shared" si="102"/>
        <v>195819</v>
      </c>
      <c r="CQ23" s="414">
        <v>150000</v>
      </c>
      <c r="CR23" s="414">
        <v>5700</v>
      </c>
      <c r="CS23" s="414">
        <f t="shared" si="102"/>
        <v>5700</v>
      </c>
      <c r="CT23" s="414">
        <f t="shared" si="102"/>
        <v>5700</v>
      </c>
      <c r="CU23" s="414">
        <f>58240+99900-CU7-16000-CU14-6000-3000-6400-20000</f>
        <v>40239</v>
      </c>
      <c r="CV23" s="414">
        <f>39489-36161</f>
        <v>3328</v>
      </c>
      <c r="CW23" s="414">
        <f>77078-CW14-CW7</f>
        <v>12012</v>
      </c>
      <c r="CX23" s="414">
        <v>89330</v>
      </c>
      <c r="CY23" s="414">
        <f>141210-CY12-CY10-CY7-36161</f>
        <v>37466</v>
      </c>
      <c r="CZ23" s="414">
        <f>83545-CZ7-CZ12</f>
        <v>29580</v>
      </c>
      <c r="DA23" s="414">
        <f t="shared" si="102"/>
        <v>29580</v>
      </c>
      <c r="DB23" s="414">
        <f>76180-10000-13130-36680</f>
        <v>16370</v>
      </c>
      <c r="DC23" s="414">
        <f>126126-DC12-DC7-DC8-36161-10000+20000-2000</f>
        <v>3886</v>
      </c>
      <c r="DD23" s="414">
        <f>144739-DD12-DD8-10000-36161-DD7+20000-DD10-3000</f>
        <v>7303</v>
      </c>
      <c r="DE23" s="414">
        <f>154154-2000-DE7-DE12-DE8-36161</f>
        <v>25157</v>
      </c>
      <c r="DF23" s="414">
        <f>159992-6000-36161-22000-DF12-DF7-10000-7000</f>
        <v>27522</v>
      </c>
      <c r="DG23" s="414">
        <f>154000-36161-DG5-DG8-DG10-5000-DG12-DG7-1000</f>
        <v>18585</v>
      </c>
      <c r="DH23" s="414">
        <f>214915-DH5-36161-6500-DH10-DH8-DH7-DH12+3000</f>
        <v>429</v>
      </c>
      <c r="DI23" s="414">
        <f>191277-36161-DI5-DI8-DI12-DI7</f>
        <v>81319</v>
      </c>
      <c r="DJ23" s="414">
        <f>66105-DJ5-DJ8-36161-DJ10+60000-DJ7-DJ12-5000</f>
        <v>9649</v>
      </c>
      <c r="DK23" s="414">
        <f>130586-36161-DK10-5000-DK8-DK7-DK12+19000-6000</f>
        <v>10801</v>
      </c>
      <c r="DL23" s="414">
        <f>106342-DL10-5000-DL5-DL8-DL7-DL12</f>
        <v>6730</v>
      </c>
      <c r="DM23" s="414">
        <f>188250-DM5-DM8-DM10-5000-DM7-DM12</f>
        <v>31650</v>
      </c>
      <c r="DN23" s="414">
        <f>132502-5000-10000-DN5-DN8-DN12-DN7</f>
        <v>24754</v>
      </c>
      <c r="DO23" s="414">
        <f>125608-DO5-DO8-DO10-DO12-DO7</f>
        <v>52447</v>
      </c>
      <c r="DP23" s="414">
        <f>152312-DP10-DP5-DP8-DP12-DP7</f>
        <v>41184</v>
      </c>
      <c r="DQ23" s="414">
        <f>178786-DQ5-DQ8-DQ10-DQ12-DQ7</f>
        <v>68973</v>
      </c>
      <c r="DR23" s="414">
        <f>162264-DR5-DR8-DR10-DR12-DR7</f>
        <v>34575</v>
      </c>
      <c r="DS23" s="414">
        <f>135452-DS5-DS8-DS10-DS12-DS7</f>
        <v>71953</v>
      </c>
      <c r="DT23" s="414">
        <f>172869-DT5-DT8-DT10-DT12-DT7-DT41</f>
        <v>79452</v>
      </c>
      <c r="DU23" s="414">
        <f>160316-14000-DU5-DU8-DU10-DU12-DU7</f>
        <v>67279</v>
      </c>
      <c r="DV23" s="414">
        <f>103146-DV5-DV8-DV10-DV12-DV7</f>
        <v>29504</v>
      </c>
      <c r="DW23" s="414">
        <f>117423-DW5-DW8-DW10-DW12-DW7</f>
        <v>22695</v>
      </c>
      <c r="DX23" s="414">
        <f>175153-DX5-DX8-DX10-DX12-DX7</f>
        <v>91947</v>
      </c>
      <c r="DY23" s="414">
        <f>215113-DY5-DY8-DY10-DY12-DY7</f>
        <v>53195</v>
      </c>
      <c r="DZ23" s="414">
        <f>125608-DZ5-DZ8-DZ10-DZ12-DZ7</f>
        <v>-36310</v>
      </c>
      <c r="EA23" s="414">
        <f>125608-EA5-EA8-EA10-EA12-EA7</f>
        <v>-36310</v>
      </c>
      <c r="EB23" s="414">
        <f>125608-EB5-EB8-EB10-EB12-EB7</f>
        <v>-36310</v>
      </c>
      <c r="EC23" s="414">
        <f>125608-EC5-EC8-EC10-EC12-EC7</f>
        <v>-36310</v>
      </c>
      <c r="ED23" s="414">
        <f>125608-ED5-ED8-ED10-ED12-ED7</f>
        <v>-36310</v>
      </c>
    </row>
    <row r="24" spans="1:134" ht="13.5" customHeight="1" thickBot="1">
      <c r="J24" s="342">
        <f>SUM(J20:J22)</f>
        <v>0</v>
      </c>
      <c r="M24" s="322">
        <f>SUM(M20:M22)</f>
        <v>0</v>
      </c>
      <c r="N24" s="342">
        <f>SUM(N20:N22)</f>
        <v>0</v>
      </c>
      <c r="O24" s="322">
        <f>SUM(O20:O22)</f>
        <v>0</v>
      </c>
      <c r="P24" s="416">
        <f t="shared" ref="P24:Z24" si="103">SUM(P20:P23)</f>
        <v>0</v>
      </c>
      <c r="Q24" s="416">
        <f t="shared" si="103"/>
        <v>0</v>
      </c>
      <c r="R24" s="416">
        <f t="shared" si="103"/>
        <v>52588</v>
      </c>
      <c r="S24" s="417">
        <f t="shared" si="103"/>
        <v>124717</v>
      </c>
      <c r="T24" s="416">
        <f t="shared" si="103"/>
        <v>1187</v>
      </c>
      <c r="U24" s="416">
        <f t="shared" si="103"/>
        <v>34246</v>
      </c>
      <c r="V24" s="416">
        <f t="shared" si="103"/>
        <v>110000</v>
      </c>
      <c r="W24" s="416">
        <f t="shared" si="103"/>
        <v>182954</v>
      </c>
      <c r="X24" s="416">
        <f t="shared" si="103"/>
        <v>210000</v>
      </c>
      <c r="Y24" s="416">
        <f t="shared" si="103"/>
        <v>307977</v>
      </c>
      <c r="Z24" s="416">
        <f t="shared" si="103"/>
        <v>302491</v>
      </c>
      <c r="AA24" s="416">
        <f t="shared" ref="AA24:AL24" si="104">SUM(AA20:AA23)</f>
        <v>569537</v>
      </c>
      <c r="AB24" s="416">
        <f t="shared" si="104"/>
        <v>542501</v>
      </c>
      <c r="AC24" s="416">
        <f t="shared" si="104"/>
        <v>610725</v>
      </c>
      <c r="AD24" s="416">
        <f t="shared" si="104"/>
        <v>605195</v>
      </c>
      <c r="AE24" s="416">
        <f t="shared" si="104"/>
        <v>672696</v>
      </c>
      <c r="AF24" s="416">
        <f t="shared" si="104"/>
        <v>807032</v>
      </c>
      <c r="AG24" s="416">
        <f t="shared" si="104"/>
        <v>707207</v>
      </c>
      <c r="AH24" s="416">
        <f t="shared" si="104"/>
        <v>516320</v>
      </c>
      <c r="AI24" s="416">
        <f t="shared" si="104"/>
        <v>899083</v>
      </c>
      <c r="AJ24" s="416">
        <f t="shared" si="104"/>
        <v>877766</v>
      </c>
      <c r="AK24" s="416">
        <f t="shared" si="104"/>
        <v>920639</v>
      </c>
      <c r="AL24" s="416">
        <f t="shared" si="104"/>
        <v>917131</v>
      </c>
      <c r="AM24" s="416">
        <f t="shared" ref="AM24:AV24" si="105">SUM(AM20:AM23)</f>
        <v>1200300</v>
      </c>
      <c r="AN24" s="416">
        <f t="shared" si="105"/>
        <v>1349945</v>
      </c>
      <c r="AO24" s="416">
        <f t="shared" si="105"/>
        <v>675122</v>
      </c>
      <c r="AP24" s="416">
        <f>SUM(AP20:AP23)</f>
        <v>482882</v>
      </c>
      <c r="AQ24" s="416">
        <f t="shared" si="105"/>
        <v>502879</v>
      </c>
      <c r="AR24" s="416">
        <f t="shared" si="105"/>
        <v>638142</v>
      </c>
      <c r="AS24" s="416">
        <f t="shared" si="105"/>
        <v>639321</v>
      </c>
      <c r="AT24" s="416">
        <f t="shared" si="105"/>
        <v>686439</v>
      </c>
      <c r="AU24" s="416">
        <f t="shared" si="105"/>
        <v>856755</v>
      </c>
      <c r="AV24" s="416">
        <f t="shared" si="105"/>
        <v>855017</v>
      </c>
      <c r="AW24" s="416">
        <f t="shared" ref="AW24:AX24" si="106">SUM(AW20:AW23)</f>
        <v>861911</v>
      </c>
      <c r="AX24" s="416">
        <f t="shared" si="106"/>
        <v>895467</v>
      </c>
      <c r="AY24" s="416">
        <f t="shared" ref="AY24:BB24" si="107">SUM(AY20:AY23)</f>
        <v>1125821</v>
      </c>
      <c r="AZ24" s="416">
        <f t="shared" si="107"/>
        <v>1452739</v>
      </c>
      <c r="BA24" s="416">
        <f t="shared" si="107"/>
        <v>224989</v>
      </c>
      <c r="BB24" s="416">
        <f t="shared" si="107"/>
        <v>193123</v>
      </c>
      <c r="BC24" s="416">
        <f t="shared" ref="BC24:BD24" si="108">SUM(BC20:BC23)</f>
        <v>257863</v>
      </c>
      <c r="BD24" s="416">
        <f t="shared" si="108"/>
        <v>705572</v>
      </c>
      <c r="BE24" s="416">
        <f t="shared" ref="BE24:BF24" si="109">SUM(BE20:BE23)</f>
        <v>324245</v>
      </c>
      <c r="BF24" s="416">
        <f t="shared" si="109"/>
        <v>-580664</v>
      </c>
      <c r="BG24" s="416">
        <f t="shared" ref="BG24:BH24" si="110">SUM(BG20:BG23)</f>
        <v>-851321</v>
      </c>
      <c r="BH24" s="416">
        <f t="shared" si="110"/>
        <v>-851052</v>
      </c>
      <c r="BI24" s="416">
        <f t="shared" ref="BI24:BJ24" si="111">SUM(BI20:BI23)</f>
        <v>-980063</v>
      </c>
      <c r="BJ24" s="416">
        <f t="shared" si="111"/>
        <v>-1017072</v>
      </c>
      <c r="BK24" s="416">
        <f t="shared" ref="BK24:BL24" si="112">SUM(BK20:BK23)</f>
        <v>-775243</v>
      </c>
      <c r="BL24" s="416">
        <f t="shared" si="112"/>
        <v>-738859</v>
      </c>
      <c r="BM24" s="416">
        <f t="shared" ref="BM24:BN24" si="113">SUM(BM20:BM23)</f>
        <v>-738859</v>
      </c>
      <c r="BN24" s="416">
        <f t="shared" si="113"/>
        <v>-738859</v>
      </c>
      <c r="BO24" s="416">
        <f t="shared" ref="BO24:BP24" si="114">SUM(BO20:BO23)</f>
        <v>-738859</v>
      </c>
      <c r="BP24" s="416">
        <f t="shared" si="114"/>
        <v>-739191</v>
      </c>
      <c r="BQ24" s="416">
        <f t="shared" ref="BQ24:BS24" si="115">SUM(BQ20:BQ23)</f>
        <v>-914842</v>
      </c>
      <c r="BR24" s="416">
        <f t="shared" si="115"/>
        <v>-1047596</v>
      </c>
      <c r="BS24" s="416">
        <f t="shared" si="115"/>
        <v>-1047596</v>
      </c>
      <c r="BT24" s="416">
        <f t="shared" ref="BT24:BV24" si="116">SUM(BT20:BT23)</f>
        <v>-1047596</v>
      </c>
      <c r="BU24" s="416">
        <f t="shared" si="116"/>
        <v>-1270000</v>
      </c>
      <c r="BV24" s="416">
        <f t="shared" si="116"/>
        <v>-700000</v>
      </c>
      <c r="BW24" s="416">
        <f t="shared" ref="BW24:BX24" si="117">SUM(BW20:BW23)</f>
        <v>-660000</v>
      </c>
      <c r="BX24" s="416">
        <f t="shared" si="117"/>
        <v>-740000</v>
      </c>
      <c r="BY24" s="416">
        <f t="shared" ref="BY24:CB24" si="118">SUM(BY20:BY23)</f>
        <v>-860000</v>
      </c>
      <c r="BZ24" s="416">
        <f t="shared" si="118"/>
        <v>-599426</v>
      </c>
      <c r="CA24" s="416">
        <f t="shared" si="118"/>
        <v>-804118</v>
      </c>
      <c r="CB24" s="416">
        <f t="shared" si="118"/>
        <v>120115</v>
      </c>
      <c r="CC24" s="416">
        <f t="shared" ref="CC24:CH24" si="119">SUM(CC20:CC23)</f>
        <v>-63667</v>
      </c>
      <c r="CD24" s="416">
        <f t="shared" si="119"/>
        <v>842427</v>
      </c>
      <c r="CE24" s="416">
        <f t="shared" si="119"/>
        <v>1349707</v>
      </c>
      <c r="CF24" s="416">
        <f t="shared" si="119"/>
        <v>1699707</v>
      </c>
      <c r="CG24" s="416">
        <f t="shared" si="119"/>
        <v>2446761</v>
      </c>
      <c r="CH24" s="416">
        <f t="shared" si="119"/>
        <v>2054011</v>
      </c>
      <c r="CI24" s="416">
        <f t="shared" ref="CI24:CK24" si="120">SUM(CI20:CI23)</f>
        <v>2053015</v>
      </c>
      <c r="CJ24" s="416">
        <f t="shared" si="120"/>
        <v>1290654</v>
      </c>
      <c r="CK24" s="416">
        <f t="shared" si="120"/>
        <v>1266453</v>
      </c>
      <c r="CL24" s="416">
        <f t="shared" ref="CL24:CM24" si="121">SUM(CL20:CL23)</f>
        <v>1384891</v>
      </c>
      <c r="CM24" s="416">
        <f t="shared" si="121"/>
        <v>1247483</v>
      </c>
      <c r="CN24" s="416">
        <f t="shared" ref="CN24:CO24" si="122">SUM(CN20:CN23)</f>
        <v>1335206</v>
      </c>
      <c r="CO24" s="416">
        <f t="shared" si="122"/>
        <v>980090</v>
      </c>
      <c r="CP24" s="416">
        <f t="shared" ref="CP24:CT24" si="123">SUM(CP20:CP23)</f>
        <v>861819</v>
      </c>
      <c r="CQ24" s="416">
        <f t="shared" si="123"/>
        <v>863030</v>
      </c>
      <c r="CR24" s="416">
        <f t="shared" si="123"/>
        <v>636084</v>
      </c>
      <c r="CS24" s="416">
        <f t="shared" si="123"/>
        <v>636084</v>
      </c>
      <c r="CT24" s="416">
        <f t="shared" si="123"/>
        <v>636084</v>
      </c>
      <c r="CU24" s="416">
        <f>SUM(CU20:CU23)</f>
        <v>40282</v>
      </c>
      <c r="CV24" s="416">
        <f t="shared" ref="CV24:CW24" si="124">SUM(CV20:CV23)</f>
        <v>11223</v>
      </c>
      <c r="CW24" s="416">
        <f t="shared" si="124"/>
        <v>617414</v>
      </c>
      <c r="CX24" s="416">
        <f t="shared" ref="CX24:CZ24" si="125">SUM(CX20:CX23)</f>
        <v>714035</v>
      </c>
      <c r="CY24" s="416">
        <f t="shared" si="125"/>
        <v>633866</v>
      </c>
      <c r="CZ24" s="416">
        <f t="shared" si="125"/>
        <v>638040</v>
      </c>
      <c r="DA24" s="416">
        <f t="shared" ref="DA24:DF24" si="126">SUM(DA20:DA23)</f>
        <v>638040</v>
      </c>
      <c r="DB24" s="416">
        <f t="shared" si="126"/>
        <v>420222</v>
      </c>
      <c r="DC24" s="416">
        <f t="shared" si="126"/>
        <v>490854</v>
      </c>
      <c r="DD24" s="416">
        <f t="shared" si="126"/>
        <v>494378</v>
      </c>
      <c r="DE24" s="416">
        <f t="shared" si="126"/>
        <v>506519</v>
      </c>
      <c r="DF24" s="416">
        <f t="shared" si="126"/>
        <v>470527</v>
      </c>
      <c r="DG24" s="416">
        <f t="shared" ref="DG24:DH24" si="127">SUM(DG20:DG23)</f>
        <v>762734</v>
      </c>
      <c r="DH24" s="416">
        <f t="shared" si="127"/>
        <v>352936</v>
      </c>
      <c r="DI24" s="416">
        <f t="shared" ref="DI24:DK24" si="128">SUM(DI20:DI23)</f>
        <v>364237</v>
      </c>
      <c r="DJ24" s="416">
        <f t="shared" si="128"/>
        <v>381840</v>
      </c>
      <c r="DK24" s="416">
        <f t="shared" si="128"/>
        <v>376980</v>
      </c>
      <c r="DL24" s="416">
        <f t="shared" ref="DL24:DN24" si="129">SUM(DL20:DL23)</f>
        <v>1000158</v>
      </c>
      <c r="DM24" s="416">
        <f t="shared" si="129"/>
        <v>959935</v>
      </c>
      <c r="DN24" s="416">
        <f t="shared" si="129"/>
        <v>933178</v>
      </c>
      <c r="DO24" s="416">
        <f t="shared" ref="DO24:DR24" si="130">SUM(DO20:DO23)</f>
        <v>672284</v>
      </c>
      <c r="DP24" s="416">
        <f t="shared" si="130"/>
        <v>679191</v>
      </c>
      <c r="DQ24" s="416">
        <f t="shared" si="130"/>
        <v>673709</v>
      </c>
      <c r="DR24" s="416">
        <f t="shared" si="130"/>
        <v>614797</v>
      </c>
      <c r="DS24" s="416">
        <f t="shared" ref="DS24:DU24" si="131">SUM(DS20:DS23)</f>
        <v>683755</v>
      </c>
      <c r="DT24" s="416">
        <f t="shared" si="131"/>
        <v>565461</v>
      </c>
      <c r="DU24" s="416">
        <f t="shared" si="131"/>
        <v>598972</v>
      </c>
      <c r="DV24" s="416">
        <f t="shared" ref="DV24:DX24" si="132">SUM(DV20:DV23)</f>
        <v>501200</v>
      </c>
      <c r="DW24" s="416">
        <f t="shared" si="132"/>
        <v>666898</v>
      </c>
      <c r="DX24" s="416">
        <f t="shared" si="132"/>
        <v>621523</v>
      </c>
      <c r="DY24" s="416">
        <f t="shared" ref="DY24:ED24" si="133">SUM(DY20:DY23)</f>
        <v>528738</v>
      </c>
      <c r="DZ24" s="416">
        <f t="shared" si="133"/>
        <v>439233</v>
      </c>
      <c r="EA24" s="416">
        <f t="shared" si="133"/>
        <v>439233</v>
      </c>
      <c r="EB24" s="416">
        <f t="shared" si="133"/>
        <v>439233</v>
      </c>
      <c r="EC24" s="416">
        <f t="shared" si="133"/>
        <v>439233</v>
      </c>
      <c r="ED24" s="416">
        <f t="shared" si="133"/>
        <v>439233</v>
      </c>
    </row>
    <row r="25" spans="1:134" ht="13.5" customHeight="1" thickTop="1">
      <c r="J25" s="343" t="s">
        <v>144</v>
      </c>
      <c r="M25" s="258" t="s">
        <v>135</v>
      </c>
      <c r="N25" s="343" t="s">
        <v>144</v>
      </c>
      <c r="O25" s="258" t="s">
        <v>144</v>
      </c>
      <c r="P25" s="409">
        <v>0</v>
      </c>
      <c r="Q25" s="409">
        <v>0</v>
      </c>
      <c r="R25" s="409">
        <v>0</v>
      </c>
      <c r="S25" s="413">
        <f>S4</f>
        <v>0</v>
      </c>
      <c r="T25" s="409">
        <v>0</v>
      </c>
      <c r="U25" s="409">
        <v>0</v>
      </c>
      <c r="V25" s="409">
        <v>0</v>
      </c>
      <c r="W25" s="409">
        <v>0</v>
      </c>
      <c r="X25" s="409">
        <v>0</v>
      </c>
      <c r="Y25" s="409">
        <v>0</v>
      </c>
      <c r="Z25" s="409">
        <v>0</v>
      </c>
      <c r="AA25" s="409">
        <v>0</v>
      </c>
      <c r="AB25" s="409">
        <v>0</v>
      </c>
      <c r="AC25" s="409">
        <v>0</v>
      </c>
      <c r="AD25" s="409">
        <v>0</v>
      </c>
      <c r="AE25" s="409">
        <v>0</v>
      </c>
      <c r="AF25" s="409">
        <v>0</v>
      </c>
      <c r="AG25" s="409">
        <v>0</v>
      </c>
      <c r="AH25" s="409">
        <v>0</v>
      </c>
      <c r="AI25" s="409">
        <v>0</v>
      </c>
      <c r="AJ25" s="409">
        <v>0</v>
      </c>
      <c r="AK25" s="409">
        <v>0</v>
      </c>
      <c r="AL25" s="409">
        <v>0</v>
      </c>
      <c r="AM25" s="409">
        <v>0</v>
      </c>
      <c r="AN25" s="409">
        <v>0</v>
      </c>
      <c r="AO25" s="409">
        <v>0</v>
      </c>
      <c r="AP25" s="409">
        <v>0</v>
      </c>
      <c r="AQ25" s="409">
        <v>0</v>
      </c>
      <c r="AR25" s="409">
        <v>0</v>
      </c>
      <c r="AS25" s="409">
        <v>0</v>
      </c>
      <c r="AT25" s="409">
        <v>0</v>
      </c>
      <c r="AU25" s="409">
        <v>0</v>
      </c>
      <c r="AV25" s="409">
        <v>0</v>
      </c>
      <c r="AW25" s="409">
        <v>0</v>
      </c>
      <c r="AX25" s="409">
        <v>0</v>
      </c>
      <c r="AY25" s="409">
        <v>0</v>
      </c>
      <c r="AZ25" s="409">
        <v>0</v>
      </c>
      <c r="BA25" s="409">
        <v>0</v>
      </c>
      <c r="BB25" s="409">
        <v>0</v>
      </c>
      <c r="BC25" s="409">
        <v>0</v>
      </c>
      <c r="BD25" s="409">
        <v>0</v>
      </c>
      <c r="BE25" s="409" t="s">
        <v>223</v>
      </c>
      <c r="BF25" s="409">
        <v>0</v>
      </c>
      <c r="BG25" s="409">
        <v>0</v>
      </c>
      <c r="BH25" s="409">
        <v>0</v>
      </c>
      <c r="BI25" s="409">
        <v>0</v>
      </c>
      <c r="BJ25" s="409">
        <v>0</v>
      </c>
      <c r="BK25" s="409">
        <v>0</v>
      </c>
      <c r="BL25" s="409">
        <v>0</v>
      </c>
      <c r="BM25" s="409">
        <v>0</v>
      </c>
      <c r="BN25" s="409">
        <v>0</v>
      </c>
      <c r="BO25" s="409">
        <v>0</v>
      </c>
      <c r="BP25" s="409">
        <v>0</v>
      </c>
      <c r="BQ25" s="409">
        <v>0</v>
      </c>
      <c r="BR25" s="409">
        <v>0</v>
      </c>
      <c r="BS25" s="443">
        <v>0</v>
      </c>
      <c r="BT25" s="409">
        <v>0</v>
      </c>
      <c r="BU25" s="409">
        <v>0</v>
      </c>
      <c r="BV25" s="409">
        <v>0</v>
      </c>
      <c r="BW25" s="409">
        <v>0</v>
      </c>
      <c r="BX25" s="409">
        <v>0</v>
      </c>
      <c r="BY25" s="409">
        <v>0</v>
      </c>
      <c r="BZ25" s="409">
        <v>0</v>
      </c>
      <c r="CA25" s="409">
        <v>0</v>
      </c>
      <c r="CB25" s="409">
        <v>0</v>
      </c>
      <c r="CC25" s="409">
        <v>0</v>
      </c>
      <c r="CD25" s="409">
        <v>0</v>
      </c>
      <c r="CE25" s="409">
        <v>0</v>
      </c>
      <c r="CF25" s="409">
        <v>0</v>
      </c>
      <c r="CG25" s="409">
        <v>0</v>
      </c>
      <c r="CH25" s="471" t="s">
        <v>254</v>
      </c>
      <c r="CI25" s="409">
        <v>0</v>
      </c>
      <c r="CJ25" s="409">
        <v>0</v>
      </c>
      <c r="CK25" s="409">
        <v>0</v>
      </c>
      <c r="CL25" s="409">
        <v>0</v>
      </c>
      <c r="CM25" s="409">
        <v>0</v>
      </c>
      <c r="CN25" s="409">
        <v>0</v>
      </c>
      <c r="CO25" s="409">
        <v>0</v>
      </c>
      <c r="CP25" s="409">
        <v>0</v>
      </c>
      <c r="CQ25" s="409">
        <v>0</v>
      </c>
      <c r="CR25" s="409">
        <v>0</v>
      </c>
      <c r="CS25" s="409">
        <v>0</v>
      </c>
      <c r="CT25" s="409">
        <v>0</v>
      </c>
      <c r="CU25" s="409">
        <v>0</v>
      </c>
      <c r="CV25" s="409">
        <v>0</v>
      </c>
      <c r="CW25" s="409">
        <v>0</v>
      </c>
      <c r="CX25" s="409">
        <v>0</v>
      </c>
      <c r="CY25" s="409">
        <v>0</v>
      </c>
      <c r="CZ25" s="409">
        <v>0</v>
      </c>
      <c r="DA25" s="409">
        <v>0</v>
      </c>
      <c r="DB25" s="409">
        <v>0</v>
      </c>
      <c r="DC25" s="409">
        <v>0</v>
      </c>
      <c r="DD25" s="409">
        <v>0</v>
      </c>
      <c r="DE25" s="409">
        <v>0</v>
      </c>
      <c r="DF25" s="409">
        <v>0</v>
      </c>
      <c r="DG25" s="409">
        <v>0</v>
      </c>
      <c r="DH25" s="409">
        <v>0</v>
      </c>
      <c r="DI25" s="409">
        <v>0</v>
      </c>
      <c r="DJ25" s="409">
        <v>0</v>
      </c>
      <c r="DK25" s="409">
        <v>0</v>
      </c>
      <c r="DL25" s="409">
        <v>0</v>
      </c>
      <c r="DM25" s="409">
        <v>0</v>
      </c>
      <c r="DN25" s="409">
        <v>0</v>
      </c>
      <c r="DO25" s="409">
        <v>0</v>
      </c>
      <c r="DP25" s="409">
        <v>0</v>
      </c>
      <c r="DQ25" s="409">
        <v>0</v>
      </c>
      <c r="DR25" s="409">
        <v>0</v>
      </c>
      <c r="DS25" s="409">
        <v>0</v>
      </c>
      <c r="DT25" s="409">
        <v>0</v>
      </c>
      <c r="DU25" s="409">
        <v>0</v>
      </c>
      <c r="DV25" s="409">
        <v>0</v>
      </c>
      <c r="DW25" s="409">
        <v>0</v>
      </c>
      <c r="DX25" s="409">
        <v>0</v>
      </c>
      <c r="DY25" s="409">
        <v>0</v>
      </c>
      <c r="DZ25" s="409">
        <f>DZ4</f>
        <v>14136</v>
      </c>
      <c r="EA25" s="409">
        <f>EA4</f>
        <v>14136</v>
      </c>
      <c r="EB25" s="409">
        <f>EB4</f>
        <v>14136</v>
      </c>
      <c r="EC25" s="409">
        <f>EC4</f>
        <v>14136</v>
      </c>
      <c r="ED25" s="409">
        <f>ED4</f>
        <v>14136</v>
      </c>
    </row>
    <row r="26" spans="1:134" ht="13.5" hidden="1" customHeight="1">
      <c r="J26" s="343" t="s">
        <v>136</v>
      </c>
      <c r="M26" s="258" t="s">
        <v>136</v>
      </c>
      <c r="N26" s="343" t="s">
        <v>136</v>
      </c>
      <c r="O26" s="258" t="s">
        <v>136</v>
      </c>
      <c r="P26" s="409">
        <v>0</v>
      </c>
      <c r="Q26" s="409">
        <v>0</v>
      </c>
      <c r="R26" s="409">
        <v>0</v>
      </c>
      <c r="S26" s="413">
        <v>0</v>
      </c>
      <c r="T26" s="409">
        <f>T5</f>
        <v>0</v>
      </c>
      <c r="U26" s="409">
        <f t="shared" ref="U26:Z26" si="134">U5</f>
        <v>0</v>
      </c>
      <c r="V26" s="409">
        <f t="shared" si="134"/>
        <v>0</v>
      </c>
      <c r="W26" s="409">
        <f t="shared" si="134"/>
        <v>0</v>
      </c>
      <c r="X26" s="409">
        <f t="shared" si="134"/>
        <v>0</v>
      </c>
      <c r="Y26" s="409">
        <f t="shared" si="134"/>
        <v>0</v>
      </c>
      <c r="Z26" s="409">
        <f t="shared" si="134"/>
        <v>0</v>
      </c>
      <c r="AA26" s="409">
        <f t="shared" ref="AA26:AL26" si="135">AA5</f>
        <v>0</v>
      </c>
      <c r="AB26" s="409">
        <f t="shared" si="135"/>
        <v>0</v>
      </c>
      <c r="AC26" s="409">
        <f t="shared" si="135"/>
        <v>0</v>
      </c>
      <c r="AD26" s="409">
        <f t="shared" si="135"/>
        <v>0</v>
      </c>
      <c r="AE26" s="409">
        <f t="shared" si="135"/>
        <v>0</v>
      </c>
      <c r="AF26" s="409">
        <f t="shared" si="135"/>
        <v>0</v>
      </c>
      <c r="AG26" s="409">
        <f t="shared" si="135"/>
        <v>0</v>
      </c>
      <c r="AH26" s="409">
        <f t="shared" si="135"/>
        <v>0</v>
      </c>
      <c r="AI26" s="409">
        <f t="shared" si="135"/>
        <v>0</v>
      </c>
      <c r="AJ26" s="409">
        <f t="shared" si="135"/>
        <v>0</v>
      </c>
      <c r="AK26" s="409">
        <f t="shared" si="135"/>
        <v>0</v>
      </c>
      <c r="AL26" s="409">
        <f t="shared" si="135"/>
        <v>0</v>
      </c>
      <c r="AM26" s="409">
        <f>AM5</f>
        <v>0</v>
      </c>
      <c r="AN26" s="409">
        <f>AN5</f>
        <v>0</v>
      </c>
      <c r="AO26" s="409">
        <f>AO5</f>
        <v>0</v>
      </c>
      <c r="AP26" s="409">
        <f t="shared" ref="AP26:AQ26" si="136">AP5</f>
        <v>0</v>
      </c>
      <c r="AQ26" s="409">
        <f t="shared" si="136"/>
        <v>0</v>
      </c>
      <c r="AR26" s="409">
        <f t="shared" ref="AR26:AU26" si="137">AR5</f>
        <v>0</v>
      </c>
      <c r="AS26" s="409">
        <f t="shared" si="137"/>
        <v>0</v>
      </c>
      <c r="AT26" s="409">
        <f t="shared" si="137"/>
        <v>0</v>
      </c>
      <c r="AU26" s="409">
        <f t="shared" si="137"/>
        <v>0</v>
      </c>
      <c r="AV26" s="409">
        <f t="shared" ref="AV26:AW26" si="138">AV5</f>
        <v>0</v>
      </c>
      <c r="AW26" s="409">
        <f t="shared" si="138"/>
        <v>0</v>
      </c>
      <c r="AX26" s="409">
        <f t="shared" ref="AX26:AY26" si="139">AX5</f>
        <v>0</v>
      </c>
      <c r="AY26" s="409">
        <f t="shared" si="139"/>
        <v>0</v>
      </c>
      <c r="AZ26" s="409">
        <f t="shared" ref="AZ26:BB26" si="140">AZ5</f>
        <v>0</v>
      </c>
      <c r="BA26" s="409">
        <f t="shared" si="140"/>
        <v>0</v>
      </c>
      <c r="BB26" s="409">
        <f t="shared" si="140"/>
        <v>0</v>
      </c>
      <c r="BC26" s="409">
        <f t="shared" ref="BC26:BD26" si="141">BC5</f>
        <v>0</v>
      </c>
      <c r="BD26" s="409">
        <f t="shared" si="141"/>
        <v>0</v>
      </c>
      <c r="BE26" s="409">
        <f t="shared" ref="BE26:BF26" si="142">BE5</f>
        <v>0</v>
      </c>
      <c r="BF26" s="409">
        <f t="shared" si="142"/>
        <v>0</v>
      </c>
      <c r="BG26" s="409">
        <f t="shared" ref="BG26:BH26" si="143">BG5</f>
        <v>0</v>
      </c>
      <c r="BH26" s="409">
        <f t="shared" si="143"/>
        <v>0</v>
      </c>
      <c r="BI26" s="409">
        <f t="shared" ref="BI26:BJ26" si="144">BI5</f>
        <v>0</v>
      </c>
      <c r="BJ26" s="409">
        <f t="shared" si="144"/>
        <v>0</v>
      </c>
      <c r="BK26" s="409">
        <f t="shared" ref="BK26:BL26" si="145">BK5</f>
        <v>0</v>
      </c>
      <c r="BL26" s="409">
        <f t="shared" si="145"/>
        <v>0</v>
      </c>
      <c r="BM26" s="409">
        <f t="shared" ref="BM26:BN26" si="146">BM5</f>
        <v>0</v>
      </c>
      <c r="BN26" s="409">
        <f t="shared" si="146"/>
        <v>0</v>
      </c>
      <c r="BO26" s="409">
        <f t="shared" ref="BO26:BP26" si="147">BO5</f>
        <v>0</v>
      </c>
      <c r="BP26" s="409">
        <f t="shared" si="147"/>
        <v>1400</v>
      </c>
      <c r="BQ26" s="409">
        <f t="shared" ref="BQ26:BS26" si="148">BQ5</f>
        <v>9366</v>
      </c>
      <c r="BR26" s="409">
        <f t="shared" si="148"/>
        <v>7506</v>
      </c>
      <c r="BS26" s="409">
        <f t="shared" si="148"/>
        <v>2261</v>
      </c>
      <c r="BT26" s="409">
        <f t="shared" ref="BT26:BV26" si="149">BT5</f>
        <v>1490</v>
      </c>
      <c r="BU26" s="409">
        <f t="shared" si="149"/>
        <v>1400</v>
      </c>
      <c r="BV26" s="409">
        <f t="shared" si="149"/>
        <v>4346</v>
      </c>
      <c r="BW26" s="409">
        <f t="shared" ref="BW26:BX26" si="150">BW5</f>
        <v>0</v>
      </c>
      <c r="BX26" s="409">
        <f t="shared" si="150"/>
        <v>2010</v>
      </c>
      <c r="BY26" s="409">
        <f t="shared" ref="BY26:BZ26" si="151">BY5</f>
        <v>8047</v>
      </c>
      <c r="BZ26" s="409">
        <f t="shared" si="151"/>
        <v>2747</v>
      </c>
      <c r="CA26" s="409">
        <f t="shared" ref="CA26:CB26" si="152">CA5</f>
        <v>1050</v>
      </c>
      <c r="CB26" s="409">
        <f t="shared" si="152"/>
        <v>0</v>
      </c>
      <c r="CC26" s="409">
        <f t="shared" ref="CC26:CH26" si="153">CC5</f>
        <v>0</v>
      </c>
      <c r="CD26" s="409">
        <f t="shared" si="153"/>
        <v>0</v>
      </c>
      <c r="CE26" s="409">
        <f t="shared" si="153"/>
        <v>0</v>
      </c>
      <c r="CF26" s="409">
        <f t="shared" si="153"/>
        <v>0</v>
      </c>
      <c r="CG26" s="409">
        <f t="shared" si="153"/>
        <v>0</v>
      </c>
      <c r="CH26" s="409">
        <f t="shared" si="153"/>
        <v>0</v>
      </c>
      <c r="CI26" s="409">
        <f t="shared" ref="CI26:CK26" si="154">CI5</f>
        <v>0</v>
      </c>
      <c r="CJ26" s="409">
        <f t="shared" si="154"/>
        <v>0</v>
      </c>
      <c r="CK26" s="409">
        <f t="shared" si="154"/>
        <v>0</v>
      </c>
      <c r="CL26" s="409">
        <f t="shared" ref="CL26:CM26" si="155">CL5</f>
        <v>0</v>
      </c>
      <c r="CM26" s="409">
        <f t="shared" si="155"/>
        <v>0</v>
      </c>
      <c r="CN26" s="409">
        <f t="shared" ref="CN26:CO26" si="156">CN5</f>
        <v>0</v>
      </c>
      <c r="CO26" s="409">
        <f t="shared" si="156"/>
        <v>0</v>
      </c>
      <c r="CP26" s="409">
        <f t="shared" ref="CP26:CT26" si="157">CP5</f>
        <v>0</v>
      </c>
      <c r="CQ26" s="409">
        <f t="shared" si="157"/>
        <v>0</v>
      </c>
      <c r="CR26" s="409">
        <f t="shared" si="157"/>
        <v>0</v>
      </c>
      <c r="CS26" s="409">
        <f t="shared" si="157"/>
        <v>0</v>
      </c>
      <c r="CT26" s="409">
        <f t="shared" si="157"/>
        <v>0</v>
      </c>
      <c r="CU26" s="409">
        <f t="shared" ref="CU26:CW26" si="158">CU5</f>
        <v>0</v>
      </c>
      <c r="CV26" s="409">
        <f t="shared" si="158"/>
        <v>0</v>
      </c>
      <c r="CW26" s="409">
        <f t="shared" si="158"/>
        <v>0</v>
      </c>
      <c r="CX26" s="409">
        <f t="shared" ref="CX26:CZ26" si="159">CX5</f>
        <v>0</v>
      </c>
      <c r="CY26" s="409">
        <f t="shared" si="159"/>
        <v>0</v>
      </c>
      <c r="CZ26" s="409">
        <f t="shared" si="159"/>
        <v>0</v>
      </c>
      <c r="DA26" s="409">
        <f t="shared" ref="DA26:DF26" si="160">DA5</f>
        <v>0</v>
      </c>
      <c r="DB26" s="409">
        <f t="shared" si="160"/>
        <v>0</v>
      </c>
      <c r="DC26" s="409">
        <f t="shared" si="160"/>
        <v>0</v>
      </c>
      <c r="DD26" s="409">
        <f t="shared" si="160"/>
        <v>0</v>
      </c>
      <c r="DE26" s="409">
        <f t="shared" si="160"/>
        <v>0</v>
      </c>
      <c r="DF26" s="409">
        <f t="shared" si="160"/>
        <v>0</v>
      </c>
      <c r="DG26" s="409">
        <f t="shared" ref="DG26:DH26" si="161">DG5</f>
        <v>10069</v>
      </c>
      <c r="DH26" s="409">
        <f t="shared" si="161"/>
        <v>7637</v>
      </c>
      <c r="DI26" s="409">
        <f t="shared" ref="DI26:DK26" si="162">DI5</f>
        <v>11124</v>
      </c>
      <c r="DJ26" s="409">
        <f t="shared" si="162"/>
        <v>450</v>
      </c>
      <c r="DK26" s="409">
        <f t="shared" si="162"/>
        <v>-15</v>
      </c>
      <c r="DL26" s="409">
        <f t="shared" ref="DL26:DN26" si="163">DL5</f>
        <v>375</v>
      </c>
      <c r="DM26" s="409">
        <f t="shared" si="163"/>
        <v>20807</v>
      </c>
      <c r="DN26" s="409">
        <f t="shared" si="163"/>
        <v>9223</v>
      </c>
      <c r="DO26" s="409">
        <f t="shared" ref="DO26:DR26" si="164">DO5</f>
        <v>7826</v>
      </c>
      <c r="DP26" s="409">
        <f t="shared" si="164"/>
        <v>17503</v>
      </c>
      <c r="DQ26" s="409">
        <f t="shared" si="164"/>
        <v>43618</v>
      </c>
      <c r="DR26" s="409">
        <f t="shared" si="164"/>
        <v>38763</v>
      </c>
      <c r="DS26" s="409">
        <f t="shared" ref="DS26:DU26" si="165">DS5</f>
        <v>212</v>
      </c>
      <c r="DT26" s="409">
        <f t="shared" si="165"/>
        <v>3542</v>
      </c>
      <c r="DU26" s="409">
        <f t="shared" si="165"/>
        <v>5065</v>
      </c>
      <c r="DV26" s="409">
        <f t="shared" ref="DV26:DX26" si="166">DV5</f>
        <v>12518</v>
      </c>
      <c r="DW26" s="409">
        <f t="shared" si="166"/>
        <v>6945</v>
      </c>
      <c r="DX26" s="409">
        <f t="shared" si="166"/>
        <v>18034</v>
      </c>
      <c r="DY26" s="409">
        <f t="shared" ref="DY26:ED26" si="167">DY5</f>
        <v>10668</v>
      </c>
      <c r="DZ26" s="409">
        <f t="shared" si="167"/>
        <v>10668</v>
      </c>
      <c r="EA26" s="409">
        <f t="shared" si="167"/>
        <v>10668</v>
      </c>
      <c r="EB26" s="409">
        <f t="shared" si="167"/>
        <v>10668</v>
      </c>
      <c r="EC26" s="409">
        <f t="shared" si="167"/>
        <v>10668</v>
      </c>
      <c r="ED26" s="409">
        <f t="shared" si="167"/>
        <v>10668</v>
      </c>
    </row>
    <row r="27" spans="1:134" ht="13.5" customHeight="1">
      <c r="I27" s="299">
        <f>X6+X8</f>
        <v>16619</v>
      </c>
      <c r="J27" s="343" t="s">
        <v>137</v>
      </c>
      <c r="M27" s="258" t="s">
        <v>137</v>
      </c>
      <c r="N27" s="343" t="s">
        <v>137</v>
      </c>
      <c r="O27" s="258" t="s">
        <v>137</v>
      </c>
      <c r="P27" s="409">
        <v>0</v>
      </c>
      <c r="Q27" s="409">
        <v>0</v>
      </c>
      <c r="R27" s="409">
        <v>0</v>
      </c>
      <c r="S27" s="413">
        <v>0</v>
      </c>
      <c r="T27" s="409">
        <v>0</v>
      </c>
      <c r="U27" s="409">
        <v>0</v>
      </c>
      <c r="V27" s="409">
        <v>0</v>
      </c>
      <c r="W27" s="409">
        <v>0</v>
      </c>
      <c r="X27" s="409">
        <v>0</v>
      </c>
      <c r="Y27" s="409">
        <v>0</v>
      </c>
      <c r="Z27" s="409">
        <v>0</v>
      </c>
      <c r="AA27" s="409">
        <v>0</v>
      </c>
      <c r="AB27" s="409">
        <v>0</v>
      </c>
      <c r="AC27" s="409">
        <v>0</v>
      </c>
      <c r="AD27" s="409">
        <v>0</v>
      </c>
      <c r="AE27" s="409">
        <v>0</v>
      </c>
      <c r="AF27" s="409">
        <v>0</v>
      </c>
      <c r="AG27" s="409">
        <v>0</v>
      </c>
      <c r="AH27" s="409">
        <v>0</v>
      </c>
      <c r="AI27" s="409">
        <v>0</v>
      </c>
      <c r="AJ27" s="409">
        <v>0</v>
      </c>
      <c r="AK27" s="409">
        <v>0</v>
      </c>
      <c r="AL27" s="409">
        <v>0</v>
      </c>
      <c r="AM27" s="409">
        <v>0</v>
      </c>
      <c r="AN27" s="409">
        <v>0</v>
      </c>
      <c r="AO27" s="409">
        <v>0</v>
      </c>
      <c r="AP27" s="409">
        <v>0</v>
      </c>
      <c r="AQ27" s="409">
        <v>0</v>
      </c>
      <c r="AR27" s="409">
        <v>0</v>
      </c>
      <c r="AS27" s="409">
        <v>0</v>
      </c>
      <c r="AT27" s="409">
        <v>0</v>
      </c>
      <c r="AU27" s="409">
        <v>0</v>
      </c>
      <c r="AV27" s="409">
        <v>0</v>
      </c>
      <c r="AW27" s="409">
        <v>0</v>
      </c>
      <c r="AX27" s="409">
        <v>0</v>
      </c>
      <c r="AY27" s="409">
        <f t="shared" ref="AY27" si="168">AY6</f>
        <v>0</v>
      </c>
      <c r="AZ27" s="409">
        <v>0</v>
      </c>
      <c r="BA27" s="409">
        <v>0</v>
      </c>
      <c r="BB27" s="409">
        <f t="shared" ref="BB27" si="169">BB6</f>
        <v>0</v>
      </c>
      <c r="BC27" s="409">
        <v>0</v>
      </c>
      <c r="BD27" s="409">
        <v>0</v>
      </c>
      <c r="BE27" s="409" t="s">
        <v>224</v>
      </c>
      <c r="BF27" s="409">
        <f t="shared" ref="BF27" si="170">BF6</f>
        <v>0</v>
      </c>
      <c r="BG27" s="409">
        <v>0</v>
      </c>
      <c r="BH27" s="409">
        <v>0</v>
      </c>
      <c r="BI27" s="409">
        <v>0</v>
      </c>
      <c r="BJ27" s="409">
        <v>0</v>
      </c>
      <c r="BK27" s="409">
        <v>0</v>
      </c>
      <c r="BL27" s="409">
        <v>0</v>
      </c>
      <c r="BM27" s="409">
        <v>0</v>
      </c>
      <c r="BN27" s="409">
        <v>0</v>
      </c>
      <c r="BO27" s="409">
        <v>0</v>
      </c>
      <c r="BP27" s="409">
        <v>0</v>
      </c>
      <c r="BQ27" s="409">
        <v>0</v>
      </c>
      <c r="BR27" s="409">
        <v>0</v>
      </c>
      <c r="BS27" s="409">
        <v>0</v>
      </c>
      <c r="BT27" s="409">
        <v>0</v>
      </c>
      <c r="BU27" s="409">
        <v>0</v>
      </c>
      <c r="BV27" s="409">
        <v>0</v>
      </c>
      <c r="BW27" s="409">
        <v>0</v>
      </c>
      <c r="BX27" s="409">
        <v>0</v>
      </c>
      <c r="BY27" s="409">
        <v>0</v>
      </c>
      <c r="BZ27" s="409">
        <v>0</v>
      </c>
      <c r="CA27" s="409">
        <v>0</v>
      </c>
      <c r="CB27" s="409">
        <v>0</v>
      </c>
      <c r="CC27" s="409">
        <v>0</v>
      </c>
      <c r="CD27" s="409">
        <v>0</v>
      </c>
      <c r="CE27" s="409">
        <v>0</v>
      </c>
      <c r="CF27" s="409">
        <v>0</v>
      </c>
      <c r="CG27" s="471" t="s">
        <v>252</v>
      </c>
      <c r="CH27" s="409">
        <v>0</v>
      </c>
      <c r="CI27" s="409">
        <v>0</v>
      </c>
      <c r="CJ27" s="409">
        <v>0</v>
      </c>
      <c r="CK27" s="409">
        <v>0</v>
      </c>
      <c r="CL27" s="409">
        <v>0</v>
      </c>
      <c r="CM27" s="409">
        <v>0</v>
      </c>
      <c r="CN27" s="409">
        <v>0</v>
      </c>
      <c r="CO27" s="409">
        <v>0</v>
      </c>
      <c r="CP27" s="409">
        <v>0</v>
      </c>
      <c r="CQ27" s="409">
        <v>0</v>
      </c>
      <c r="CR27" s="409">
        <v>0</v>
      </c>
      <c r="CS27" s="482">
        <v>0</v>
      </c>
      <c r="CT27" s="409">
        <v>0</v>
      </c>
      <c r="CU27" s="409">
        <v>0</v>
      </c>
      <c r="CV27" s="409">
        <v>0</v>
      </c>
      <c r="CW27" s="409">
        <v>0</v>
      </c>
      <c r="CX27" s="576">
        <v>0</v>
      </c>
      <c r="CY27" s="576">
        <v>0</v>
      </c>
      <c r="CZ27" s="576">
        <v>0</v>
      </c>
      <c r="DA27" s="576">
        <v>0</v>
      </c>
      <c r="DB27" s="576">
        <v>0</v>
      </c>
      <c r="DC27" s="576">
        <v>0</v>
      </c>
      <c r="DD27" s="576">
        <v>0</v>
      </c>
      <c r="DE27" s="576">
        <v>0</v>
      </c>
      <c r="DF27" s="576">
        <v>0</v>
      </c>
      <c r="DG27" s="576">
        <v>0</v>
      </c>
      <c r="DH27" s="576">
        <v>0</v>
      </c>
      <c r="DI27" s="576">
        <v>0</v>
      </c>
      <c r="DJ27" s="576">
        <v>0</v>
      </c>
      <c r="DK27" s="576">
        <v>0</v>
      </c>
      <c r="DL27" s="576">
        <v>0</v>
      </c>
      <c r="DM27" s="576">
        <v>0</v>
      </c>
      <c r="DN27" s="576">
        <v>0</v>
      </c>
      <c r="DO27" s="576">
        <v>0</v>
      </c>
      <c r="DP27" s="576">
        <v>0</v>
      </c>
      <c r="DQ27" s="576">
        <v>0</v>
      </c>
      <c r="DR27" s="576">
        <v>0</v>
      </c>
      <c r="DS27" s="576">
        <v>0</v>
      </c>
      <c r="DT27" s="576">
        <v>0</v>
      </c>
      <c r="DU27" s="576">
        <v>0</v>
      </c>
      <c r="DV27" s="576">
        <v>0</v>
      </c>
      <c r="DW27" s="576">
        <v>0</v>
      </c>
      <c r="DX27" s="576">
        <v>0</v>
      </c>
      <c r="DY27" s="576">
        <v>0</v>
      </c>
      <c r="DZ27" s="576">
        <f t="shared" ref="DZ27:ED29" si="171">DZ6</f>
        <v>3000</v>
      </c>
      <c r="EA27" s="576">
        <f t="shared" si="171"/>
        <v>3000</v>
      </c>
      <c r="EB27" s="576">
        <f t="shared" si="171"/>
        <v>3000</v>
      </c>
      <c r="EC27" s="576">
        <f t="shared" si="171"/>
        <v>3000</v>
      </c>
      <c r="ED27" s="576">
        <f t="shared" si="171"/>
        <v>3000</v>
      </c>
    </row>
    <row r="28" spans="1:134" ht="13.5" customHeight="1">
      <c r="J28" s="343" t="s">
        <v>152</v>
      </c>
      <c r="M28" s="258" t="s">
        <v>138</v>
      </c>
      <c r="N28" s="343" t="s">
        <v>152</v>
      </c>
      <c r="O28" s="258" t="s">
        <v>138</v>
      </c>
      <c r="P28" s="409">
        <v>0</v>
      </c>
      <c r="Q28" s="409">
        <v>0</v>
      </c>
      <c r="R28" s="409">
        <v>0</v>
      </c>
      <c r="S28" s="413">
        <v>0</v>
      </c>
      <c r="T28" s="409">
        <v>0</v>
      </c>
      <c r="U28" s="409">
        <v>0</v>
      </c>
      <c r="V28" s="409">
        <v>0</v>
      </c>
      <c r="W28" s="409">
        <v>0</v>
      </c>
      <c r="X28" s="409">
        <v>0</v>
      </c>
      <c r="Y28" s="409">
        <v>0</v>
      </c>
      <c r="Z28" s="409">
        <v>0</v>
      </c>
      <c r="AA28" s="409">
        <v>0</v>
      </c>
      <c r="AB28" s="409">
        <v>0</v>
      </c>
      <c r="AC28" s="409">
        <f t="shared" ref="AC28:AL28" si="172">AC7</f>
        <v>0</v>
      </c>
      <c r="AD28" s="409">
        <f t="shared" si="172"/>
        <v>0</v>
      </c>
      <c r="AE28" s="409">
        <f t="shared" si="172"/>
        <v>0</v>
      </c>
      <c r="AF28" s="409">
        <f t="shared" si="172"/>
        <v>0</v>
      </c>
      <c r="AG28" s="409">
        <f t="shared" si="172"/>
        <v>0</v>
      </c>
      <c r="AH28" s="409">
        <f t="shared" si="172"/>
        <v>0</v>
      </c>
      <c r="AI28" s="409">
        <f t="shared" si="172"/>
        <v>0</v>
      </c>
      <c r="AJ28" s="409">
        <f t="shared" si="172"/>
        <v>0</v>
      </c>
      <c r="AK28" s="409">
        <f t="shared" si="172"/>
        <v>0</v>
      </c>
      <c r="AL28" s="409">
        <f t="shared" si="172"/>
        <v>0</v>
      </c>
      <c r="AM28" s="409">
        <f>AM7</f>
        <v>0</v>
      </c>
      <c r="AN28" s="409">
        <f>AN7</f>
        <v>0</v>
      </c>
      <c r="AO28" s="409">
        <f>AO7</f>
        <v>0</v>
      </c>
      <c r="AP28" s="409">
        <f t="shared" ref="AP28" si="173">AP7</f>
        <v>0</v>
      </c>
      <c r="AQ28" s="409">
        <v>0</v>
      </c>
      <c r="AR28" s="409">
        <v>0</v>
      </c>
      <c r="AS28" s="409">
        <v>0</v>
      </c>
      <c r="AT28" s="409">
        <v>0</v>
      </c>
      <c r="AU28" s="409">
        <v>0</v>
      </c>
      <c r="AV28" s="409">
        <v>0</v>
      </c>
      <c r="AW28" s="409">
        <v>0</v>
      </c>
      <c r="AX28" s="409">
        <v>0</v>
      </c>
      <c r="AY28" s="409">
        <v>0</v>
      </c>
      <c r="AZ28" s="409">
        <v>0</v>
      </c>
      <c r="BA28" s="409">
        <v>0</v>
      </c>
      <c r="BB28" s="409">
        <v>0</v>
      </c>
      <c r="BC28" s="409">
        <v>0</v>
      </c>
      <c r="BD28" s="409">
        <v>0</v>
      </c>
      <c r="BE28" s="409">
        <v>0</v>
      </c>
      <c r="BF28" s="409">
        <v>0</v>
      </c>
      <c r="BG28" s="409">
        <f t="shared" ref="BG28" si="174">BG7</f>
        <v>0</v>
      </c>
      <c r="BH28" s="409">
        <v>0</v>
      </c>
      <c r="BI28" s="409">
        <v>0</v>
      </c>
      <c r="BJ28" s="409">
        <f t="shared" ref="BJ28" si="175">BJ7</f>
        <v>0</v>
      </c>
      <c r="BK28" s="409">
        <f>BK7</f>
        <v>0</v>
      </c>
      <c r="BL28" s="409">
        <f t="shared" ref="BL28:BM28" si="176">BL7</f>
        <v>0</v>
      </c>
      <c r="BM28" s="409">
        <f t="shared" si="176"/>
        <v>0</v>
      </c>
      <c r="BN28" s="409">
        <f t="shared" ref="BN28" si="177">BN7</f>
        <v>0</v>
      </c>
      <c r="BO28" s="409">
        <v>0</v>
      </c>
      <c r="BP28" s="409">
        <v>0</v>
      </c>
      <c r="BQ28" s="409">
        <v>0</v>
      </c>
      <c r="BR28" s="409">
        <v>0</v>
      </c>
      <c r="BS28" s="409">
        <v>0</v>
      </c>
      <c r="BT28" s="409">
        <v>0</v>
      </c>
      <c r="BU28" s="409">
        <v>0</v>
      </c>
      <c r="BV28" s="409">
        <v>0</v>
      </c>
      <c r="BW28" s="409">
        <v>0</v>
      </c>
      <c r="BX28" s="409">
        <v>0</v>
      </c>
      <c r="BY28" s="409">
        <v>0</v>
      </c>
      <c r="BZ28" s="409">
        <v>0</v>
      </c>
      <c r="CA28" s="409">
        <v>0</v>
      </c>
      <c r="CB28" s="409">
        <v>0</v>
      </c>
      <c r="CC28" s="409">
        <v>0</v>
      </c>
      <c r="CD28" s="409">
        <v>0</v>
      </c>
      <c r="CE28" s="409">
        <v>0</v>
      </c>
      <c r="CF28" s="409">
        <v>0</v>
      </c>
      <c r="CG28" s="409">
        <v>0</v>
      </c>
      <c r="CH28" s="409">
        <v>0</v>
      </c>
      <c r="CI28" s="409">
        <v>0</v>
      </c>
      <c r="CJ28" s="409">
        <v>0</v>
      </c>
      <c r="CK28" s="409">
        <v>0</v>
      </c>
      <c r="CL28" s="409">
        <v>0</v>
      </c>
      <c r="CM28" s="409">
        <v>0</v>
      </c>
      <c r="CN28" s="409">
        <v>0</v>
      </c>
      <c r="CO28" s="409">
        <v>0</v>
      </c>
      <c r="CP28" s="409">
        <v>0</v>
      </c>
      <c r="CQ28" s="409">
        <v>0</v>
      </c>
      <c r="CR28" s="409">
        <v>0</v>
      </c>
      <c r="CS28" s="409">
        <v>0</v>
      </c>
      <c r="CT28" s="409">
        <v>0</v>
      </c>
      <c r="CU28" s="409">
        <v>0</v>
      </c>
      <c r="CV28" s="409">
        <v>0</v>
      </c>
      <c r="CW28" s="409">
        <v>0</v>
      </c>
      <c r="CX28" s="409">
        <v>0</v>
      </c>
      <c r="CY28" s="409">
        <v>0</v>
      </c>
      <c r="CZ28" s="409">
        <v>0</v>
      </c>
      <c r="DA28" s="409">
        <v>0</v>
      </c>
      <c r="DB28" s="409">
        <v>0</v>
      </c>
      <c r="DC28" s="409">
        <v>0</v>
      </c>
      <c r="DD28" s="409">
        <v>0</v>
      </c>
      <c r="DE28" s="409">
        <v>0</v>
      </c>
      <c r="DF28" s="409">
        <v>0</v>
      </c>
      <c r="DG28" s="409">
        <v>0</v>
      </c>
      <c r="DH28" s="409">
        <v>0</v>
      </c>
      <c r="DI28" s="409">
        <v>0</v>
      </c>
      <c r="DJ28" s="409">
        <v>0</v>
      </c>
      <c r="DK28" s="409">
        <v>0</v>
      </c>
      <c r="DL28" s="409">
        <v>0</v>
      </c>
      <c r="DM28" s="409">
        <v>0</v>
      </c>
      <c r="DN28" s="409">
        <v>0</v>
      </c>
      <c r="DO28" s="409">
        <v>0</v>
      </c>
      <c r="DP28" s="409">
        <v>0</v>
      </c>
      <c r="DQ28" s="409">
        <v>0</v>
      </c>
      <c r="DR28" s="409">
        <v>0</v>
      </c>
      <c r="DS28" s="409">
        <v>0</v>
      </c>
      <c r="DT28" s="409">
        <v>0</v>
      </c>
      <c r="DU28" s="409">
        <v>0</v>
      </c>
      <c r="DV28" s="409">
        <v>0</v>
      </c>
      <c r="DW28" s="409">
        <v>0</v>
      </c>
      <c r="DX28" s="409">
        <v>0</v>
      </c>
      <c r="DY28" s="409">
        <v>0</v>
      </c>
      <c r="DZ28" s="409">
        <f t="shared" si="171"/>
        <v>6252</v>
      </c>
      <c r="EA28" s="409">
        <f t="shared" si="171"/>
        <v>6252</v>
      </c>
      <c r="EB28" s="409">
        <f t="shared" si="171"/>
        <v>6252</v>
      </c>
      <c r="EC28" s="409">
        <f t="shared" si="171"/>
        <v>6252</v>
      </c>
      <c r="ED28" s="409">
        <f t="shared" si="171"/>
        <v>6252</v>
      </c>
    </row>
    <row r="29" spans="1:134" ht="13.5" customHeight="1">
      <c r="J29" s="343" t="s">
        <v>364</v>
      </c>
      <c r="M29" s="258" t="s">
        <v>139</v>
      </c>
      <c r="N29" s="343" t="s">
        <v>139</v>
      </c>
      <c r="O29" s="258" t="s">
        <v>139</v>
      </c>
      <c r="P29" s="409">
        <v>0</v>
      </c>
      <c r="Q29" s="409">
        <v>0</v>
      </c>
      <c r="R29" s="409">
        <v>0</v>
      </c>
      <c r="S29" s="413">
        <v>0</v>
      </c>
      <c r="T29" s="409">
        <v>0</v>
      </c>
      <c r="U29" s="409">
        <v>0</v>
      </c>
      <c r="V29" s="409">
        <v>0</v>
      </c>
      <c r="W29" s="409">
        <v>0</v>
      </c>
      <c r="X29" s="409">
        <v>0</v>
      </c>
      <c r="Y29" s="409">
        <v>0</v>
      </c>
      <c r="Z29" s="409">
        <v>0</v>
      </c>
      <c r="AA29" s="409">
        <v>0</v>
      </c>
      <c r="AB29" s="409">
        <v>0</v>
      </c>
      <c r="AC29" s="409">
        <v>0</v>
      </c>
      <c r="AD29" s="409">
        <v>0</v>
      </c>
      <c r="AE29" s="409">
        <v>0</v>
      </c>
      <c r="AF29" s="409">
        <v>0</v>
      </c>
      <c r="AG29" s="409">
        <v>0</v>
      </c>
      <c r="AH29" s="409">
        <v>0</v>
      </c>
      <c r="AI29" s="409">
        <v>0</v>
      </c>
      <c r="AJ29" s="409">
        <v>0</v>
      </c>
      <c r="AK29" s="409">
        <v>0</v>
      </c>
      <c r="AL29" s="409">
        <v>0</v>
      </c>
      <c r="AM29" s="409">
        <v>0</v>
      </c>
      <c r="AN29" s="409">
        <v>0</v>
      </c>
      <c r="AO29" s="409">
        <v>0</v>
      </c>
      <c r="AP29" s="409">
        <v>0</v>
      </c>
      <c r="AQ29" s="409">
        <v>0</v>
      </c>
      <c r="AR29" s="409">
        <f>AR99</f>
        <v>0</v>
      </c>
      <c r="AS29" s="409">
        <v>0</v>
      </c>
      <c r="AT29" s="409">
        <v>0</v>
      </c>
      <c r="AU29" s="409">
        <v>0</v>
      </c>
      <c r="AV29" s="409">
        <v>0</v>
      </c>
      <c r="AW29" s="409">
        <v>0</v>
      </c>
      <c r="AX29" s="409">
        <v>0</v>
      </c>
      <c r="AY29" s="409">
        <v>0</v>
      </c>
      <c r="AZ29" s="409">
        <v>0</v>
      </c>
      <c r="BA29" s="409">
        <v>0</v>
      </c>
      <c r="BB29" s="409">
        <v>0</v>
      </c>
      <c r="BC29" s="409">
        <v>0</v>
      </c>
      <c r="BD29" s="409">
        <v>0</v>
      </c>
      <c r="BE29" s="409">
        <v>0</v>
      </c>
      <c r="BF29" s="409">
        <v>0</v>
      </c>
      <c r="BG29" s="409">
        <v>0</v>
      </c>
      <c r="BH29" s="409">
        <v>0</v>
      </c>
      <c r="BI29" s="409">
        <v>0</v>
      </c>
      <c r="BJ29" s="409">
        <v>0</v>
      </c>
      <c r="BK29" s="409">
        <v>0</v>
      </c>
      <c r="BL29" s="409">
        <v>0</v>
      </c>
      <c r="BM29" s="409">
        <v>0</v>
      </c>
      <c r="BN29" s="409">
        <v>0</v>
      </c>
      <c r="BO29" s="409">
        <v>0</v>
      </c>
      <c r="BP29" s="409">
        <v>0</v>
      </c>
      <c r="BQ29" s="409">
        <v>0</v>
      </c>
      <c r="BR29" s="409">
        <v>0</v>
      </c>
      <c r="BS29" s="409">
        <v>0</v>
      </c>
      <c r="BT29" s="409">
        <v>0</v>
      </c>
      <c r="BU29" s="409">
        <v>0</v>
      </c>
      <c r="BV29" s="409">
        <v>0</v>
      </c>
      <c r="BW29" s="409">
        <v>0</v>
      </c>
      <c r="BX29" s="409">
        <v>0</v>
      </c>
      <c r="BY29" s="409">
        <v>0</v>
      </c>
      <c r="BZ29" s="409">
        <v>0</v>
      </c>
      <c r="CA29" s="409">
        <v>0</v>
      </c>
      <c r="CB29" s="409">
        <v>0</v>
      </c>
      <c r="CC29" s="409">
        <v>0</v>
      </c>
      <c r="CD29" s="409">
        <v>0</v>
      </c>
      <c r="CE29" s="409">
        <v>0</v>
      </c>
      <c r="CF29" s="409">
        <v>0</v>
      </c>
      <c r="CG29" s="409">
        <v>0</v>
      </c>
      <c r="CH29" s="409">
        <v>0</v>
      </c>
      <c r="CI29" s="409">
        <v>0</v>
      </c>
      <c r="CJ29" s="409">
        <v>0</v>
      </c>
      <c r="CK29" s="409">
        <v>0</v>
      </c>
      <c r="CL29" s="409">
        <v>0</v>
      </c>
      <c r="CM29" s="409">
        <v>0</v>
      </c>
      <c r="CN29" s="409">
        <v>0</v>
      </c>
      <c r="CO29" s="409">
        <f t="shared" ref="CO29:CT29" si="178">CO8</f>
        <v>0</v>
      </c>
      <c r="CP29" s="409">
        <f t="shared" si="178"/>
        <v>0</v>
      </c>
      <c r="CQ29" s="409">
        <f t="shared" si="178"/>
        <v>0</v>
      </c>
      <c r="CR29" s="409">
        <f t="shared" si="178"/>
        <v>0</v>
      </c>
      <c r="CS29" s="409">
        <f t="shared" si="178"/>
        <v>0</v>
      </c>
      <c r="CT29" s="409">
        <f t="shared" si="178"/>
        <v>0</v>
      </c>
      <c r="CU29" s="409">
        <f t="shared" ref="CU29:CW29" si="179">CU8</f>
        <v>0</v>
      </c>
      <c r="CV29" s="409">
        <f t="shared" si="179"/>
        <v>0</v>
      </c>
      <c r="CW29" s="409">
        <f t="shared" si="179"/>
        <v>0</v>
      </c>
      <c r="CX29" s="409">
        <f t="shared" ref="CX29" si="180">CX8</f>
        <v>0</v>
      </c>
      <c r="CY29" s="409">
        <v>0</v>
      </c>
      <c r="CZ29" s="409">
        <v>0</v>
      </c>
      <c r="DA29" s="409">
        <v>0</v>
      </c>
      <c r="DB29" s="409">
        <v>0</v>
      </c>
      <c r="DC29" s="409">
        <v>0</v>
      </c>
      <c r="DD29" s="409">
        <v>0</v>
      </c>
      <c r="DE29" s="409">
        <v>0</v>
      </c>
      <c r="DF29" s="409">
        <v>0</v>
      </c>
      <c r="DG29" s="409">
        <v>0</v>
      </c>
      <c r="DH29" s="409">
        <v>0</v>
      </c>
      <c r="DI29" s="409">
        <v>0</v>
      </c>
      <c r="DJ29" s="409">
        <v>0</v>
      </c>
      <c r="DK29" s="409">
        <v>0</v>
      </c>
      <c r="DL29" s="409">
        <v>0</v>
      </c>
      <c r="DM29" s="409">
        <v>0</v>
      </c>
      <c r="DN29" s="409">
        <v>0</v>
      </c>
      <c r="DO29" s="409">
        <v>0</v>
      </c>
      <c r="DP29" s="409">
        <v>0</v>
      </c>
      <c r="DQ29" s="409">
        <v>0</v>
      </c>
      <c r="DR29" s="409">
        <f t="shared" ref="DR29" si="181">DR8</f>
        <v>0</v>
      </c>
      <c r="DS29" s="409">
        <f t="shared" ref="DS29" si="182">DS8</f>
        <v>0</v>
      </c>
      <c r="DT29" s="409">
        <v>0</v>
      </c>
      <c r="DU29" s="409">
        <v>0</v>
      </c>
      <c r="DV29" s="409">
        <v>0</v>
      </c>
      <c r="DW29" s="409">
        <v>0</v>
      </c>
      <c r="DX29" s="409">
        <v>0</v>
      </c>
      <c r="DY29" s="409">
        <v>0</v>
      </c>
      <c r="DZ29" s="409">
        <f t="shared" si="171"/>
        <v>95017</v>
      </c>
      <c r="EA29" s="409">
        <f t="shared" si="171"/>
        <v>95017</v>
      </c>
      <c r="EB29" s="409">
        <f t="shared" si="171"/>
        <v>95017</v>
      </c>
      <c r="EC29" s="409">
        <f t="shared" si="171"/>
        <v>95017</v>
      </c>
      <c r="ED29" s="409">
        <f t="shared" si="171"/>
        <v>95017</v>
      </c>
    </row>
    <row r="30" spans="1:134" ht="13.5" customHeight="1">
      <c r="J30" s="343" t="s">
        <v>372</v>
      </c>
      <c r="N30" s="343" t="s">
        <v>147</v>
      </c>
      <c r="O30" s="258" t="s">
        <v>147</v>
      </c>
      <c r="P30" s="409">
        <v>0</v>
      </c>
      <c r="Q30" s="409">
        <v>0</v>
      </c>
      <c r="R30" s="409">
        <v>0</v>
      </c>
      <c r="S30" s="413">
        <v>0</v>
      </c>
      <c r="T30" s="409">
        <v>0</v>
      </c>
      <c r="U30" s="409">
        <v>0</v>
      </c>
      <c r="V30" s="409">
        <v>0</v>
      </c>
      <c r="W30" s="409">
        <v>0</v>
      </c>
      <c r="X30" s="409">
        <v>0</v>
      </c>
      <c r="Y30" s="409">
        <v>0</v>
      </c>
      <c r="Z30" s="409">
        <v>0</v>
      </c>
      <c r="AA30" s="409">
        <v>0</v>
      </c>
      <c r="AB30" s="409">
        <v>0</v>
      </c>
      <c r="AC30" s="409">
        <v>0</v>
      </c>
      <c r="AD30" s="409">
        <v>0</v>
      </c>
      <c r="AE30" s="409">
        <v>0</v>
      </c>
      <c r="AF30" s="409">
        <v>0</v>
      </c>
      <c r="AG30" s="409">
        <v>0</v>
      </c>
      <c r="AH30" s="409">
        <v>0</v>
      </c>
      <c r="AI30" s="409">
        <v>0</v>
      </c>
      <c r="AJ30" s="409">
        <v>0</v>
      </c>
      <c r="AK30" s="409">
        <v>0</v>
      </c>
      <c r="AL30" s="409">
        <v>0</v>
      </c>
      <c r="AM30" s="409">
        <v>0</v>
      </c>
      <c r="AN30" s="409">
        <v>0</v>
      </c>
      <c r="AO30" s="409">
        <v>0</v>
      </c>
      <c r="AP30" s="409">
        <v>0</v>
      </c>
      <c r="AQ30" s="409">
        <v>0</v>
      </c>
      <c r="AR30" s="409">
        <v>0</v>
      </c>
      <c r="AS30" s="409">
        <v>0</v>
      </c>
      <c r="AT30" s="409">
        <v>0</v>
      </c>
      <c r="AU30" s="409">
        <v>0</v>
      </c>
      <c r="AV30" s="409">
        <v>0</v>
      </c>
      <c r="AW30" s="409">
        <v>0</v>
      </c>
      <c r="AX30" s="409">
        <v>0</v>
      </c>
      <c r="AY30" s="409">
        <v>0</v>
      </c>
      <c r="AZ30" s="409">
        <v>0</v>
      </c>
      <c r="BA30" s="409">
        <v>0</v>
      </c>
      <c r="BB30" s="409">
        <v>0</v>
      </c>
      <c r="BC30" s="409">
        <v>0</v>
      </c>
      <c r="BD30" s="409">
        <v>0</v>
      </c>
      <c r="BE30" s="409">
        <v>0</v>
      </c>
      <c r="BF30" s="409">
        <v>0</v>
      </c>
      <c r="BG30" s="409">
        <v>0</v>
      </c>
      <c r="BH30" s="409">
        <v>0</v>
      </c>
      <c r="BI30" s="409">
        <v>0</v>
      </c>
      <c r="BJ30" s="409">
        <v>0</v>
      </c>
      <c r="BK30" s="409">
        <v>0</v>
      </c>
      <c r="BL30" s="409">
        <v>0</v>
      </c>
      <c r="BM30" s="409">
        <v>0</v>
      </c>
      <c r="BN30" s="409">
        <v>0</v>
      </c>
      <c r="BO30" s="409">
        <v>0</v>
      </c>
      <c r="BP30" s="409">
        <v>0</v>
      </c>
      <c r="BQ30" s="409">
        <v>0</v>
      </c>
      <c r="BR30" s="409">
        <v>0</v>
      </c>
      <c r="BS30" s="409">
        <v>0</v>
      </c>
      <c r="BT30" s="409">
        <v>0</v>
      </c>
      <c r="BU30" s="409">
        <v>0</v>
      </c>
      <c r="BV30" s="409">
        <v>0</v>
      </c>
      <c r="BW30" s="409">
        <f>BW5</f>
        <v>0</v>
      </c>
      <c r="BX30" s="409">
        <v>0</v>
      </c>
      <c r="BY30" s="409">
        <v>0</v>
      </c>
      <c r="BZ30" s="409">
        <v>0</v>
      </c>
      <c r="CA30" s="409">
        <v>0</v>
      </c>
      <c r="CB30" s="409">
        <f t="shared" ref="CB30:CH30" si="183">CB5</f>
        <v>0</v>
      </c>
      <c r="CC30" s="409">
        <f t="shared" si="183"/>
        <v>0</v>
      </c>
      <c r="CD30" s="409">
        <f t="shared" si="183"/>
        <v>0</v>
      </c>
      <c r="CE30" s="409">
        <f t="shared" si="183"/>
        <v>0</v>
      </c>
      <c r="CF30" s="409">
        <f t="shared" si="183"/>
        <v>0</v>
      </c>
      <c r="CG30" s="409">
        <f t="shared" si="183"/>
        <v>0</v>
      </c>
      <c r="CH30" s="409">
        <f t="shared" si="183"/>
        <v>0</v>
      </c>
      <c r="CI30" s="409">
        <f t="shared" ref="CI30:CK30" si="184">CI5</f>
        <v>0</v>
      </c>
      <c r="CJ30" s="409">
        <f t="shared" si="184"/>
        <v>0</v>
      </c>
      <c r="CK30" s="409">
        <f t="shared" si="184"/>
        <v>0</v>
      </c>
      <c r="CL30" s="409">
        <f t="shared" ref="CL30:CM30" si="185">CL5</f>
        <v>0</v>
      </c>
      <c r="CM30" s="409">
        <f t="shared" si="185"/>
        <v>0</v>
      </c>
      <c r="CN30" s="409">
        <f t="shared" ref="CN30:CO30" si="186">CN5</f>
        <v>0</v>
      </c>
      <c r="CO30" s="409">
        <f t="shared" si="186"/>
        <v>0</v>
      </c>
      <c r="CP30" s="409">
        <f t="shared" ref="CP30:CT30" si="187">CP5</f>
        <v>0</v>
      </c>
      <c r="CQ30" s="409">
        <f t="shared" si="187"/>
        <v>0</v>
      </c>
      <c r="CR30" s="409">
        <f t="shared" si="187"/>
        <v>0</v>
      </c>
      <c r="CS30" s="409">
        <f t="shared" si="187"/>
        <v>0</v>
      </c>
      <c r="CT30" s="409">
        <f t="shared" si="187"/>
        <v>0</v>
      </c>
      <c r="CU30" s="409">
        <f t="shared" ref="CU30:CW30" si="188">CU5</f>
        <v>0</v>
      </c>
      <c r="CV30" s="409">
        <f t="shared" si="188"/>
        <v>0</v>
      </c>
      <c r="CW30" s="409">
        <f t="shared" si="188"/>
        <v>0</v>
      </c>
      <c r="CX30" s="409">
        <f t="shared" ref="CX30:CZ30" si="189">CX5</f>
        <v>0</v>
      </c>
      <c r="CY30" s="409">
        <f t="shared" si="189"/>
        <v>0</v>
      </c>
      <c r="CZ30" s="409">
        <f t="shared" si="189"/>
        <v>0</v>
      </c>
      <c r="DA30" s="409">
        <f t="shared" ref="DA30:DF30" si="190">DA5</f>
        <v>0</v>
      </c>
      <c r="DB30" s="409">
        <f t="shared" si="190"/>
        <v>0</v>
      </c>
      <c r="DC30" s="409">
        <f t="shared" si="190"/>
        <v>0</v>
      </c>
      <c r="DD30" s="409">
        <f t="shared" si="190"/>
        <v>0</v>
      </c>
      <c r="DE30" s="409">
        <f t="shared" si="190"/>
        <v>0</v>
      </c>
      <c r="DF30" s="409">
        <f t="shared" si="190"/>
        <v>0</v>
      </c>
      <c r="DG30" s="409">
        <v>0</v>
      </c>
      <c r="DH30" s="409">
        <v>0</v>
      </c>
      <c r="DI30" s="409">
        <v>0</v>
      </c>
      <c r="DJ30" s="409">
        <v>0</v>
      </c>
      <c r="DK30" s="409">
        <v>0</v>
      </c>
      <c r="DL30" s="409">
        <v>0</v>
      </c>
      <c r="DM30" s="409">
        <v>0</v>
      </c>
      <c r="DN30" s="409">
        <v>0</v>
      </c>
      <c r="DO30" s="409">
        <v>0</v>
      </c>
      <c r="DP30" s="409">
        <v>0</v>
      </c>
      <c r="DQ30" s="409">
        <v>0</v>
      </c>
      <c r="DR30" s="409">
        <v>0</v>
      </c>
      <c r="DS30" s="409">
        <v>0</v>
      </c>
      <c r="DT30" s="409">
        <v>0</v>
      </c>
      <c r="DU30" s="409">
        <v>0</v>
      </c>
      <c r="DV30" s="409">
        <v>0</v>
      </c>
      <c r="DW30" s="409">
        <v>0</v>
      </c>
      <c r="DX30" s="409">
        <v>0</v>
      </c>
      <c r="DY30" s="409">
        <v>0</v>
      </c>
      <c r="DZ30" s="409">
        <f>DZ5</f>
        <v>10668</v>
      </c>
      <c r="EA30" s="409">
        <f>EA5</f>
        <v>10668</v>
      </c>
      <c r="EB30" s="409">
        <f>EB5</f>
        <v>10668</v>
      </c>
      <c r="EC30" s="409">
        <f>EC5</f>
        <v>10668</v>
      </c>
      <c r="ED30" s="409">
        <f>ED5</f>
        <v>10668</v>
      </c>
    </row>
    <row r="31" spans="1:134" ht="13.5" customHeight="1" thickBot="1">
      <c r="J31" s="343" t="s">
        <v>166</v>
      </c>
      <c r="M31" s="258" t="s">
        <v>140</v>
      </c>
      <c r="N31" s="343" t="s">
        <v>166</v>
      </c>
      <c r="O31" s="258" t="s">
        <v>140</v>
      </c>
      <c r="P31" s="409">
        <v>0</v>
      </c>
      <c r="Q31" s="409">
        <v>0</v>
      </c>
      <c r="R31" s="409">
        <v>0</v>
      </c>
      <c r="S31" s="413">
        <v>0</v>
      </c>
      <c r="T31" s="409">
        <v>0</v>
      </c>
      <c r="U31" s="409">
        <v>0</v>
      </c>
      <c r="V31" s="409">
        <v>0</v>
      </c>
      <c r="W31" s="409">
        <v>0</v>
      </c>
      <c r="X31" s="409">
        <v>0</v>
      </c>
      <c r="Y31" s="409">
        <v>0</v>
      </c>
      <c r="Z31" s="409">
        <v>0</v>
      </c>
      <c r="AA31" s="409">
        <v>0</v>
      </c>
      <c r="AB31" s="409">
        <v>0</v>
      </c>
      <c r="AC31" s="409">
        <v>0</v>
      </c>
      <c r="AD31" s="409">
        <v>0</v>
      </c>
      <c r="AE31" s="409">
        <v>0</v>
      </c>
      <c r="AF31" s="409">
        <v>0</v>
      </c>
      <c r="AG31" s="409">
        <v>0</v>
      </c>
      <c r="AH31" s="409">
        <v>0</v>
      </c>
      <c r="AI31" s="409">
        <v>0</v>
      </c>
      <c r="AJ31" s="409">
        <v>0</v>
      </c>
      <c r="AK31" s="409">
        <v>0</v>
      </c>
      <c r="AL31" s="409">
        <v>0</v>
      </c>
      <c r="AM31" s="409">
        <v>0</v>
      </c>
      <c r="AN31" s="409">
        <v>0</v>
      </c>
      <c r="AO31" s="409">
        <v>0</v>
      </c>
      <c r="AP31" s="409">
        <v>0</v>
      </c>
      <c r="AQ31" s="409">
        <v>0</v>
      </c>
      <c r="AR31" s="409">
        <v>0</v>
      </c>
      <c r="AS31" s="409">
        <v>0</v>
      </c>
      <c r="AT31" s="409">
        <v>0</v>
      </c>
      <c r="AU31" s="409">
        <v>0</v>
      </c>
      <c r="AV31" s="409">
        <v>0</v>
      </c>
      <c r="AW31" s="409">
        <v>0</v>
      </c>
      <c r="AX31" s="409">
        <v>0</v>
      </c>
      <c r="AY31" s="409">
        <v>0</v>
      </c>
      <c r="AZ31" s="409">
        <v>0</v>
      </c>
      <c r="BA31" s="409">
        <v>0</v>
      </c>
      <c r="BB31" s="409">
        <v>0</v>
      </c>
      <c r="BC31" s="409">
        <v>0</v>
      </c>
      <c r="BD31" s="409">
        <v>0</v>
      </c>
      <c r="BE31" s="409">
        <v>0</v>
      </c>
      <c r="BF31" s="409">
        <v>0</v>
      </c>
      <c r="BG31" s="409">
        <v>0</v>
      </c>
      <c r="BH31" s="409">
        <v>0</v>
      </c>
      <c r="BI31" s="409">
        <v>0</v>
      </c>
      <c r="BJ31" s="409">
        <v>0</v>
      </c>
      <c r="BK31" s="409">
        <v>0</v>
      </c>
      <c r="BL31" s="409">
        <v>0</v>
      </c>
      <c r="BM31" s="409">
        <v>0</v>
      </c>
      <c r="BN31" s="409">
        <v>0</v>
      </c>
      <c r="BO31" s="409">
        <v>0</v>
      </c>
      <c r="BP31" s="409">
        <v>0</v>
      </c>
      <c r="BQ31" s="409">
        <v>0</v>
      </c>
      <c r="BR31" s="409">
        <f>BR10</f>
        <v>0</v>
      </c>
      <c r="BS31" s="409">
        <v>0</v>
      </c>
      <c r="BT31" s="409">
        <v>0</v>
      </c>
      <c r="BU31" s="409">
        <v>0</v>
      </c>
      <c r="BV31" s="409">
        <v>0</v>
      </c>
      <c r="BW31" s="409">
        <v>0</v>
      </c>
      <c r="BX31" s="409">
        <v>0</v>
      </c>
      <c r="BY31" s="409">
        <v>0</v>
      </c>
      <c r="BZ31" s="409">
        <v>0</v>
      </c>
      <c r="CA31" s="409">
        <v>0</v>
      </c>
      <c r="CB31" s="409">
        <v>0</v>
      </c>
      <c r="CC31" s="409">
        <v>0</v>
      </c>
      <c r="CD31" s="409">
        <v>0</v>
      </c>
      <c r="CE31" s="409">
        <v>0</v>
      </c>
      <c r="CF31" s="409">
        <v>0</v>
      </c>
      <c r="CG31" s="409">
        <v>0</v>
      </c>
      <c r="CH31" s="409">
        <v>0</v>
      </c>
      <c r="CI31" s="409">
        <v>0</v>
      </c>
      <c r="CJ31" s="409">
        <v>0</v>
      </c>
      <c r="CK31" s="409">
        <v>0</v>
      </c>
      <c r="CL31" s="409">
        <v>0</v>
      </c>
      <c r="CM31" s="409">
        <v>0</v>
      </c>
      <c r="CN31" s="409">
        <v>0</v>
      </c>
      <c r="CO31" s="409">
        <v>0</v>
      </c>
      <c r="CP31" s="409">
        <v>0</v>
      </c>
      <c r="CQ31" s="409">
        <v>0</v>
      </c>
      <c r="CR31" s="409">
        <v>0</v>
      </c>
      <c r="CS31" s="409">
        <v>0</v>
      </c>
      <c r="CT31" s="409">
        <v>0</v>
      </c>
      <c r="CU31" s="409">
        <v>0</v>
      </c>
      <c r="CV31" s="409">
        <v>0</v>
      </c>
      <c r="CW31" s="409">
        <v>0</v>
      </c>
      <c r="CX31" s="409">
        <v>0</v>
      </c>
      <c r="CY31" s="409">
        <v>0</v>
      </c>
      <c r="CZ31" s="409">
        <v>0</v>
      </c>
      <c r="DA31" s="409">
        <v>0</v>
      </c>
      <c r="DB31" s="409">
        <v>0</v>
      </c>
      <c r="DC31" s="409">
        <v>0</v>
      </c>
      <c r="DD31" s="409">
        <v>0</v>
      </c>
      <c r="DE31" s="409">
        <v>0</v>
      </c>
      <c r="DF31" s="409">
        <v>0</v>
      </c>
      <c r="DG31" s="409">
        <v>0</v>
      </c>
      <c r="DH31" s="409">
        <v>0</v>
      </c>
      <c r="DI31" s="409">
        <v>0</v>
      </c>
      <c r="DJ31" s="409">
        <v>0</v>
      </c>
      <c r="DK31" s="409">
        <v>0</v>
      </c>
      <c r="DL31" s="409">
        <v>0</v>
      </c>
      <c r="DM31" s="409">
        <v>0</v>
      </c>
      <c r="DN31" s="409">
        <v>0</v>
      </c>
      <c r="DO31" s="409">
        <v>0</v>
      </c>
      <c r="DP31" s="409">
        <v>0</v>
      </c>
      <c r="DQ31" s="409">
        <v>0</v>
      </c>
      <c r="DR31" s="409">
        <v>0</v>
      </c>
      <c r="DS31" s="409">
        <v>0</v>
      </c>
      <c r="DT31" s="409">
        <v>0</v>
      </c>
      <c r="DU31" s="409">
        <v>0</v>
      </c>
      <c r="DV31" s="409">
        <v>0</v>
      </c>
      <c r="DW31" s="409">
        <v>0</v>
      </c>
      <c r="DX31" s="409">
        <v>0</v>
      </c>
      <c r="DY31" s="409">
        <v>0</v>
      </c>
      <c r="DZ31" s="409">
        <f>DZ10</f>
        <v>13300</v>
      </c>
      <c r="EA31" s="409">
        <f>EA10</f>
        <v>13300</v>
      </c>
      <c r="EB31" s="409">
        <f>EB10</f>
        <v>13300</v>
      </c>
      <c r="EC31" s="409">
        <f>EC10</f>
        <v>13300</v>
      </c>
      <c r="ED31" s="409">
        <f>ED10</f>
        <v>13300</v>
      </c>
    </row>
    <row r="32" spans="1:134" ht="13.5" customHeight="1" thickBot="1">
      <c r="J32" s="343" t="s">
        <v>401</v>
      </c>
      <c r="N32" s="343" t="s">
        <v>168</v>
      </c>
      <c r="P32" s="409"/>
      <c r="Q32" s="409"/>
      <c r="R32" s="409"/>
      <c r="S32" s="413"/>
      <c r="T32" s="409"/>
      <c r="U32" s="409"/>
      <c r="V32" s="418" t="s">
        <v>167</v>
      </c>
      <c r="W32" s="419">
        <v>0</v>
      </c>
      <c r="X32" s="419">
        <v>0</v>
      </c>
      <c r="Y32" s="419">
        <v>0</v>
      </c>
      <c r="Z32" s="419">
        <v>0</v>
      </c>
      <c r="AA32" s="419">
        <v>0</v>
      </c>
      <c r="AB32" s="419">
        <v>0</v>
      </c>
      <c r="AC32" s="420">
        <v>0</v>
      </c>
      <c r="AD32" s="421">
        <v>0</v>
      </c>
      <c r="AE32" s="420">
        <v>0</v>
      </c>
      <c r="AF32" s="421">
        <v>0</v>
      </c>
      <c r="AG32" s="421">
        <v>0</v>
      </c>
      <c r="AH32" s="421">
        <v>0</v>
      </c>
      <c r="AI32" s="421">
        <v>0</v>
      </c>
      <c r="AJ32" s="421">
        <v>0</v>
      </c>
      <c r="AK32" s="421">
        <v>0</v>
      </c>
      <c r="AL32" s="421">
        <v>0</v>
      </c>
      <c r="AM32" s="421">
        <v>0</v>
      </c>
      <c r="AN32" s="421">
        <v>0</v>
      </c>
      <c r="AO32" s="421">
        <v>0</v>
      </c>
      <c r="AP32" s="410">
        <v>0</v>
      </c>
      <c r="AQ32" s="410">
        <v>0</v>
      </c>
      <c r="AR32" s="422">
        <v>0</v>
      </c>
      <c r="AS32" s="410">
        <v>0</v>
      </c>
      <c r="AT32" s="410">
        <v>0</v>
      </c>
      <c r="AU32" s="410">
        <v>0</v>
      </c>
      <c r="AV32" s="410">
        <v>0</v>
      </c>
      <c r="AW32" s="411"/>
      <c r="AX32" s="411"/>
      <c r="AY32" s="411"/>
      <c r="AZ32" s="411"/>
      <c r="BA32" s="411"/>
      <c r="BB32" s="411"/>
      <c r="BC32" s="411"/>
      <c r="BD32" s="411"/>
      <c r="BE32" s="411"/>
      <c r="BF32" s="411">
        <v>0</v>
      </c>
      <c r="BG32" s="411">
        <v>0</v>
      </c>
      <c r="BH32" s="411">
        <v>0</v>
      </c>
      <c r="BI32" s="411">
        <v>0</v>
      </c>
      <c r="BJ32" s="411">
        <v>0</v>
      </c>
      <c r="BK32" s="411">
        <v>0</v>
      </c>
      <c r="BL32" s="411">
        <v>0</v>
      </c>
      <c r="BM32" s="411">
        <v>0</v>
      </c>
      <c r="BN32" s="411">
        <v>0</v>
      </c>
      <c r="BO32" s="411">
        <v>0</v>
      </c>
      <c r="BP32" s="411">
        <v>0</v>
      </c>
      <c r="BQ32" s="411">
        <v>0</v>
      </c>
      <c r="BR32" s="411">
        <v>0</v>
      </c>
      <c r="BS32" s="411">
        <v>0</v>
      </c>
      <c r="BT32" s="411">
        <v>0</v>
      </c>
      <c r="BU32" s="411">
        <f t="shared" ref="BU32:BZ32" si="191">BU13</f>
        <v>0</v>
      </c>
      <c r="BV32" s="411">
        <f t="shared" si="191"/>
        <v>0</v>
      </c>
      <c r="BW32" s="411">
        <f t="shared" si="191"/>
        <v>0</v>
      </c>
      <c r="BX32" s="411">
        <f t="shared" si="191"/>
        <v>0</v>
      </c>
      <c r="BY32" s="411">
        <f t="shared" si="191"/>
        <v>0</v>
      </c>
      <c r="BZ32" s="411">
        <f t="shared" si="191"/>
        <v>0</v>
      </c>
      <c r="CA32" s="411">
        <f t="shared" ref="CA32:CB32" si="192">CA13</f>
        <v>0</v>
      </c>
      <c r="CB32" s="411">
        <f t="shared" si="192"/>
        <v>0</v>
      </c>
      <c r="CC32" s="411">
        <f t="shared" ref="CC32:CG32" si="193">CC13</f>
        <v>0</v>
      </c>
      <c r="CD32" s="411">
        <f t="shared" si="193"/>
        <v>0</v>
      </c>
      <c r="CE32" s="411">
        <f t="shared" si="193"/>
        <v>0</v>
      </c>
      <c r="CF32" s="411">
        <f t="shared" si="193"/>
        <v>0</v>
      </c>
      <c r="CG32" s="411">
        <f t="shared" si="193"/>
        <v>0</v>
      </c>
      <c r="CH32" s="411">
        <v>0</v>
      </c>
      <c r="CI32" s="472">
        <v>0</v>
      </c>
      <c r="CJ32" s="472">
        <v>0</v>
      </c>
      <c r="CK32" s="472">
        <v>0</v>
      </c>
      <c r="CL32" s="472">
        <v>0</v>
      </c>
      <c r="CM32" s="472">
        <v>0</v>
      </c>
      <c r="CN32" s="472">
        <v>0</v>
      </c>
      <c r="CO32" s="472">
        <v>0</v>
      </c>
      <c r="CP32" s="472">
        <v>0</v>
      </c>
      <c r="CQ32" s="472">
        <v>0</v>
      </c>
      <c r="CR32" s="472">
        <v>0</v>
      </c>
      <c r="CS32" s="472">
        <v>0</v>
      </c>
      <c r="CT32" s="472">
        <v>0</v>
      </c>
      <c r="CU32" s="472">
        <v>0</v>
      </c>
      <c r="CV32" s="472">
        <v>0</v>
      </c>
      <c r="CW32" s="472">
        <v>0</v>
      </c>
      <c r="CX32" s="472">
        <v>0</v>
      </c>
      <c r="CY32" s="472">
        <v>0</v>
      </c>
      <c r="CZ32" s="472">
        <v>0</v>
      </c>
      <c r="DA32" s="472">
        <v>0</v>
      </c>
      <c r="DB32" s="472">
        <v>0</v>
      </c>
      <c r="DC32" s="472">
        <v>0</v>
      </c>
      <c r="DD32" s="472">
        <v>0</v>
      </c>
      <c r="DE32" s="472">
        <v>0</v>
      </c>
      <c r="DF32" s="472">
        <v>0</v>
      </c>
      <c r="DG32" s="472">
        <v>0</v>
      </c>
      <c r="DH32" s="472">
        <v>0</v>
      </c>
      <c r="DI32" s="472">
        <v>0</v>
      </c>
      <c r="DJ32" s="472">
        <v>0</v>
      </c>
      <c r="DK32" s="472" t="s">
        <v>385</v>
      </c>
      <c r="DL32" s="612" t="s">
        <v>386</v>
      </c>
      <c r="DM32" s="612">
        <v>0</v>
      </c>
      <c r="DN32" s="612">
        <v>0</v>
      </c>
      <c r="DO32" s="612">
        <v>0</v>
      </c>
      <c r="DP32" s="612">
        <f t="shared" ref="DP32:ED32" si="194">DO32</f>
        <v>0</v>
      </c>
      <c r="DQ32" s="612">
        <f t="shared" si="194"/>
        <v>0</v>
      </c>
      <c r="DR32" s="612">
        <f t="shared" si="194"/>
        <v>0</v>
      </c>
      <c r="DS32" s="612">
        <f t="shared" si="194"/>
        <v>0</v>
      </c>
      <c r="DT32" s="612">
        <f t="shared" si="194"/>
        <v>0</v>
      </c>
      <c r="DU32" s="612">
        <f t="shared" si="194"/>
        <v>0</v>
      </c>
      <c r="DV32" s="612">
        <f t="shared" si="194"/>
        <v>0</v>
      </c>
      <c r="DW32" s="612">
        <f t="shared" si="194"/>
        <v>0</v>
      </c>
      <c r="DX32" s="612">
        <f t="shared" si="194"/>
        <v>0</v>
      </c>
      <c r="DY32" s="612">
        <f t="shared" si="194"/>
        <v>0</v>
      </c>
      <c r="DZ32" s="612">
        <f t="shared" si="194"/>
        <v>0</v>
      </c>
      <c r="EA32" s="612">
        <f t="shared" si="194"/>
        <v>0</v>
      </c>
      <c r="EB32" s="612">
        <f t="shared" si="194"/>
        <v>0</v>
      </c>
      <c r="EC32" s="612">
        <f t="shared" si="194"/>
        <v>0</v>
      </c>
      <c r="ED32" s="612">
        <f t="shared" si="194"/>
        <v>0</v>
      </c>
    </row>
    <row r="33" spans="9:147" ht="13.5" customHeight="1">
      <c r="J33" s="343" t="s">
        <v>153</v>
      </c>
      <c r="N33" s="343" t="s">
        <v>153</v>
      </c>
      <c r="P33" s="409"/>
      <c r="Q33" s="409"/>
      <c r="R33" s="409"/>
      <c r="S33" s="413">
        <v>0</v>
      </c>
      <c r="T33" s="409">
        <v>0</v>
      </c>
      <c r="U33" s="409">
        <v>0</v>
      </c>
      <c r="V33" s="409">
        <v>0</v>
      </c>
      <c r="W33" s="409">
        <v>0</v>
      </c>
      <c r="X33" s="409">
        <v>0</v>
      </c>
      <c r="Y33" s="409">
        <v>0</v>
      </c>
      <c r="Z33" s="409">
        <v>0</v>
      </c>
      <c r="AA33" s="409">
        <v>0</v>
      </c>
      <c r="AB33" s="409">
        <v>0</v>
      </c>
      <c r="AC33" s="409">
        <v>0</v>
      </c>
      <c r="AD33" s="409">
        <v>0</v>
      </c>
      <c r="AE33" s="409">
        <v>0</v>
      </c>
      <c r="AF33" s="409">
        <v>0</v>
      </c>
      <c r="AG33" s="409">
        <v>0</v>
      </c>
      <c r="AH33" s="409">
        <v>0</v>
      </c>
      <c r="AI33" s="409">
        <v>0</v>
      </c>
      <c r="AJ33" s="409">
        <v>0</v>
      </c>
      <c r="AK33" s="409">
        <v>0</v>
      </c>
      <c r="AL33" s="409">
        <v>0</v>
      </c>
      <c r="AM33" s="409">
        <v>0</v>
      </c>
      <c r="AN33" s="409">
        <v>0</v>
      </c>
      <c r="AO33" s="409">
        <v>0</v>
      </c>
      <c r="AP33" s="409">
        <v>0</v>
      </c>
      <c r="AQ33" s="409">
        <v>0</v>
      </c>
      <c r="AR33" s="409">
        <v>0</v>
      </c>
      <c r="AS33" s="409">
        <v>0</v>
      </c>
      <c r="AT33" s="409">
        <v>0</v>
      </c>
      <c r="AU33" s="409">
        <v>0</v>
      </c>
      <c r="AV33" s="409">
        <v>0</v>
      </c>
      <c r="AW33" s="409">
        <v>0</v>
      </c>
      <c r="AX33" s="409">
        <v>0</v>
      </c>
      <c r="AY33" s="409">
        <v>0</v>
      </c>
      <c r="AZ33" s="409">
        <v>0</v>
      </c>
      <c r="BA33" s="409">
        <v>0</v>
      </c>
      <c r="BB33" s="409">
        <v>0</v>
      </c>
      <c r="BC33" s="409">
        <v>0</v>
      </c>
      <c r="BD33" s="409">
        <v>0</v>
      </c>
      <c r="BE33" s="409">
        <v>0</v>
      </c>
      <c r="BF33" s="409">
        <v>0</v>
      </c>
      <c r="BG33" s="409">
        <v>0</v>
      </c>
      <c r="BH33" s="409">
        <v>0</v>
      </c>
      <c r="BI33" s="409">
        <v>0</v>
      </c>
      <c r="BJ33" s="409">
        <v>0</v>
      </c>
      <c r="BK33" s="409">
        <v>0</v>
      </c>
      <c r="BL33" s="409">
        <v>0</v>
      </c>
      <c r="BM33" s="409">
        <v>0</v>
      </c>
      <c r="BN33" s="409">
        <v>0</v>
      </c>
      <c r="BO33" s="409">
        <v>0</v>
      </c>
      <c r="BP33" s="409">
        <v>0</v>
      </c>
      <c r="BQ33" s="409">
        <v>0</v>
      </c>
      <c r="BR33" s="409">
        <v>0</v>
      </c>
      <c r="BS33" s="409">
        <v>0</v>
      </c>
      <c r="BT33" s="409">
        <v>0</v>
      </c>
      <c r="BU33" s="409">
        <v>0</v>
      </c>
      <c r="BV33" s="409">
        <v>0</v>
      </c>
      <c r="BW33" s="409">
        <v>0</v>
      </c>
      <c r="BX33" s="409">
        <v>0</v>
      </c>
      <c r="BY33" s="409">
        <v>0</v>
      </c>
      <c r="BZ33" s="409">
        <v>0</v>
      </c>
      <c r="CA33" s="409">
        <v>0</v>
      </c>
      <c r="CB33" s="409">
        <v>0</v>
      </c>
      <c r="CC33" s="409">
        <v>0</v>
      </c>
      <c r="CD33" s="409">
        <v>0</v>
      </c>
      <c r="CE33" s="409">
        <v>0</v>
      </c>
      <c r="CF33" s="409">
        <v>0</v>
      </c>
      <c r="CG33" s="409">
        <v>0</v>
      </c>
      <c r="CH33" s="409">
        <v>0</v>
      </c>
      <c r="CI33" s="409">
        <v>0</v>
      </c>
      <c r="CJ33" s="409">
        <v>0</v>
      </c>
      <c r="CK33" s="409">
        <v>0</v>
      </c>
      <c r="CL33" s="409">
        <v>0</v>
      </c>
      <c r="CM33" s="409">
        <v>0</v>
      </c>
      <c r="CN33" s="409">
        <v>0</v>
      </c>
      <c r="CO33" s="409">
        <v>0</v>
      </c>
      <c r="CP33" s="409">
        <v>0</v>
      </c>
      <c r="CQ33" s="409">
        <v>0</v>
      </c>
      <c r="CR33" s="409">
        <v>0</v>
      </c>
      <c r="CS33" s="409">
        <v>0</v>
      </c>
      <c r="CT33" s="409">
        <v>0</v>
      </c>
      <c r="CU33" s="409">
        <v>0</v>
      </c>
      <c r="CV33" s="409">
        <v>0</v>
      </c>
      <c r="CW33" s="409">
        <v>0</v>
      </c>
      <c r="CX33" s="409">
        <v>0</v>
      </c>
      <c r="CY33" s="409">
        <v>0</v>
      </c>
      <c r="CZ33" s="409">
        <v>0</v>
      </c>
      <c r="DA33" s="409">
        <v>0</v>
      </c>
      <c r="DB33" s="409">
        <v>0</v>
      </c>
      <c r="DC33" s="409">
        <v>0</v>
      </c>
      <c r="DD33" s="409">
        <v>0</v>
      </c>
      <c r="DE33" s="409">
        <v>0</v>
      </c>
      <c r="DF33" s="409">
        <v>0</v>
      </c>
      <c r="DG33" s="409">
        <v>0</v>
      </c>
      <c r="DH33" s="409">
        <v>0</v>
      </c>
      <c r="DI33" s="409">
        <v>0</v>
      </c>
      <c r="DJ33" s="409">
        <v>0</v>
      </c>
      <c r="DK33" s="409">
        <v>0</v>
      </c>
      <c r="DL33" s="409">
        <v>0</v>
      </c>
      <c r="DM33" s="409">
        <v>0</v>
      </c>
      <c r="DN33" s="409">
        <v>0</v>
      </c>
      <c r="DO33" s="409">
        <v>0</v>
      </c>
      <c r="DP33" s="409">
        <v>0</v>
      </c>
      <c r="DQ33" s="409">
        <v>0</v>
      </c>
      <c r="DR33" s="409">
        <v>0</v>
      </c>
      <c r="DS33" s="409">
        <v>0</v>
      </c>
      <c r="DT33" s="409">
        <v>0</v>
      </c>
      <c r="DU33" s="409">
        <v>0</v>
      </c>
      <c r="DV33" s="409">
        <v>0</v>
      </c>
      <c r="DW33" s="409">
        <v>0</v>
      </c>
      <c r="DX33" s="409">
        <v>0</v>
      </c>
      <c r="DY33" s="409">
        <v>0</v>
      </c>
      <c r="DZ33" s="409">
        <f>DZ12</f>
        <v>36681</v>
      </c>
      <c r="EA33" s="409">
        <f>EA12</f>
        <v>36681</v>
      </c>
      <c r="EB33" s="409">
        <f>EB12</f>
        <v>36681</v>
      </c>
      <c r="EC33" s="409">
        <f>EC12</f>
        <v>36681</v>
      </c>
      <c r="ED33" s="409">
        <f>ED12</f>
        <v>36681</v>
      </c>
    </row>
    <row r="34" spans="9:147" ht="13.5" customHeight="1">
      <c r="J34" s="343" t="s">
        <v>250</v>
      </c>
      <c r="N34" s="343"/>
      <c r="P34" s="409"/>
      <c r="Q34" s="409"/>
      <c r="R34" s="409"/>
      <c r="S34" s="413"/>
      <c r="T34" s="409"/>
      <c r="U34" s="409"/>
      <c r="V34" s="409"/>
      <c r="W34" s="409"/>
      <c r="X34" s="409"/>
      <c r="Y34" s="409"/>
      <c r="Z34" s="409"/>
      <c r="AA34" s="409"/>
      <c r="AB34" s="409"/>
      <c r="AC34" s="409"/>
      <c r="AD34" s="409"/>
      <c r="AE34" s="409"/>
      <c r="AF34" s="409"/>
      <c r="AG34" s="409"/>
      <c r="AH34" s="409"/>
      <c r="AI34" s="409"/>
      <c r="AJ34" s="409"/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12">
        <v>0</v>
      </c>
      <c r="AQ34" s="412">
        <v>0</v>
      </c>
      <c r="AR34" s="412">
        <v>0</v>
      </c>
      <c r="AS34" s="412">
        <v>0</v>
      </c>
      <c r="AT34" s="412">
        <v>0</v>
      </c>
      <c r="AU34" s="412">
        <v>0</v>
      </c>
      <c r="AV34" s="412">
        <v>0</v>
      </c>
      <c r="AW34" s="412">
        <v>0</v>
      </c>
      <c r="AX34" s="412">
        <v>0</v>
      </c>
      <c r="AY34" s="412">
        <v>0</v>
      </c>
      <c r="AZ34" s="412">
        <v>0</v>
      </c>
      <c r="BA34" s="412">
        <v>0</v>
      </c>
      <c r="BB34" s="412">
        <v>0</v>
      </c>
      <c r="BC34" s="412">
        <v>0</v>
      </c>
      <c r="BD34" s="412">
        <v>0</v>
      </c>
      <c r="BE34" s="412">
        <v>0</v>
      </c>
      <c r="BF34" s="412">
        <v>0</v>
      </c>
      <c r="BG34" s="412">
        <v>0</v>
      </c>
      <c r="BH34" s="412">
        <v>0</v>
      </c>
      <c r="BI34" s="412">
        <v>0</v>
      </c>
      <c r="BJ34" s="412">
        <v>0</v>
      </c>
      <c r="BK34" s="412">
        <v>0</v>
      </c>
      <c r="BL34" s="412">
        <v>0</v>
      </c>
      <c r="BM34" s="412">
        <v>0</v>
      </c>
      <c r="BN34" s="412">
        <v>0</v>
      </c>
      <c r="BO34" s="412">
        <v>0</v>
      </c>
      <c r="BP34" s="412">
        <v>0</v>
      </c>
      <c r="BQ34" s="412">
        <v>0</v>
      </c>
      <c r="BR34" s="412">
        <v>0</v>
      </c>
      <c r="BS34" s="412">
        <v>0</v>
      </c>
      <c r="BT34" s="412">
        <v>0</v>
      </c>
      <c r="BU34" s="412">
        <v>0</v>
      </c>
      <c r="BV34" s="412">
        <v>0</v>
      </c>
      <c r="BW34" s="412">
        <v>0</v>
      </c>
      <c r="BX34" s="412">
        <v>0</v>
      </c>
      <c r="BY34" s="412">
        <v>0</v>
      </c>
      <c r="BZ34" s="412">
        <v>0</v>
      </c>
      <c r="CA34" s="412">
        <v>0</v>
      </c>
      <c r="CB34" s="412">
        <v>0</v>
      </c>
      <c r="CC34" s="412">
        <v>0</v>
      </c>
      <c r="CD34" s="412">
        <v>0</v>
      </c>
      <c r="CE34" s="343" t="s">
        <v>250</v>
      </c>
      <c r="CF34" s="343" t="s">
        <v>250</v>
      </c>
      <c r="CG34" s="343" t="s">
        <v>250</v>
      </c>
      <c r="CH34" s="412">
        <f>SUM(CH25:CH33)</f>
        <v>0</v>
      </c>
      <c r="CI34" s="412">
        <f>SUM(CI25:CI33)</f>
        <v>0</v>
      </c>
      <c r="CJ34" s="420">
        <f>SUM(CJ4:CJ8)+SUM(CJ10:CJ12)+CJ32</f>
        <v>164099</v>
      </c>
      <c r="CK34" s="420">
        <f t="shared" ref="CK34:CT34" si="195">SUM(CK4:CK8)+SUM(CK10:CK12)+36161</f>
        <v>162516</v>
      </c>
      <c r="CL34" s="420">
        <f t="shared" si="195"/>
        <v>171686</v>
      </c>
      <c r="CM34" s="420">
        <f t="shared" si="195"/>
        <v>188260</v>
      </c>
      <c r="CN34" s="420">
        <f t="shared" si="195"/>
        <v>161216</v>
      </c>
      <c r="CO34" s="420">
        <f t="shared" si="195"/>
        <v>601504</v>
      </c>
      <c r="CP34" s="420">
        <f t="shared" si="195"/>
        <v>216374</v>
      </c>
      <c r="CQ34" s="420">
        <f t="shared" si="195"/>
        <v>191353</v>
      </c>
      <c r="CR34" s="420">
        <f t="shared" si="195"/>
        <v>158289</v>
      </c>
      <c r="CS34" s="420">
        <f t="shared" si="195"/>
        <v>199748</v>
      </c>
      <c r="CT34" s="420">
        <f t="shared" si="195"/>
        <v>163562</v>
      </c>
      <c r="CU34" s="420">
        <f t="shared" ref="CU34:CW34" si="196">SUM(CU4:CU8)+SUM(CU10:CU12)+36161</f>
        <v>141216</v>
      </c>
      <c r="CV34" s="420">
        <f t="shared" si="196"/>
        <v>140962</v>
      </c>
      <c r="CW34" s="420">
        <f t="shared" si="196"/>
        <v>120720</v>
      </c>
      <c r="CX34" s="420">
        <f t="shared" ref="CX34:CZ34" si="197">SUM(CX4:CX8)+SUM(CX10:CX12)+36161</f>
        <v>109609</v>
      </c>
      <c r="CY34" s="420">
        <f t="shared" si="197"/>
        <v>113886</v>
      </c>
      <c r="CZ34" s="420">
        <f t="shared" si="197"/>
        <v>126135</v>
      </c>
      <c r="DA34" s="420">
        <f t="shared" ref="DA34:DF34" si="198">SUM(DA4:DA8)+SUM(DA10:DA12)+36161</f>
        <v>165860</v>
      </c>
      <c r="DB34" s="420">
        <f t="shared" si="198"/>
        <v>200628</v>
      </c>
      <c r="DC34" s="420">
        <f t="shared" si="198"/>
        <v>145717</v>
      </c>
      <c r="DD34" s="420">
        <f t="shared" si="198"/>
        <v>162487</v>
      </c>
      <c r="DE34" s="420">
        <f t="shared" si="198"/>
        <v>146813</v>
      </c>
      <c r="DF34" s="420">
        <f t="shared" si="198"/>
        <v>196851</v>
      </c>
      <c r="DG34" s="420">
        <f t="shared" ref="DG34:DH34" si="199">SUM(DG4:DG8)+SUM(DG10:DG12)+36161</f>
        <v>137103</v>
      </c>
      <c r="DH34" s="420">
        <f t="shared" si="199"/>
        <v>217147</v>
      </c>
      <c r="DI34" s="420">
        <f t="shared" ref="DI34:DK34" si="200">SUM(DI4:DI8)+SUM(DI10:DI12)+36161</f>
        <v>129155</v>
      </c>
      <c r="DJ34" s="420">
        <f t="shared" si="200"/>
        <v>117322</v>
      </c>
      <c r="DK34" s="420">
        <f t="shared" si="200"/>
        <v>132457</v>
      </c>
      <c r="DL34" s="420">
        <f>SUM(DL4:DL8)+SUM(DL10:DL12)</f>
        <v>99840</v>
      </c>
      <c r="DM34" s="420">
        <f t="shared" ref="DM34:DR34" si="201">SUM(DM4:DM8)+SUM(DM10:DM12)+DM32</f>
        <v>162926</v>
      </c>
      <c r="DN34" s="420">
        <f t="shared" si="201"/>
        <v>180844</v>
      </c>
      <c r="DO34" s="420">
        <f t="shared" si="201"/>
        <v>77142</v>
      </c>
      <c r="DP34" s="420">
        <f t="shared" si="201"/>
        <v>118717</v>
      </c>
      <c r="DQ34" s="420">
        <f t="shared" si="201"/>
        <v>128516</v>
      </c>
      <c r="DR34" s="420">
        <f t="shared" si="201"/>
        <v>198662</v>
      </c>
      <c r="DS34" s="420">
        <f t="shared" ref="DS34:DU34" si="202">SUM(DS4:DS8)+SUM(DS10:DS12)+DS32</f>
        <v>66490</v>
      </c>
      <c r="DT34" s="420">
        <f t="shared" si="202"/>
        <v>97195</v>
      </c>
      <c r="DU34" s="420">
        <f t="shared" si="202"/>
        <v>101762</v>
      </c>
      <c r="DV34" s="420">
        <f t="shared" ref="DV34:DX34" si="203">SUM(DV4:DV8)+SUM(DV10:DV12)+DV32</f>
        <v>82634</v>
      </c>
      <c r="DW34" s="420">
        <f t="shared" si="203"/>
        <v>107611</v>
      </c>
      <c r="DX34" s="420">
        <f t="shared" si="203"/>
        <v>102747</v>
      </c>
      <c r="DY34" s="420">
        <f t="shared" ref="DY34:ED34" si="204">SUM(DY4:DY8)+SUM(DY10:DY12)+DY32</f>
        <v>179054</v>
      </c>
      <c r="DZ34" s="420">
        <f t="shared" si="204"/>
        <v>179054</v>
      </c>
      <c r="EA34" s="420">
        <f t="shared" si="204"/>
        <v>179054</v>
      </c>
      <c r="EB34" s="420">
        <f t="shared" si="204"/>
        <v>179054</v>
      </c>
      <c r="EC34" s="420">
        <f t="shared" si="204"/>
        <v>179054</v>
      </c>
      <c r="ED34" s="420">
        <f t="shared" si="204"/>
        <v>179054</v>
      </c>
    </row>
    <row r="35" spans="9:147" ht="13.5" hidden="1" customHeight="1">
      <c r="J35" s="343" t="s">
        <v>141</v>
      </c>
      <c r="M35" s="258" t="s">
        <v>141</v>
      </c>
      <c r="N35" s="343" t="s">
        <v>141</v>
      </c>
      <c r="O35" s="258" t="s">
        <v>141</v>
      </c>
      <c r="P35" s="409">
        <v>0</v>
      </c>
      <c r="Q35" s="409">
        <v>0</v>
      </c>
      <c r="R35" s="409">
        <v>0</v>
      </c>
      <c r="S35" s="413">
        <v>0</v>
      </c>
      <c r="T35" s="409">
        <v>0</v>
      </c>
      <c r="U35" s="409">
        <v>0</v>
      </c>
      <c r="V35" s="409">
        <v>0</v>
      </c>
      <c r="W35" s="409">
        <v>0</v>
      </c>
      <c r="X35" s="409">
        <v>0</v>
      </c>
      <c r="Y35" s="409">
        <v>0</v>
      </c>
      <c r="Z35" s="409">
        <v>0</v>
      </c>
      <c r="AA35" s="409">
        <v>0</v>
      </c>
      <c r="AB35" s="409">
        <v>0</v>
      </c>
      <c r="AC35" s="409">
        <v>0</v>
      </c>
      <c r="AD35" s="409">
        <v>0</v>
      </c>
      <c r="AE35" s="409">
        <v>0</v>
      </c>
      <c r="AF35" s="409">
        <v>0</v>
      </c>
      <c r="AG35" s="409">
        <v>0</v>
      </c>
      <c r="AH35" s="409">
        <v>0</v>
      </c>
      <c r="AI35" s="409">
        <v>0</v>
      </c>
      <c r="AJ35" s="409">
        <v>0</v>
      </c>
      <c r="AK35" s="409">
        <v>0</v>
      </c>
      <c r="AL35" s="409">
        <v>0</v>
      </c>
      <c r="AM35" s="409">
        <v>0</v>
      </c>
      <c r="AN35" s="409">
        <v>0</v>
      </c>
      <c r="AO35" s="409">
        <v>0</v>
      </c>
      <c r="AP35" s="409">
        <v>0</v>
      </c>
      <c r="AQ35" s="409">
        <v>0</v>
      </c>
      <c r="AR35" s="409">
        <v>0</v>
      </c>
      <c r="AS35" s="409">
        <v>0</v>
      </c>
      <c r="AT35" s="409">
        <v>0</v>
      </c>
      <c r="AU35" s="409">
        <v>0</v>
      </c>
      <c r="AV35" s="409">
        <v>0</v>
      </c>
      <c r="AW35" s="409">
        <v>0</v>
      </c>
      <c r="AX35" s="409">
        <v>0</v>
      </c>
      <c r="AY35" s="409">
        <v>0</v>
      </c>
      <c r="AZ35" s="409">
        <v>0</v>
      </c>
      <c r="BA35" s="409">
        <v>0</v>
      </c>
      <c r="BB35" s="409">
        <v>0</v>
      </c>
      <c r="BC35" s="409">
        <v>0</v>
      </c>
      <c r="BD35" s="409">
        <v>0</v>
      </c>
      <c r="BE35" s="409">
        <v>0</v>
      </c>
      <c r="BF35" s="409">
        <v>0</v>
      </c>
      <c r="BG35" s="409">
        <v>0</v>
      </c>
      <c r="BH35" s="409">
        <v>0</v>
      </c>
      <c r="BI35" s="409">
        <v>0</v>
      </c>
      <c r="BJ35" s="409">
        <v>0</v>
      </c>
      <c r="BK35" s="409">
        <v>0</v>
      </c>
      <c r="BL35" s="409">
        <v>0</v>
      </c>
      <c r="BM35" s="409">
        <v>0</v>
      </c>
      <c r="BN35" s="409">
        <v>0</v>
      </c>
      <c r="BO35" s="409">
        <v>0</v>
      </c>
      <c r="BP35" s="409">
        <v>0</v>
      </c>
      <c r="BQ35" s="409">
        <v>0</v>
      </c>
      <c r="BR35" s="409">
        <v>0</v>
      </c>
      <c r="BS35" s="409">
        <v>0</v>
      </c>
      <c r="BT35" s="409">
        <v>0</v>
      </c>
      <c r="BU35" s="409">
        <v>0</v>
      </c>
      <c r="BV35" s="409">
        <v>0</v>
      </c>
      <c r="BW35" s="409">
        <v>0</v>
      </c>
      <c r="BX35" s="409">
        <v>0</v>
      </c>
      <c r="BY35" s="409">
        <v>0</v>
      </c>
      <c r="BZ35" s="409">
        <v>0</v>
      </c>
      <c r="CA35" s="409">
        <v>0</v>
      </c>
      <c r="CB35" s="409">
        <v>0</v>
      </c>
      <c r="CC35" s="409">
        <v>0</v>
      </c>
      <c r="CD35" s="409">
        <v>0</v>
      </c>
      <c r="CE35" s="409">
        <v>0</v>
      </c>
      <c r="CF35" s="409">
        <v>0</v>
      </c>
      <c r="CG35" s="409">
        <v>0</v>
      </c>
      <c r="CH35" s="409">
        <v>0</v>
      </c>
      <c r="CI35" s="409">
        <v>0</v>
      </c>
      <c r="CJ35" s="409">
        <v>0</v>
      </c>
      <c r="CK35" s="409">
        <v>0</v>
      </c>
      <c r="CL35" s="409">
        <v>0</v>
      </c>
      <c r="CM35" s="409">
        <v>0</v>
      </c>
      <c r="CN35" s="409">
        <v>0</v>
      </c>
      <c r="CO35" s="409">
        <v>0</v>
      </c>
      <c r="CP35" s="409">
        <v>0</v>
      </c>
      <c r="CQ35" s="409">
        <v>0</v>
      </c>
      <c r="CR35" s="409">
        <v>0</v>
      </c>
      <c r="CS35" s="409">
        <v>0</v>
      </c>
      <c r="CT35" s="409">
        <v>0</v>
      </c>
      <c r="CU35" s="409">
        <v>0</v>
      </c>
      <c r="CV35" s="409">
        <v>0</v>
      </c>
      <c r="CW35" s="409">
        <v>0</v>
      </c>
      <c r="CX35" s="409">
        <v>0</v>
      </c>
      <c r="CY35" s="409">
        <v>0</v>
      </c>
      <c r="CZ35" s="409">
        <v>0</v>
      </c>
      <c r="DA35" s="409">
        <v>0</v>
      </c>
      <c r="DB35" s="409">
        <v>0</v>
      </c>
      <c r="DC35" s="409">
        <v>0</v>
      </c>
      <c r="DD35" s="409">
        <v>0</v>
      </c>
      <c r="DE35" s="409">
        <v>0</v>
      </c>
      <c r="DF35" s="409">
        <v>0</v>
      </c>
      <c r="DG35" s="409">
        <v>0</v>
      </c>
      <c r="DH35" s="409">
        <v>0</v>
      </c>
      <c r="DI35" s="409">
        <v>0</v>
      </c>
      <c r="DJ35" s="409">
        <v>0</v>
      </c>
      <c r="DK35" s="409">
        <v>0</v>
      </c>
      <c r="DL35" s="409">
        <v>0</v>
      </c>
      <c r="DM35" s="409">
        <v>0</v>
      </c>
      <c r="DN35" s="409">
        <v>0</v>
      </c>
      <c r="DO35" s="409">
        <v>0</v>
      </c>
      <c r="DP35" s="409">
        <v>0</v>
      </c>
      <c r="DQ35" s="409">
        <v>0</v>
      </c>
      <c r="DR35" s="409">
        <v>0</v>
      </c>
      <c r="DS35" s="409">
        <v>0</v>
      </c>
      <c r="DT35" s="409">
        <v>0</v>
      </c>
      <c r="DU35" s="409">
        <v>0</v>
      </c>
      <c r="DV35" s="409">
        <v>0</v>
      </c>
      <c r="DW35" s="409">
        <v>0</v>
      </c>
      <c r="DX35" s="409">
        <v>0</v>
      </c>
      <c r="DY35" s="409">
        <v>0</v>
      </c>
      <c r="DZ35" s="409">
        <v>0</v>
      </c>
      <c r="EA35" s="409">
        <v>0</v>
      </c>
      <c r="EB35" s="409">
        <v>0</v>
      </c>
      <c r="EC35" s="409">
        <v>0</v>
      </c>
      <c r="ED35" s="409">
        <v>0</v>
      </c>
    </row>
    <row r="36" spans="9:147" ht="13.5" customHeight="1" thickBot="1">
      <c r="J36" s="343" t="s">
        <v>399</v>
      </c>
      <c r="P36" s="423">
        <f t="shared" ref="P36:Z36" si="205">P24-SUM(P25:P35)</f>
        <v>0</v>
      </c>
      <c r="Q36" s="423">
        <f t="shared" si="205"/>
        <v>0</v>
      </c>
      <c r="R36" s="423">
        <f t="shared" si="205"/>
        <v>52588</v>
      </c>
      <c r="S36" s="424">
        <f t="shared" si="205"/>
        <v>124717</v>
      </c>
      <c r="T36" s="423">
        <f t="shared" si="205"/>
        <v>1187</v>
      </c>
      <c r="U36" s="423">
        <f t="shared" si="205"/>
        <v>34246</v>
      </c>
      <c r="V36" s="423">
        <f t="shared" si="205"/>
        <v>110000</v>
      </c>
      <c r="W36" s="423">
        <f t="shared" si="205"/>
        <v>182954</v>
      </c>
      <c r="X36" s="423">
        <f t="shared" si="205"/>
        <v>210000</v>
      </c>
      <c r="Y36" s="423">
        <f t="shared" si="205"/>
        <v>307977</v>
      </c>
      <c r="Z36" s="423">
        <f t="shared" si="205"/>
        <v>302491</v>
      </c>
      <c r="AA36" s="423">
        <f t="shared" ref="AA36:AL36" si="206">AA24-SUM(AA25:AA35)</f>
        <v>569537</v>
      </c>
      <c r="AB36" s="423">
        <f t="shared" si="206"/>
        <v>542501</v>
      </c>
      <c r="AC36" s="423">
        <f>AC24-SUM(AC25:AC35)</f>
        <v>610725</v>
      </c>
      <c r="AD36" s="423">
        <f t="shared" si="206"/>
        <v>605195</v>
      </c>
      <c r="AE36" s="423">
        <f t="shared" si="206"/>
        <v>672696</v>
      </c>
      <c r="AF36" s="423">
        <f t="shared" si="206"/>
        <v>807032</v>
      </c>
      <c r="AG36" s="423">
        <f t="shared" si="206"/>
        <v>707207</v>
      </c>
      <c r="AH36" s="423">
        <f t="shared" si="206"/>
        <v>516320</v>
      </c>
      <c r="AI36" s="423">
        <f t="shared" si="206"/>
        <v>899083</v>
      </c>
      <c r="AJ36" s="423">
        <f t="shared" si="206"/>
        <v>877766</v>
      </c>
      <c r="AK36" s="423">
        <f t="shared" si="206"/>
        <v>920639</v>
      </c>
      <c r="AL36" s="423">
        <f t="shared" si="206"/>
        <v>917131</v>
      </c>
      <c r="AM36" s="423">
        <f t="shared" ref="AM36:AV36" si="207">AM24-SUM(AM25:AM35)</f>
        <v>1200300</v>
      </c>
      <c r="AN36" s="423">
        <f t="shared" si="207"/>
        <v>1349945</v>
      </c>
      <c r="AO36" s="423">
        <f t="shared" si="207"/>
        <v>675122</v>
      </c>
      <c r="AP36" s="423">
        <f t="shared" si="207"/>
        <v>482882</v>
      </c>
      <c r="AQ36" s="423">
        <f t="shared" si="207"/>
        <v>502879</v>
      </c>
      <c r="AR36" s="423">
        <f t="shared" si="207"/>
        <v>638142</v>
      </c>
      <c r="AS36" s="423">
        <f t="shared" si="207"/>
        <v>639321</v>
      </c>
      <c r="AT36" s="423">
        <f t="shared" si="207"/>
        <v>686439</v>
      </c>
      <c r="AU36" s="423">
        <f t="shared" si="207"/>
        <v>856755</v>
      </c>
      <c r="AV36" s="423">
        <f t="shared" si="207"/>
        <v>855017</v>
      </c>
      <c r="AW36" s="423">
        <f t="shared" ref="AW36:AX36" si="208">AW24-SUM(AW25:AW35)</f>
        <v>861911</v>
      </c>
      <c r="AX36" s="423">
        <f t="shared" si="208"/>
        <v>895467</v>
      </c>
      <c r="AY36" s="423">
        <f t="shared" ref="AY36:BB36" si="209">AY24-SUM(AY25:AY35)</f>
        <v>1125821</v>
      </c>
      <c r="AZ36" s="423">
        <f t="shared" si="209"/>
        <v>1452739</v>
      </c>
      <c r="BA36" s="423">
        <f t="shared" si="209"/>
        <v>224989</v>
      </c>
      <c r="BB36" s="423">
        <f t="shared" si="209"/>
        <v>193123</v>
      </c>
      <c r="BC36" s="423">
        <f t="shared" ref="BC36:BD36" si="210">BC24-SUM(BC25:BC35)</f>
        <v>257863</v>
      </c>
      <c r="BD36" s="423">
        <f t="shared" si="210"/>
        <v>705572</v>
      </c>
      <c r="BE36" s="423">
        <f t="shared" ref="BE36:BF36" si="211">BE24-SUM(BE25:BE35)</f>
        <v>324245</v>
      </c>
      <c r="BF36" s="423">
        <f t="shared" si="211"/>
        <v>-580664</v>
      </c>
      <c r="BG36" s="423">
        <f t="shared" ref="BG36:BH36" si="212">BG24-SUM(BG25:BG35)</f>
        <v>-851321</v>
      </c>
      <c r="BH36" s="423">
        <f t="shared" si="212"/>
        <v>-851052</v>
      </c>
      <c r="BI36" s="423">
        <f t="shared" ref="BI36:BJ36" si="213">BI24-SUM(BI25:BI35)</f>
        <v>-980063</v>
      </c>
      <c r="BJ36" s="423">
        <f t="shared" si="213"/>
        <v>-1017072</v>
      </c>
      <c r="BK36" s="423">
        <f t="shared" ref="BK36:BL36" si="214">BK24-SUM(BK25:BK35)</f>
        <v>-775243</v>
      </c>
      <c r="BL36" s="423">
        <f t="shared" si="214"/>
        <v>-738859</v>
      </c>
      <c r="BM36" s="423">
        <f t="shared" ref="BM36:BN36" si="215">BM24-SUM(BM25:BM35)</f>
        <v>-738859</v>
      </c>
      <c r="BN36" s="423">
        <f t="shared" si="215"/>
        <v>-738859</v>
      </c>
      <c r="BO36" s="423">
        <f t="shared" ref="BO36:BP36" si="216">BO24-SUM(BO25:BO35)</f>
        <v>-738859</v>
      </c>
      <c r="BP36" s="423">
        <f t="shared" si="216"/>
        <v>-740591</v>
      </c>
      <c r="BQ36" s="423">
        <f t="shared" ref="BQ36:BS36" si="217">BQ24-SUM(BQ25:BQ35)</f>
        <v>-924208</v>
      </c>
      <c r="BR36" s="423">
        <f t="shared" si="217"/>
        <v>-1055102</v>
      </c>
      <c r="BS36" s="423">
        <f t="shared" si="217"/>
        <v>-1049857</v>
      </c>
      <c r="BT36" s="423">
        <f t="shared" ref="BT36:BV36" si="218">BT24-SUM(BT25:BT35)</f>
        <v>-1049086</v>
      </c>
      <c r="BU36" s="423">
        <f t="shared" si="218"/>
        <v>-1271400</v>
      </c>
      <c r="BV36" s="423">
        <f t="shared" si="218"/>
        <v>-704346</v>
      </c>
      <c r="BW36" s="423">
        <f t="shared" ref="BW36:BX36" si="219">BW24-SUM(BW25:BW35)</f>
        <v>-660000</v>
      </c>
      <c r="BX36" s="423">
        <f t="shared" si="219"/>
        <v>-742010</v>
      </c>
      <c r="BY36" s="423">
        <f t="shared" ref="BY36:BZ36" si="220">BY24-SUM(BY25:BY35)</f>
        <v>-868047</v>
      </c>
      <c r="BZ36" s="423">
        <f t="shared" si="220"/>
        <v>-602173</v>
      </c>
      <c r="CA36" s="423">
        <f t="shared" ref="CA36:CB36" si="221">CA24-SUM(CA25:CA35)</f>
        <v>-805168</v>
      </c>
      <c r="CB36" s="423">
        <f t="shared" si="221"/>
        <v>120115</v>
      </c>
      <c r="CC36" s="423">
        <f t="shared" ref="CC36:CG36" si="222">CC24-SUM(CC25:CC35)</f>
        <v>-63667</v>
      </c>
      <c r="CD36" s="423">
        <f t="shared" si="222"/>
        <v>842427</v>
      </c>
      <c r="CE36" s="423">
        <f t="shared" si="222"/>
        <v>1349707</v>
      </c>
      <c r="CF36" s="423">
        <f t="shared" si="222"/>
        <v>1699707</v>
      </c>
      <c r="CG36" s="423">
        <f t="shared" si="222"/>
        <v>2446761</v>
      </c>
      <c r="CH36" s="423">
        <f t="shared" ref="CH36:CM36" si="223">CH24-SUM(CH25:CH33)</f>
        <v>2054011</v>
      </c>
      <c r="CI36" s="423">
        <f t="shared" si="223"/>
        <v>2053015</v>
      </c>
      <c r="CJ36" s="423">
        <f t="shared" si="223"/>
        <v>1290654</v>
      </c>
      <c r="CK36" s="423">
        <f t="shared" si="223"/>
        <v>1266453</v>
      </c>
      <c r="CL36" s="423">
        <f t="shared" si="223"/>
        <v>1384891</v>
      </c>
      <c r="CM36" s="423">
        <f t="shared" si="223"/>
        <v>1247483</v>
      </c>
      <c r="CN36" s="423">
        <f t="shared" ref="CN36:CO36" si="224">CN24-SUM(CN25:CN33)</f>
        <v>1335206</v>
      </c>
      <c r="CO36" s="423">
        <f t="shared" si="224"/>
        <v>980090</v>
      </c>
      <c r="CP36" s="423">
        <f t="shared" ref="CP36:CT36" si="225">CP24-SUM(CP25:CP33)</f>
        <v>861819</v>
      </c>
      <c r="CQ36" s="423">
        <f t="shared" si="225"/>
        <v>863030</v>
      </c>
      <c r="CR36" s="423">
        <f t="shared" si="225"/>
        <v>636084</v>
      </c>
      <c r="CS36" s="423">
        <f t="shared" si="225"/>
        <v>636084</v>
      </c>
      <c r="CT36" s="423">
        <f t="shared" si="225"/>
        <v>636084</v>
      </c>
      <c r="CU36" s="423">
        <f t="shared" ref="CU36:CW36" si="226">CU24-SUM(CU25:CU33)</f>
        <v>40282</v>
      </c>
      <c r="CV36" s="423">
        <f t="shared" si="226"/>
        <v>11223</v>
      </c>
      <c r="CW36" s="423">
        <f t="shared" si="226"/>
        <v>617414</v>
      </c>
      <c r="CX36" s="423">
        <f t="shared" ref="CX36:CZ36" si="227">CX24-SUM(CX25:CX33)</f>
        <v>714035</v>
      </c>
      <c r="CY36" s="423">
        <f t="shared" si="227"/>
        <v>633866</v>
      </c>
      <c r="CZ36" s="423">
        <f t="shared" si="227"/>
        <v>638040</v>
      </c>
      <c r="DA36" s="423">
        <f t="shared" ref="DA36:DF36" si="228">DA24-SUM(DA25:DA33)</f>
        <v>638040</v>
      </c>
      <c r="DB36" s="423">
        <f t="shared" si="228"/>
        <v>420222</v>
      </c>
      <c r="DC36" s="423">
        <f t="shared" si="228"/>
        <v>490854</v>
      </c>
      <c r="DD36" s="423">
        <f t="shared" si="228"/>
        <v>494378</v>
      </c>
      <c r="DE36" s="423">
        <f t="shared" si="228"/>
        <v>506519</v>
      </c>
      <c r="DF36" s="423">
        <f t="shared" si="228"/>
        <v>470527</v>
      </c>
      <c r="DG36" s="423">
        <f t="shared" ref="DG36:DH36" si="229">DG24-SUM(DG25:DG33)</f>
        <v>752665</v>
      </c>
      <c r="DH36" s="423">
        <f t="shared" si="229"/>
        <v>345299</v>
      </c>
      <c r="DI36" s="423">
        <f t="shared" ref="DI36:DK36" si="230">DI24-SUM(DI25:DI33)</f>
        <v>353113</v>
      </c>
      <c r="DJ36" s="423">
        <f t="shared" si="230"/>
        <v>381390</v>
      </c>
      <c r="DK36" s="423">
        <f t="shared" si="230"/>
        <v>376995</v>
      </c>
      <c r="DL36" s="423">
        <f t="shared" ref="DL36:DM36" si="231">DL24-SUM(DL25:DL33)</f>
        <v>999783</v>
      </c>
      <c r="DM36" s="423">
        <f t="shared" si="231"/>
        <v>939128</v>
      </c>
      <c r="DN36" s="423">
        <f>DN24-SUM(DN25:DN33)</f>
        <v>923955</v>
      </c>
      <c r="DO36" s="423">
        <f t="shared" ref="DO36:DR36" si="232">DO24-SUM(DO25:DO33)</f>
        <v>664458</v>
      </c>
      <c r="DP36" s="423">
        <f t="shared" si="232"/>
        <v>661688</v>
      </c>
      <c r="DQ36" s="423">
        <f t="shared" si="232"/>
        <v>630091</v>
      </c>
      <c r="DR36" s="423">
        <f t="shared" si="232"/>
        <v>576034</v>
      </c>
      <c r="DS36" s="423">
        <f t="shared" ref="DS36:DU36" si="233">DS24-SUM(DS25:DS33)</f>
        <v>683543</v>
      </c>
      <c r="DT36" s="423">
        <f t="shared" si="233"/>
        <v>561919</v>
      </c>
      <c r="DU36" s="423">
        <f t="shared" si="233"/>
        <v>593907</v>
      </c>
      <c r="DV36" s="423">
        <f t="shared" ref="DV36:DX36" si="234">DV24-SUM(DV25:DV33)</f>
        <v>488682</v>
      </c>
      <c r="DW36" s="423">
        <f t="shared" si="234"/>
        <v>659953</v>
      </c>
      <c r="DX36" s="423">
        <f t="shared" si="234"/>
        <v>603489</v>
      </c>
      <c r="DY36" s="423">
        <f t="shared" ref="DY36:ED36" si="235">DY24-SUM(DY25:DY33)</f>
        <v>518070</v>
      </c>
      <c r="DZ36" s="423">
        <f t="shared" si="235"/>
        <v>249511</v>
      </c>
      <c r="EA36" s="423">
        <f t="shared" si="235"/>
        <v>249511</v>
      </c>
      <c r="EB36" s="423">
        <f t="shared" si="235"/>
        <v>249511</v>
      </c>
      <c r="EC36" s="423">
        <f t="shared" si="235"/>
        <v>249511</v>
      </c>
      <c r="ED36" s="423">
        <f t="shared" si="235"/>
        <v>249511</v>
      </c>
    </row>
    <row r="37" spans="9:147" ht="13.5" customHeight="1" thickBot="1">
      <c r="J37" s="343"/>
      <c r="S37" s="343"/>
    </row>
    <row r="38" spans="9:147" ht="13.5" customHeight="1" thickBot="1">
      <c r="J38" s="343" t="s">
        <v>397</v>
      </c>
      <c r="O38" s="307">
        <v>153108</v>
      </c>
      <c r="P38" s="307">
        <v>209966</v>
      </c>
      <c r="Q38" s="307">
        <v>234888</v>
      </c>
      <c r="R38" s="307">
        <v>0</v>
      </c>
      <c r="S38" s="348" t="s">
        <v>217</v>
      </c>
      <c r="T38" s="395">
        <f>SUM(V38:BU38)</f>
        <v>510000</v>
      </c>
      <c r="U38" s="258" t="s">
        <v>216</v>
      </c>
      <c r="V38" s="307">
        <v>30000</v>
      </c>
      <c r="W38" s="307">
        <v>30000</v>
      </c>
      <c r="X38" s="307">
        <v>30000</v>
      </c>
      <c r="Y38" s="307">
        <v>30000</v>
      </c>
      <c r="Z38" s="307">
        <v>30000</v>
      </c>
      <c r="AA38" s="307">
        <v>30000</v>
      </c>
      <c r="AB38" s="307">
        <v>30000</v>
      </c>
      <c r="AC38" s="307">
        <v>20000</v>
      </c>
      <c r="AE38" s="307">
        <v>20000</v>
      </c>
      <c r="AP38" s="307">
        <v>10000</v>
      </c>
      <c r="AQ38" s="307">
        <v>10000</v>
      </c>
      <c r="AR38" s="307">
        <v>200000</v>
      </c>
      <c r="AS38" s="307">
        <v>10000</v>
      </c>
      <c r="AT38" s="307">
        <v>10000</v>
      </c>
      <c r="AU38" s="307">
        <v>10000</v>
      </c>
      <c r="AV38" s="307">
        <v>10000</v>
      </c>
      <c r="CG38" s="343" t="s">
        <v>250</v>
      </c>
      <c r="CH38" s="420">
        <f>127743-36160</f>
        <v>91583</v>
      </c>
      <c r="CI38" s="420">
        <f>418788+143000+330000</f>
        <v>891788</v>
      </c>
      <c r="CJ38" s="420">
        <v>164099</v>
      </c>
      <c r="CK38" s="420">
        <v>162516</v>
      </c>
      <c r="CL38" s="420">
        <v>171686</v>
      </c>
      <c r="CM38" s="420">
        <f>CM34</f>
        <v>188260</v>
      </c>
      <c r="CN38" s="420">
        <v>151682</v>
      </c>
      <c r="CO38" s="420">
        <v>520477</v>
      </c>
      <c r="CP38" s="420">
        <v>171686</v>
      </c>
      <c r="CQ38" s="420">
        <v>171686</v>
      </c>
      <c r="CR38" s="420">
        <v>188011</v>
      </c>
      <c r="CS38" s="420">
        <v>171686</v>
      </c>
      <c r="CT38" s="420">
        <v>171686</v>
      </c>
      <c r="CU38" s="420">
        <v>171686</v>
      </c>
      <c r="CV38" s="420">
        <v>171686</v>
      </c>
      <c r="CW38" s="420">
        <v>171686</v>
      </c>
      <c r="CX38" s="420">
        <v>171686</v>
      </c>
      <c r="CY38" s="420">
        <v>171686</v>
      </c>
      <c r="CZ38" s="420">
        <v>171686</v>
      </c>
      <c r="DA38" s="420">
        <v>171686</v>
      </c>
      <c r="DB38" s="420">
        <v>171686</v>
      </c>
      <c r="DC38" s="420">
        <v>171686</v>
      </c>
      <c r="DD38" s="420">
        <v>171686</v>
      </c>
      <c r="DE38" s="420">
        <v>171686</v>
      </c>
      <c r="DF38" s="420">
        <v>171686</v>
      </c>
      <c r="DG38" s="420">
        <v>171686</v>
      </c>
      <c r="DH38" s="420">
        <v>171686</v>
      </c>
      <c r="DI38" s="420">
        <v>171686</v>
      </c>
      <c r="DJ38" s="420">
        <v>171686</v>
      </c>
      <c r="DK38" s="420">
        <v>171686</v>
      </c>
      <c r="DL38" s="420">
        <v>171686</v>
      </c>
      <c r="DM38" s="420">
        <v>171686</v>
      </c>
      <c r="DN38" s="420">
        <f>SUM(DN4:DN8)+SUM(DN10:DN12)+DN32</f>
        <v>180844</v>
      </c>
      <c r="DO38" s="420">
        <v>171686</v>
      </c>
      <c r="DP38" s="420">
        <v>171686</v>
      </c>
      <c r="DQ38" s="420">
        <v>171686</v>
      </c>
      <c r="DR38" s="420">
        <v>171686</v>
      </c>
      <c r="DS38" s="420">
        <v>171686</v>
      </c>
      <c r="DT38" s="420">
        <v>171686</v>
      </c>
      <c r="DU38" s="420">
        <v>171686</v>
      </c>
      <c r="DV38" s="420">
        <v>171686</v>
      </c>
      <c r="DW38" s="420">
        <v>171686</v>
      </c>
      <c r="DX38" s="420">
        <v>171686</v>
      </c>
      <c r="DY38" s="420">
        <f>78300*2</f>
        <v>156600</v>
      </c>
      <c r="DZ38" s="420">
        <v>171686</v>
      </c>
      <c r="EA38" s="420">
        <v>171686</v>
      </c>
      <c r="EB38" s="420">
        <v>171686</v>
      </c>
      <c r="EC38" s="420">
        <v>171686</v>
      </c>
      <c r="ED38" s="420">
        <v>171686</v>
      </c>
    </row>
    <row r="39" spans="9:147" ht="13.5" customHeight="1">
      <c r="J39" s="343" t="s">
        <v>398</v>
      </c>
      <c r="O39" s="425">
        <v>43220</v>
      </c>
      <c r="P39" s="425">
        <v>42356</v>
      </c>
      <c r="Q39" s="425">
        <v>41509</v>
      </c>
      <c r="R39" s="425">
        <v>0</v>
      </c>
      <c r="AH39" s="258" t="s">
        <v>218</v>
      </c>
      <c r="AI39" s="408">
        <f>SUM(AK39:CD39)</f>
        <v>730000</v>
      </c>
      <c r="AJ39" s="407" t="s">
        <v>171</v>
      </c>
      <c r="AK39" s="408">
        <v>10000</v>
      </c>
      <c r="AL39" s="408">
        <v>10000</v>
      </c>
      <c r="AM39" s="408">
        <v>10000</v>
      </c>
      <c r="AN39" s="408">
        <v>10000</v>
      </c>
      <c r="AO39" s="408">
        <v>10000</v>
      </c>
      <c r="AP39" s="408">
        <v>20000</v>
      </c>
      <c r="AQ39" s="408">
        <v>20000</v>
      </c>
      <c r="AR39" s="408">
        <v>20000</v>
      </c>
      <c r="AS39" s="408">
        <v>20000</v>
      </c>
      <c r="AT39" s="408">
        <v>20000</v>
      </c>
      <c r="AU39" s="408">
        <v>20000</v>
      </c>
      <c r="AV39" s="408">
        <v>20000</v>
      </c>
      <c r="AW39" s="408">
        <v>20000</v>
      </c>
      <c r="AX39" s="408">
        <v>20000</v>
      </c>
      <c r="AY39" s="408">
        <v>20000</v>
      </c>
      <c r="AZ39" s="408">
        <v>20000</v>
      </c>
      <c r="BA39" s="408">
        <v>20000</v>
      </c>
      <c r="BB39" s="408">
        <v>20000</v>
      </c>
      <c r="BC39" s="425">
        <v>20000</v>
      </c>
      <c r="BD39" s="425">
        <v>20000</v>
      </c>
      <c r="BE39" s="425">
        <v>20000</v>
      </c>
      <c r="BF39" s="425">
        <v>20000</v>
      </c>
      <c r="BG39" s="425">
        <v>20000</v>
      </c>
      <c r="BH39" s="425">
        <v>20000</v>
      </c>
      <c r="BI39" s="425">
        <v>10000</v>
      </c>
      <c r="BJ39" s="425">
        <v>10000</v>
      </c>
      <c r="BK39" s="408">
        <v>10000</v>
      </c>
      <c r="BL39" s="408">
        <v>10000</v>
      </c>
      <c r="BM39" s="408">
        <v>10000</v>
      </c>
      <c r="BN39" s="408">
        <v>10000</v>
      </c>
      <c r="BO39" s="408">
        <v>10000</v>
      </c>
      <c r="BP39" s="408">
        <v>10000</v>
      </c>
      <c r="BQ39" s="408">
        <v>10000</v>
      </c>
      <c r="BR39" s="408"/>
      <c r="BS39" s="408">
        <v>10000</v>
      </c>
      <c r="BT39" s="408">
        <v>10000</v>
      </c>
      <c r="BU39" s="408">
        <v>10000</v>
      </c>
      <c r="BV39" s="408">
        <v>20000</v>
      </c>
      <c r="BW39" s="408">
        <v>20000</v>
      </c>
      <c r="BX39" s="408">
        <v>20000</v>
      </c>
      <c r="BY39" s="408">
        <v>20000</v>
      </c>
      <c r="BZ39" s="408">
        <v>20000</v>
      </c>
      <c r="CA39" s="408">
        <v>20000</v>
      </c>
      <c r="CB39" s="408">
        <v>20000</v>
      </c>
      <c r="CC39" s="408">
        <v>20000</v>
      </c>
      <c r="CD39" s="408">
        <v>20000</v>
      </c>
      <c r="CE39" s="343" t="s">
        <v>251</v>
      </c>
      <c r="CF39" s="343" t="s">
        <v>251</v>
      </c>
      <c r="CG39" s="343" t="s">
        <v>251</v>
      </c>
      <c r="CH39" s="425">
        <v>147608</v>
      </c>
      <c r="CI39" s="473">
        <v>174463</v>
      </c>
      <c r="CJ39" s="425">
        <v>206094</v>
      </c>
      <c r="CK39" s="476">
        <v>147546</v>
      </c>
      <c r="CL39" s="425">
        <v>337825</v>
      </c>
      <c r="CM39" s="476">
        <v>179958</v>
      </c>
      <c r="CN39" s="425">
        <v>183744</v>
      </c>
      <c r="CO39" s="473">
        <v>192405</v>
      </c>
      <c r="CP39" s="425">
        <v>147669</v>
      </c>
      <c r="CQ39" s="425">
        <f t="shared" ref="CQ39:ED39" si="236">CP39</f>
        <v>147669</v>
      </c>
      <c r="CR39" s="425">
        <f t="shared" si="236"/>
        <v>147669</v>
      </c>
      <c r="CS39" s="425">
        <f t="shared" si="236"/>
        <v>147669</v>
      </c>
      <c r="CT39" s="425">
        <f t="shared" si="236"/>
        <v>147669</v>
      </c>
      <c r="CU39" s="425">
        <f t="shared" si="236"/>
        <v>147669</v>
      </c>
      <c r="CV39" s="425">
        <f t="shared" si="236"/>
        <v>147669</v>
      </c>
      <c r="CW39" s="425">
        <f t="shared" si="236"/>
        <v>147669</v>
      </c>
      <c r="CX39" s="425">
        <f t="shared" si="236"/>
        <v>147669</v>
      </c>
      <c r="CY39" s="425">
        <f t="shared" si="236"/>
        <v>147669</v>
      </c>
      <c r="CZ39" s="425">
        <f t="shared" si="236"/>
        <v>147669</v>
      </c>
      <c r="DA39" s="425">
        <f t="shared" si="236"/>
        <v>147669</v>
      </c>
      <c r="DB39" s="425">
        <f t="shared" si="236"/>
        <v>147669</v>
      </c>
      <c r="DC39" s="425">
        <f t="shared" si="236"/>
        <v>147669</v>
      </c>
      <c r="DD39" s="425">
        <f t="shared" si="236"/>
        <v>147669</v>
      </c>
      <c r="DE39" s="425">
        <f t="shared" si="236"/>
        <v>147669</v>
      </c>
      <c r="DF39" s="425">
        <f t="shared" si="236"/>
        <v>147669</v>
      </c>
      <c r="DG39" s="425">
        <f t="shared" si="236"/>
        <v>147669</v>
      </c>
      <c r="DH39" s="425">
        <f t="shared" si="236"/>
        <v>147669</v>
      </c>
      <c r="DI39" s="425">
        <f t="shared" si="236"/>
        <v>147669</v>
      </c>
      <c r="DJ39" s="425">
        <f t="shared" si="236"/>
        <v>147669</v>
      </c>
      <c r="DK39" s="425">
        <f t="shared" si="236"/>
        <v>147669</v>
      </c>
      <c r="DL39" s="425">
        <f t="shared" si="236"/>
        <v>147669</v>
      </c>
      <c r="DM39" s="425">
        <f t="shared" si="236"/>
        <v>147669</v>
      </c>
      <c r="DN39" s="425">
        <f t="shared" si="236"/>
        <v>147669</v>
      </c>
      <c r="DO39" s="425">
        <f t="shared" si="236"/>
        <v>147669</v>
      </c>
      <c r="DP39" s="425">
        <f t="shared" si="236"/>
        <v>147669</v>
      </c>
      <c r="DQ39" s="425">
        <f t="shared" si="236"/>
        <v>147669</v>
      </c>
      <c r="DR39" s="425">
        <f t="shared" si="236"/>
        <v>147669</v>
      </c>
      <c r="DS39" s="425">
        <f t="shared" si="236"/>
        <v>147669</v>
      </c>
      <c r="DT39" s="425">
        <f t="shared" si="236"/>
        <v>147669</v>
      </c>
      <c r="DU39" s="425">
        <f t="shared" si="236"/>
        <v>147669</v>
      </c>
      <c r="DV39" s="425">
        <f t="shared" si="236"/>
        <v>147669</v>
      </c>
      <c r="DW39" s="425">
        <f t="shared" si="236"/>
        <v>147669</v>
      </c>
      <c r="DX39" s="425">
        <f t="shared" si="236"/>
        <v>147669</v>
      </c>
      <c r="DY39" s="425">
        <f t="shared" si="236"/>
        <v>147669</v>
      </c>
      <c r="DZ39" s="425">
        <f t="shared" si="236"/>
        <v>147669</v>
      </c>
      <c r="EA39" s="425">
        <f t="shared" si="236"/>
        <v>147669</v>
      </c>
      <c r="EB39" s="425">
        <f t="shared" si="236"/>
        <v>147669</v>
      </c>
      <c r="EC39" s="425">
        <f t="shared" si="236"/>
        <v>147669</v>
      </c>
      <c r="ED39" s="425">
        <f t="shared" si="236"/>
        <v>147669</v>
      </c>
    </row>
    <row r="40" spans="9:147" ht="13.5" customHeight="1">
      <c r="J40" s="343"/>
      <c r="O40" s="425">
        <v>170181</v>
      </c>
      <c r="P40" s="425">
        <v>231111</v>
      </c>
      <c r="Q40" s="425">
        <v>235930</v>
      </c>
      <c r="R40" s="425">
        <v>0</v>
      </c>
      <c r="CI40" s="475" t="s">
        <v>255</v>
      </c>
      <c r="CL40" s="258" t="s">
        <v>257</v>
      </c>
      <c r="CM40" s="477">
        <f>CM39-$CK$39</f>
        <v>32412</v>
      </c>
      <c r="CN40" s="477">
        <f>CN39-$CK$39</f>
        <v>36198</v>
      </c>
      <c r="CO40" s="477">
        <f>18279+26457</f>
        <v>44736</v>
      </c>
      <c r="CP40" s="477"/>
      <c r="CQ40" s="477"/>
      <c r="CR40" s="477"/>
      <c r="CS40" s="477"/>
      <c r="CT40" s="477"/>
    </row>
    <row r="41" spans="9:147" ht="13.5" customHeight="1" thickBot="1">
      <c r="I41" s="605" t="s">
        <v>256</v>
      </c>
      <c r="J41" s="478" t="s">
        <v>382</v>
      </c>
      <c r="O41" s="426">
        <v>0</v>
      </c>
      <c r="P41" s="426">
        <v>0</v>
      </c>
      <c r="Q41" s="426">
        <v>0</v>
      </c>
      <c r="R41" s="426">
        <v>0</v>
      </c>
      <c r="CL41" s="258" t="s">
        <v>258</v>
      </c>
      <c r="CM41" s="477">
        <v>6000</v>
      </c>
      <c r="CO41" s="477"/>
      <c r="CP41" s="477"/>
      <c r="CQ41" s="477"/>
      <c r="CR41" s="477"/>
      <c r="CS41" s="477"/>
      <c r="CT41" s="477"/>
      <c r="DC41" s="258" t="s">
        <v>258</v>
      </c>
      <c r="DD41" s="477">
        <v>6000</v>
      </c>
      <c r="DJ41" s="258" t="s">
        <v>258</v>
      </c>
      <c r="DK41" s="477">
        <v>6000</v>
      </c>
      <c r="DT41" s="616">
        <v>6000</v>
      </c>
    </row>
    <row r="42" spans="9:147" ht="13.5" customHeight="1" thickBot="1">
      <c r="J42" s="343" t="s">
        <v>366</v>
      </c>
      <c r="O42" s="427">
        <v>56190</v>
      </c>
      <c r="P42" s="427">
        <v>60048</v>
      </c>
      <c r="Q42" s="427">
        <v>60440</v>
      </c>
      <c r="R42" s="427">
        <v>0</v>
      </c>
      <c r="CM42" s="475" t="s">
        <v>259</v>
      </c>
      <c r="CO42" s="483" t="s">
        <v>264</v>
      </c>
      <c r="CP42" s="471" t="s">
        <v>254</v>
      </c>
      <c r="CS42" s="471" t="s">
        <v>252</v>
      </c>
      <c r="CU42" s="475" t="s">
        <v>390</v>
      </c>
      <c r="CY42" s="475" t="s">
        <v>259</v>
      </c>
      <c r="DA42" s="483" t="s">
        <v>264</v>
      </c>
      <c r="DB42" s="471" t="s">
        <v>362</v>
      </c>
      <c r="DE42" s="471" t="s">
        <v>391</v>
      </c>
      <c r="DG42" s="475" t="s">
        <v>363</v>
      </c>
      <c r="DK42" s="475" t="s">
        <v>259</v>
      </c>
      <c r="DM42" s="483" t="s">
        <v>264</v>
      </c>
      <c r="DN42" s="471" t="s">
        <v>362</v>
      </c>
      <c r="DQ42" s="471" t="s">
        <v>392</v>
      </c>
      <c r="DS42" s="475" t="s">
        <v>387</v>
      </c>
      <c r="DW42" s="475" t="s">
        <v>259</v>
      </c>
      <c r="DY42" s="483" t="s">
        <v>264</v>
      </c>
      <c r="DZ42" s="471" t="s">
        <v>362</v>
      </c>
      <c r="EC42" s="471" t="s">
        <v>393</v>
      </c>
      <c r="EE42" s="471" t="s">
        <v>388</v>
      </c>
      <c r="EI42" s="475" t="s">
        <v>259</v>
      </c>
      <c r="EK42" s="483" t="s">
        <v>264</v>
      </c>
      <c r="EL42" s="471" t="s">
        <v>396</v>
      </c>
      <c r="EO42" s="614" t="s">
        <v>394</v>
      </c>
      <c r="EQ42" s="613" t="s">
        <v>395</v>
      </c>
    </row>
    <row r="43" spans="9:147" ht="13.5" customHeight="1" thickTop="1">
      <c r="I43" s="604" t="s">
        <v>365</v>
      </c>
      <c r="J43" s="343" t="s">
        <v>367</v>
      </c>
      <c r="O43" s="428">
        <f>SUM(O38:O42)</f>
        <v>422699</v>
      </c>
      <c r="P43" s="428">
        <f>SUM(P38:P42)</f>
        <v>543481</v>
      </c>
      <c r="Q43" s="428">
        <v>572767</v>
      </c>
      <c r="R43" s="428">
        <v>0</v>
      </c>
      <c r="DI43" s="258" t="s">
        <v>378</v>
      </c>
      <c r="DM43" s="258" t="s">
        <v>373</v>
      </c>
    </row>
    <row r="44" spans="9:147" ht="13.5" customHeight="1">
      <c r="J44" s="343" t="s">
        <v>368</v>
      </c>
      <c r="DH44" s="258" t="s">
        <v>374</v>
      </c>
      <c r="DK44" s="258" t="s">
        <v>384</v>
      </c>
      <c r="DN44" s="258" t="s">
        <v>400</v>
      </c>
    </row>
  </sheetData>
  <phoneticPr fontId="28" type="noConversion"/>
  <hyperlinks>
    <hyperlink ref="J5" r:id="rId1" display="http://bonus.ubot.com.tw"/>
    <hyperlink ref="J8" r:id="rId2"/>
    <hyperlink ref="J7" r:id="rId3"/>
    <hyperlink ref="J6" r:id="rId4"/>
    <hyperlink ref="J4" r:id="rId5"/>
  </hyperlinks>
  <pageMargins left="0.75" right="0.75" top="1" bottom="1" header="0.5" footer="0.5"/>
  <pageSetup orientation="portrait" r:id="rId6"/>
  <headerFooter alignWithMargins="0"/>
  <drawing r:id="rId7"/>
  <legacyDrawing r:id="rId8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29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1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1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1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1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1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1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1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1">
      <c r="A18" s="10"/>
      <c r="B18" s="24"/>
      <c r="C18" s="62" t="s">
        <v>146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1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1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1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1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1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1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1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1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1">
      <c r="A29" s="16"/>
      <c r="B29" s="625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28">
        <v>431202</v>
      </c>
      <c r="R29" s="628">
        <v>220000</v>
      </c>
    </row>
    <row r="30" spans="1:18" ht="10.5">
      <c r="A30" s="16"/>
      <c r="B30" s="626"/>
      <c r="C30" s="222" t="s">
        <v>142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29"/>
      <c r="R30" s="629"/>
    </row>
    <row r="31" spans="1:18" ht="11">
      <c r="A31" s="16"/>
      <c r="B31" s="627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30"/>
      <c r="R31" s="630"/>
    </row>
    <row r="32" spans="1:18" ht="11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1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1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1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1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1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1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1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1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1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1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29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487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487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487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146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489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25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28">
        <f>SUM(P29:P31)</f>
        <v>0</v>
      </c>
      <c r="R29" s="628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26"/>
      <c r="C30" s="222" t="s">
        <v>142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29"/>
      <c r="R30" s="629"/>
    </row>
    <row r="31" spans="1:18" ht="11">
      <c r="A31" s="16"/>
      <c r="B31" s="627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30"/>
      <c r="R31" s="630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488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486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29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609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09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09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146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611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25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28">
        <f>SUM(P29:P31)</f>
        <v>0</v>
      </c>
      <c r="R29" s="628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26"/>
      <c r="C30" s="222" t="s">
        <v>142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29"/>
      <c r="R30" s="629"/>
    </row>
    <row r="31" spans="1:18" ht="11">
      <c r="A31" s="16"/>
      <c r="B31" s="627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30"/>
      <c r="R31" s="630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610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608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26" width="6.26953125" style="5" customWidth="1"/>
    <col min="27" max="27" width="6.7265625" style="5" bestFit="1" customWidth="1"/>
    <col min="28" max="28" width="7.6328125" style="5" bestFit="1" customWidth="1"/>
    <col min="29" max="30" width="6.7265625" style="5" bestFit="1" customWidth="1"/>
    <col min="31" max="31" width="9" style="5" bestFit="1" customWidth="1"/>
    <col min="32" max="32" width="6" style="5" bestFit="1" customWidth="1"/>
    <col min="33" max="33" width="4.36328125" style="5" bestFit="1" customWidth="1"/>
    <col min="34" max="34" width="6.7265625" style="5" bestFit="1" customWidth="1"/>
    <col min="35" max="35" width="8.36328125" style="108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34">
        <f>SUM(AI29:AI31)</f>
        <v>0</v>
      </c>
      <c r="AK29" s="634">
        <v>30000</v>
      </c>
    </row>
    <row r="30" spans="1:37" ht="10.5">
      <c r="A30" s="16"/>
      <c r="B30" s="632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35"/>
      <c r="AK30" s="635"/>
    </row>
    <row r="31" spans="1:37" ht="11">
      <c r="A31" s="16"/>
      <c r="B31" s="633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36"/>
      <c r="AK31" s="636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1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3" width="7.36328125" style="5" bestFit="1" customWidth="1"/>
    <col min="14" max="14" width="6.7265625" style="5" bestFit="1" customWidth="1"/>
    <col min="15" max="15" width="7.6328125" style="5" bestFit="1" customWidth="1"/>
    <col min="16" max="16" width="6.7265625" style="5" bestFit="1" customWidth="1"/>
    <col min="17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36328125" style="5" bestFit="1" customWidth="1"/>
    <col min="24" max="24" width="6.7265625" style="5" bestFit="1" customWidth="1"/>
    <col min="25" max="25" width="5.36328125" style="5" bestFit="1" customWidth="1"/>
    <col min="26" max="28" width="6.7265625" style="5" bestFit="1" customWidth="1"/>
    <col min="29" max="29" width="5.3632812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0898437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39"/>
      <c r="AG2" s="339"/>
      <c r="AH2" s="339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39"/>
      <c r="AG3" s="339"/>
      <c r="AH3" s="339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39"/>
      <c r="AG4" s="339"/>
      <c r="AH4" s="339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39"/>
      <c r="AG5" s="339"/>
      <c r="AH5" s="339"/>
      <c r="AI5" s="113">
        <f t="shared" si="1"/>
        <v>0</v>
      </c>
      <c r="AJ5" s="122">
        <f>SUM(AI5:AI7)</f>
        <v>0</v>
      </c>
      <c r="AK5" s="122">
        <v>20000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39"/>
      <c r="AG6" s="339"/>
      <c r="AH6" s="339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39"/>
      <c r="AG7" s="339"/>
      <c r="AH7" s="339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39"/>
      <c r="AG8" s="339"/>
      <c r="AH8" s="339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39"/>
      <c r="AG9" s="339"/>
      <c r="AH9" s="339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39"/>
      <c r="AG10" s="339"/>
      <c r="AH10" s="339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39"/>
      <c r="AG11" s="339"/>
      <c r="AH11" s="339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39"/>
      <c r="AG12" s="339"/>
      <c r="AH12" s="339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39"/>
      <c r="AG13" s="339"/>
      <c r="AH13" s="339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39"/>
      <c r="AG14" s="339"/>
      <c r="AH14" s="339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39"/>
      <c r="AG15" s="339"/>
      <c r="AH15" s="339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39"/>
      <c r="AG16" s="339"/>
      <c r="AH16" s="339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39"/>
      <c r="AG17" s="339"/>
      <c r="AH17" s="339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39"/>
      <c r="AG18" s="339"/>
      <c r="AH18" s="339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39"/>
      <c r="AG19" s="339"/>
      <c r="AH19" s="339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39"/>
      <c r="AG20" s="339"/>
      <c r="AH20" s="339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39"/>
      <c r="AG21" s="339"/>
      <c r="AH21" s="339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39"/>
      <c r="AG22" s="339"/>
      <c r="AH22" s="339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39"/>
      <c r="AG23" s="339"/>
      <c r="AH23" s="339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39"/>
      <c r="AG24" s="339"/>
      <c r="AH24" s="339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39"/>
      <c r="AG25" s="339"/>
      <c r="AH25" s="339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39"/>
      <c r="AG26" s="339"/>
      <c r="AH26" s="339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39"/>
      <c r="AG27" s="339"/>
      <c r="AH27" s="339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39"/>
      <c r="AG28" s="339"/>
      <c r="AH28" s="339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39"/>
      <c r="AG29" s="339"/>
      <c r="AH29" s="339"/>
      <c r="AI29" s="113">
        <f t="shared" si="1"/>
        <v>0</v>
      </c>
      <c r="AJ29" s="634">
        <f>SUM(AI29:AI31)</f>
        <v>0</v>
      </c>
      <c r="AK29" s="637">
        <v>30000</v>
      </c>
    </row>
    <row r="30" spans="1:37" ht="10.5">
      <c r="A30" s="16"/>
      <c r="B30" s="632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39"/>
      <c r="AG30" s="339"/>
      <c r="AH30" s="339"/>
      <c r="AI30" s="113">
        <f t="shared" si="1"/>
        <v>0</v>
      </c>
      <c r="AJ30" s="635"/>
      <c r="AK30" s="638"/>
    </row>
    <row r="31" spans="1:37" ht="11">
      <c r="A31" s="16"/>
      <c r="B31" s="633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39"/>
      <c r="AG31" s="339"/>
      <c r="AH31" s="339"/>
      <c r="AI31" s="113">
        <f t="shared" si="1"/>
        <v>0</v>
      </c>
      <c r="AJ31" s="636"/>
      <c r="AK31" s="639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39"/>
      <c r="AG32" s="339"/>
      <c r="AH32" s="339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39"/>
      <c r="AG33" s="339"/>
      <c r="AH33" s="339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39"/>
      <c r="AG34" s="339"/>
      <c r="AH34" s="339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39"/>
      <c r="AG35" s="339"/>
      <c r="AH35" s="339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39"/>
      <c r="AG36" s="339"/>
      <c r="AH36" s="339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1">
      <c r="B38" s="41"/>
      <c r="H38" s="90"/>
      <c r="I38" s="90"/>
      <c r="O38" s="90"/>
      <c r="Q38" s="90"/>
      <c r="AD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7.6328125" style="5" bestFit="1" customWidth="1"/>
    <col min="10" max="10" width="7.3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6" width="5.36328125" style="5" bestFit="1" customWidth="1"/>
    <col min="17" max="17" width="6.7265625" style="5" bestFit="1" customWidth="1"/>
    <col min="18" max="18" width="7.6328125" style="5" bestFit="1" customWidth="1"/>
    <col min="19" max="19" width="6.7265625" style="5" bestFit="1" customWidth="1"/>
    <col min="20" max="20" width="5.36328125" style="5" bestFit="1" customWidth="1"/>
    <col min="21" max="21" width="6.7265625" style="5" bestFit="1" customWidth="1"/>
    <col min="22" max="22" width="7.6328125" style="5" bestFit="1" customWidth="1"/>
    <col min="23" max="23" width="8.36328125" style="5" bestFit="1" customWidth="1"/>
    <col min="24" max="25" width="6.7265625" style="5" bestFit="1" customWidth="1"/>
    <col min="26" max="26" width="7.6328125" style="5" bestFit="1" customWidth="1"/>
    <col min="27" max="27" width="6.7265625" style="5" bestFit="1" customWidth="1"/>
    <col min="28" max="28" width="6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2" width="5.36328125" style="5" bestFit="1" customWidth="1"/>
    <col min="33" max="33" width="5.08984375" style="5" bestFit="1" customWidth="1"/>
    <col min="34" max="34" width="7.632812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34">
        <f>SUM(AI29:AI31)</f>
        <v>0</v>
      </c>
      <c r="AK29" s="637">
        <v>10000</v>
      </c>
    </row>
    <row r="30" spans="1:37" ht="10.5">
      <c r="A30" s="16"/>
      <c r="B30" s="632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35"/>
      <c r="AK30" s="638"/>
    </row>
    <row r="31" spans="1:37" ht="11">
      <c r="A31" s="16"/>
      <c r="B31" s="633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36"/>
      <c r="AK31" s="639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1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1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6.7265625" style="5" bestFit="1" customWidth="1"/>
    <col min="6" max="6" width="6.81640625" style="5" bestFit="1" customWidth="1"/>
    <col min="7" max="7" width="5.36328125" style="5" bestFit="1" customWidth="1"/>
    <col min="8" max="8" width="7.6328125" style="5" customWidth="1"/>
    <col min="9" max="9" width="6.7265625" style="5" bestFit="1" customWidth="1"/>
    <col min="10" max="11" width="6" style="5" bestFit="1" customWidth="1"/>
    <col min="12" max="12" width="7.6328125" style="5" bestFit="1" customWidth="1"/>
    <col min="13" max="13" width="7.36328125" style="5" bestFit="1" customWidth="1"/>
    <col min="14" max="14" width="6.7265625" style="5" bestFit="1" customWidth="1"/>
    <col min="15" max="17" width="5.36328125" style="5" bestFit="1" customWidth="1"/>
    <col min="18" max="20" width="7.6328125" style="5" bestFit="1" customWidth="1"/>
    <col min="21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6" style="5" bestFit="1" customWidth="1"/>
    <col min="27" max="28" width="6.7265625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3" width="6.7265625" style="5" bestFit="1" customWidth="1"/>
    <col min="34" max="34" width="3" style="5" bestFit="1" customWidth="1"/>
    <col min="35" max="35" width="8.36328125" style="113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34">
        <f>SUM(AI29:AI31)</f>
        <v>0</v>
      </c>
      <c r="AK29" s="637">
        <v>10000</v>
      </c>
    </row>
    <row r="30" spans="1:37" ht="10.5">
      <c r="A30" s="16"/>
      <c r="B30" s="632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35"/>
      <c r="AK30" s="638"/>
    </row>
    <row r="31" spans="1:37" ht="11">
      <c r="A31" s="16"/>
      <c r="B31" s="633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36"/>
      <c r="AK31" s="639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6.7265625" style="5" bestFit="1" customWidth="1"/>
    <col min="7" max="7" width="7.6328125" style="5" bestFit="1" customWidth="1"/>
    <col min="8" max="9" width="6.7265625" style="5" bestFit="1" customWidth="1"/>
    <col min="10" max="10" width="7.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5" width="7.36328125" style="5" bestFit="1" customWidth="1"/>
    <col min="16" max="17" width="5.08984375" style="5" bestFit="1" customWidth="1"/>
    <col min="18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08984375" style="5" bestFit="1" customWidth="1"/>
    <col min="24" max="25" width="6.7265625" style="5" bestFit="1" customWidth="1"/>
    <col min="26" max="26" width="7.6328125" style="5" bestFit="1" customWidth="1"/>
    <col min="27" max="29" width="6.7265625" style="5" bestFit="1" customWidth="1"/>
    <col min="30" max="30" width="5.08984375" style="5" bestFit="1" customWidth="1"/>
    <col min="31" max="31" width="9" style="5" bestFit="1" customWidth="1"/>
    <col min="32" max="32" width="6.7265625" style="5" bestFit="1" customWidth="1"/>
    <col min="33" max="33" width="5.36328125" style="5" bestFit="1" customWidth="1"/>
    <col min="34" max="34" width="6.7265625" style="5" bestFit="1" customWidth="1"/>
    <col min="35" max="35" width="7.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1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1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1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34">
        <f>SUM(AI29:AI31)</f>
        <v>0</v>
      </c>
      <c r="AK29" s="640">
        <v>10000</v>
      </c>
    </row>
    <row r="30" spans="1:37" ht="10.5">
      <c r="A30" s="16"/>
      <c r="B30" s="632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35"/>
      <c r="AK30" s="641"/>
    </row>
    <row r="31" spans="1:37" ht="11">
      <c r="A31" s="16"/>
      <c r="B31" s="633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36"/>
      <c r="AK31" s="642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1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7.6328125" style="5" bestFit="1" customWidth="1"/>
    <col min="5" max="5" width="5.08984375" style="5" bestFit="1" customWidth="1"/>
    <col min="6" max="7" width="3.7265625" style="5" bestFit="1" customWidth="1"/>
    <col min="8" max="8" width="6" style="5" bestFit="1" customWidth="1"/>
    <col min="9" max="10" width="5.08984375" style="5" bestFit="1" customWidth="1"/>
    <col min="11" max="11" width="6.7265625" style="5" bestFit="1" customWidth="1"/>
    <col min="12" max="12" width="3.7265625" style="5" bestFit="1" customWidth="1"/>
    <col min="13" max="13" width="7.36328125" style="5" bestFit="1" customWidth="1"/>
    <col min="14" max="14" width="6.7265625" style="5" bestFit="1" customWidth="1"/>
    <col min="15" max="15" width="5.36328125" style="5" bestFit="1" customWidth="1"/>
    <col min="16" max="16" width="5.08984375" style="5" bestFit="1" customWidth="1"/>
    <col min="17" max="17" width="3.7265625" style="5" bestFit="1" customWidth="1"/>
    <col min="18" max="18" width="7.6328125" style="5" bestFit="1" customWidth="1"/>
    <col min="19" max="19" width="6.7265625" style="5" bestFit="1" customWidth="1"/>
    <col min="20" max="21" width="3.7265625" style="5" bestFit="1" customWidth="1"/>
    <col min="22" max="22" width="7.6328125" style="5" bestFit="1" customWidth="1"/>
    <col min="23" max="23" width="3.7265625" style="5" bestFit="1" customWidth="1"/>
    <col min="24" max="24" width="3" style="5" bestFit="1" customWidth="1"/>
    <col min="25" max="26" width="6" style="5" bestFit="1" customWidth="1"/>
    <col min="27" max="27" width="6.7265625" style="5" bestFit="1" customWidth="1"/>
    <col min="28" max="29" width="3" style="5" bestFit="1" customWidth="1"/>
    <col min="30" max="30" width="4.36328125" style="5" bestFit="1" customWidth="1"/>
    <col min="31" max="31" width="9" style="5" bestFit="1" customWidth="1"/>
    <col min="32" max="32" width="3.7265625" style="5" bestFit="1" customWidth="1"/>
    <col min="33" max="33" width="5.08984375" style="5" bestFit="1" customWidth="1"/>
    <col min="34" max="34" width="3" style="5" bestFit="1" customWidth="1"/>
    <col min="35" max="35" width="6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1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34">
        <f>SUM(AI29:AI31)</f>
        <v>0</v>
      </c>
      <c r="AK29" s="640">
        <v>10000</v>
      </c>
    </row>
    <row r="30" spans="1:37" ht="10.5">
      <c r="A30" s="16"/>
      <c r="B30" s="632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35"/>
      <c r="AK30" s="641"/>
    </row>
    <row r="31" spans="1:37" ht="11">
      <c r="A31" s="16"/>
      <c r="B31" s="633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36"/>
      <c r="AK31" s="642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5.08984375" style="108" customWidth="1"/>
    <col min="2" max="2" width="5.36328125" style="108" customWidth="1"/>
    <col min="3" max="3" width="10.7265625" style="108" customWidth="1"/>
    <col min="4" max="34" width="6.6328125" style="108" customWidth="1"/>
    <col min="35" max="35" width="8.36328125" style="108" bestFit="1" customWidth="1"/>
    <col min="36" max="37" width="10.6328125" style="108" bestFit="1" customWidth="1"/>
    <col min="38" max="38" width="9" style="108" bestFit="1"/>
    <col min="39" max="16384" width="9" style="108"/>
  </cols>
  <sheetData>
    <row r="1" spans="1:37" ht="11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1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1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43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34">
        <f>SUM(AI29:AI31)</f>
        <v>0</v>
      </c>
      <c r="AK29" s="637">
        <v>20000</v>
      </c>
    </row>
    <row r="30" spans="1:37" ht="10.5">
      <c r="A30" s="115"/>
      <c r="B30" s="644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35"/>
      <c r="AK30" s="638"/>
    </row>
    <row r="31" spans="1:37" ht="11">
      <c r="A31" s="115"/>
      <c r="B31" s="645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36"/>
      <c r="AK31" s="639"/>
    </row>
    <row r="32" spans="1:37" ht="11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7"/>
  <cols>
    <col min="1" max="1" width="11.26953125" style="463" bestFit="1" customWidth="1"/>
    <col min="2" max="2" width="13.6328125" style="577" bestFit="1" customWidth="1"/>
    <col min="3" max="3" width="12.36328125" style="577" customWidth="1"/>
    <col min="4" max="4" width="10.6328125" style="577" bestFit="1" customWidth="1"/>
    <col min="5" max="5" width="12.7265625" style="578" bestFit="1" customWidth="1"/>
    <col min="6" max="6" width="43.08984375" bestFit="1" customWidth="1"/>
    <col min="10" max="10" width="19.6328125" customWidth="1"/>
    <col min="12" max="12" width="61.08984375" customWidth="1"/>
    <col min="257" max="257" width="11.26953125" bestFit="1" customWidth="1"/>
    <col min="258" max="258" width="13.6328125" bestFit="1" customWidth="1"/>
    <col min="259" max="259" width="12.36328125" customWidth="1"/>
    <col min="260" max="260" width="10.6328125" bestFit="1" customWidth="1"/>
    <col min="261" max="261" width="12.7265625" bestFit="1" customWidth="1"/>
    <col min="262" max="262" width="43.08984375" bestFit="1" customWidth="1"/>
    <col min="266" max="266" width="19.6328125" customWidth="1"/>
    <col min="268" max="268" width="61.08984375" customWidth="1"/>
    <col min="513" max="513" width="11.26953125" bestFit="1" customWidth="1"/>
    <col min="514" max="514" width="13.6328125" bestFit="1" customWidth="1"/>
    <col min="515" max="515" width="12.36328125" customWidth="1"/>
    <col min="516" max="516" width="10.6328125" bestFit="1" customWidth="1"/>
    <col min="517" max="517" width="12.7265625" bestFit="1" customWidth="1"/>
    <col min="518" max="518" width="43.08984375" bestFit="1" customWidth="1"/>
    <col min="522" max="522" width="19.6328125" customWidth="1"/>
    <col min="524" max="524" width="61.08984375" customWidth="1"/>
    <col min="769" max="769" width="11.26953125" bestFit="1" customWidth="1"/>
    <col min="770" max="770" width="13.6328125" bestFit="1" customWidth="1"/>
    <col min="771" max="771" width="12.36328125" customWidth="1"/>
    <col min="772" max="772" width="10.6328125" bestFit="1" customWidth="1"/>
    <col min="773" max="773" width="12.7265625" bestFit="1" customWidth="1"/>
    <col min="774" max="774" width="43.08984375" bestFit="1" customWidth="1"/>
    <col min="778" max="778" width="19.6328125" customWidth="1"/>
    <col min="780" max="780" width="61.08984375" customWidth="1"/>
    <col min="1025" max="1025" width="11.26953125" bestFit="1" customWidth="1"/>
    <col min="1026" max="1026" width="13.6328125" bestFit="1" customWidth="1"/>
    <col min="1027" max="1027" width="12.36328125" customWidth="1"/>
    <col min="1028" max="1028" width="10.6328125" bestFit="1" customWidth="1"/>
    <col min="1029" max="1029" width="12.7265625" bestFit="1" customWidth="1"/>
    <col min="1030" max="1030" width="43.08984375" bestFit="1" customWidth="1"/>
    <col min="1034" max="1034" width="19.6328125" customWidth="1"/>
    <col min="1036" max="1036" width="61.08984375" customWidth="1"/>
    <col min="1281" max="1281" width="11.26953125" bestFit="1" customWidth="1"/>
    <col min="1282" max="1282" width="13.6328125" bestFit="1" customWidth="1"/>
    <col min="1283" max="1283" width="12.36328125" customWidth="1"/>
    <col min="1284" max="1284" width="10.6328125" bestFit="1" customWidth="1"/>
    <col min="1285" max="1285" width="12.7265625" bestFit="1" customWidth="1"/>
    <col min="1286" max="1286" width="43.08984375" bestFit="1" customWidth="1"/>
    <col min="1290" max="1290" width="19.6328125" customWidth="1"/>
    <col min="1292" max="1292" width="61.08984375" customWidth="1"/>
    <col min="1537" max="1537" width="11.26953125" bestFit="1" customWidth="1"/>
    <col min="1538" max="1538" width="13.6328125" bestFit="1" customWidth="1"/>
    <col min="1539" max="1539" width="12.36328125" customWidth="1"/>
    <col min="1540" max="1540" width="10.6328125" bestFit="1" customWidth="1"/>
    <col min="1541" max="1541" width="12.7265625" bestFit="1" customWidth="1"/>
    <col min="1542" max="1542" width="43.08984375" bestFit="1" customWidth="1"/>
    <col min="1546" max="1546" width="19.6328125" customWidth="1"/>
    <col min="1548" max="1548" width="61.08984375" customWidth="1"/>
    <col min="1793" max="1793" width="11.26953125" bestFit="1" customWidth="1"/>
    <col min="1794" max="1794" width="13.6328125" bestFit="1" customWidth="1"/>
    <col min="1795" max="1795" width="12.36328125" customWidth="1"/>
    <col min="1796" max="1796" width="10.6328125" bestFit="1" customWidth="1"/>
    <col min="1797" max="1797" width="12.7265625" bestFit="1" customWidth="1"/>
    <col min="1798" max="1798" width="43.08984375" bestFit="1" customWidth="1"/>
    <col min="1802" max="1802" width="19.6328125" customWidth="1"/>
    <col min="1804" max="1804" width="61.08984375" customWidth="1"/>
    <col min="2049" max="2049" width="11.26953125" bestFit="1" customWidth="1"/>
    <col min="2050" max="2050" width="13.6328125" bestFit="1" customWidth="1"/>
    <col min="2051" max="2051" width="12.36328125" customWidth="1"/>
    <col min="2052" max="2052" width="10.6328125" bestFit="1" customWidth="1"/>
    <col min="2053" max="2053" width="12.7265625" bestFit="1" customWidth="1"/>
    <col min="2054" max="2054" width="43.08984375" bestFit="1" customWidth="1"/>
    <col min="2058" max="2058" width="19.6328125" customWidth="1"/>
    <col min="2060" max="2060" width="61.08984375" customWidth="1"/>
    <col min="2305" max="2305" width="11.26953125" bestFit="1" customWidth="1"/>
    <col min="2306" max="2306" width="13.6328125" bestFit="1" customWidth="1"/>
    <col min="2307" max="2307" width="12.36328125" customWidth="1"/>
    <col min="2308" max="2308" width="10.6328125" bestFit="1" customWidth="1"/>
    <col min="2309" max="2309" width="12.7265625" bestFit="1" customWidth="1"/>
    <col min="2310" max="2310" width="43.08984375" bestFit="1" customWidth="1"/>
    <col min="2314" max="2314" width="19.6328125" customWidth="1"/>
    <col min="2316" max="2316" width="61.08984375" customWidth="1"/>
    <col min="2561" max="2561" width="11.26953125" bestFit="1" customWidth="1"/>
    <col min="2562" max="2562" width="13.6328125" bestFit="1" customWidth="1"/>
    <col min="2563" max="2563" width="12.36328125" customWidth="1"/>
    <col min="2564" max="2564" width="10.6328125" bestFit="1" customWidth="1"/>
    <col min="2565" max="2565" width="12.7265625" bestFit="1" customWidth="1"/>
    <col min="2566" max="2566" width="43.08984375" bestFit="1" customWidth="1"/>
    <col min="2570" max="2570" width="19.6328125" customWidth="1"/>
    <col min="2572" max="2572" width="61.08984375" customWidth="1"/>
    <col min="2817" max="2817" width="11.26953125" bestFit="1" customWidth="1"/>
    <col min="2818" max="2818" width="13.6328125" bestFit="1" customWidth="1"/>
    <col min="2819" max="2819" width="12.36328125" customWidth="1"/>
    <col min="2820" max="2820" width="10.6328125" bestFit="1" customWidth="1"/>
    <col min="2821" max="2821" width="12.7265625" bestFit="1" customWidth="1"/>
    <col min="2822" max="2822" width="43.08984375" bestFit="1" customWidth="1"/>
    <col min="2826" max="2826" width="19.6328125" customWidth="1"/>
    <col min="2828" max="2828" width="61.08984375" customWidth="1"/>
    <col min="3073" max="3073" width="11.26953125" bestFit="1" customWidth="1"/>
    <col min="3074" max="3074" width="13.6328125" bestFit="1" customWidth="1"/>
    <col min="3075" max="3075" width="12.36328125" customWidth="1"/>
    <col min="3076" max="3076" width="10.6328125" bestFit="1" customWidth="1"/>
    <col min="3077" max="3077" width="12.7265625" bestFit="1" customWidth="1"/>
    <col min="3078" max="3078" width="43.08984375" bestFit="1" customWidth="1"/>
    <col min="3082" max="3082" width="19.6328125" customWidth="1"/>
    <col min="3084" max="3084" width="61.08984375" customWidth="1"/>
    <col min="3329" max="3329" width="11.26953125" bestFit="1" customWidth="1"/>
    <col min="3330" max="3330" width="13.6328125" bestFit="1" customWidth="1"/>
    <col min="3331" max="3331" width="12.36328125" customWidth="1"/>
    <col min="3332" max="3332" width="10.6328125" bestFit="1" customWidth="1"/>
    <col min="3333" max="3333" width="12.7265625" bestFit="1" customWidth="1"/>
    <col min="3334" max="3334" width="43.08984375" bestFit="1" customWidth="1"/>
    <col min="3338" max="3338" width="19.6328125" customWidth="1"/>
    <col min="3340" max="3340" width="61.08984375" customWidth="1"/>
    <col min="3585" max="3585" width="11.26953125" bestFit="1" customWidth="1"/>
    <col min="3586" max="3586" width="13.6328125" bestFit="1" customWidth="1"/>
    <col min="3587" max="3587" width="12.36328125" customWidth="1"/>
    <col min="3588" max="3588" width="10.6328125" bestFit="1" customWidth="1"/>
    <col min="3589" max="3589" width="12.7265625" bestFit="1" customWidth="1"/>
    <col min="3590" max="3590" width="43.08984375" bestFit="1" customWidth="1"/>
    <col min="3594" max="3594" width="19.6328125" customWidth="1"/>
    <col min="3596" max="3596" width="61.08984375" customWidth="1"/>
    <col min="3841" max="3841" width="11.26953125" bestFit="1" customWidth="1"/>
    <col min="3842" max="3842" width="13.6328125" bestFit="1" customWidth="1"/>
    <col min="3843" max="3843" width="12.36328125" customWidth="1"/>
    <col min="3844" max="3844" width="10.6328125" bestFit="1" customWidth="1"/>
    <col min="3845" max="3845" width="12.7265625" bestFit="1" customWidth="1"/>
    <col min="3846" max="3846" width="43.08984375" bestFit="1" customWidth="1"/>
    <col min="3850" max="3850" width="19.6328125" customWidth="1"/>
    <col min="3852" max="3852" width="61.08984375" customWidth="1"/>
    <col min="4097" max="4097" width="11.26953125" bestFit="1" customWidth="1"/>
    <col min="4098" max="4098" width="13.6328125" bestFit="1" customWidth="1"/>
    <col min="4099" max="4099" width="12.36328125" customWidth="1"/>
    <col min="4100" max="4100" width="10.6328125" bestFit="1" customWidth="1"/>
    <col min="4101" max="4101" width="12.7265625" bestFit="1" customWidth="1"/>
    <col min="4102" max="4102" width="43.08984375" bestFit="1" customWidth="1"/>
    <col min="4106" max="4106" width="19.6328125" customWidth="1"/>
    <col min="4108" max="4108" width="61.08984375" customWidth="1"/>
    <col min="4353" max="4353" width="11.26953125" bestFit="1" customWidth="1"/>
    <col min="4354" max="4354" width="13.6328125" bestFit="1" customWidth="1"/>
    <col min="4355" max="4355" width="12.36328125" customWidth="1"/>
    <col min="4356" max="4356" width="10.6328125" bestFit="1" customWidth="1"/>
    <col min="4357" max="4357" width="12.7265625" bestFit="1" customWidth="1"/>
    <col min="4358" max="4358" width="43.08984375" bestFit="1" customWidth="1"/>
    <col min="4362" max="4362" width="19.6328125" customWidth="1"/>
    <col min="4364" max="4364" width="61.08984375" customWidth="1"/>
    <col min="4609" max="4609" width="11.26953125" bestFit="1" customWidth="1"/>
    <col min="4610" max="4610" width="13.6328125" bestFit="1" customWidth="1"/>
    <col min="4611" max="4611" width="12.36328125" customWidth="1"/>
    <col min="4612" max="4612" width="10.6328125" bestFit="1" customWidth="1"/>
    <col min="4613" max="4613" width="12.7265625" bestFit="1" customWidth="1"/>
    <col min="4614" max="4614" width="43.08984375" bestFit="1" customWidth="1"/>
    <col min="4618" max="4618" width="19.6328125" customWidth="1"/>
    <col min="4620" max="4620" width="61.08984375" customWidth="1"/>
    <col min="4865" max="4865" width="11.26953125" bestFit="1" customWidth="1"/>
    <col min="4866" max="4866" width="13.6328125" bestFit="1" customWidth="1"/>
    <col min="4867" max="4867" width="12.36328125" customWidth="1"/>
    <col min="4868" max="4868" width="10.6328125" bestFit="1" customWidth="1"/>
    <col min="4869" max="4869" width="12.7265625" bestFit="1" customWidth="1"/>
    <col min="4870" max="4870" width="43.08984375" bestFit="1" customWidth="1"/>
    <col min="4874" max="4874" width="19.6328125" customWidth="1"/>
    <col min="4876" max="4876" width="61.08984375" customWidth="1"/>
    <col min="5121" max="5121" width="11.26953125" bestFit="1" customWidth="1"/>
    <col min="5122" max="5122" width="13.6328125" bestFit="1" customWidth="1"/>
    <col min="5123" max="5123" width="12.36328125" customWidth="1"/>
    <col min="5124" max="5124" width="10.6328125" bestFit="1" customWidth="1"/>
    <col min="5125" max="5125" width="12.7265625" bestFit="1" customWidth="1"/>
    <col min="5126" max="5126" width="43.08984375" bestFit="1" customWidth="1"/>
    <col min="5130" max="5130" width="19.6328125" customWidth="1"/>
    <col min="5132" max="5132" width="61.08984375" customWidth="1"/>
    <col min="5377" max="5377" width="11.26953125" bestFit="1" customWidth="1"/>
    <col min="5378" max="5378" width="13.6328125" bestFit="1" customWidth="1"/>
    <col min="5379" max="5379" width="12.36328125" customWidth="1"/>
    <col min="5380" max="5380" width="10.6328125" bestFit="1" customWidth="1"/>
    <col min="5381" max="5381" width="12.7265625" bestFit="1" customWidth="1"/>
    <col min="5382" max="5382" width="43.08984375" bestFit="1" customWidth="1"/>
    <col min="5386" max="5386" width="19.6328125" customWidth="1"/>
    <col min="5388" max="5388" width="61.08984375" customWidth="1"/>
    <col min="5633" max="5633" width="11.26953125" bestFit="1" customWidth="1"/>
    <col min="5634" max="5634" width="13.6328125" bestFit="1" customWidth="1"/>
    <col min="5635" max="5635" width="12.36328125" customWidth="1"/>
    <col min="5636" max="5636" width="10.6328125" bestFit="1" customWidth="1"/>
    <col min="5637" max="5637" width="12.7265625" bestFit="1" customWidth="1"/>
    <col min="5638" max="5638" width="43.08984375" bestFit="1" customWidth="1"/>
    <col min="5642" max="5642" width="19.6328125" customWidth="1"/>
    <col min="5644" max="5644" width="61.08984375" customWidth="1"/>
    <col min="5889" max="5889" width="11.26953125" bestFit="1" customWidth="1"/>
    <col min="5890" max="5890" width="13.6328125" bestFit="1" customWidth="1"/>
    <col min="5891" max="5891" width="12.36328125" customWidth="1"/>
    <col min="5892" max="5892" width="10.6328125" bestFit="1" customWidth="1"/>
    <col min="5893" max="5893" width="12.7265625" bestFit="1" customWidth="1"/>
    <col min="5894" max="5894" width="43.08984375" bestFit="1" customWidth="1"/>
    <col min="5898" max="5898" width="19.6328125" customWidth="1"/>
    <col min="5900" max="5900" width="61.08984375" customWidth="1"/>
    <col min="6145" max="6145" width="11.26953125" bestFit="1" customWidth="1"/>
    <col min="6146" max="6146" width="13.6328125" bestFit="1" customWidth="1"/>
    <col min="6147" max="6147" width="12.36328125" customWidth="1"/>
    <col min="6148" max="6148" width="10.6328125" bestFit="1" customWidth="1"/>
    <col min="6149" max="6149" width="12.7265625" bestFit="1" customWidth="1"/>
    <col min="6150" max="6150" width="43.08984375" bestFit="1" customWidth="1"/>
    <col min="6154" max="6154" width="19.6328125" customWidth="1"/>
    <col min="6156" max="6156" width="61.08984375" customWidth="1"/>
    <col min="6401" max="6401" width="11.26953125" bestFit="1" customWidth="1"/>
    <col min="6402" max="6402" width="13.6328125" bestFit="1" customWidth="1"/>
    <col min="6403" max="6403" width="12.36328125" customWidth="1"/>
    <col min="6404" max="6404" width="10.6328125" bestFit="1" customWidth="1"/>
    <col min="6405" max="6405" width="12.7265625" bestFit="1" customWidth="1"/>
    <col min="6406" max="6406" width="43.08984375" bestFit="1" customWidth="1"/>
    <col min="6410" max="6410" width="19.6328125" customWidth="1"/>
    <col min="6412" max="6412" width="61.08984375" customWidth="1"/>
    <col min="6657" max="6657" width="11.26953125" bestFit="1" customWidth="1"/>
    <col min="6658" max="6658" width="13.6328125" bestFit="1" customWidth="1"/>
    <col min="6659" max="6659" width="12.36328125" customWidth="1"/>
    <col min="6660" max="6660" width="10.6328125" bestFit="1" customWidth="1"/>
    <col min="6661" max="6661" width="12.7265625" bestFit="1" customWidth="1"/>
    <col min="6662" max="6662" width="43.08984375" bestFit="1" customWidth="1"/>
    <col min="6666" max="6666" width="19.6328125" customWidth="1"/>
    <col min="6668" max="6668" width="61.08984375" customWidth="1"/>
    <col min="6913" max="6913" width="11.26953125" bestFit="1" customWidth="1"/>
    <col min="6914" max="6914" width="13.6328125" bestFit="1" customWidth="1"/>
    <col min="6915" max="6915" width="12.36328125" customWidth="1"/>
    <col min="6916" max="6916" width="10.6328125" bestFit="1" customWidth="1"/>
    <col min="6917" max="6917" width="12.7265625" bestFit="1" customWidth="1"/>
    <col min="6918" max="6918" width="43.08984375" bestFit="1" customWidth="1"/>
    <col min="6922" max="6922" width="19.6328125" customWidth="1"/>
    <col min="6924" max="6924" width="61.08984375" customWidth="1"/>
    <col min="7169" max="7169" width="11.26953125" bestFit="1" customWidth="1"/>
    <col min="7170" max="7170" width="13.6328125" bestFit="1" customWidth="1"/>
    <col min="7171" max="7171" width="12.36328125" customWidth="1"/>
    <col min="7172" max="7172" width="10.6328125" bestFit="1" customWidth="1"/>
    <col min="7173" max="7173" width="12.7265625" bestFit="1" customWidth="1"/>
    <col min="7174" max="7174" width="43.08984375" bestFit="1" customWidth="1"/>
    <col min="7178" max="7178" width="19.6328125" customWidth="1"/>
    <col min="7180" max="7180" width="61.08984375" customWidth="1"/>
    <col min="7425" max="7425" width="11.26953125" bestFit="1" customWidth="1"/>
    <col min="7426" max="7426" width="13.6328125" bestFit="1" customWidth="1"/>
    <col min="7427" max="7427" width="12.36328125" customWidth="1"/>
    <col min="7428" max="7428" width="10.6328125" bestFit="1" customWidth="1"/>
    <col min="7429" max="7429" width="12.7265625" bestFit="1" customWidth="1"/>
    <col min="7430" max="7430" width="43.08984375" bestFit="1" customWidth="1"/>
    <col min="7434" max="7434" width="19.6328125" customWidth="1"/>
    <col min="7436" max="7436" width="61.08984375" customWidth="1"/>
    <col min="7681" max="7681" width="11.26953125" bestFit="1" customWidth="1"/>
    <col min="7682" max="7682" width="13.6328125" bestFit="1" customWidth="1"/>
    <col min="7683" max="7683" width="12.36328125" customWidth="1"/>
    <col min="7684" max="7684" width="10.6328125" bestFit="1" customWidth="1"/>
    <col min="7685" max="7685" width="12.7265625" bestFit="1" customWidth="1"/>
    <col min="7686" max="7686" width="43.08984375" bestFit="1" customWidth="1"/>
    <col min="7690" max="7690" width="19.6328125" customWidth="1"/>
    <col min="7692" max="7692" width="61.08984375" customWidth="1"/>
    <col min="7937" max="7937" width="11.26953125" bestFit="1" customWidth="1"/>
    <col min="7938" max="7938" width="13.6328125" bestFit="1" customWidth="1"/>
    <col min="7939" max="7939" width="12.36328125" customWidth="1"/>
    <col min="7940" max="7940" width="10.6328125" bestFit="1" customWidth="1"/>
    <col min="7941" max="7941" width="12.7265625" bestFit="1" customWidth="1"/>
    <col min="7942" max="7942" width="43.08984375" bestFit="1" customWidth="1"/>
    <col min="7946" max="7946" width="19.6328125" customWidth="1"/>
    <col min="7948" max="7948" width="61.08984375" customWidth="1"/>
    <col min="8193" max="8193" width="11.26953125" bestFit="1" customWidth="1"/>
    <col min="8194" max="8194" width="13.6328125" bestFit="1" customWidth="1"/>
    <col min="8195" max="8195" width="12.36328125" customWidth="1"/>
    <col min="8196" max="8196" width="10.6328125" bestFit="1" customWidth="1"/>
    <col min="8197" max="8197" width="12.7265625" bestFit="1" customWidth="1"/>
    <col min="8198" max="8198" width="43.08984375" bestFit="1" customWidth="1"/>
    <col min="8202" max="8202" width="19.6328125" customWidth="1"/>
    <col min="8204" max="8204" width="61.08984375" customWidth="1"/>
    <col min="8449" max="8449" width="11.26953125" bestFit="1" customWidth="1"/>
    <col min="8450" max="8450" width="13.6328125" bestFit="1" customWidth="1"/>
    <col min="8451" max="8451" width="12.36328125" customWidth="1"/>
    <col min="8452" max="8452" width="10.6328125" bestFit="1" customWidth="1"/>
    <col min="8453" max="8453" width="12.7265625" bestFit="1" customWidth="1"/>
    <col min="8454" max="8454" width="43.08984375" bestFit="1" customWidth="1"/>
    <col min="8458" max="8458" width="19.6328125" customWidth="1"/>
    <col min="8460" max="8460" width="61.08984375" customWidth="1"/>
    <col min="8705" max="8705" width="11.26953125" bestFit="1" customWidth="1"/>
    <col min="8706" max="8706" width="13.6328125" bestFit="1" customWidth="1"/>
    <col min="8707" max="8707" width="12.36328125" customWidth="1"/>
    <col min="8708" max="8708" width="10.6328125" bestFit="1" customWidth="1"/>
    <col min="8709" max="8709" width="12.7265625" bestFit="1" customWidth="1"/>
    <col min="8710" max="8710" width="43.08984375" bestFit="1" customWidth="1"/>
    <col min="8714" max="8714" width="19.6328125" customWidth="1"/>
    <col min="8716" max="8716" width="61.08984375" customWidth="1"/>
    <col min="8961" max="8961" width="11.26953125" bestFit="1" customWidth="1"/>
    <col min="8962" max="8962" width="13.6328125" bestFit="1" customWidth="1"/>
    <col min="8963" max="8963" width="12.36328125" customWidth="1"/>
    <col min="8964" max="8964" width="10.6328125" bestFit="1" customWidth="1"/>
    <col min="8965" max="8965" width="12.7265625" bestFit="1" customWidth="1"/>
    <col min="8966" max="8966" width="43.08984375" bestFit="1" customWidth="1"/>
    <col min="8970" max="8970" width="19.6328125" customWidth="1"/>
    <col min="8972" max="8972" width="61.08984375" customWidth="1"/>
    <col min="9217" max="9217" width="11.26953125" bestFit="1" customWidth="1"/>
    <col min="9218" max="9218" width="13.6328125" bestFit="1" customWidth="1"/>
    <col min="9219" max="9219" width="12.36328125" customWidth="1"/>
    <col min="9220" max="9220" width="10.6328125" bestFit="1" customWidth="1"/>
    <col min="9221" max="9221" width="12.7265625" bestFit="1" customWidth="1"/>
    <col min="9222" max="9222" width="43.08984375" bestFit="1" customWidth="1"/>
    <col min="9226" max="9226" width="19.6328125" customWidth="1"/>
    <col min="9228" max="9228" width="61.08984375" customWidth="1"/>
    <col min="9473" max="9473" width="11.26953125" bestFit="1" customWidth="1"/>
    <col min="9474" max="9474" width="13.6328125" bestFit="1" customWidth="1"/>
    <col min="9475" max="9475" width="12.36328125" customWidth="1"/>
    <col min="9476" max="9476" width="10.6328125" bestFit="1" customWidth="1"/>
    <col min="9477" max="9477" width="12.7265625" bestFit="1" customWidth="1"/>
    <col min="9478" max="9478" width="43.08984375" bestFit="1" customWidth="1"/>
    <col min="9482" max="9482" width="19.6328125" customWidth="1"/>
    <col min="9484" max="9484" width="61.08984375" customWidth="1"/>
    <col min="9729" max="9729" width="11.26953125" bestFit="1" customWidth="1"/>
    <col min="9730" max="9730" width="13.6328125" bestFit="1" customWidth="1"/>
    <col min="9731" max="9731" width="12.36328125" customWidth="1"/>
    <col min="9732" max="9732" width="10.6328125" bestFit="1" customWidth="1"/>
    <col min="9733" max="9733" width="12.7265625" bestFit="1" customWidth="1"/>
    <col min="9734" max="9734" width="43.08984375" bestFit="1" customWidth="1"/>
    <col min="9738" max="9738" width="19.6328125" customWidth="1"/>
    <col min="9740" max="9740" width="61.08984375" customWidth="1"/>
    <col min="9985" max="9985" width="11.26953125" bestFit="1" customWidth="1"/>
    <col min="9986" max="9986" width="13.6328125" bestFit="1" customWidth="1"/>
    <col min="9987" max="9987" width="12.36328125" customWidth="1"/>
    <col min="9988" max="9988" width="10.6328125" bestFit="1" customWidth="1"/>
    <col min="9989" max="9989" width="12.7265625" bestFit="1" customWidth="1"/>
    <col min="9990" max="9990" width="43.08984375" bestFit="1" customWidth="1"/>
    <col min="9994" max="9994" width="19.6328125" customWidth="1"/>
    <col min="9996" max="9996" width="61.08984375" customWidth="1"/>
    <col min="10241" max="10241" width="11.26953125" bestFit="1" customWidth="1"/>
    <col min="10242" max="10242" width="13.6328125" bestFit="1" customWidth="1"/>
    <col min="10243" max="10243" width="12.36328125" customWidth="1"/>
    <col min="10244" max="10244" width="10.6328125" bestFit="1" customWidth="1"/>
    <col min="10245" max="10245" width="12.7265625" bestFit="1" customWidth="1"/>
    <col min="10246" max="10246" width="43.08984375" bestFit="1" customWidth="1"/>
    <col min="10250" max="10250" width="19.6328125" customWidth="1"/>
    <col min="10252" max="10252" width="61.08984375" customWidth="1"/>
    <col min="10497" max="10497" width="11.26953125" bestFit="1" customWidth="1"/>
    <col min="10498" max="10498" width="13.6328125" bestFit="1" customWidth="1"/>
    <col min="10499" max="10499" width="12.36328125" customWidth="1"/>
    <col min="10500" max="10500" width="10.6328125" bestFit="1" customWidth="1"/>
    <col min="10501" max="10501" width="12.7265625" bestFit="1" customWidth="1"/>
    <col min="10502" max="10502" width="43.08984375" bestFit="1" customWidth="1"/>
    <col min="10506" max="10506" width="19.6328125" customWidth="1"/>
    <col min="10508" max="10508" width="61.08984375" customWidth="1"/>
    <col min="10753" max="10753" width="11.26953125" bestFit="1" customWidth="1"/>
    <col min="10754" max="10754" width="13.6328125" bestFit="1" customWidth="1"/>
    <col min="10755" max="10755" width="12.36328125" customWidth="1"/>
    <col min="10756" max="10756" width="10.6328125" bestFit="1" customWidth="1"/>
    <col min="10757" max="10757" width="12.7265625" bestFit="1" customWidth="1"/>
    <col min="10758" max="10758" width="43.08984375" bestFit="1" customWidth="1"/>
    <col min="10762" max="10762" width="19.6328125" customWidth="1"/>
    <col min="10764" max="10764" width="61.08984375" customWidth="1"/>
    <col min="11009" max="11009" width="11.26953125" bestFit="1" customWidth="1"/>
    <col min="11010" max="11010" width="13.6328125" bestFit="1" customWidth="1"/>
    <col min="11011" max="11011" width="12.36328125" customWidth="1"/>
    <col min="11012" max="11012" width="10.6328125" bestFit="1" customWidth="1"/>
    <col min="11013" max="11013" width="12.7265625" bestFit="1" customWidth="1"/>
    <col min="11014" max="11014" width="43.08984375" bestFit="1" customWidth="1"/>
    <col min="11018" max="11018" width="19.6328125" customWidth="1"/>
    <col min="11020" max="11020" width="61.08984375" customWidth="1"/>
    <col min="11265" max="11265" width="11.26953125" bestFit="1" customWidth="1"/>
    <col min="11266" max="11266" width="13.6328125" bestFit="1" customWidth="1"/>
    <col min="11267" max="11267" width="12.36328125" customWidth="1"/>
    <col min="11268" max="11268" width="10.6328125" bestFit="1" customWidth="1"/>
    <col min="11269" max="11269" width="12.7265625" bestFit="1" customWidth="1"/>
    <col min="11270" max="11270" width="43.08984375" bestFit="1" customWidth="1"/>
    <col min="11274" max="11274" width="19.6328125" customWidth="1"/>
    <col min="11276" max="11276" width="61.08984375" customWidth="1"/>
    <col min="11521" max="11521" width="11.26953125" bestFit="1" customWidth="1"/>
    <col min="11522" max="11522" width="13.6328125" bestFit="1" customWidth="1"/>
    <col min="11523" max="11523" width="12.36328125" customWidth="1"/>
    <col min="11524" max="11524" width="10.6328125" bestFit="1" customWidth="1"/>
    <col min="11525" max="11525" width="12.7265625" bestFit="1" customWidth="1"/>
    <col min="11526" max="11526" width="43.08984375" bestFit="1" customWidth="1"/>
    <col min="11530" max="11530" width="19.6328125" customWidth="1"/>
    <col min="11532" max="11532" width="61.08984375" customWidth="1"/>
    <col min="11777" max="11777" width="11.26953125" bestFit="1" customWidth="1"/>
    <col min="11778" max="11778" width="13.6328125" bestFit="1" customWidth="1"/>
    <col min="11779" max="11779" width="12.36328125" customWidth="1"/>
    <col min="11780" max="11780" width="10.6328125" bestFit="1" customWidth="1"/>
    <col min="11781" max="11781" width="12.7265625" bestFit="1" customWidth="1"/>
    <col min="11782" max="11782" width="43.08984375" bestFit="1" customWidth="1"/>
    <col min="11786" max="11786" width="19.6328125" customWidth="1"/>
    <col min="11788" max="11788" width="61.08984375" customWidth="1"/>
    <col min="12033" max="12033" width="11.26953125" bestFit="1" customWidth="1"/>
    <col min="12034" max="12034" width="13.6328125" bestFit="1" customWidth="1"/>
    <col min="12035" max="12035" width="12.36328125" customWidth="1"/>
    <col min="12036" max="12036" width="10.6328125" bestFit="1" customWidth="1"/>
    <col min="12037" max="12037" width="12.7265625" bestFit="1" customWidth="1"/>
    <col min="12038" max="12038" width="43.08984375" bestFit="1" customWidth="1"/>
    <col min="12042" max="12042" width="19.6328125" customWidth="1"/>
    <col min="12044" max="12044" width="61.08984375" customWidth="1"/>
    <col min="12289" max="12289" width="11.26953125" bestFit="1" customWidth="1"/>
    <col min="12290" max="12290" width="13.6328125" bestFit="1" customWidth="1"/>
    <col min="12291" max="12291" width="12.36328125" customWidth="1"/>
    <col min="12292" max="12292" width="10.6328125" bestFit="1" customWidth="1"/>
    <col min="12293" max="12293" width="12.7265625" bestFit="1" customWidth="1"/>
    <col min="12294" max="12294" width="43.08984375" bestFit="1" customWidth="1"/>
    <col min="12298" max="12298" width="19.6328125" customWidth="1"/>
    <col min="12300" max="12300" width="61.08984375" customWidth="1"/>
    <col min="12545" max="12545" width="11.26953125" bestFit="1" customWidth="1"/>
    <col min="12546" max="12546" width="13.6328125" bestFit="1" customWidth="1"/>
    <col min="12547" max="12547" width="12.36328125" customWidth="1"/>
    <col min="12548" max="12548" width="10.6328125" bestFit="1" customWidth="1"/>
    <col min="12549" max="12549" width="12.7265625" bestFit="1" customWidth="1"/>
    <col min="12550" max="12550" width="43.08984375" bestFit="1" customWidth="1"/>
    <col min="12554" max="12554" width="19.6328125" customWidth="1"/>
    <col min="12556" max="12556" width="61.08984375" customWidth="1"/>
    <col min="12801" max="12801" width="11.26953125" bestFit="1" customWidth="1"/>
    <col min="12802" max="12802" width="13.6328125" bestFit="1" customWidth="1"/>
    <col min="12803" max="12803" width="12.36328125" customWidth="1"/>
    <col min="12804" max="12804" width="10.6328125" bestFit="1" customWidth="1"/>
    <col min="12805" max="12805" width="12.7265625" bestFit="1" customWidth="1"/>
    <col min="12806" max="12806" width="43.08984375" bestFit="1" customWidth="1"/>
    <col min="12810" max="12810" width="19.6328125" customWidth="1"/>
    <col min="12812" max="12812" width="61.08984375" customWidth="1"/>
    <col min="13057" max="13057" width="11.26953125" bestFit="1" customWidth="1"/>
    <col min="13058" max="13058" width="13.6328125" bestFit="1" customWidth="1"/>
    <col min="13059" max="13059" width="12.36328125" customWidth="1"/>
    <col min="13060" max="13060" width="10.6328125" bestFit="1" customWidth="1"/>
    <col min="13061" max="13061" width="12.7265625" bestFit="1" customWidth="1"/>
    <col min="13062" max="13062" width="43.08984375" bestFit="1" customWidth="1"/>
    <col min="13066" max="13066" width="19.6328125" customWidth="1"/>
    <col min="13068" max="13068" width="61.08984375" customWidth="1"/>
    <col min="13313" max="13313" width="11.26953125" bestFit="1" customWidth="1"/>
    <col min="13314" max="13314" width="13.6328125" bestFit="1" customWidth="1"/>
    <col min="13315" max="13315" width="12.36328125" customWidth="1"/>
    <col min="13316" max="13316" width="10.6328125" bestFit="1" customWidth="1"/>
    <col min="13317" max="13317" width="12.7265625" bestFit="1" customWidth="1"/>
    <col min="13318" max="13318" width="43.08984375" bestFit="1" customWidth="1"/>
    <col min="13322" max="13322" width="19.6328125" customWidth="1"/>
    <col min="13324" max="13324" width="61.08984375" customWidth="1"/>
    <col min="13569" max="13569" width="11.26953125" bestFit="1" customWidth="1"/>
    <col min="13570" max="13570" width="13.6328125" bestFit="1" customWidth="1"/>
    <col min="13571" max="13571" width="12.36328125" customWidth="1"/>
    <col min="13572" max="13572" width="10.6328125" bestFit="1" customWidth="1"/>
    <col min="13573" max="13573" width="12.7265625" bestFit="1" customWidth="1"/>
    <col min="13574" max="13574" width="43.08984375" bestFit="1" customWidth="1"/>
    <col min="13578" max="13578" width="19.6328125" customWidth="1"/>
    <col min="13580" max="13580" width="61.08984375" customWidth="1"/>
    <col min="13825" max="13825" width="11.26953125" bestFit="1" customWidth="1"/>
    <col min="13826" max="13826" width="13.6328125" bestFit="1" customWidth="1"/>
    <col min="13827" max="13827" width="12.36328125" customWidth="1"/>
    <col min="13828" max="13828" width="10.6328125" bestFit="1" customWidth="1"/>
    <col min="13829" max="13829" width="12.7265625" bestFit="1" customWidth="1"/>
    <col min="13830" max="13830" width="43.08984375" bestFit="1" customWidth="1"/>
    <col min="13834" max="13834" width="19.6328125" customWidth="1"/>
    <col min="13836" max="13836" width="61.08984375" customWidth="1"/>
    <col min="14081" max="14081" width="11.26953125" bestFit="1" customWidth="1"/>
    <col min="14082" max="14082" width="13.6328125" bestFit="1" customWidth="1"/>
    <col min="14083" max="14083" width="12.36328125" customWidth="1"/>
    <col min="14084" max="14084" width="10.6328125" bestFit="1" customWidth="1"/>
    <col min="14085" max="14085" width="12.7265625" bestFit="1" customWidth="1"/>
    <col min="14086" max="14086" width="43.08984375" bestFit="1" customWidth="1"/>
    <col min="14090" max="14090" width="19.6328125" customWidth="1"/>
    <col min="14092" max="14092" width="61.08984375" customWidth="1"/>
    <col min="14337" max="14337" width="11.26953125" bestFit="1" customWidth="1"/>
    <col min="14338" max="14338" width="13.6328125" bestFit="1" customWidth="1"/>
    <col min="14339" max="14339" width="12.36328125" customWidth="1"/>
    <col min="14340" max="14340" width="10.6328125" bestFit="1" customWidth="1"/>
    <col min="14341" max="14341" width="12.7265625" bestFit="1" customWidth="1"/>
    <col min="14342" max="14342" width="43.08984375" bestFit="1" customWidth="1"/>
    <col min="14346" max="14346" width="19.6328125" customWidth="1"/>
    <col min="14348" max="14348" width="61.08984375" customWidth="1"/>
    <col min="14593" max="14593" width="11.26953125" bestFit="1" customWidth="1"/>
    <col min="14594" max="14594" width="13.6328125" bestFit="1" customWidth="1"/>
    <col min="14595" max="14595" width="12.36328125" customWidth="1"/>
    <col min="14596" max="14596" width="10.6328125" bestFit="1" customWidth="1"/>
    <col min="14597" max="14597" width="12.7265625" bestFit="1" customWidth="1"/>
    <col min="14598" max="14598" width="43.08984375" bestFit="1" customWidth="1"/>
    <col min="14602" max="14602" width="19.6328125" customWidth="1"/>
    <col min="14604" max="14604" width="61.08984375" customWidth="1"/>
    <col min="14849" max="14849" width="11.26953125" bestFit="1" customWidth="1"/>
    <col min="14850" max="14850" width="13.6328125" bestFit="1" customWidth="1"/>
    <col min="14851" max="14851" width="12.36328125" customWidth="1"/>
    <col min="14852" max="14852" width="10.6328125" bestFit="1" customWidth="1"/>
    <col min="14853" max="14853" width="12.7265625" bestFit="1" customWidth="1"/>
    <col min="14854" max="14854" width="43.08984375" bestFit="1" customWidth="1"/>
    <col min="14858" max="14858" width="19.6328125" customWidth="1"/>
    <col min="14860" max="14860" width="61.08984375" customWidth="1"/>
    <col min="15105" max="15105" width="11.26953125" bestFit="1" customWidth="1"/>
    <col min="15106" max="15106" width="13.6328125" bestFit="1" customWidth="1"/>
    <col min="15107" max="15107" width="12.36328125" customWidth="1"/>
    <col min="15108" max="15108" width="10.6328125" bestFit="1" customWidth="1"/>
    <col min="15109" max="15109" width="12.7265625" bestFit="1" customWidth="1"/>
    <col min="15110" max="15110" width="43.08984375" bestFit="1" customWidth="1"/>
    <col min="15114" max="15114" width="19.6328125" customWidth="1"/>
    <col min="15116" max="15116" width="61.08984375" customWidth="1"/>
    <col min="15361" max="15361" width="11.26953125" bestFit="1" customWidth="1"/>
    <col min="15362" max="15362" width="13.6328125" bestFit="1" customWidth="1"/>
    <col min="15363" max="15363" width="12.36328125" customWidth="1"/>
    <col min="15364" max="15364" width="10.6328125" bestFit="1" customWidth="1"/>
    <col min="15365" max="15365" width="12.7265625" bestFit="1" customWidth="1"/>
    <col min="15366" max="15366" width="43.08984375" bestFit="1" customWidth="1"/>
    <col min="15370" max="15370" width="19.6328125" customWidth="1"/>
    <col min="15372" max="15372" width="61.08984375" customWidth="1"/>
    <col min="15617" max="15617" width="11.26953125" bestFit="1" customWidth="1"/>
    <col min="15618" max="15618" width="13.6328125" bestFit="1" customWidth="1"/>
    <col min="15619" max="15619" width="12.36328125" customWidth="1"/>
    <col min="15620" max="15620" width="10.6328125" bestFit="1" customWidth="1"/>
    <col min="15621" max="15621" width="12.7265625" bestFit="1" customWidth="1"/>
    <col min="15622" max="15622" width="43.08984375" bestFit="1" customWidth="1"/>
    <col min="15626" max="15626" width="19.6328125" customWidth="1"/>
    <col min="15628" max="15628" width="61.08984375" customWidth="1"/>
    <col min="15873" max="15873" width="11.26953125" bestFit="1" customWidth="1"/>
    <col min="15874" max="15874" width="13.6328125" bestFit="1" customWidth="1"/>
    <col min="15875" max="15875" width="12.36328125" customWidth="1"/>
    <col min="15876" max="15876" width="10.6328125" bestFit="1" customWidth="1"/>
    <col min="15877" max="15877" width="12.7265625" bestFit="1" customWidth="1"/>
    <col min="15878" max="15878" width="43.08984375" bestFit="1" customWidth="1"/>
    <col min="15882" max="15882" width="19.6328125" customWidth="1"/>
    <col min="15884" max="15884" width="61.08984375" customWidth="1"/>
    <col min="16129" max="16129" width="11.26953125" bestFit="1" customWidth="1"/>
    <col min="16130" max="16130" width="13.6328125" bestFit="1" customWidth="1"/>
    <col min="16131" max="16131" width="12.36328125" customWidth="1"/>
    <col min="16132" max="16132" width="10.6328125" bestFit="1" customWidth="1"/>
    <col min="16133" max="16133" width="12.7265625" bestFit="1" customWidth="1"/>
    <col min="16134" max="16134" width="43.08984375" bestFit="1" customWidth="1"/>
    <col min="16138" max="16138" width="19.6328125" customWidth="1"/>
    <col min="16140" max="16140" width="61.08984375" customWidth="1"/>
  </cols>
  <sheetData>
    <row r="1" spans="1:6">
      <c r="A1" s="463" t="s">
        <v>289</v>
      </c>
      <c r="B1" s="577" t="s">
        <v>290</v>
      </c>
      <c r="C1" s="577" t="s">
        <v>291</v>
      </c>
      <c r="D1" s="577" t="s">
        <v>292</v>
      </c>
      <c r="E1" s="578" t="s">
        <v>276</v>
      </c>
      <c r="F1" s="577" t="s">
        <v>293</v>
      </c>
    </row>
    <row r="2" spans="1:6">
      <c r="A2" s="463">
        <v>39448</v>
      </c>
      <c r="B2" s="577">
        <v>362500</v>
      </c>
      <c r="C2" s="577">
        <v>0</v>
      </c>
      <c r="D2" s="577">
        <v>12500</v>
      </c>
      <c r="E2" s="578">
        <f>B2+C2-D2</f>
        <v>350000</v>
      </c>
      <c r="F2" t="s">
        <v>294</v>
      </c>
    </row>
    <row r="3" spans="1:6">
      <c r="A3" s="463">
        <v>39479</v>
      </c>
      <c r="B3" s="577">
        <f t="shared" ref="B3:B45" si="0">E2</f>
        <v>350000</v>
      </c>
      <c r="C3" s="577">
        <v>0</v>
      </c>
      <c r="D3" s="577">
        <v>12500</v>
      </c>
      <c r="E3" s="578">
        <f t="shared" ref="E3:E45" si="1">B3+C3-D3</f>
        <v>337500</v>
      </c>
      <c r="F3" t="s">
        <v>295</v>
      </c>
    </row>
    <row r="4" spans="1:6">
      <c r="A4" s="463">
        <v>39508</v>
      </c>
      <c r="B4" s="577">
        <f t="shared" si="0"/>
        <v>337500</v>
      </c>
      <c r="C4" s="577">
        <v>0</v>
      </c>
      <c r="D4" s="577">
        <v>12500</v>
      </c>
      <c r="E4" s="578">
        <f t="shared" si="1"/>
        <v>325000</v>
      </c>
      <c r="F4" t="s">
        <v>294</v>
      </c>
    </row>
    <row r="5" spans="1:6">
      <c r="A5" s="463">
        <v>39539</v>
      </c>
      <c r="B5" s="577">
        <f t="shared" si="0"/>
        <v>325000</v>
      </c>
      <c r="C5" s="577">
        <v>0</v>
      </c>
      <c r="D5" s="577">
        <v>12500</v>
      </c>
      <c r="E5" s="578">
        <f t="shared" si="1"/>
        <v>312500</v>
      </c>
      <c r="F5" t="s">
        <v>294</v>
      </c>
    </row>
    <row r="6" spans="1:6">
      <c r="A6" s="463">
        <v>39569</v>
      </c>
      <c r="B6" s="577">
        <f t="shared" si="0"/>
        <v>312500</v>
      </c>
      <c r="C6" s="577">
        <v>0</v>
      </c>
      <c r="D6" s="577">
        <v>12500</v>
      </c>
      <c r="E6" s="578">
        <f t="shared" si="1"/>
        <v>300000</v>
      </c>
      <c r="F6" t="s">
        <v>294</v>
      </c>
    </row>
    <row r="7" spans="1:6">
      <c r="A7" s="463">
        <v>39600</v>
      </c>
      <c r="B7" s="577">
        <f t="shared" si="0"/>
        <v>300000</v>
      </c>
      <c r="C7" s="577">
        <v>0</v>
      </c>
      <c r="D7" s="577">
        <v>12500</v>
      </c>
      <c r="E7" s="578">
        <f t="shared" si="1"/>
        <v>287500</v>
      </c>
      <c r="F7" t="s">
        <v>294</v>
      </c>
    </row>
    <row r="8" spans="1:6">
      <c r="A8" s="463">
        <v>39630</v>
      </c>
      <c r="B8" s="577">
        <f t="shared" si="0"/>
        <v>287500</v>
      </c>
      <c r="C8" s="577">
        <v>0</v>
      </c>
      <c r="D8" s="577">
        <v>12500</v>
      </c>
      <c r="E8" s="578">
        <f t="shared" si="1"/>
        <v>275000</v>
      </c>
      <c r="F8" t="s">
        <v>277</v>
      </c>
    </row>
    <row r="9" spans="1:6">
      <c r="A9" s="463">
        <v>39661</v>
      </c>
      <c r="B9" s="577">
        <f t="shared" si="0"/>
        <v>275000</v>
      </c>
      <c r="C9" s="577">
        <v>0</v>
      </c>
      <c r="D9" s="577">
        <v>12500</v>
      </c>
      <c r="E9" s="578">
        <f t="shared" si="1"/>
        <v>262500</v>
      </c>
      <c r="F9" t="s">
        <v>277</v>
      </c>
    </row>
    <row r="10" spans="1:6">
      <c r="A10" s="463">
        <v>39692</v>
      </c>
      <c r="B10" s="577">
        <f t="shared" si="0"/>
        <v>262500</v>
      </c>
      <c r="C10" s="577">
        <v>30366</v>
      </c>
      <c r="D10" s="577">
        <v>12500</v>
      </c>
      <c r="E10" s="578">
        <f t="shared" si="1"/>
        <v>280366</v>
      </c>
      <c r="F10" t="s">
        <v>296</v>
      </c>
    </row>
    <row r="11" spans="1:6">
      <c r="A11" s="463">
        <v>39722</v>
      </c>
      <c r="B11" s="577">
        <f t="shared" si="0"/>
        <v>280366</v>
      </c>
      <c r="C11" s="577">
        <v>0</v>
      </c>
      <c r="D11" s="577">
        <v>12500</v>
      </c>
      <c r="E11" s="578">
        <f t="shared" si="1"/>
        <v>267866</v>
      </c>
      <c r="F11" t="s">
        <v>277</v>
      </c>
    </row>
    <row r="12" spans="1:6">
      <c r="A12" s="463">
        <v>39753</v>
      </c>
      <c r="B12" s="577">
        <f t="shared" si="0"/>
        <v>267866</v>
      </c>
      <c r="C12" s="577">
        <v>0</v>
      </c>
      <c r="D12" s="577">
        <v>12500</v>
      </c>
      <c r="E12" s="578">
        <f t="shared" si="1"/>
        <v>255366</v>
      </c>
      <c r="F12" t="s">
        <v>295</v>
      </c>
    </row>
    <row r="13" spans="1:6">
      <c r="A13" s="463">
        <v>39783</v>
      </c>
      <c r="B13" s="577">
        <f t="shared" si="0"/>
        <v>255366</v>
      </c>
      <c r="C13" s="577">
        <v>0</v>
      </c>
      <c r="D13" s="577">
        <v>12500</v>
      </c>
      <c r="E13" s="578">
        <f t="shared" si="1"/>
        <v>242866</v>
      </c>
      <c r="F13" t="s">
        <v>294</v>
      </c>
    </row>
    <row r="14" spans="1:6">
      <c r="A14" s="463">
        <v>39814</v>
      </c>
      <c r="B14" s="577">
        <f t="shared" si="0"/>
        <v>242866</v>
      </c>
      <c r="C14" s="577">
        <v>0</v>
      </c>
      <c r="D14" s="577">
        <v>12500</v>
      </c>
      <c r="E14" s="578">
        <f t="shared" si="1"/>
        <v>230366</v>
      </c>
      <c r="F14" t="s">
        <v>295</v>
      </c>
    </row>
    <row r="15" spans="1:6">
      <c r="A15" s="463">
        <v>39845</v>
      </c>
      <c r="B15" s="577">
        <f t="shared" si="0"/>
        <v>230366</v>
      </c>
      <c r="C15" s="577">
        <v>5000</v>
      </c>
      <c r="D15" s="577">
        <v>12500</v>
      </c>
      <c r="E15" s="578">
        <f t="shared" si="1"/>
        <v>222866</v>
      </c>
      <c r="F15" t="s">
        <v>297</v>
      </c>
    </row>
    <row r="16" spans="1:6">
      <c r="A16" s="463">
        <v>39873</v>
      </c>
      <c r="B16" s="577">
        <f t="shared" si="0"/>
        <v>222866</v>
      </c>
      <c r="C16" s="577">
        <v>18000</v>
      </c>
      <c r="D16" s="577">
        <v>12500</v>
      </c>
      <c r="E16" s="578">
        <f t="shared" si="1"/>
        <v>228366</v>
      </c>
      <c r="F16" t="s">
        <v>298</v>
      </c>
    </row>
    <row r="17" spans="1:6">
      <c r="A17" s="463">
        <v>39904</v>
      </c>
      <c r="B17" s="577">
        <f t="shared" si="0"/>
        <v>228366</v>
      </c>
      <c r="C17" s="577">
        <v>11000</v>
      </c>
      <c r="D17" s="577">
        <v>12500</v>
      </c>
      <c r="E17" s="578">
        <f t="shared" si="1"/>
        <v>226866</v>
      </c>
      <c r="F17" t="s">
        <v>278</v>
      </c>
    </row>
    <row r="18" spans="1:6">
      <c r="A18" s="463">
        <v>39934</v>
      </c>
      <c r="B18" s="577">
        <f t="shared" si="0"/>
        <v>226866</v>
      </c>
      <c r="C18" s="577">
        <v>0</v>
      </c>
      <c r="D18" s="577">
        <v>4000</v>
      </c>
      <c r="E18" s="578">
        <f t="shared" si="1"/>
        <v>222866</v>
      </c>
      <c r="F18" t="s">
        <v>299</v>
      </c>
    </row>
    <row r="19" spans="1:6">
      <c r="A19" s="463">
        <v>40026</v>
      </c>
      <c r="B19" s="577">
        <f t="shared" si="0"/>
        <v>222866</v>
      </c>
      <c r="C19" s="577">
        <v>11000</v>
      </c>
      <c r="D19" s="577">
        <v>0</v>
      </c>
      <c r="E19" s="578">
        <f t="shared" si="1"/>
        <v>233866</v>
      </c>
      <c r="F19" t="s">
        <v>300</v>
      </c>
    </row>
    <row r="20" spans="1:6">
      <c r="A20" s="463">
        <v>40057</v>
      </c>
      <c r="B20" s="577">
        <f t="shared" si="0"/>
        <v>233866</v>
      </c>
      <c r="C20" s="577">
        <v>0</v>
      </c>
      <c r="D20" s="577">
        <v>4900</v>
      </c>
      <c r="E20" s="578">
        <f t="shared" si="1"/>
        <v>228966</v>
      </c>
      <c r="F20" t="s">
        <v>301</v>
      </c>
    </row>
    <row r="21" spans="1:6">
      <c r="A21" s="463">
        <v>40087</v>
      </c>
      <c r="B21" s="577">
        <f t="shared" si="0"/>
        <v>228966</v>
      </c>
      <c r="C21" s="577">
        <v>5100</v>
      </c>
      <c r="D21" s="577">
        <v>0</v>
      </c>
      <c r="E21" s="578">
        <f t="shared" si="1"/>
        <v>234066</v>
      </c>
      <c r="F21" t="s">
        <v>279</v>
      </c>
    </row>
    <row r="22" spans="1:6">
      <c r="A22" s="463">
        <v>40118</v>
      </c>
      <c r="B22" s="577">
        <f t="shared" si="0"/>
        <v>234066</v>
      </c>
      <c r="C22" s="577">
        <v>0</v>
      </c>
      <c r="D22" s="577">
        <v>4900</v>
      </c>
      <c r="E22" s="578">
        <f t="shared" si="1"/>
        <v>229166</v>
      </c>
      <c r="F22" t="s">
        <v>280</v>
      </c>
    </row>
    <row r="23" spans="1:6">
      <c r="A23" s="463">
        <v>40148</v>
      </c>
      <c r="B23" s="577">
        <f t="shared" si="0"/>
        <v>229166</v>
      </c>
      <c r="C23" s="577">
        <v>0</v>
      </c>
      <c r="D23" s="577">
        <v>4900</v>
      </c>
      <c r="E23" s="579">
        <f t="shared" si="1"/>
        <v>224266</v>
      </c>
      <c r="F23" t="s">
        <v>280</v>
      </c>
    </row>
    <row r="24" spans="1:6">
      <c r="A24" s="463">
        <v>40179</v>
      </c>
      <c r="B24" s="577">
        <f t="shared" si="0"/>
        <v>224266</v>
      </c>
      <c r="C24" s="577">
        <v>0</v>
      </c>
      <c r="D24" s="577">
        <v>4900</v>
      </c>
      <c r="E24" s="578">
        <f t="shared" si="1"/>
        <v>219366</v>
      </c>
      <c r="F24" t="s">
        <v>280</v>
      </c>
    </row>
    <row r="25" spans="1:6">
      <c r="A25" s="463">
        <v>40210</v>
      </c>
      <c r="B25" s="577">
        <f t="shared" si="0"/>
        <v>219366</v>
      </c>
      <c r="C25" s="577">
        <v>0</v>
      </c>
      <c r="D25" s="577">
        <f>4900+3600/2+8000/2</f>
        <v>10700</v>
      </c>
      <c r="E25" s="578">
        <f t="shared" si="1"/>
        <v>208666</v>
      </c>
      <c r="F25" t="s">
        <v>281</v>
      </c>
    </row>
    <row r="26" spans="1:6">
      <c r="A26" s="463">
        <v>40238</v>
      </c>
      <c r="B26" s="577">
        <f t="shared" si="0"/>
        <v>208666</v>
      </c>
      <c r="C26" s="577">
        <v>0</v>
      </c>
      <c r="D26" s="577">
        <v>4900</v>
      </c>
      <c r="E26" s="580">
        <f t="shared" si="1"/>
        <v>203766</v>
      </c>
      <c r="F26" t="s">
        <v>280</v>
      </c>
    </row>
    <row r="27" spans="1:6">
      <c r="A27" s="463">
        <v>40269</v>
      </c>
      <c r="B27" s="577">
        <f t="shared" si="0"/>
        <v>203766</v>
      </c>
      <c r="C27" s="577">
        <v>0</v>
      </c>
      <c r="D27" s="577">
        <v>7100</v>
      </c>
      <c r="E27" s="578">
        <f t="shared" si="1"/>
        <v>196666</v>
      </c>
      <c r="F27" t="s">
        <v>282</v>
      </c>
    </row>
    <row r="28" spans="1:6">
      <c r="A28" s="463">
        <v>40299</v>
      </c>
      <c r="B28" s="577">
        <f t="shared" si="0"/>
        <v>196666</v>
      </c>
      <c r="C28" s="577">
        <v>0</v>
      </c>
      <c r="D28" s="577">
        <v>7100</v>
      </c>
      <c r="E28" s="578">
        <f t="shared" si="1"/>
        <v>189566</v>
      </c>
      <c r="F28" t="s">
        <v>282</v>
      </c>
    </row>
    <row r="29" spans="1:6">
      <c r="A29" s="463">
        <v>40330</v>
      </c>
      <c r="B29" s="577">
        <f t="shared" si="0"/>
        <v>189566</v>
      </c>
      <c r="C29" s="577">
        <v>0</v>
      </c>
      <c r="D29" s="577">
        <v>7100</v>
      </c>
      <c r="E29" s="578">
        <f t="shared" si="1"/>
        <v>182466</v>
      </c>
      <c r="F29" t="s">
        <v>282</v>
      </c>
    </row>
    <row r="30" spans="1:6">
      <c r="A30" s="463">
        <v>40360</v>
      </c>
      <c r="B30" s="577">
        <f t="shared" si="0"/>
        <v>182466</v>
      </c>
      <c r="C30" s="577">
        <v>0</v>
      </c>
      <c r="D30" s="577">
        <v>7100</v>
      </c>
      <c r="E30" s="578">
        <f t="shared" si="1"/>
        <v>175366</v>
      </c>
      <c r="F30" t="s">
        <v>282</v>
      </c>
    </row>
    <row r="31" spans="1:6">
      <c r="A31" s="463">
        <v>40391</v>
      </c>
      <c r="B31" s="577">
        <f t="shared" si="0"/>
        <v>175366</v>
      </c>
      <c r="C31" s="577">
        <v>0</v>
      </c>
      <c r="D31" s="577">
        <v>7100</v>
      </c>
      <c r="E31" s="578">
        <f t="shared" si="1"/>
        <v>168266</v>
      </c>
      <c r="F31" t="s">
        <v>282</v>
      </c>
    </row>
    <row r="32" spans="1:6">
      <c r="A32" s="463">
        <v>40422</v>
      </c>
      <c r="B32" s="577">
        <f t="shared" si="0"/>
        <v>168266</v>
      </c>
      <c r="C32" s="577">
        <v>0</v>
      </c>
      <c r="D32" s="577">
        <v>7100</v>
      </c>
      <c r="E32" s="578">
        <f t="shared" si="1"/>
        <v>161166</v>
      </c>
      <c r="F32" t="s">
        <v>282</v>
      </c>
    </row>
    <row r="33" spans="1:8">
      <c r="A33" s="463">
        <v>40452</v>
      </c>
      <c r="B33" s="577">
        <f t="shared" si="0"/>
        <v>161166</v>
      </c>
      <c r="C33" s="577">
        <v>0</v>
      </c>
      <c r="D33" s="577">
        <v>7100</v>
      </c>
      <c r="E33" s="578">
        <f t="shared" si="1"/>
        <v>154066</v>
      </c>
      <c r="F33" t="s">
        <v>282</v>
      </c>
    </row>
    <row r="34" spans="1:8">
      <c r="A34" s="463">
        <v>40483</v>
      </c>
      <c r="B34" s="577">
        <f t="shared" si="0"/>
        <v>154066</v>
      </c>
      <c r="C34" s="577">
        <v>0</v>
      </c>
      <c r="D34" s="577">
        <v>7100</v>
      </c>
      <c r="E34" s="578">
        <f t="shared" si="1"/>
        <v>146966</v>
      </c>
      <c r="F34" t="s">
        <v>282</v>
      </c>
    </row>
    <row r="35" spans="1:8">
      <c r="A35" s="463">
        <v>40513</v>
      </c>
      <c r="B35" s="577">
        <f t="shared" si="0"/>
        <v>146966</v>
      </c>
      <c r="C35" s="577">
        <v>0</v>
      </c>
      <c r="D35" s="577">
        <v>7100</v>
      </c>
      <c r="E35" s="578">
        <f t="shared" si="1"/>
        <v>139866</v>
      </c>
      <c r="F35" t="s">
        <v>282</v>
      </c>
      <c r="G35" t="s">
        <v>283</v>
      </c>
      <c r="H35" s="581">
        <f>D35*12</f>
        <v>85200</v>
      </c>
    </row>
    <row r="36" spans="1:8">
      <c r="A36" s="463">
        <v>40539</v>
      </c>
      <c r="B36" s="577">
        <f t="shared" si="0"/>
        <v>139866</v>
      </c>
      <c r="C36" s="577">
        <f>'[1]2011 更新'!C11+'[1]2011 更新'!C16</f>
        <v>96260</v>
      </c>
      <c r="D36" s="577">
        <v>0</v>
      </c>
      <c r="E36" s="578">
        <f t="shared" si="1"/>
        <v>236126</v>
      </c>
      <c r="F36" t="s">
        <v>284</v>
      </c>
    </row>
    <row r="37" spans="1:8">
      <c r="A37" s="463">
        <v>40540</v>
      </c>
      <c r="B37" s="577">
        <f t="shared" si="0"/>
        <v>236126</v>
      </c>
      <c r="C37" s="577">
        <f>(G37-H37)*9*2</f>
        <v>2448</v>
      </c>
      <c r="D37" s="577">
        <v>0</v>
      </c>
      <c r="E37" s="578">
        <f t="shared" si="1"/>
        <v>238574</v>
      </c>
      <c r="F37" t="s">
        <v>285</v>
      </c>
      <c r="G37">
        <v>859</v>
      </c>
      <c r="H37">
        <v>723</v>
      </c>
    </row>
    <row r="38" spans="1:8">
      <c r="A38" s="463">
        <v>40544</v>
      </c>
      <c r="B38" s="577">
        <f t="shared" si="0"/>
        <v>238574</v>
      </c>
      <c r="C38" s="577">
        <v>0</v>
      </c>
      <c r="D38" s="577">
        <v>6800</v>
      </c>
      <c r="E38" s="578">
        <f t="shared" si="1"/>
        <v>231774</v>
      </c>
      <c r="F38" t="s">
        <v>286</v>
      </c>
    </row>
    <row r="39" spans="1:8">
      <c r="A39" s="463">
        <v>40575</v>
      </c>
      <c r="B39" s="577">
        <f t="shared" si="0"/>
        <v>231774</v>
      </c>
      <c r="C39" s="577">
        <v>0</v>
      </c>
      <c r="D39" s="577">
        <v>6800</v>
      </c>
      <c r="E39" s="578">
        <f t="shared" si="1"/>
        <v>224974</v>
      </c>
      <c r="F39" t="s">
        <v>286</v>
      </c>
    </row>
    <row r="40" spans="1:8">
      <c r="A40" s="463">
        <v>40603</v>
      </c>
      <c r="B40" s="577">
        <f t="shared" si="0"/>
        <v>224974</v>
      </c>
      <c r="C40" s="577">
        <v>0</v>
      </c>
      <c r="D40" s="577">
        <v>6800</v>
      </c>
      <c r="E40" s="578">
        <f t="shared" si="1"/>
        <v>218174</v>
      </c>
      <c r="F40" t="s">
        <v>286</v>
      </c>
    </row>
    <row r="41" spans="1:8">
      <c r="A41" s="463">
        <v>40634</v>
      </c>
      <c r="B41" s="577">
        <f t="shared" si="0"/>
        <v>218174</v>
      </c>
      <c r="C41" s="577">
        <v>0</v>
      </c>
      <c r="D41" s="577">
        <v>6800</v>
      </c>
      <c r="E41" s="578">
        <f t="shared" si="1"/>
        <v>211374</v>
      </c>
      <c r="F41" t="s">
        <v>286</v>
      </c>
    </row>
    <row r="42" spans="1:8">
      <c r="A42" s="463">
        <v>40664</v>
      </c>
      <c r="B42" s="577">
        <f t="shared" si="0"/>
        <v>211374</v>
      </c>
      <c r="C42" s="577">
        <v>0</v>
      </c>
      <c r="D42" s="577">
        <v>6800</v>
      </c>
      <c r="E42" s="578">
        <f t="shared" si="1"/>
        <v>204574</v>
      </c>
      <c r="F42" t="s">
        <v>286</v>
      </c>
    </row>
    <row r="43" spans="1:8">
      <c r="A43" s="463">
        <v>40695</v>
      </c>
      <c r="B43" s="577">
        <f t="shared" si="0"/>
        <v>204574</v>
      </c>
      <c r="C43" s="577">
        <v>0</v>
      </c>
      <c r="D43" s="577">
        <v>6800</v>
      </c>
      <c r="E43" s="578">
        <f t="shared" si="1"/>
        <v>197774</v>
      </c>
      <c r="F43" t="s">
        <v>286</v>
      </c>
    </row>
    <row r="44" spans="1:8">
      <c r="A44" s="463">
        <v>40725</v>
      </c>
      <c r="B44" s="577">
        <f t="shared" si="0"/>
        <v>197774</v>
      </c>
      <c r="C44" s="577">
        <v>0</v>
      </c>
      <c r="D44" s="577">
        <v>6800</v>
      </c>
      <c r="E44" s="578">
        <f t="shared" si="1"/>
        <v>190974</v>
      </c>
      <c r="F44" s="582" t="s">
        <v>287</v>
      </c>
    </row>
    <row r="45" spans="1:8">
      <c r="A45" s="463">
        <v>40756</v>
      </c>
      <c r="B45" s="577">
        <f t="shared" si="0"/>
        <v>190974</v>
      </c>
      <c r="C45" s="577">
        <v>0</v>
      </c>
      <c r="D45" s="577">
        <v>6800</v>
      </c>
      <c r="E45" s="583">
        <f t="shared" si="1"/>
        <v>184174</v>
      </c>
      <c r="F45" t="s">
        <v>286</v>
      </c>
    </row>
    <row r="46" spans="1:8">
      <c r="A46" s="463">
        <v>40787</v>
      </c>
      <c r="B46" s="577">
        <f>E45</f>
        <v>184174</v>
      </c>
      <c r="C46" s="577">
        <v>0</v>
      </c>
      <c r="D46" s="577">
        <v>6800</v>
      </c>
      <c r="E46" s="583">
        <f>B46+C46-D46</f>
        <v>177374</v>
      </c>
      <c r="F46" t="s">
        <v>286</v>
      </c>
    </row>
    <row r="47" spans="1:8">
      <c r="A47" s="463">
        <v>40817</v>
      </c>
      <c r="B47" s="577">
        <f>E46</f>
        <v>177374</v>
      </c>
      <c r="C47" s="577">
        <v>0</v>
      </c>
      <c r="D47" s="577">
        <v>6800</v>
      </c>
      <c r="E47" s="583">
        <f>B47+C47-D47</f>
        <v>170574</v>
      </c>
      <c r="F47" t="s">
        <v>286</v>
      </c>
    </row>
    <row r="48" spans="1:8">
      <c r="A48" s="463">
        <v>40848</v>
      </c>
      <c r="B48" s="577">
        <f>E47</f>
        <v>170574</v>
      </c>
      <c r="C48" s="577">
        <v>0</v>
      </c>
      <c r="D48" s="577">
        <v>6800</v>
      </c>
      <c r="E48" s="583">
        <f>B48+C48-D48</f>
        <v>163774</v>
      </c>
      <c r="F48" t="s">
        <v>286</v>
      </c>
    </row>
    <row r="49" spans="1:12">
      <c r="A49" s="463">
        <v>40878</v>
      </c>
      <c r="B49" s="577">
        <f>E48</f>
        <v>163774</v>
      </c>
      <c r="C49" s="577">
        <v>0</v>
      </c>
      <c r="D49" s="577">
        <v>6800</v>
      </c>
      <c r="E49" s="583">
        <f>B49+C49-D49</f>
        <v>156974</v>
      </c>
      <c r="F49" t="s">
        <v>286</v>
      </c>
    </row>
    <row r="50" spans="1:12">
      <c r="A50" s="463">
        <v>40909</v>
      </c>
      <c r="B50" s="577">
        <f t="shared" ref="B50:B102" si="2">E49</f>
        <v>156974</v>
      </c>
      <c r="C50" s="577">
        <v>0</v>
      </c>
      <c r="D50" s="577">
        <v>6800</v>
      </c>
      <c r="E50" s="583">
        <f t="shared" ref="E50:E102" si="3">B50+C50-D50</f>
        <v>150174</v>
      </c>
      <c r="F50" t="s">
        <v>286</v>
      </c>
    </row>
    <row r="51" spans="1:12">
      <c r="A51" s="463">
        <v>40940</v>
      </c>
      <c r="B51" s="577">
        <f t="shared" si="2"/>
        <v>150174</v>
      </c>
      <c r="C51" s="577">
        <v>0</v>
      </c>
      <c r="D51" s="577">
        <v>6800</v>
      </c>
      <c r="E51" s="583">
        <f t="shared" si="3"/>
        <v>143374</v>
      </c>
      <c r="F51" t="s">
        <v>286</v>
      </c>
    </row>
    <row r="52" spans="1:12">
      <c r="A52" s="463">
        <v>40969</v>
      </c>
      <c r="B52" s="577">
        <f t="shared" si="2"/>
        <v>143374</v>
      </c>
      <c r="C52" s="577">
        <v>0</v>
      </c>
      <c r="D52" s="577">
        <v>6800</v>
      </c>
      <c r="E52" s="583">
        <f t="shared" si="3"/>
        <v>136574</v>
      </c>
      <c r="F52" t="s">
        <v>286</v>
      </c>
    </row>
    <row r="53" spans="1:12">
      <c r="A53" s="463">
        <v>41000</v>
      </c>
      <c r="B53" s="577">
        <f t="shared" si="2"/>
        <v>136574</v>
      </c>
      <c r="C53" s="577">
        <v>0</v>
      </c>
      <c r="D53" s="577">
        <v>6800</v>
      </c>
      <c r="E53" s="583">
        <f t="shared" si="3"/>
        <v>129774</v>
      </c>
      <c r="F53" t="s">
        <v>286</v>
      </c>
    </row>
    <row r="54" spans="1:12">
      <c r="A54" s="463">
        <v>41030</v>
      </c>
      <c r="B54" s="577">
        <f t="shared" si="2"/>
        <v>129774</v>
      </c>
      <c r="C54" s="577">
        <v>0</v>
      </c>
      <c r="D54" s="577">
        <v>6800</v>
      </c>
      <c r="E54" s="583">
        <f t="shared" si="3"/>
        <v>122974</v>
      </c>
      <c r="F54" t="s">
        <v>286</v>
      </c>
    </row>
    <row r="55" spans="1:12">
      <c r="A55" s="463">
        <v>41061</v>
      </c>
      <c r="B55" s="577">
        <f t="shared" si="2"/>
        <v>122974</v>
      </c>
      <c r="C55" s="577">
        <v>0</v>
      </c>
      <c r="D55" s="577">
        <v>6800</v>
      </c>
      <c r="E55" s="583">
        <f t="shared" si="3"/>
        <v>116174</v>
      </c>
      <c r="F55" t="s">
        <v>286</v>
      </c>
    </row>
    <row r="56" spans="1:12" ht="17.5" thickBot="1">
      <c r="A56" s="465">
        <v>41091</v>
      </c>
      <c r="B56" s="584">
        <f t="shared" si="2"/>
        <v>116174</v>
      </c>
      <c r="C56" s="584">
        <v>0</v>
      </c>
      <c r="D56" s="584">
        <v>6800</v>
      </c>
      <c r="E56" s="585">
        <f t="shared" si="3"/>
        <v>109374</v>
      </c>
      <c r="F56" s="586" t="s">
        <v>286</v>
      </c>
      <c r="G56" s="586"/>
      <c r="H56" s="586"/>
    </row>
    <row r="57" spans="1:12" ht="17.5" thickTop="1">
      <c r="A57" s="463">
        <v>41122</v>
      </c>
      <c r="B57" s="577">
        <f t="shared" si="2"/>
        <v>109374</v>
      </c>
      <c r="C57" s="587">
        <f>K73</f>
        <v>187170</v>
      </c>
      <c r="D57" s="577">
        <v>10000</v>
      </c>
      <c r="E57" s="583">
        <f t="shared" si="3"/>
        <v>286544</v>
      </c>
      <c r="F57" t="s">
        <v>288</v>
      </c>
      <c r="J57" s="618" t="s">
        <v>302</v>
      </c>
      <c r="K57" s="619"/>
      <c r="L57" s="620"/>
    </row>
    <row r="58" spans="1:12">
      <c r="A58" s="463">
        <v>41153</v>
      </c>
      <c r="B58" s="577">
        <f t="shared" si="2"/>
        <v>286544</v>
      </c>
      <c r="C58" s="577">
        <v>0</v>
      </c>
      <c r="D58" s="577">
        <v>10000</v>
      </c>
      <c r="E58" s="583">
        <f t="shared" si="3"/>
        <v>276544</v>
      </c>
      <c r="F58" t="s">
        <v>288</v>
      </c>
      <c r="J58" s="588" t="s">
        <v>303</v>
      </c>
      <c r="K58" s="589">
        <v>7500</v>
      </c>
      <c r="L58" s="590" t="s">
        <v>304</v>
      </c>
    </row>
    <row r="59" spans="1:12">
      <c r="A59" s="463">
        <v>41183</v>
      </c>
      <c r="B59" s="577">
        <f t="shared" si="2"/>
        <v>276544</v>
      </c>
      <c r="C59" s="577">
        <v>0</v>
      </c>
      <c r="D59" s="577">
        <v>10000</v>
      </c>
      <c r="E59" s="583">
        <f t="shared" si="3"/>
        <v>266544</v>
      </c>
      <c r="F59" t="s">
        <v>288</v>
      </c>
      <c r="J59" s="591">
        <v>41153</v>
      </c>
      <c r="K59" s="589">
        <v>4749</v>
      </c>
      <c r="L59" s="590" t="s">
        <v>305</v>
      </c>
    </row>
    <row r="60" spans="1:12">
      <c r="A60" s="463">
        <v>41214</v>
      </c>
      <c r="B60" s="577">
        <f t="shared" si="2"/>
        <v>266544</v>
      </c>
      <c r="C60" s="577">
        <v>0</v>
      </c>
      <c r="D60" s="577">
        <v>10000</v>
      </c>
      <c r="E60" s="583">
        <f t="shared" si="3"/>
        <v>256544</v>
      </c>
      <c r="F60" t="s">
        <v>288</v>
      </c>
      <c r="J60" s="588" t="s">
        <v>306</v>
      </c>
      <c r="K60" s="589">
        <f>3200+4500*5</f>
        <v>25700</v>
      </c>
      <c r="L60" s="590" t="s">
        <v>307</v>
      </c>
    </row>
    <row r="61" spans="1:12" ht="17.5" thickBot="1">
      <c r="A61" s="465">
        <v>41244</v>
      </c>
      <c r="B61" s="584">
        <f t="shared" si="2"/>
        <v>256544</v>
      </c>
      <c r="C61" s="584">
        <v>0</v>
      </c>
      <c r="D61" s="584">
        <v>10000</v>
      </c>
      <c r="E61" s="585">
        <f t="shared" si="3"/>
        <v>246544</v>
      </c>
      <c r="F61" s="586" t="s">
        <v>288</v>
      </c>
      <c r="G61" s="586"/>
      <c r="H61" s="586"/>
      <c r="J61" s="591">
        <v>41325</v>
      </c>
      <c r="K61" s="589">
        <v>6993</v>
      </c>
      <c r="L61" s="590" t="s">
        <v>308</v>
      </c>
    </row>
    <row r="62" spans="1:12" ht="17.5" thickTop="1">
      <c r="A62" s="463">
        <v>41275</v>
      </c>
      <c r="B62" s="577">
        <f t="shared" si="2"/>
        <v>246544</v>
      </c>
      <c r="C62" s="577">
        <v>0</v>
      </c>
      <c r="D62" s="577">
        <v>10000</v>
      </c>
      <c r="E62" s="583">
        <f t="shared" si="3"/>
        <v>236544</v>
      </c>
      <c r="F62" t="s">
        <v>288</v>
      </c>
      <c r="J62" s="588" t="s">
        <v>309</v>
      </c>
      <c r="K62" s="589">
        <f>3200+4500*5</f>
        <v>25700</v>
      </c>
      <c r="L62" s="590" t="s">
        <v>310</v>
      </c>
    </row>
    <row r="63" spans="1:12">
      <c r="A63" s="463">
        <v>41306</v>
      </c>
      <c r="B63" s="577">
        <f t="shared" si="2"/>
        <v>236544</v>
      </c>
      <c r="C63" s="577">
        <v>0</v>
      </c>
      <c r="D63" s="577">
        <v>10000</v>
      </c>
      <c r="E63" s="583">
        <f t="shared" si="3"/>
        <v>226544</v>
      </c>
      <c r="F63" t="s">
        <v>288</v>
      </c>
      <c r="J63" s="588" t="s">
        <v>311</v>
      </c>
      <c r="K63" s="589">
        <f>4000*7</f>
        <v>28000</v>
      </c>
      <c r="L63" s="592" t="s">
        <v>312</v>
      </c>
    </row>
    <row r="64" spans="1:12">
      <c r="A64" s="463">
        <v>41334</v>
      </c>
      <c r="B64" s="577">
        <f t="shared" si="2"/>
        <v>226544</v>
      </c>
      <c r="C64" s="577">
        <v>0</v>
      </c>
      <c r="D64" s="577">
        <v>10000</v>
      </c>
      <c r="E64" s="583">
        <f t="shared" si="3"/>
        <v>216544</v>
      </c>
      <c r="F64" t="s">
        <v>288</v>
      </c>
      <c r="J64" s="588" t="s">
        <v>313</v>
      </c>
      <c r="K64" s="589">
        <f>5500*2</f>
        <v>11000</v>
      </c>
      <c r="L64" s="592" t="s">
        <v>314</v>
      </c>
    </row>
    <row r="65" spans="1:12">
      <c r="A65" s="463">
        <v>41365</v>
      </c>
      <c r="B65" s="577">
        <f t="shared" si="2"/>
        <v>216544</v>
      </c>
      <c r="C65" s="577">
        <v>0</v>
      </c>
      <c r="D65" s="577">
        <v>10000</v>
      </c>
      <c r="E65" s="583">
        <f t="shared" si="3"/>
        <v>206544</v>
      </c>
      <c r="F65" t="s">
        <v>288</v>
      </c>
      <c r="J65" s="591">
        <v>41518</v>
      </c>
      <c r="K65" s="589">
        <v>5314</v>
      </c>
      <c r="L65" s="590" t="s">
        <v>315</v>
      </c>
    </row>
    <row r="66" spans="1:12">
      <c r="A66" s="463">
        <v>41395</v>
      </c>
      <c r="B66" s="577">
        <f t="shared" si="2"/>
        <v>206544</v>
      </c>
      <c r="C66" s="577">
        <v>0</v>
      </c>
      <c r="D66" s="577">
        <v>10000</v>
      </c>
      <c r="E66" s="583">
        <f t="shared" si="3"/>
        <v>196544</v>
      </c>
      <c r="F66" t="s">
        <v>288</v>
      </c>
      <c r="J66" s="591">
        <v>41518</v>
      </c>
      <c r="K66" s="589">
        <v>4550</v>
      </c>
      <c r="L66" s="590" t="s">
        <v>316</v>
      </c>
    </row>
    <row r="67" spans="1:12">
      <c r="A67" s="463">
        <v>41426</v>
      </c>
      <c r="B67" s="577">
        <f t="shared" si="2"/>
        <v>196544</v>
      </c>
      <c r="C67" s="577">
        <v>0</v>
      </c>
      <c r="D67" s="577">
        <v>10000</v>
      </c>
      <c r="E67" s="583">
        <f t="shared" si="3"/>
        <v>186544</v>
      </c>
      <c r="F67" t="s">
        <v>288</v>
      </c>
      <c r="J67" s="588" t="s">
        <v>317</v>
      </c>
      <c r="K67" s="589">
        <f>5000*4</f>
        <v>20000</v>
      </c>
      <c r="L67" s="592" t="s">
        <v>318</v>
      </c>
    </row>
    <row r="68" spans="1:12">
      <c r="A68" s="463">
        <v>41456</v>
      </c>
      <c r="B68" s="577">
        <f t="shared" si="2"/>
        <v>186544</v>
      </c>
      <c r="C68" s="577">
        <v>0</v>
      </c>
      <c r="D68" s="577">
        <v>10000</v>
      </c>
      <c r="E68" s="583">
        <f t="shared" si="3"/>
        <v>176544</v>
      </c>
      <c r="F68" t="s">
        <v>288</v>
      </c>
      <c r="J68" s="593" t="s">
        <v>319</v>
      </c>
      <c r="K68" s="594">
        <f>SUM(K58:K67)</f>
        <v>139506</v>
      </c>
      <c r="L68" s="592"/>
    </row>
    <row r="69" spans="1:12">
      <c r="A69" s="463">
        <v>41487</v>
      </c>
      <c r="B69" s="577">
        <f t="shared" si="2"/>
        <v>176544</v>
      </c>
      <c r="C69" s="577">
        <v>0</v>
      </c>
      <c r="D69" s="577">
        <v>10000</v>
      </c>
      <c r="E69" s="583">
        <f t="shared" si="3"/>
        <v>166544</v>
      </c>
      <c r="F69" t="s">
        <v>288</v>
      </c>
      <c r="J69" s="595" t="s">
        <v>320</v>
      </c>
      <c r="K69" s="589">
        <f>859*14*2</f>
        <v>24052</v>
      </c>
      <c r="L69" s="590" t="s">
        <v>321</v>
      </c>
    </row>
    <row r="70" spans="1:12">
      <c r="A70" s="463">
        <v>41518</v>
      </c>
      <c r="B70" s="577">
        <f t="shared" si="2"/>
        <v>166544</v>
      </c>
      <c r="C70" s="577">
        <v>0</v>
      </c>
      <c r="D70" s="577">
        <v>10000</v>
      </c>
      <c r="E70" s="583">
        <f t="shared" si="3"/>
        <v>156544</v>
      </c>
      <c r="F70" t="s">
        <v>288</v>
      </c>
      <c r="J70" s="595" t="s">
        <v>322</v>
      </c>
      <c r="K70" s="589">
        <f>896*3*2</f>
        <v>5376</v>
      </c>
      <c r="L70" s="590" t="s">
        <v>323</v>
      </c>
    </row>
    <row r="71" spans="1:12">
      <c r="A71" s="463">
        <v>41548</v>
      </c>
      <c r="B71" s="577">
        <f t="shared" si="2"/>
        <v>156544</v>
      </c>
      <c r="C71" s="577">
        <v>0</v>
      </c>
      <c r="D71" s="577">
        <v>10000</v>
      </c>
      <c r="E71" s="583">
        <f t="shared" si="3"/>
        <v>146544</v>
      </c>
      <c r="F71" t="s">
        <v>288</v>
      </c>
      <c r="J71" s="595" t="s">
        <v>324</v>
      </c>
      <c r="K71" s="589">
        <v>18236</v>
      </c>
      <c r="L71" s="590" t="s">
        <v>325</v>
      </c>
    </row>
    <row r="72" spans="1:12">
      <c r="A72" s="463">
        <v>41579</v>
      </c>
      <c r="B72" s="577">
        <f t="shared" si="2"/>
        <v>146544</v>
      </c>
      <c r="C72" s="577">
        <v>0</v>
      </c>
      <c r="D72" s="577">
        <v>10000</v>
      </c>
      <c r="E72" s="583">
        <f t="shared" si="3"/>
        <v>136544</v>
      </c>
      <c r="F72" t="s">
        <v>288</v>
      </c>
      <c r="J72" s="593" t="s">
        <v>326</v>
      </c>
      <c r="K72" s="594">
        <f>SUM(K69:K71)</f>
        <v>47664</v>
      </c>
      <c r="L72" s="590"/>
    </row>
    <row r="73" spans="1:12" ht="17.5" thickBot="1">
      <c r="A73" s="465">
        <v>41609</v>
      </c>
      <c r="B73" s="584">
        <f t="shared" si="2"/>
        <v>136544</v>
      </c>
      <c r="C73" s="584">
        <v>0</v>
      </c>
      <c r="D73" s="584">
        <v>10000</v>
      </c>
      <c r="E73" s="585">
        <f t="shared" si="3"/>
        <v>126544</v>
      </c>
      <c r="F73" s="586" t="s">
        <v>288</v>
      </c>
      <c r="G73" s="586"/>
      <c r="H73" s="586"/>
      <c r="I73" s="586"/>
      <c r="J73" s="596" t="s">
        <v>327</v>
      </c>
      <c r="K73" s="597">
        <f>K68+K72</f>
        <v>187170</v>
      </c>
      <c r="L73" s="598"/>
    </row>
    <row r="74" spans="1:12" ht="17.5" thickTop="1">
      <c r="A74" s="463">
        <v>41640</v>
      </c>
      <c r="B74" s="577">
        <f t="shared" si="2"/>
        <v>126544</v>
      </c>
      <c r="C74" s="577">
        <v>0</v>
      </c>
      <c r="D74" s="577">
        <v>10000</v>
      </c>
      <c r="E74" s="583">
        <f t="shared" si="3"/>
        <v>116544</v>
      </c>
      <c r="F74" t="s">
        <v>288</v>
      </c>
      <c r="J74" s="621" t="s">
        <v>328</v>
      </c>
      <c r="K74" s="622"/>
      <c r="L74" s="623"/>
    </row>
    <row r="75" spans="1:12">
      <c r="A75" s="463">
        <v>41671</v>
      </c>
      <c r="B75" s="577">
        <f t="shared" si="2"/>
        <v>116544</v>
      </c>
      <c r="C75" s="577">
        <v>0</v>
      </c>
      <c r="D75" s="577">
        <v>10000</v>
      </c>
      <c r="E75" s="583">
        <f t="shared" si="3"/>
        <v>106544</v>
      </c>
      <c r="F75" t="s">
        <v>288</v>
      </c>
      <c r="J75" s="591">
        <v>41671</v>
      </c>
      <c r="K75" s="599">
        <f>4711+2000+1000</f>
        <v>7711</v>
      </c>
      <c r="L75" s="590" t="s">
        <v>329</v>
      </c>
    </row>
    <row r="76" spans="1:12">
      <c r="A76" s="463">
        <v>41699</v>
      </c>
      <c r="B76" s="577">
        <f t="shared" si="2"/>
        <v>106544</v>
      </c>
      <c r="C76" s="577">
        <v>0</v>
      </c>
      <c r="D76" s="577">
        <v>10000</v>
      </c>
      <c r="E76" s="583">
        <f t="shared" si="3"/>
        <v>96544</v>
      </c>
      <c r="F76" t="s">
        <v>288</v>
      </c>
      <c r="J76" s="588" t="s">
        <v>330</v>
      </c>
      <c r="K76" s="599">
        <f>5000*6</f>
        <v>30000</v>
      </c>
      <c r="L76" s="592" t="s">
        <v>331</v>
      </c>
    </row>
    <row r="77" spans="1:12">
      <c r="A77" s="463">
        <v>41730</v>
      </c>
      <c r="B77" s="577">
        <f t="shared" si="2"/>
        <v>96544</v>
      </c>
      <c r="C77" s="577">
        <v>0</v>
      </c>
      <c r="D77" s="577">
        <v>10000</v>
      </c>
      <c r="E77" s="583">
        <f t="shared" si="3"/>
        <v>86544</v>
      </c>
      <c r="F77" t="s">
        <v>288</v>
      </c>
      <c r="J77" s="591">
        <v>41883</v>
      </c>
      <c r="K77" s="599">
        <f>4457+2700+450+600</f>
        <v>8207</v>
      </c>
      <c r="L77" s="590" t="s">
        <v>332</v>
      </c>
    </row>
    <row r="78" spans="1:12">
      <c r="A78" s="463">
        <v>41760</v>
      </c>
      <c r="B78" s="577">
        <f t="shared" si="2"/>
        <v>86544</v>
      </c>
      <c r="C78" s="577">
        <v>0</v>
      </c>
      <c r="D78" s="577">
        <v>10000</v>
      </c>
      <c r="E78" s="583">
        <f t="shared" si="3"/>
        <v>76544</v>
      </c>
      <c r="F78" t="s">
        <v>288</v>
      </c>
      <c r="J78" s="588" t="s">
        <v>333</v>
      </c>
      <c r="K78" s="599">
        <f>5000*2</f>
        <v>10000</v>
      </c>
      <c r="L78" s="592" t="s">
        <v>334</v>
      </c>
    </row>
    <row r="79" spans="1:12">
      <c r="A79" s="463">
        <v>41791</v>
      </c>
      <c r="B79" s="577">
        <f t="shared" si="2"/>
        <v>76544</v>
      </c>
      <c r="C79" s="577">
        <v>0</v>
      </c>
      <c r="D79" s="577">
        <v>10000</v>
      </c>
      <c r="E79" s="583">
        <f t="shared" si="3"/>
        <v>66544</v>
      </c>
      <c r="F79" t="s">
        <v>288</v>
      </c>
      <c r="J79" s="588" t="s">
        <v>335</v>
      </c>
      <c r="K79" s="599">
        <f>6800*4</f>
        <v>27200</v>
      </c>
      <c r="L79" s="590" t="s">
        <v>336</v>
      </c>
    </row>
    <row r="80" spans="1:12">
      <c r="A80" s="463">
        <v>41821</v>
      </c>
      <c r="B80" s="577">
        <f t="shared" si="2"/>
        <v>66544</v>
      </c>
      <c r="C80" s="577">
        <v>0</v>
      </c>
      <c r="D80" s="577">
        <v>10000</v>
      </c>
      <c r="E80" s="583">
        <f t="shared" si="3"/>
        <v>56544</v>
      </c>
      <c r="F80" t="s">
        <v>288</v>
      </c>
      <c r="J80" s="588" t="s">
        <v>337</v>
      </c>
      <c r="K80" s="599">
        <f>550*26</f>
        <v>14300</v>
      </c>
      <c r="L80" s="592" t="s">
        <v>338</v>
      </c>
    </row>
    <row r="81" spans="1:12">
      <c r="A81" s="463">
        <v>41852</v>
      </c>
      <c r="B81" s="577">
        <f t="shared" si="2"/>
        <v>56544</v>
      </c>
      <c r="C81" s="577">
        <v>0</v>
      </c>
      <c r="D81" s="577">
        <v>10000</v>
      </c>
      <c r="E81" s="583">
        <f t="shared" si="3"/>
        <v>46544</v>
      </c>
      <c r="F81" t="s">
        <v>288</v>
      </c>
      <c r="J81" s="595" t="s">
        <v>339</v>
      </c>
      <c r="K81" s="599">
        <f>896*12*2</f>
        <v>21504</v>
      </c>
      <c r="L81" s="590" t="s">
        <v>340</v>
      </c>
    </row>
    <row r="82" spans="1:12">
      <c r="A82" s="463">
        <v>41883</v>
      </c>
      <c r="B82" s="577">
        <f t="shared" si="2"/>
        <v>46544</v>
      </c>
      <c r="C82" s="577">
        <v>0</v>
      </c>
      <c r="D82" s="577">
        <v>10000</v>
      </c>
      <c r="E82" s="583">
        <f t="shared" si="3"/>
        <v>36544</v>
      </c>
      <c r="F82" t="s">
        <v>288</v>
      </c>
      <c r="J82" s="595" t="s">
        <v>341</v>
      </c>
      <c r="K82" s="599">
        <v>18236</v>
      </c>
      <c r="L82" s="590" t="s">
        <v>342</v>
      </c>
    </row>
    <row r="83" spans="1:12" ht="17.5" thickBot="1">
      <c r="A83" s="463">
        <v>41913</v>
      </c>
      <c r="B83" s="577">
        <f t="shared" si="2"/>
        <v>36544</v>
      </c>
      <c r="C83" s="577">
        <v>0</v>
      </c>
      <c r="D83" s="577">
        <v>10000</v>
      </c>
      <c r="E83" s="583">
        <f t="shared" si="3"/>
        <v>26544</v>
      </c>
      <c r="F83" t="s">
        <v>288</v>
      </c>
      <c r="J83" s="600" t="s">
        <v>343</v>
      </c>
      <c r="K83" s="601">
        <f>SUM(K75:K82)</f>
        <v>137158</v>
      </c>
      <c r="L83" s="598"/>
    </row>
    <row r="84" spans="1:12" ht="17.5" thickTop="1">
      <c r="A84" s="463">
        <v>41944</v>
      </c>
      <c r="B84" s="577">
        <f t="shared" si="2"/>
        <v>26544</v>
      </c>
      <c r="C84" s="577">
        <v>0</v>
      </c>
      <c r="D84" s="577">
        <v>10000</v>
      </c>
      <c r="E84" s="583">
        <f t="shared" si="3"/>
        <v>16544</v>
      </c>
      <c r="F84" t="s">
        <v>288</v>
      </c>
      <c r="J84" s="621" t="s">
        <v>344</v>
      </c>
      <c r="K84" s="622"/>
      <c r="L84" s="623"/>
    </row>
    <row r="85" spans="1:12" ht="17.5" thickBot="1">
      <c r="A85" s="465">
        <v>41974</v>
      </c>
      <c r="B85" s="584">
        <f t="shared" si="2"/>
        <v>16544</v>
      </c>
      <c r="C85" s="602">
        <f>K83</f>
        <v>137158</v>
      </c>
      <c r="D85" s="584">
        <v>10000</v>
      </c>
      <c r="E85" s="585">
        <f t="shared" si="3"/>
        <v>143702</v>
      </c>
      <c r="F85" s="586" t="s">
        <v>288</v>
      </c>
      <c r="G85" s="586"/>
      <c r="H85" s="586"/>
      <c r="J85" s="591">
        <v>42036</v>
      </c>
      <c r="K85" s="599">
        <v>6544</v>
      </c>
      <c r="L85" s="590" t="s">
        <v>345</v>
      </c>
    </row>
    <row r="86" spans="1:12" ht="17.5" thickTop="1">
      <c r="A86" s="463">
        <v>42005</v>
      </c>
      <c r="B86" s="577">
        <f t="shared" si="2"/>
        <v>143702</v>
      </c>
      <c r="C86" s="577">
        <v>0</v>
      </c>
      <c r="D86" s="577">
        <v>10000</v>
      </c>
      <c r="E86" s="583">
        <f t="shared" si="3"/>
        <v>133702</v>
      </c>
      <c r="F86" t="s">
        <v>288</v>
      </c>
      <c r="J86" s="588">
        <v>42036</v>
      </c>
      <c r="K86" s="599">
        <v>1850</v>
      </c>
      <c r="L86" s="592" t="s">
        <v>346</v>
      </c>
    </row>
    <row r="87" spans="1:12">
      <c r="A87" s="463">
        <v>42036</v>
      </c>
      <c r="B87" s="577">
        <f t="shared" si="2"/>
        <v>133702</v>
      </c>
      <c r="C87" s="577">
        <v>0</v>
      </c>
      <c r="D87" s="577">
        <v>10000</v>
      </c>
      <c r="E87" s="583">
        <f t="shared" si="3"/>
        <v>123702</v>
      </c>
      <c r="F87" t="s">
        <v>288</v>
      </c>
      <c r="J87" s="588" t="s">
        <v>347</v>
      </c>
      <c r="K87" s="599">
        <f>550*8</f>
        <v>4400</v>
      </c>
      <c r="L87" s="592" t="s">
        <v>348</v>
      </c>
    </row>
    <row r="88" spans="1:12">
      <c r="A88" s="463">
        <v>42064</v>
      </c>
      <c r="B88" s="577">
        <f t="shared" si="2"/>
        <v>123702</v>
      </c>
      <c r="C88" s="577">
        <v>0</v>
      </c>
      <c r="D88" s="577">
        <v>10000</v>
      </c>
      <c r="E88" s="583">
        <f t="shared" si="3"/>
        <v>113702</v>
      </c>
      <c r="F88" t="s">
        <v>288</v>
      </c>
      <c r="J88" s="591" t="s">
        <v>349</v>
      </c>
      <c r="K88" s="599">
        <f>6800*6</f>
        <v>40800</v>
      </c>
      <c r="L88" s="590" t="s">
        <v>336</v>
      </c>
    </row>
    <row r="89" spans="1:12">
      <c r="A89" s="463">
        <v>42095</v>
      </c>
      <c r="B89" s="577">
        <f t="shared" si="2"/>
        <v>113702</v>
      </c>
      <c r="C89" s="577">
        <v>0</v>
      </c>
      <c r="D89" s="577">
        <v>10000</v>
      </c>
      <c r="E89" s="583">
        <f t="shared" si="3"/>
        <v>103702</v>
      </c>
      <c r="F89" t="s">
        <v>288</v>
      </c>
      <c r="J89" s="591">
        <v>42156</v>
      </c>
      <c r="K89" s="599">
        <v>4230</v>
      </c>
      <c r="L89" s="590" t="s">
        <v>350</v>
      </c>
    </row>
    <row r="90" spans="1:12">
      <c r="A90" s="463">
        <v>42125</v>
      </c>
      <c r="B90" s="577">
        <f t="shared" si="2"/>
        <v>103702</v>
      </c>
      <c r="C90" s="577">
        <v>0</v>
      </c>
      <c r="D90" s="577">
        <v>10000</v>
      </c>
      <c r="E90" s="583">
        <f t="shared" si="3"/>
        <v>93702</v>
      </c>
      <c r="F90" t="s">
        <v>288</v>
      </c>
      <c r="J90" s="591" t="s">
        <v>351</v>
      </c>
      <c r="K90" s="599">
        <v>24000</v>
      </c>
      <c r="L90" s="590" t="s">
        <v>352</v>
      </c>
    </row>
    <row r="91" spans="1:12">
      <c r="A91" s="463">
        <v>42156</v>
      </c>
      <c r="B91" s="577">
        <f t="shared" si="2"/>
        <v>93702</v>
      </c>
      <c r="C91" s="577">
        <v>0</v>
      </c>
      <c r="D91" s="577">
        <v>10000</v>
      </c>
      <c r="E91" s="583">
        <f t="shared" si="3"/>
        <v>83702</v>
      </c>
      <c r="F91" t="s">
        <v>288</v>
      </c>
      <c r="J91" s="591" t="s">
        <v>353</v>
      </c>
      <c r="K91" s="599">
        <v>39000</v>
      </c>
      <c r="L91" s="590" t="s">
        <v>354</v>
      </c>
    </row>
    <row r="92" spans="1:12">
      <c r="A92" s="463">
        <v>42186</v>
      </c>
      <c r="B92" s="577">
        <f t="shared" si="2"/>
        <v>83702</v>
      </c>
      <c r="C92" s="577">
        <v>0</v>
      </c>
      <c r="D92" s="577">
        <v>10000</v>
      </c>
      <c r="E92" s="583">
        <f t="shared" si="3"/>
        <v>73702</v>
      </c>
      <c r="F92" t="s">
        <v>288</v>
      </c>
      <c r="J92" s="591">
        <v>42248</v>
      </c>
      <c r="K92" s="603">
        <v>8619</v>
      </c>
      <c r="L92" s="590" t="s">
        <v>355</v>
      </c>
    </row>
    <row r="93" spans="1:12">
      <c r="A93" s="463">
        <v>42217</v>
      </c>
      <c r="B93" s="577">
        <f t="shared" si="2"/>
        <v>73702</v>
      </c>
      <c r="C93" s="577">
        <v>0</v>
      </c>
      <c r="D93" s="577">
        <v>10000</v>
      </c>
      <c r="E93" s="583">
        <f t="shared" si="3"/>
        <v>63702</v>
      </c>
      <c r="F93" t="s">
        <v>288</v>
      </c>
      <c r="J93" s="591" t="s">
        <v>356</v>
      </c>
      <c r="K93" s="599">
        <f>6800*4</f>
        <v>27200</v>
      </c>
      <c r="L93" s="590" t="s">
        <v>336</v>
      </c>
    </row>
    <row r="94" spans="1:12">
      <c r="A94" s="463">
        <v>42248</v>
      </c>
      <c r="B94" s="577">
        <f t="shared" si="2"/>
        <v>63702</v>
      </c>
      <c r="C94" s="577">
        <v>0</v>
      </c>
      <c r="D94" s="577">
        <v>10000</v>
      </c>
      <c r="E94" s="583">
        <f t="shared" si="3"/>
        <v>53702</v>
      </c>
      <c r="F94" t="s">
        <v>288</v>
      </c>
      <c r="J94" s="595" t="s">
        <v>357</v>
      </c>
      <c r="K94" s="599">
        <f>896*2*8</f>
        <v>14336</v>
      </c>
      <c r="L94" s="590" t="s">
        <v>358</v>
      </c>
    </row>
    <row r="95" spans="1:12">
      <c r="A95" s="463">
        <v>42278</v>
      </c>
      <c r="B95" s="577">
        <f t="shared" si="2"/>
        <v>53702</v>
      </c>
      <c r="C95" s="577">
        <v>0</v>
      </c>
      <c r="D95" s="577">
        <v>10000</v>
      </c>
      <c r="E95" s="583">
        <f t="shared" si="3"/>
        <v>43702</v>
      </c>
      <c r="F95" t="s">
        <v>288</v>
      </c>
      <c r="J95" s="595" t="s">
        <v>356</v>
      </c>
      <c r="K95" s="599">
        <f>940*2*4</f>
        <v>7520</v>
      </c>
      <c r="L95" s="590" t="s">
        <v>359</v>
      </c>
    </row>
    <row r="96" spans="1:12">
      <c r="A96" s="463">
        <v>42309</v>
      </c>
      <c r="B96" s="577">
        <f t="shared" si="2"/>
        <v>43702</v>
      </c>
      <c r="C96" s="577">
        <v>0</v>
      </c>
      <c r="D96" s="577">
        <v>10000</v>
      </c>
      <c r="E96" s="583">
        <f t="shared" si="3"/>
        <v>33702</v>
      </c>
      <c r="F96" t="s">
        <v>288</v>
      </c>
      <c r="J96" s="595" t="s">
        <v>360</v>
      </c>
      <c r="K96" s="599">
        <v>18236</v>
      </c>
      <c r="L96" s="590" t="s">
        <v>361</v>
      </c>
    </row>
    <row r="97" spans="1:12" ht="17.5" thickBot="1">
      <c r="A97" s="465">
        <v>42339</v>
      </c>
      <c r="B97" s="584">
        <f t="shared" si="2"/>
        <v>33702</v>
      </c>
      <c r="C97" s="602">
        <f>K97</f>
        <v>196735</v>
      </c>
      <c r="D97" s="584">
        <v>10000</v>
      </c>
      <c r="E97" s="585">
        <f t="shared" si="3"/>
        <v>220437</v>
      </c>
      <c r="F97" s="586" t="s">
        <v>288</v>
      </c>
      <c r="G97" s="586"/>
      <c r="H97" s="586"/>
      <c r="I97" s="586"/>
      <c r="J97" s="600" t="s">
        <v>343</v>
      </c>
      <c r="K97" s="601">
        <f>SUM(K85:K96)</f>
        <v>196735</v>
      </c>
      <c r="L97" s="598"/>
    </row>
    <row r="98" spans="1:12" ht="17.5" thickTop="1">
      <c r="A98" s="463">
        <v>42370</v>
      </c>
      <c r="B98" s="577">
        <f t="shared" si="2"/>
        <v>220437</v>
      </c>
      <c r="C98" s="577">
        <v>0</v>
      </c>
      <c r="D98" s="577">
        <v>10000</v>
      </c>
      <c r="E98" s="583">
        <f t="shared" si="3"/>
        <v>210437</v>
      </c>
      <c r="F98" t="s">
        <v>288</v>
      </c>
    </row>
    <row r="99" spans="1:12">
      <c r="A99" s="463">
        <v>42401</v>
      </c>
      <c r="B99" s="577">
        <f t="shared" si="2"/>
        <v>210437</v>
      </c>
      <c r="C99" s="577">
        <v>0</v>
      </c>
      <c r="D99" s="577">
        <v>10000</v>
      </c>
      <c r="E99" s="583">
        <f t="shared" si="3"/>
        <v>200437</v>
      </c>
      <c r="F99" t="s">
        <v>288</v>
      </c>
    </row>
    <row r="100" spans="1:12">
      <c r="A100" s="463">
        <v>42430</v>
      </c>
      <c r="B100" s="577">
        <f t="shared" si="2"/>
        <v>200437</v>
      </c>
      <c r="C100" s="577">
        <v>0</v>
      </c>
      <c r="D100" s="577">
        <v>10000</v>
      </c>
      <c r="E100" s="583">
        <f t="shared" si="3"/>
        <v>190437</v>
      </c>
      <c r="F100" t="s">
        <v>288</v>
      </c>
    </row>
    <row r="101" spans="1:12">
      <c r="A101" s="463">
        <v>42461</v>
      </c>
      <c r="B101" s="577">
        <f t="shared" si="2"/>
        <v>190437</v>
      </c>
      <c r="C101" s="577">
        <v>0</v>
      </c>
      <c r="D101" s="577">
        <v>10000</v>
      </c>
      <c r="E101" s="583">
        <f t="shared" si="3"/>
        <v>180437</v>
      </c>
      <c r="F101" t="s">
        <v>288</v>
      </c>
    </row>
    <row r="102" spans="1:12">
      <c r="A102" s="463">
        <v>42491</v>
      </c>
      <c r="B102" s="577">
        <f t="shared" si="2"/>
        <v>180437</v>
      </c>
      <c r="C102" s="577">
        <v>0</v>
      </c>
      <c r="D102" s="577">
        <v>10000</v>
      </c>
      <c r="E102" s="583">
        <f t="shared" si="3"/>
        <v>170437</v>
      </c>
      <c r="F102" t="s">
        <v>288</v>
      </c>
    </row>
  </sheetData>
  <mergeCells count="3">
    <mergeCell ref="J57:L57"/>
    <mergeCell ref="J74:L74"/>
    <mergeCell ref="J84:L84"/>
  </mergeCells>
  <phoneticPr fontId="6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11" width="7.6328125" style="5" bestFit="1" customWidth="1"/>
    <col min="12" max="12" width="6.7265625" style="5" bestFit="1" customWidth="1"/>
    <col min="13" max="14" width="7.6328125" style="5" bestFit="1" customWidth="1"/>
    <col min="15" max="15" width="6.7265625" style="5" bestFit="1" customWidth="1"/>
    <col min="16" max="16" width="7.36328125" style="5" bestFit="1" customWidth="1"/>
    <col min="17" max="17" width="6.7265625" style="5" bestFit="1" customWidth="1"/>
    <col min="18" max="18" width="7.6328125" style="5" bestFit="1" customWidth="1"/>
    <col min="19" max="21" width="6.7265625" style="5" bestFit="1" customWidth="1"/>
    <col min="22" max="22" width="7.6328125" style="5" bestFit="1" customWidth="1"/>
    <col min="23" max="28" width="6.7265625" style="5" bestFit="1" customWidth="1"/>
    <col min="29" max="29" width="5.08984375" style="5" bestFit="1" customWidth="1"/>
    <col min="30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s="241" customFormat="1" ht="11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1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1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34">
        <f>SUM(AI29:AI31)</f>
        <v>0</v>
      </c>
      <c r="AK29" s="640">
        <v>20000</v>
      </c>
    </row>
    <row r="30" spans="1:37" ht="10.5">
      <c r="A30" s="16"/>
      <c r="B30" s="632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35"/>
      <c r="AK30" s="641"/>
    </row>
    <row r="31" spans="1:37" ht="11">
      <c r="A31" s="16"/>
      <c r="B31" s="633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36"/>
      <c r="AK31" s="642"/>
    </row>
    <row r="32" spans="1:37" ht="11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5.08984375" style="5" bestFit="1" customWidth="1"/>
    <col min="7" max="7" width="6.7265625" style="5" bestFit="1" customWidth="1"/>
    <col min="8" max="8" width="7.6328125" style="5" bestFit="1" customWidth="1"/>
    <col min="9" max="9" width="5.36328125" style="5" bestFit="1" customWidth="1"/>
    <col min="10" max="10" width="7.6328125" style="5" bestFit="1" customWidth="1"/>
    <col min="11" max="13" width="6.7265625" style="5" bestFit="1" customWidth="1"/>
    <col min="14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5.36328125" style="5" bestFit="1" customWidth="1"/>
    <col min="20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5.08984375" style="5" bestFit="1" customWidth="1"/>
    <col min="27" max="30" width="6.7265625" style="5" bestFit="1" customWidth="1"/>
    <col min="31" max="31" width="9" style="5" bestFit="1" customWidth="1"/>
    <col min="32" max="32" width="5.36328125" style="5" bestFit="1" customWidth="1"/>
    <col min="33" max="33" width="6.08984375" style="5" bestFit="1" customWidth="1"/>
    <col min="34" max="34" width="5.08984375" style="5" bestFit="1" customWidth="1"/>
    <col min="35" max="35" width="8.36328125" style="5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1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1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1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1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34">
        <f>SUM(AI29:AI31)</f>
        <v>0</v>
      </c>
      <c r="AK29" s="634">
        <v>20000</v>
      </c>
    </row>
    <row r="30" spans="1:37" ht="10.5">
      <c r="A30" s="16"/>
      <c r="B30" s="632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35"/>
      <c r="AK30" s="635"/>
    </row>
    <row r="31" spans="1:37" ht="11">
      <c r="A31" s="16"/>
      <c r="B31" s="633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36"/>
      <c r="AK31" s="636"/>
    </row>
    <row r="32" spans="1:37" ht="11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5.36328125" style="5" bestFit="1" customWidth="1"/>
    <col min="6" max="6" width="7.6328125" style="5" bestFit="1" customWidth="1"/>
    <col min="7" max="7" width="6.7265625" style="5" bestFit="1" customWidth="1"/>
    <col min="8" max="8" width="7.6328125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6.7265625" style="5" bestFit="1" customWidth="1"/>
    <col min="20" max="20" width="7.6328125" style="5" bestFit="1" customWidth="1"/>
    <col min="21" max="21" width="6.7265625" style="5" bestFit="1" customWidth="1"/>
    <col min="22" max="23" width="7.6328125" style="5" bestFit="1" customWidth="1"/>
    <col min="24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1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34">
        <f>SUM(AI29:AI31)</f>
        <v>0</v>
      </c>
      <c r="AK29" s="640">
        <v>20000</v>
      </c>
    </row>
    <row r="30" spans="1:37" ht="11">
      <c r="A30" s="16"/>
      <c r="B30" s="632"/>
      <c r="C30" s="493" t="s">
        <v>272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35"/>
      <c r="AK30" s="641"/>
    </row>
    <row r="31" spans="1:37" ht="11">
      <c r="A31" s="16"/>
      <c r="B31" s="633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36"/>
      <c r="AK31" s="642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1">
      <c r="B38" s="41"/>
      <c r="N38" s="90"/>
      <c r="Q38" s="90"/>
      <c r="AF38" s="91"/>
      <c r="AG38" s="90"/>
      <c r="AI38" s="113"/>
      <c r="AJ38" s="42"/>
    </row>
    <row r="39" spans="1:37" ht="11">
      <c r="A39" s="35"/>
      <c r="B39" s="43" t="s">
        <v>63</v>
      </c>
      <c r="C39" s="18" t="s">
        <v>64</v>
      </c>
      <c r="D39" s="494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1">
      <c r="F46" s="90"/>
      <c r="AF46" s="90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"/>
  <cols>
    <col min="1" max="1" width="6.36328125" style="514" bestFit="1" customWidth="1"/>
    <col min="2" max="3" width="10.81640625" style="514" bestFit="1" customWidth="1"/>
    <col min="4" max="34" width="6.6328125" style="514" customWidth="1"/>
    <col min="35" max="37" width="8" style="514" customWidth="1"/>
    <col min="38" max="38" width="9" style="514" bestFit="1"/>
    <col min="39" max="16384" width="9" style="514"/>
  </cols>
  <sheetData>
    <row r="1" spans="1:37" ht="11">
      <c r="A1" s="529" t="s">
        <v>13</v>
      </c>
      <c r="B1" s="530" t="s">
        <v>1</v>
      </c>
      <c r="C1" s="531" t="s">
        <v>69</v>
      </c>
      <c r="D1" s="532">
        <v>1</v>
      </c>
      <c r="E1" s="533">
        <f t="shared" ref="E1:AH1" si="0">1+D1</f>
        <v>2</v>
      </c>
      <c r="F1" s="533">
        <f t="shared" si="0"/>
        <v>3</v>
      </c>
      <c r="G1" s="533">
        <f t="shared" si="0"/>
        <v>4</v>
      </c>
      <c r="H1" s="533">
        <f t="shared" si="0"/>
        <v>5</v>
      </c>
      <c r="I1" s="533">
        <f t="shared" si="0"/>
        <v>6</v>
      </c>
      <c r="J1" s="534">
        <f t="shared" si="0"/>
        <v>7</v>
      </c>
      <c r="K1" s="532">
        <f t="shared" si="0"/>
        <v>8</v>
      </c>
      <c r="L1" s="533">
        <f t="shared" si="0"/>
        <v>9</v>
      </c>
      <c r="M1" s="533">
        <f t="shared" si="0"/>
        <v>10</v>
      </c>
      <c r="N1" s="533">
        <f t="shared" si="0"/>
        <v>11</v>
      </c>
      <c r="O1" s="533">
        <f t="shared" si="0"/>
        <v>12</v>
      </c>
      <c r="P1" s="533">
        <f t="shared" si="0"/>
        <v>13</v>
      </c>
      <c r="Q1" s="534">
        <f t="shared" si="0"/>
        <v>14</v>
      </c>
      <c r="R1" s="532">
        <f t="shared" si="0"/>
        <v>15</v>
      </c>
      <c r="S1" s="533">
        <f t="shared" si="0"/>
        <v>16</v>
      </c>
      <c r="T1" s="533">
        <f t="shared" si="0"/>
        <v>17</v>
      </c>
      <c r="U1" s="533">
        <f t="shared" si="0"/>
        <v>18</v>
      </c>
      <c r="V1" s="533">
        <f t="shared" si="0"/>
        <v>19</v>
      </c>
      <c r="W1" s="533">
        <f t="shared" si="0"/>
        <v>20</v>
      </c>
      <c r="X1" s="534">
        <f t="shared" si="0"/>
        <v>21</v>
      </c>
      <c r="Y1" s="532">
        <f t="shared" si="0"/>
        <v>22</v>
      </c>
      <c r="Z1" s="533">
        <f t="shared" si="0"/>
        <v>23</v>
      </c>
      <c r="AA1" s="533">
        <f t="shared" si="0"/>
        <v>24</v>
      </c>
      <c r="AB1" s="533">
        <f t="shared" si="0"/>
        <v>25</v>
      </c>
      <c r="AC1" s="533">
        <f t="shared" si="0"/>
        <v>26</v>
      </c>
      <c r="AD1" s="533">
        <f t="shared" si="0"/>
        <v>27</v>
      </c>
      <c r="AE1" s="534">
        <f t="shared" si="0"/>
        <v>28</v>
      </c>
      <c r="AF1" s="532">
        <f t="shared" si="0"/>
        <v>29</v>
      </c>
      <c r="AG1" s="533">
        <f t="shared" si="0"/>
        <v>30</v>
      </c>
      <c r="AH1" s="533">
        <f t="shared" si="0"/>
        <v>31</v>
      </c>
      <c r="AI1" s="535" t="s">
        <v>15</v>
      </c>
      <c r="AJ1" s="535" t="s">
        <v>16</v>
      </c>
      <c r="AK1" s="535" t="s">
        <v>17</v>
      </c>
    </row>
    <row r="2" spans="1:37" ht="11">
      <c r="A2" s="536"/>
      <c r="B2" s="537" t="s">
        <v>19</v>
      </c>
      <c r="C2" s="538" t="s">
        <v>20</v>
      </c>
      <c r="D2" s="539"/>
      <c r="E2" s="540"/>
      <c r="F2" s="540"/>
      <c r="G2" s="540"/>
      <c r="H2" s="541"/>
      <c r="I2" s="540"/>
      <c r="J2" s="540"/>
      <c r="K2" s="541"/>
      <c r="L2" s="540"/>
      <c r="M2" s="540"/>
      <c r="N2" s="540"/>
      <c r="O2" s="540"/>
      <c r="P2" s="540"/>
      <c r="Q2" s="541"/>
      <c r="R2" s="540"/>
      <c r="S2" s="540"/>
      <c r="T2" s="540"/>
      <c r="U2" s="541"/>
      <c r="V2" s="540"/>
      <c r="W2" s="540"/>
      <c r="X2" s="540"/>
      <c r="Y2" s="540"/>
      <c r="Z2" s="541"/>
      <c r="AA2" s="539"/>
      <c r="AB2" s="539"/>
      <c r="AC2" s="539"/>
      <c r="AD2" s="540"/>
      <c r="AE2" s="540"/>
      <c r="AF2" s="540"/>
      <c r="AG2" s="540"/>
      <c r="AH2" s="542"/>
      <c r="AI2" s="539">
        <f t="shared" ref="AI2:AI37" si="1">SUM(D2:AH2)</f>
        <v>0</v>
      </c>
      <c r="AJ2" s="495">
        <f>SUM(AI2:AI4)</f>
        <v>0</v>
      </c>
      <c r="AK2" s="495">
        <v>5000</v>
      </c>
    </row>
    <row r="3" spans="1:37" ht="11">
      <c r="A3" s="543"/>
      <c r="B3" s="544"/>
      <c r="C3" s="545" t="s">
        <v>21</v>
      </c>
      <c r="D3" s="539"/>
      <c r="E3" s="539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  <c r="Q3" s="540"/>
      <c r="R3" s="540"/>
      <c r="S3" s="540"/>
      <c r="T3" s="540"/>
      <c r="U3" s="540"/>
      <c r="V3" s="540"/>
      <c r="W3" s="540"/>
      <c r="X3" s="540"/>
      <c r="Y3" s="540"/>
      <c r="Z3" s="540"/>
      <c r="AA3" s="539"/>
      <c r="AB3" s="539"/>
      <c r="AC3" s="539"/>
      <c r="AD3" s="540"/>
      <c r="AE3" s="540"/>
      <c r="AF3" s="540"/>
      <c r="AG3" s="540"/>
      <c r="AH3" s="542"/>
      <c r="AI3" s="539">
        <f t="shared" si="1"/>
        <v>0</v>
      </c>
      <c r="AJ3" s="496"/>
      <c r="AK3" s="496"/>
    </row>
    <row r="4" spans="1:37" ht="11">
      <c r="A4" s="543"/>
      <c r="B4" s="546"/>
      <c r="C4" s="538" t="s">
        <v>22</v>
      </c>
      <c r="D4" s="547"/>
      <c r="E4" s="547"/>
      <c r="F4" s="540"/>
      <c r="G4" s="540"/>
      <c r="H4" s="540"/>
      <c r="I4" s="548"/>
      <c r="J4" s="540"/>
      <c r="K4" s="540"/>
      <c r="L4" s="540"/>
      <c r="M4" s="540"/>
      <c r="N4" s="540"/>
      <c r="O4" s="540"/>
      <c r="P4" s="540"/>
      <c r="Q4" s="540"/>
      <c r="R4" s="540"/>
      <c r="S4" s="540"/>
      <c r="T4" s="540"/>
      <c r="U4" s="540"/>
      <c r="V4" s="540"/>
      <c r="W4" s="540"/>
      <c r="X4" s="540"/>
      <c r="Y4" s="540"/>
      <c r="Z4" s="540"/>
      <c r="AA4" s="540"/>
      <c r="AB4" s="540"/>
      <c r="AC4" s="547"/>
      <c r="AD4" s="540"/>
      <c r="AE4" s="540"/>
      <c r="AF4" s="540"/>
      <c r="AG4" s="540"/>
      <c r="AH4" s="549"/>
      <c r="AI4" s="539">
        <f t="shared" si="1"/>
        <v>0</v>
      </c>
      <c r="AJ4" s="497"/>
      <c r="AK4" s="497"/>
    </row>
    <row r="5" spans="1:37" ht="11">
      <c r="A5" s="543"/>
      <c r="B5" s="550" t="s">
        <v>23</v>
      </c>
      <c r="C5" s="538" t="s">
        <v>24</v>
      </c>
      <c r="D5" s="547"/>
      <c r="E5" s="547"/>
      <c r="F5" s="540"/>
      <c r="G5" s="540"/>
      <c r="H5" s="540"/>
      <c r="I5" s="540"/>
      <c r="J5" s="540"/>
      <c r="K5" s="540"/>
      <c r="L5" s="540"/>
      <c r="M5" s="540"/>
      <c r="N5" s="540"/>
      <c r="O5" s="540"/>
      <c r="P5" s="540"/>
      <c r="Q5" s="540"/>
      <c r="R5" s="540"/>
      <c r="S5" s="540"/>
      <c r="T5" s="540"/>
      <c r="U5" s="540"/>
      <c r="V5" s="540"/>
      <c r="W5" s="540"/>
      <c r="X5" s="540"/>
      <c r="Y5" s="540"/>
      <c r="Z5" s="540"/>
      <c r="AA5" s="540"/>
      <c r="AB5" s="540"/>
      <c r="AC5" s="547"/>
      <c r="AD5" s="540"/>
      <c r="AE5" s="540"/>
      <c r="AF5" s="540"/>
      <c r="AG5" s="540"/>
      <c r="AH5" s="549"/>
      <c r="AI5" s="539">
        <f t="shared" si="1"/>
        <v>0</v>
      </c>
      <c r="AJ5" s="498">
        <f>SUM(AI5:AI7)</f>
        <v>0</v>
      </c>
      <c r="AK5" s="498">
        <v>1000</v>
      </c>
    </row>
    <row r="6" spans="1:37" ht="11">
      <c r="A6" s="543"/>
      <c r="B6" s="550"/>
      <c r="C6" s="551" t="s">
        <v>76</v>
      </c>
      <c r="D6" s="547"/>
      <c r="E6" s="547"/>
      <c r="F6" s="540"/>
      <c r="G6" s="540"/>
      <c r="H6" s="540"/>
      <c r="I6" s="540"/>
      <c r="J6" s="540"/>
      <c r="K6" s="540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40"/>
      <c r="Y6" s="540"/>
      <c r="Z6" s="540"/>
      <c r="AA6" s="540"/>
      <c r="AB6" s="540"/>
      <c r="AC6" s="547"/>
      <c r="AD6" s="540"/>
      <c r="AE6" s="540"/>
      <c r="AF6" s="540"/>
      <c r="AG6" s="540"/>
      <c r="AH6" s="549"/>
      <c r="AI6" s="539">
        <f t="shared" si="1"/>
        <v>0</v>
      </c>
      <c r="AJ6" s="498"/>
      <c r="AK6" s="498"/>
    </row>
    <row r="7" spans="1:37" ht="11">
      <c r="A7" s="543"/>
      <c r="B7" s="550"/>
      <c r="C7" s="551" t="s">
        <v>77</v>
      </c>
      <c r="D7" s="547"/>
      <c r="E7" s="547"/>
      <c r="F7" s="540"/>
      <c r="G7" s="540"/>
      <c r="H7" s="540"/>
      <c r="I7" s="540"/>
      <c r="J7" s="540"/>
      <c r="K7" s="540"/>
      <c r="L7" s="540"/>
      <c r="M7" s="540"/>
      <c r="N7" s="540"/>
      <c r="O7" s="540"/>
      <c r="P7" s="540"/>
      <c r="Q7" s="540"/>
      <c r="R7" s="540"/>
      <c r="S7" s="540"/>
      <c r="T7" s="540"/>
      <c r="U7" s="540"/>
      <c r="V7" s="540"/>
      <c r="W7" s="540"/>
      <c r="X7" s="540"/>
      <c r="Y7" s="540"/>
      <c r="Z7" s="540"/>
      <c r="AA7" s="540"/>
      <c r="AB7" s="540"/>
      <c r="AC7" s="547"/>
      <c r="AD7" s="540"/>
      <c r="AE7" s="540"/>
      <c r="AF7" s="540"/>
      <c r="AG7" s="540"/>
      <c r="AH7" s="549"/>
      <c r="AI7" s="539">
        <f t="shared" si="1"/>
        <v>0</v>
      </c>
      <c r="AJ7" s="498"/>
      <c r="AK7" s="498"/>
    </row>
    <row r="8" spans="1:37" ht="11">
      <c r="A8" s="543"/>
      <c r="B8" s="552" t="s">
        <v>25</v>
      </c>
      <c r="C8" s="538" t="s">
        <v>26</v>
      </c>
      <c r="D8" s="547"/>
      <c r="E8" s="547"/>
      <c r="F8" s="547"/>
      <c r="G8" s="547"/>
      <c r="H8" s="539"/>
      <c r="I8" s="540"/>
      <c r="J8" s="540"/>
      <c r="K8" s="540"/>
      <c r="L8" s="540"/>
      <c r="M8" s="547"/>
      <c r="N8" s="540"/>
      <c r="O8" s="540"/>
      <c r="P8" s="540"/>
      <c r="Q8" s="540"/>
      <c r="R8" s="540"/>
      <c r="S8" s="540"/>
      <c r="T8" s="540"/>
      <c r="U8" s="540"/>
      <c r="V8" s="540"/>
      <c r="W8" s="540"/>
      <c r="X8" s="540"/>
      <c r="Y8" s="540"/>
      <c r="Z8" s="540"/>
      <c r="AA8" s="540"/>
      <c r="AB8" s="540"/>
      <c r="AC8" s="547"/>
      <c r="AD8" s="540"/>
      <c r="AE8" s="540"/>
      <c r="AF8" s="540"/>
      <c r="AG8" s="540"/>
      <c r="AH8" s="549"/>
      <c r="AI8" s="539">
        <f t="shared" si="1"/>
        <v>0</v>
      </c>
      <c r="AJ8" s="499">
        <f>SUM(AI8:AI14)</f>
        <v>0</v>
      </c>
      <c r="AK8" s="499">
        <v>10000</v>
      </c>
    </row>
    <row r="9" spans="1:37" ht="11">
      <c r="A9" s="543"/>
      <c r="B9" s="553"/>
      <c r="C9" s="538" t="s">
        <v>27</v>
      </c>
      <c r="D9" s="541"/>
      <c r="E9" s="547"/>
      <c r="F9" s="547"/>
      <c r="G9" s="547"/>
      <c r="H9" s="547"/>
      <c r="I9" s="547"/>
      <c r="J9" s="540"/>
      <c r="K9" s="540"/>
      <c r="L9" s="540"/>
      <c r="M9" s="540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7"/>
      <c r="AD9" s="540"/>
      <c r="AE9" s="540"/>
      <c r="AF9" s="540"/>
      <c r="AG9" s="540"/>
      <c r="AH9" s="549"/>
      <c r="AI9" s="539">
        <f t="shared" si="1"/>
        <v>0</v>
      </c>
      <c r="AJ9" s="500"/>
      <c r="AK9" s="500"/>
    </row>
    <row r="10" spans="1:37" ht="11">
      <c r="A10" s="543"/>
      <c r="B10" s="553"/>
      <c r="C10" s="538" t="s">
        <v>28</v>
      </c>
      <c r="D10" s="540"/>
      <c r="E10" s="547"/>
      <c r="F10" s="547"/>
      <c r="G10" s="547"/>
      <c r="H10" s="547"/>
      <c r="I10" s="547"/>
      <c r="J10" s="540"/>
      <c r="K10" s="540"/>
      <c r="L10" s="540"/>
      <c r="M10" s="540"/>
      <c r="N10" s="540"/>
      <c r="O10" s="540"/>
      <c r="P10" s="540"/>
      <c r="Q10" s="54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7"/>
      <c r="AD10" s="540"/>
      <c r="AE10" s="540"/>
      <c r="AF10" s="540"/>
      <c r="AG10" s="540"/>
      <c r="AH10" s="549"/>
      <c r="AI10" s="539">
        <f t="shared" si="1"/>
        <v>0</v>
      </c>
      <c r="AJ10" s="500"/>
      <c r="AK10" s="500"/>
    </row>
    <row r="11" spans="1:37" ht="11">
      <c r="A11" s="554" t="s">
        <v>18</v>
      </c>
      <c r="B11" s="553"/>
      <c r="C11" s="538" t="s">
        <v>29</v>
      </c>
      <c r="D11" s="540"/>
      <c r="E11" s="547"/>
      <c r="F11" s="547"/>
      <c r="G11" s="547"/>
      <c r="H11" s="547"/>
      <c r="I11" s="547"/>
      <c r="J11" s="540"/>
      <c r="K11" s="540"/>
      <c r="L11" s="540"/>
      <c r="M11" s="540"/>
      <c r="N11" s="540"/>
      <c r="O11" s="540"/>
      <c r="P11" s="540"/>
      <c r="Q11" s="540"/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7"/>
      <c r="AD11" s="540"/>
      <c r="AE11" s="540"/>
      <c r="AF11" s="540"/>
      <c r="AG11" s="540"/>
      <c r="AH11" s="549"/>
      <c r="AI11" s="539">
        <f t="shared" si="1"/>
        <v>0</v>
      </c>
      <c r="AJ11" s="500"/>
      <c r="AK11" s="500"/>
    </row>
    <row r="12" spans="1:37" ht="11">
      <c r="A12" s="543"/>
      <c r="B12" s="553"/>
      <c r="C12" s="538" t="s">
        <v>30</v>
      </c>
      <c r="D12" s="540"/>
      <c r="E12" s="547"/>
      <c r="F12" s="547"/>
      <c r="G12" s="547"/>
      <c r="H12" s="548"/>
      <c r="I12" s="547"/>
      <c r="J12" s="540"/>
      <c r="K12" s="540"/>
      <c r="L12" s="540"/>
      <c r="M12" s="540"/>
      <c r="N12" s="540"/>
      <c r="O12" s="540"/>
      <c r="P12" s="540"/>
      <c r="Q12" s="540"/>
      <c r="R12" s="540"/>
      <c r="S12" s="540"/>
      <c r="T12" s="540"/>
      <c r="U12" s="540"/>
      <c r="V12" s="540"/>
      <c r="W12" s="540"/>
      <c r="X12" s="540"/>
      <c r="Y12" s="540"/>
      <c r="Z12" s="540"/>
      <c r="AA12" s="540"/>
      <c r="AB12" s="540"/>
      <c r="AC12" s="547"/>
      <c r="AD12" s="540"/>
      <c r="AE12" s="540"/>
      <c r="AF12" s="540"/>
      <c r="AG12" s="540"/>
      <c r="AH12" s="549"/>
      <c r="AI12" s="539">
        <f t="shared" si="1"/>
        <v>0</v>
      </c>
      <c r="AJ12" s="500"/>
      <c r="AK12" s="500"/>
    </row>
    <row r="13" spans="1:37" ht="11">
      <c r="A13" s="543"/>
      <c r="B13" s="553"/>
      <c r="C13" s="538" t="s">
        <v>31</v>
      </c>
      <c r="D13" s="540"/>
      <c r="E13" s="547"/>
      <c r="F13" s="547"/>
      <c r="G13" s="547"/>
      <c r="H13" s="548"/>
      <c r="I13" s="547"/>
      <c r="J13" s="540"/>
      <c r="K13" s="540"/>
      <c r="L13" s="540"/>
      <c r="M13" s="540"/>
      <c r="N13" s="540"/>
      <c r="O13" s="540"/>
      <c r="P13" s="540"/>
      <c r="Q13" s="540"/>
      <c r="R13" s="540"/>
      <c r="S13" s="540"/>
      <c r="T13" s="540"/>
      <c r="U13" s="540"/>
      <c r="V13" s="540"/>
      <c r="W13" s="540"/>
      <c r="X13" s="540"/>
      <c r="Y13" s="540"/>
      <c r="Z13" s="540"/>
      <c r="AA13" s="540"/>
      <c r="AB13" s="540"/>
      <c r="AC13" s="547"/>
      <c r="AD13" s="540"/>
      <c r="AE13" s="540"/>
      <c r="AF13" s="540"/>
      <c r="AG13" s="540"/>
      <c r="AH13" s="549"/>
      <c r="AI13" s="539">
        <f t="shared" si="1"/>
        <v>0</v>
      </c>
      <c r="AJ13" s="500"/>
      <c r="AK13" s="500"/>
    </row>
    <row r="14" spans="1:37" ht="11">
      <c r="A14" s="543"/>
      <c r="B14" s="553"/>
      <c r="C14" s="538" t="s">
        <v>32</v>
      </c>
      <c r="D14" s="540"/>
      <c r="E14" s="547"/>
      <c r="F14" s="547"/>
      <c r="G14" s="547"/>
      <c r="H14" s="548"/>
      <c r="I14" s="547"/>
      <c r="J14" s="540"/>
      <c r="K14" s="540"/>
      <c r="L14" s="540"/>
      <c r="M14" s="540"/>
      <c r="N14" s="540"/>
      <c r="O14" s="540"/>
      <c r="P14" s="540"/>
      <c r="Q14" s="540"/>
      <c r="R14" s="540"/>
      <c r="S14" s="540"/>
      <c r="T14" s="540"/>
      <c r="U14" s="540"/>
      <c r="V14" s="540"/>
      <c r="W14" s="540"/>
      <c r="X14" s="540"/>
      <c r="Y14" s="540"/>
      <c r="Z14" s="540"/>
      <c r="AA14" s="540"/>
      <c r="AB14" s="540"/>
      <c r="AC14" s="547"/>
      <c r="AD14" s="540"/>
      <c r="AE14" s="540"/>
      <c r="AF14" s="540"/>
      <c r="AG14" s="540"/>
      <c r="AH14" s="549"/>
      <c r="AI14" s="539">
        <f t="shared" si="1"/>
        <v>0</v>
      </c>
      <c r="AJ14" s="500"/>
      <c r="AK14" s="500"/>
    </row>
    <row r="15" spans="1:37" ht="11">
      <c r="A15" s="543"/>
      <c r="B15" s="555" t="s">
        <v>33</v>
      </c>
      <c r="C15" s="538" t="s">
        <v>34</v>
      </c>
      <c r="D15" s="540"/>
      <c r="E15" s="547"/>
      <c r="F15" s="547"/>
      <c r="G15" s="547"/>
      <c r="H15" s="548"/>
      <c r="I15" s="547"/>
      <c r="J15" s="540"/>
      <c r="K15" s="540"/>
      <c r="L15" s="540"/>
      <c r="M15" s="540"/>
      <c r="N15" s="540"/>
      <c r="O15" s="540"/>
      <c r="P15" s="540"/>
      <c r="Q15" s="540"/>
      <c r="R15" s="540"/>
      <c r="S15" s="540"/>
      <c r="T15" s="540"/>
      <c r="U15" s="540"/>
      <c r="V15" s="540"/>
      <c r="W15" s="540"/>
      <c r="X15" s="540"/>
      <c r="Y15" s="540"/>
      <c r="Z15" s="540"/>
      <c r="AA15" s="547"/>
      <c r="AB15" s="540"/>
      <c r="AC15" s="547"/>
      <c r="AD15" s="540"/>
      <c r="AE15" s="540"/>
      <c r="AF15" s="540"/>
      <c r="AG15" s="540"/>
      <c r="AH15" s="549"/>
      <c r="AI15" s="539">
        <f t="shared" si="1"/>
        <v>0</v>
      </c>
      <c r="AJ15" s="501">
        <f>SUM(AI15:AI21)</f>
        <v>0</v>
      </c>
      <c r="AK15" s="501">
        <v>10000</v>
      </c>
    </row>
    <row r="16" spans="1:37" ht="11">
      <c r="A16" s="543"/>
      <c r="B16" s="556"/>
      <c r="C16" s="538" t="s">
        <v>35</v>
      </c>
      <c r="D16" s="540"/>
      <c r="E16" s="547"/>
      <c r="F16" s="547"/>
      <c r="G16" s="547"/>
      <c r="H16" s="548"/>
      <c r="I16" s="547"/>
      <c r="J16" s="540"/>
      <c r="K16" s="540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7"/>
      <c r="AD16" s="540"/>
      <c r="AE16" s="540"/>
      <c r="AF16" s="540"/>
      <c r="AG16" s="540"/>
      <c r="AH16" s="549"/>
      <c r="AI16" s="539">
        <f t="shared" si="1"/>
        <v>0</v>
      </c>
      <c r="AJ16" s="502"/>
      <c r="AK16" s="502"/>
    </row>
    <row r="17" spans="1:37" ht="11">
      <c r="A17" s="543"/>
      <c r="B17" s="556"/>
      <c r="C17" s="557" t="s">
        <v>36</v>
      </c>
      <c r="D17" s="540"/>
      <c r="E17" s="547"/>
      <c r="F17" s="540"/>
      <c r="G17" s="547"/>
      <c r="H17" s="548"/>
      <c r="I17" s="547"/>
      <c r="J17" s="540"/>
      <c r="K17" s="540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7"/>
      <c r="AD17" s="540"/>
      <c r="AE17" s="540"/>
      <c r="AF17" s="540"/>
      <c r="AG17" s="540"/>
      <c r="AH17" s="549"/>
      <c r="AI17" s="539">
        <f t="shared" si="1"/>
        <v>0</v>
      </c>
      <c r="AJ17" s="502"/>
      <c r="AK17" s="502"/>
    </row>
    <row r="18" spans="1:37" ht="11">
      <c r="A18" s="543"/>
      <c r="B18" s="556"/>
      <c r="C18" s="557" t="s">
        <v>146</v>
      </c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  <c r="P18" s="539"/>
      <c r="Q18" s="539"/>
      <c r="R18" s="539"/>
      <c r="S18" s="539"/>
      <c r="T18" s="539"/>
      <c r="U18" s="539"/>
      <c r="V18" s="539"/>
      <c r="W18" s="539"/>
      <c r="X18" s="539"/>
      <c r="Y18" s="539"/>
      <c r="Z18" s="539"/>
      <c r="AA18" s="539"/>
      <c r="AB18" s="539"/>
      <c r="AC18" s="539"/>
      <c r="AD18" s="539"/>
      <c r="AE18" s="539"/>
      <c r="AF18" s="539"/>
      <c r="AG18" s="539"/>
      <c r="AH18" s="549"/>
      <c r="AI18" s="539">
        <f t="shared" si="1"/>
        <v>0</v>
      </c>
      <c r="AJ18" s="502"/>
      <c r="AK18" s="502"/>
    </row>
    <row r="19" spans="1:37" ht="11">
      <c r="A19" s="543"/>
      <c r="B19" s="556"/>
      <c r="C19" s="557" t="s">
        <v>37</v>
      </c>
      <c r="D19" s="540"/>
      <c r="E19" s="547"/>
      <c r="F19" s="547"/>
      <c r="G19" s="547"/>
      <c r="H19" s="548"/>
      <c r="I19" s="547"/>
      <c r="J19" s="540"/>
      <c r="K19" s="540"/>
      <c r="L19" s="540"/>
      <c r="M19" s="540"/>
      <c r="N19" s="540"/>
      <c r="O19" s="540"/>
      <c r="P19" s="540"/>
      <c r="Q19" s="540"/>
      <c r="R19" s="540"/>
      <c r="S19" s="540"/>
      <c r="T19" s="540"/>
      <c r="U19" s="540"/>
      <c r="V19" s="540"/>
      <c r="W19" s="540"/>
      <c r="X19" s="540"/>
      <c r="Y19" s="540"/>
      <c r="Z19" s="540"/>
      <c r="AA19" s="540"/>
      <c r="AB19" s="540"/>
      <c r="AC19" s="547"/>
      <c r="AD19" s="540"/>
      <c r="AE19" s="540"/>
      <c r="AF19" s="540"/>
      <c r="AG19" s="540"/>
      <c r="AH19" s="549"/>
      <c r="AI19" s="539">
        <f t="shared" si="1"/>
        <v>0</v>
      </c>
      <c r="AJ19" s="502"/>
      <c r="AK19" s="502"/>
    </row>
    <row r="20" spans="1:37" ht="11">
      <c r="A20" s="543"/>
      <c r="B20" s="556"/>
      <c r="C20" s="538" t="s">
        <v>38</v>
      </c>
      <c r="D20" s="540"/>
      <c r="E20" s="547"/>
      <c r="F20" s="547"/>
      <c r="G20" s="547"/>
      <c r="H20" s="548"/>
      <c r="I20" s="547"/>
      <c r="J20" s="540"/>
      <c r="K20" s="540"/>
      <c r="L20" s="540"/>
      <c r="M20" s="540"/>
      <c r="N20" s="540"/>
      <c r="O20" s="540"/>
      <c r="P20" s="540"/>
      <c r="Q20" s="540"/>
      <c r="R20" s="540"/>
      <c r="S20" s="540"/>
      <c r="T20" s="540"/>
      <c r="U20" s="540"/>
      <c r="V20" s="540"/>
      <c r="W20" s="540"/>
      <c r="X20" s="540"/>
      <c r="Y20" s="540"/>
      <c r="Z20" s="540"/>
      <c r="AA20" s="540"/>
      <c r="AB20" s="540"/>
      <c r="AC20" s="547"/>
      <c r="AD20" s="540"/>
      <c r="AE20" s="540"/>
      <c r="AF20" s="540"/>
      <c r="AG20" s="540"/>
      <c r="AH20" s="549"/>
      <c r="AI20" s="539">
        <f t="shared" si="1"/>
        <v>0</v>
      </c>
      <c r="AJ20" s="502"/>
      <c r="AK20" s="502"/>
    </row>
    <row r="21" spans="1:37" ht="11">
      <c r="A21" s="543"/>
      <c r="B21" s="558"/>
      <c r="C21" s="538" t="s">
        <v>39</v>
      </c>
      <c r="D21" s="540"/>
      <c r="E21" s="547"/>
      <c r="F21" s="547"/>
      <c r="G21" s="547"/>
      <c r="H21" s="548"/>
      <c r="I21" s="547"/>
      <c r="J21" s="540"/>
      <c r="K21" s="540"/>
      <c r="L21" s="540"/>
      <c r="M21" s="540"/>
      <c r="N21" s="540"/>
      <c r="O21" s="540"/>
      <c r="P21" s="540"/>
      <c r="Q21" s="540"/>
      <c r="R21" s="540"/>
      <c r="S21" s="540"/>
      <c r="T21" s="540"/>
      <c r="U21" s="540"/>
      <c r="V21" s="540"/>
      <c r="W21" s="540"/>
      <c r="X21" s="540"/>
      <c r="Y21" s="540"/>
      <c r="Z21" s="540"/>
      <c r="AA21" s="540"/>
      <c r="AB21" s="540"/>
      <c r="AC21" s="547"/>
      <c r="AD21" s="540"/>
      <c r="AE21" s="540"/>
      <c r="AF21" s="540"/>
      <c r="AG21" s="540"/>
      <c r="AH21" s="549"/>
      <c r="AI21" s="539">
        <f t="shared" si="1"/>
        <v>0</v>
      </c>
      <c r="AJ21" s="503"/>
      <c r="AK21" s="503"/>
    </row>
    <row r="22" spans="1:37" ht="11">
      <c r="A22" s="543"/>
      <c r="B22" s="537" t="s">
        <v>40</v>
      </c>
      <c r="C22" s="538" t="s">
        <v>41</v>
      </c>
      <c r="D22" s="539"/>
      <c r="E22" s="547"/>
      <c r="F22" s="548"/>
      <c r="G22" s="547"/>
      <c r="H22" s="547"/>
      <c r="I22" s="547"/>
      <c r="J22" s="540"/>
      <c r="K22" s="540"/>
      <c r="L22" s="540"/>
      <c r="M22" s="540"/>
      <c r="N22" s="540"/>
      <c r="O22" s="540"/>
      <c r="P22" s="540"/>
      <c r="Q22" s="540"/>
      <c r="R22" s="540"/>
      <c r="S22" s="540"/>
      <c r="T22" s="540"/>
      <c r="U22" s="540"/>
      <c r="V22" s="540"/>
      <c r="W22" s="540"/>
      <c r="X22" s="540"/>
      <c r="Y22" s="540"/>
      <c r="Z22" s="540"/>
      <c r="AA22" s="540"/>
      <c r="AB22" s="540"/>
      <c r="AC22" s="547"/>
      <c r="AD22" s="540"/>
      <c r="AE22" s="540"/>
      <c r="AF22" s="540"/>
      <c r="AG22" s="540"/>
      <c r="AH22" s="549"/>
      <c r="AI22" s="539">
        <f t="shared" si="1"/>
        <v>0</v>
      </c>
      <c r="AJ22" s="495">
        <f>SUM(AI22:AI23)</f>
        <v>0</v>
      </c>
      <c r="AK22" s="495">
        <v>30000</v>
      </c>
    </row>
    <row r="23" spans="1:37" ht="11">
      <c r="A23" s="543"/>
      <c r="B23" s="546"/>
      <c r="C23" s="538" t="s">
        <v>42</v>
      </c>
      <c r="D23" s="539"/>
      <c r="E23" s="547"/>
      <c r="F23" s="547"/>
      <c r="G23" s="547"/>
      <c r="H23" s="547"/>
      <c r="I23" s="547"/>
      <c r="J23" s="540"/>
      <c r="K23" s="540"/>
      <c r="L23" s="540"/>
      <c r="M23" s="540"/>
      <c r="N23" s="540"/>
      <c r="O23" s="540"/>
      <c r="P23" s="540"/>
      <c r="Q23" s="540"/>
      <c r="R23" s="540"/>
      <c r="S23" s="540"/>
      <c r="T23" s="540"/>
      <c r="U23" s="540"/>
      <c r="V23" s="540"/>
      <c r="W23" s="540"/>
      <c r="X23" s="540"/>
      <c r="Y23" s="540"/>
      <c r="Z23" s="540"/>
      <c r="AA23" s="540"/>
      <c r="AB23" s="540"/>
      <c r="AC23" s="547"/>
      <c r="AD23" s="540"/>
      <c r="AE23" s="540"/>
      <c r="AF23" s="540"/>
      <c r="AG23" s="540"/>
      <c r="AH23" s="549"/>
      <c r="AI23" s="539">
        <f t="shared" si="1"/>
        <v>0</v>
      </c>
      <c r="AJ23" s="497"/>
      <c r="AK23" s="497"/>
    </row>
    <row r="24" spans="1:37" ht="11">
      <c r="A24" s="543"/>
      <c r="B24" s="559" t="s">
        <v>43</v>
      </c>
      <c r="C24" s="538" t="s">
        <v>44</v>
      </c>
      <c r="D24" s="539"/>
      <c r="E24" s="547"/>
      <c r="F24" s="547"/>
      <c r="G24" s="547"/>
      <c r="H24" s="547"/>
      <c r="I24" s="547"/>
      <c r="J24" s="540"/>
      <c r="K24" s="540"/>
      <c r="L24" s="540"/>
      <c r="M24" s="540"/>
      <c r="N24" s="540"/>
      <c r="O24" s="540"/>
      <c r="P24" s="540"/>
      <c r="Q24" s="540"/>
      <c r="R24" s="540"/>
      <c r="S24" s="540"/>
      <c r="T24" s="540"/>
      <c r="U24" s="540"/>
      <c r="V24" s="540"/>
      <c r="W24" s="540"/>
      <c r="X24" s="540"/>
      <c r="Y24" s="540"/>
      <c r="Z24" s="540"/>
      <c r="AA24" s="540"/>
      <c r="AB24" s="540"/>
      <c r="AC24" s="547"/>
      <c r="AD24" s="540"/>
      <c r="AE24" s="540"/>
      <c r="AF24" s="540"/>
      <c r="AG24" s="540"/>
      <c r="AH24" s="549"/>
      <c r="AI24" s="539">
        <f t="shared" si="1"/>
        <v>0</v>
      </c>
      <c r="AJ24" s="504">
        <f>AI24</f>
        <v>0</v>
      </c>
      <c r="AK24" s="504">
        <v>2000</v>
      </c>
    </row>
    <row r="25" spans="1:37" ht="11">
      <c r="A25" s="543"/>
      <c r="B25" s="560" t="s">
        <v>45</v>
      </c>
      <c r="C25" s="538" t="s">
        <v>46</v>
      </c>
      <c r="D25" s="539"/>
      <c r="E25" s="547"/>
      <c r="F25" s="547"/>
      <c r="G25" s="547"/>
      <c r="H25" s="547"/>
      <c r="I25" s="547"/>
      <c r="J25" s="540"/>
      <c r="K25" s="540"/>
      <c r="L25" s="540"/>
      <c r="M25" s="540"/>
      <c r="N25" s="540"/>
      <c r="O25" s="540"/>
      <c r="P25" s="540"/>
      <c r="Q25" s="540"/>
      <c r="R25" s="540"/>
      <c r="S25" s="540"/>
      <c r="T25" s="540"/>
      <c r="U25" s="540"/>
      <c r="V25" s="540"/>
      <c r="W25" s="540"/>
      <c r="X25" s="540"/>
      <c r="Y25" s="541"/>
      <c r="Z25" s="540"/>
      <c r="AA25" s="540"/>
      <c r="AB25" s="540"/>
      <c r="AC25" s="547"/>
      <c r="AD25" s="540"/>
      <c r="AE25" s="540"/>
      <c r="AF25" s="540"/>
      <c r="AG25" s="540"/>
      <c r="AH25" s="549"/>
      <c r="AI25" s="539">
        <f t="shared" si="1"/>
        <v>0</v>
      </c>
      <c r="AJ25" s="505">
        <f>SUM(AI25:AI26)</f>
        <v>0</v>
      </c>
      <c r="AK25" s="505">
        <v>5000</v>
      </c>
    </row>
    <row r="26" spans="1:37" ht="11">
      <c r="A26" s="543"/>
      <c r="B26" s="561"/>
      <c r="C26" s="538" t="s">
        <v>47</v>
      </c>
      <c r="D26" s="539"/>
      <c r="E26" s="547"/>
      <c r="F26" s="547"/>
      <c r="G26" s="547"/>
      <c r="H26" s="547"/>
      <c r="I26" s="547"/>
      <c r="J26" s="540"/>
      <c r="K26" s="540"/>
      <c r="L26" s="541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8"/>
      <c r="Z26" s="540"/>
      <c r="AA26" s="540"/>
      <c r="AB26" s="540"/>
      <c r="AC26" s="547"/>
      <c r="AD26" s="540"/>
      <c r="AE26" s="540"/>
      <c r="AF26" s="540"/>
      <c r="AG26" s="540"/>
      <c r="AH26" s="549"/>
      <c r="AI26" s="539">
        <f t="shared" si="1"/>
        <v>0</v>
      </c>
      <c r="AJ26" s="506"/>
      <c r="AK26" s="506"/>
    </row>
    <row r="27" spans="1:37" ht="11">
      <c r="A27" s="543"/>
      <c r="B27" s="562" t="s">
        <v>48</v>
      </c>
      <c r="C27" s="538" t="s">
        <v>49</v>
      </c>
      <c r="D27" s="539"/>
      <c r="E27" s="547"/>
      <c r="F27" s="547"/>
      <c r="G27" s="547"/>
      <c r="H27" s="547"/>
      <c r="I27" s="547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547"/>
      <c r="AD27" s="540"/>
      <c r="AE27" s="540"/>
      <c r="AF27" s="540"/>
      <c r="AG27" s="540"/>
      <c r="AH27" s="549"/>
      <c r="AI27" s="539">
        <f t="shared" si="1"/>
        <v>0</v>
      </c>
      <c r="AJ27" s="507">
        <f t="shared" ref="AJ27:AJ34" si="2">AI27</f>
        <v>0</v>
      </c>
      <c r="AK27" s="507">
        <v>10000</v>
      </c>
    </row>
    <row r="28" spans="1:37" ht="11">
      <c r="A28" s="543"/>
      <c r="B28" s="529" t="s">
        <v>50</v>
      </c>
      <c r="C28" s="538" t="s">
        <v>51</v>
      </c>
      <c r="D28" s="539"/>
      <c r="E28" s="547"/>
      <c r="F28" s="547"/>
      <c r="G28" s="547"/>
      <c r="H28" s="547"/>
      <c r="I28" s="547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7"/>
      <c r="AD28" s="540"/>
      <c r="AE28" s="540"/>
      <c r="AF28" s="540"/>
      <c r="AG28" s="540"/>
      <c r="AH28" s="549"/>
      <c r="AI28" s="539">
        <f t="shared" si="1"/>
        <v>0</v>
      </c>
      <c r="AJ28" s="508">
        <f t="shared" si="2"/>
        <v>0</v>
      </c>
      <c r="AK28" s="508">
        <v>10000</v>
      </c>
    </row>
    <row r="29" spans="1:37" ht="11">
      <c r="A29" s="543"/>
      <c r="B29" s="646" t="s">
        <v>52</v>
      </c>
      <c r="C29" s="538" t="s">
        <v>53</v>
      </c>
      <c r="D29" s="539"/>
      <c r="E29" s="547"/>
      <c r="F29" s="548"/>
      <c r="G29" s="547"/>
      <c r="H29" s="547"/>
      <c r="I29" s="547"/>
      <c r="J29" s="540"/>
      <c r="K29" s="539"/>
      <c r="L29" s="540"/>
      <c r="M29" s="540"/>
      <c r="N29" s="540"/>
      <c r="O29" s="540"/>
      <c r="P29" s="540"/>
      <c r="Q29" s="540"/>
      <c r="R29" s="547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7"/>
      <c r="AE29" s="540"/>
      <c r="AF29" s="547"/>
      <c r="AG29" s="547"/>
      <c r="AH29" s="549"/>
      <c r="AI29" s="539">
        <f t="shared" si="1"/>
        <v>0</v>
      </c>
      <c r="AJ29" s="649">
        <f>SUM(AI29:AI31)</f>
        <v>0</v>
      </c>
      <c r="AK29" s="652">
        <v>20000</v>
      </c>
    </row>
    <row r="30" spans="1:37" ht="10.5">
      <c r="A30" s="543"/>
      <c r="B30" s="647"/>
      <c r="C30" s="563" t="s">
        <v>74</v>
      </c>
      <c r="D30" s="539"/>
      <c r="E30" s="547"/>
      <c r="F30" s="547"/>
      <c r="G30" s="547"/>
      <c r="H30" s="547"/>
      <c r="I30" s="547"/>
      <c r="J30" s="540"/>
      <c r="K30" s="540"/>
      <c r="L30" s="540"/>
      <c r="M30" s="540"/>
      <c r="O30" s="540"/>
      <c r="P30" s="540"/>
      <c r="Q30" s="540"/>
      <c r="R30" s="540"/>
      <c r="S30" s="540"/>
      <c r="T30" s="540"/>
      <c r="U30" s="540"/>
      <c r="V30" s="540"/>
      <c r="W30" s="540"/>
      <c r="X30" s="540"/>
      <c r="Y30" s="540"/>
      <c r="Z30" s="540"/>
      <c r="AA30" s="540"/>
      <c r="AB30" s="540"/>
      <c r="AC30" s="547"/>
      <c r="AD30" s="547"/>
      <c r="AE30" s="540"/>
      <c r="AF30" s="547"/>
      <c r="AG30" s="547"/>
      <c r="AH30" s="549"/>
      <c r="AI30" s="539">
        <f t="shared" si="1"/>
        <v>0</v>
      </c>
      <c r="AJ30" s="650"/>
      <c r="AK30" s="653"/>
    </row>
    <row r="31" spans="1:37" ht="11">
      <c r="A31" s="543"/>
      <c r="B31" s="648"/>
      <c r="C31" s="538" t="s">
        <v>75</v>
      </c>
      <c r="D31" s="539"/>
      <c r="E31" s="547"/>
      <c r="F31" s="547"/>
      <c r="G31" s="547"/>
      <c r="H31" s="547"/>
      <c r="I31" s="547"/>
      <c r="J31" s="540"/>
      <c r="K31" s="540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7"/>
      <c r="AD31" s="547"/>
      <c r="AE31" s="540"/>
      <c r="AF31" s="547"/>
      <c r="AG31" s="547"/>
      <c r="AH31" s="549"/>
      <c r="AI31" s="539">
        <f t="shared" si="1"/>
        <v>0</v>
      </c>
      <c r="AJ31" s="651"/>
      <c r="AK31" s="654"/>
    </row>
    <row r="32" spans="1:37" ht="11">
      <c r="A32" s="543"/>
      <c r="B32" s="529" t="s">
        <v>54</v>
      </c>
      <c r="C32" s="538" t="s">
        <v>55</v>
      </c>
      <c r="D32" s="539"/>
      <c r="E32" s="547"/>
      <c r="F32" s="547"/>
      <c r="G32" s="547"/>
      <c r="H32" s="541"/>
      <c r="I32" s="547"/>
      <c r="J32" s="540"/>
      <c r="K32" s="540"/>
      <c r="L32" s="540"/>
      <c r="M32" s="540"/>
      <c r="N32" s="54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  <c r="AB32" s="540"/>
      <c r="AC32" s="547"/>
      <c r="AD32" s="547"/>
      <c r="AE32" s="540"/>
      <c r="AF32" s="547"/>
      <c r="AG32" s="547"/>
      <c r="AH32" s="549"/>
      <c r="AI32" s="539">
        <f t="shared" si="1"/>
        <v>0</v>
      </c>
      <c r="AJ32" s="508">
        <f t="shared" si="2"/>
        <v>0</v>
      </c>
      <c r="AK32" s="508">
        <v>2000</v>
      </c>
    </row>
    <row r="33" spans="1:37" ht="11">
      <c r="A33" s="543"/>
      <c r="B33" s="529" t="s">
        <v>56</v>
      </c>
      <c r="C33" s="538" t="s">
        <v>56</v>
      </c>
      <c r="D33" s="539"/>
      <c r="E33" s="547"/>
      <c r="F33" s="547"/>
      <c r="G33" s="547"/>
      <c r="H33" s="547"/>
      <c r="I33" s="547"/>
      <c r="J33" s="540"/>
      <c r="K33" s="540"/>
      <c r="L33" s="540"/>
      <c r="M33" s="540"/>
      <c r="N33" s="540"/>
      <c r="O33" s="540"/>
      <c r="P33" s="540"/>
      <c r="Q33" s="540"/>
      <c r="R33" s="540"/>
      <c r="S33" s="540"/>
      <c r="T33" s="540"/>
      <c r="U33" s="540"/>
      <c r="V33" s="540"/>
      <c r="W33" s="540"/>
      <c r="X33" s="540"/>
      <c r="Y33" s="540"/>
      <c r="Z33" s="540"/>
      <c r="AA33" s="540"/>
      <c r="AB33" s="540"/>
      <c r="AC33" s="547"/>
      <c r="AD33" s="547"/>
      <c r="AE33" s="540"/>
      <c r="AF33" s="547"/>
      <c r="AG33" s="547"/>
      <c r="AH33" s="549"/>
      <c r="AI33" s="539">
        <f t="shared" si="1"/>
        <v>0</v>
      </c>
      <c r="AJ33" s="508">
        <f t="shared" si="2"/>
        <v>0</v>
      </c>
      <c r="AK33" s="508">
        <v>15000</v>
      </c>
    </row>
    <row r="34" spans="1:37" ht="11">
      <c r="A34" s="543"/>
      <c r="B34" s="536" t="s">
        <v>57</v>
      </c>
      <c r="C34" s="538" t="s">
        <v>57</v>
      </c>
      <c r="D34" s="540"/>
      <c r="E34" s="547"/>
      <c r="F34" s="547"/>
      <c r="G34" s="547"/>
      <c r="H34" s="547"/>
      <c r="I34" s="547"/>
      <c r="J34" s="540"/>
      <c r="K34" s="540"/>
      <c r="L34" s="540"/>
      <c r="M34" s="540"/>
      <c r="N34" s="540"/>
      <c r="O34" s="540"/>
      <c r="P34" s="540"/>
      <c r="Q34" s="540"/>
      <c r="R34" s="540"/>
      <c r="S34" s="540"/>
      <c r="T34" s="540"/>
      <c r="U34" s="540"/>
      <c r="V34" s="540"/>
      <c r="W34" s="540"/>
      <c r="X34" s="540"/>
      <c r="Y34" s="540"/>
      <c r="Z34" s="540"/>
      <c r="AA34" s="540"/>
      <c r="AB34" s="540"/>
      <c r="AC34" s="547"/>
      <c r="AD34" s="547"/>
      <c r="AE34" s="540"/>
      <c r="AG34" s="547"/>
      <c r="AH34" s="549"/>
      <c r="AI34" s="539">
        <f t="shared" si="1"/>
        <v>0</v>
      </c>
      <c r="AJ34" s="509">
        <f t="shared" si="2"/>
        <v>0</v>
      </c>
      <c r="AK34" s="509">
        <v>2000</v>
      </c>
    </row>
    <row r="35" spans="1:37" ht="11">
      <c r="A35" s="543"/>
      <c r="B35" s="564" t="s">
        <v>58</v>
      </c>
      <c r="C35" s="538" t="s">
        <v>59</v>
      </c>
      <c r="D35" s="540"/>
      <c r="E35" s="547"/>
      <c r="F35" s="547"/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47"/>
      <c r="R35" s="547"/>
      <c r="S35" s="547"/>
      <c r="T35" s="547"/>
      <c r="U35" s="547"/>
      <c r="V35" s="547"/>
      <c r="W35" s="540"/>
      <c r="X35" s="540"/>
      <c r="Y35" s="540"/>
      <c r="Z35" s="540"/>
      <c r="AA35" s="540"/>
      <c r="AB35" s="540"/>
      <c r="AC35" s="547"/>
      <c r="AD35" s="547"/>
      <c r="AE35" s="540"/>
      <c r="AF35" s="547"/>
      <c r="AG35" s="547"/>
      <c r="AH35" s="549"/>
      <c r="AI35" s="539">
        <f t="shared" si="1"/>
        <v>0</v>
      </c>
      <c r="AJ35" s="510">
        <f>SUM(AI35:AI36)</f>
        <v>0</v>
      </c>
      <c r="AK35" s="510">
        <v>0</v>
      </c>
    </row>
    <row r="36" spans="1:37" ht="11">
      <c r="A36" s="543"/>
      <c r="B36" s="565"/>
      <c r="C36" s="538" t="s">
        <v>60</v>
      </c>
      <c r="D36" s="547"/>
      <c r="E36" s="547"/>
      <c r="F36" s="547"/>
      <c r="G36" s="547"/>
      <c r="H36" s="547"/>
      <c r="I36" s="547"/>
      <c r="J36" s="547"/>
      <c r="K36" s="547"/>
      <c r="L36" s="547"/>
      <c r="M36" s="547"/>
      <c r="N36" s="547"/>
      <c r="O36" s="547"/>
      <c r="P36" s="547"/>
      <c r="Q36" s="547"/>
      <c r="R36" s="547"/>
      <c r="S36" s="547"/>
      <c r="T36" s="547"/>
      <c r="U36" s="547"/>
      <c r="V36" s="547"/>
      <c r="W36" s="540"/>
      <c r="X36" s="540"/>
      <c r="Y36" s="540"/>
      <c r="Z36" s="540"/>
      <c r="AA36" s="540"/>
      <c r="AB36" s="540"/>
      <c r="AC36" s="547"/>
      <c r="AD36" s="547"/>
      <c r="AE36" s="540"/>
      <c r="AF36" s="547"/>
      <c r="AG36" s="547"/>
      <c r="AH36" s="549"/>
      <c r="AI36" s="539">
        <f t="shared" si="1"/>
        <v>0</v>
      </c>
      <c r="AJ36" s="511"/>
      <c r="AK36" s="511"/>
    </row>
    <row r="37" spans="1:37" ht="11">
      <c r="A37" s="566"/>
      <c r="B37" s="567" t="s">
        <v>61</v>
      </c>
      <c r="C37" s="568"/>
      <c r="D37" s="539">
        <f t="shared" ref="D37:AH37" si="3">SUM(D2:D36)</f>
        <v>0</v>
      </c>
      <c r="E37" s="539">
        <f t="shared" si="3"/>
        <v>0</v>
      </c>
      <c r="F37" s="539">
        <f t="shared" si="3"/>
        <v>0</v>
      </c>
      <c r="G37" s="539">
        <f t="shared" si="3"/>
        <v>0</v>
      </c>
      <c r="H37" s="539">
        <f t="shared" si="3"/>
        <v>0</v>
      </c>
      <c r="I37" s="539">
        <f t="shared" si="3"/>
        <v>0</v>
      </c>
      <c r="J37" s="539">
        <f t="shared" si="3"/>
        <v>0</v>
      </c>
      <c r="K37" s="539">
        <f t="shared" si="3"/>
        <v>0</v>
      </c>
      <c r="L37" s="539">
        <f t="shared" si="3"/>
        <v>0</v>
      </c>
      <c r="M37" s="539">
        <f t="shared" si="3"/>
        <v>0</v>
      </c>
      <c r="N37" s="539">
        <f t="shared" si="3"/>
        <v>0</v>
      </c>
      <c r="O37" s="539">
        <f t="shared" si="3"/>
        <v>0</v>
      </c>
      <c r="P37" s="539">
        <f t="shared" si="3"/>
        <v>0</v>
      </c>
      <c r="Q37" s="539">
        <f t="shared" si="3"/>
        <v>0</v>
      </c>
      <c r="R37" s="539">
        <f t="shared" si="3"/>
        <v>0</v>
      </c>
      <c r="S37" s="539">
        <f t="shared" si="3"/>
        <v>0</v>
      </c>
      <c r="T37" s="539">
        <f t="shared" si="3"/>
        <v>0</v>
      </c>
      <c r="U37" s="539">
        <f t="shared" si="3"/>
        <v>0</v>
      </c>
      <c r="V37" s="539">
        <f t="shared" si="3"/>
        <v>0</v>
      </c>
      <c r="W37" s="539">
        <f t="shared" si="3"/>
        <v>0</v>
      </c>
      <c r="X37" s="539">
        <f t="shared" si="3"/>
        <v>0</v>
      </c>
      <c r="Y37" s="539">
        <f t="shared" si="3"/>
        <v>0</v>
      </c>
      <c r="Z37" s="539">
        <f t="shared" si="3"/>
        <v>0</v>
      </c>
      <c r="AA37" s="539">
        <f t="shared" si="3"/>
        <v>0</v>
      </c>
      <c r="AB37" s="539">
        <f t="shared" si="3"/>
        <v>0</v>
      </c>
      <c r="AC37" s="539">
        <f t="shared" si="3"/>
        <v>0</v>
      </c>
      <c r="AD37" s="539">
        <f t="shared" si="3"/>
        <v>0</v>
      </c>
      <c r="AE37" s="539">
        <f>SUM(AE2:AE36)</f>
        <v>0</v>
      </c>
      <c r="AF37" s="539">
        <f>SUM(AF2:AF36)</f>
        <v>0</v>
      </c>
      <c r="AG37" s="539">
        <f t="shared" si="3"/>
        <v>0</v>
      </c>
      <c r="AH37" s="539">
        <f t="shared" si="3"/>
        <v>0</v>
      </c>
      <c r="AI37" s="539">
        <f t="shared" si="1"/>
        <v>0</v>
      </c>
      <c r="AJ37" s="512">
        <f>SUM(AJ2:AJ36)</f>
        <v>0</v>
      </c>
      <c r="AK37" s="512">
        <f>SUM(AK2:AK36)</f>
        <v>122000</v>
      </c>
    </row>
    <row r="38" spans="1:37">
      <c r="B38" s="569"/>
      <c r="D38" s="539"/>
      <c r="E38" s="539"/>
      <c r="F38" s="539"/>
      <c r="G38" s="539"/>
      <c r="H38" s="539"/>
      <c r="I38" s="539"/>
      <c r="J38" s="539"/>
      <c r="K38" s="539"/>
      <c r="L38" s="539"/>
      <c r="M38" s="539"/>
      <c r="N38" s="539"/>
      <c r="O38" s="539"/>
      <c r="P38" s="539"/>
      <c r="Q38" s="539"/>
      <c r="R38" s="539"/>
      <c r="S38" s="539"/>
      <c r="T38" s="539"/>
      <c r="U38" s="539"/>
      <c r="V38" s="539"/>
      <c r="W38" s="539"/>
      <c r="X38" s="539"/>
      <c r="Y38" s="539"/>
      <c r="Z38" s="539"/>
      <c r="AA38" s="539"/>
      <c r="AB38" s="539"/>
      <c r="AC38" s="539"/>
      <c r="AD38" s="539"/>
      <c r="AE38" s="539"/>
      <c r="AF38" s="539"/>
      <c r="AG38" s="539"/>
      <c r="AH38" s="539"/>
      <c r="AI38" s="539"/>
      <c r="AJ38" s="513"/>
    </row>
    <row r="39" spans="1:37" ht="11">
      <c r="A39" s="536"/>
      <c r="B39" s="570" t="s">
        <v>63</v>
      </c>
      <c r="C39" s="538" t="s">
        <v>64</v>
      </c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 s="539"/>
      <c r="P39" s="539"/>
      <c r="Q39" s="539"/>
      <c r="R39" s="539"/>
      <c r="S39" s="539"/>
      <c r="T39" s="539"/>
      <c r="U39" s="539"/>
      <c r="V39" s="539"/>
      <c r="W39" s="539"/>
      <c r="X39" s="539"/>
      <c r="Y39" s="539"/>
      <c r="Z39" s="539"/>
      <c r="AA39" s="539"/>
      <c r="AB39" s="539"/>
      <c r="AC39" s="539"/>
      <c r="AD39" s="539"/>
      <c r="AE39" s="539"/>
      <c r="AF39" s="539"/>
      <c r="AG39" s="539"/>
      <c r="AH39" s="539"/>
      <c r="AI39" s="539">
        <f t="shared" ref="AI39:AI45" si="4">SUM(D39:AH39)</f>
        <v>0</v>
      </c>
      <c r="AJ39" s="515">
        <f>SUM(AI39:AI41)</f>
        <v>0</v>
      </c>
      <c r="AK39" s="516"/>
    </row>
    <row r="40" spans="1:37" ht="11">
      <c r="A40" s="543"/>
      <c r="B40" s="571" t="s">
        <v>62</v>
      </c>
      <c r="C40" s="572" t="s">
        <v>65</v>
      </c>
      <c r="D40" s="547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  <c r="P40" s="539"/>
      <c r="Q40" s="539"/>
      <c r="R40" s="539"/>
      <c r="S40" s="539"/>
      <c r="T40" s="539"/>
      <c r="U40" s="539"/>
      <c r="V40" s="539"/>
      <c r="W40" s="539"/>
      <c r="X40" s="539"/>
      <c r="Y40" s="539"/>
      <c r="Z40" s="539"/>
      <c r="AA40" s="539"/>
      <c r="AB40" s="539"/>
      <c r="AC40" s="539"/>
      <c r="AD40" s="539"/>
      <c r="AE40" s="539"/>
      <c r="AF40" s="539"/>
      <c r="AG40" s="539"/>
      <c r="AH40" s="539"/>
      <c r="AI40" s="539">
        <f t="shared" si="4"/>
        <v>0</v>
      </c>
      <c r="AJ40" s="517"/>
      <c r="AK40" s="518"/>
    </row>
    <row r="41" spans="1:37" ht="11">
      <c r="A41" s="543"/>
      <c r="B41" s="520"/>
      <c r="C41" s="538" t="s">
        <v>73</v>
      </c>
      <c r="D41" s="547"/>
      <c r="E41" s="547"/>
      <c r="F41" s="547"/>
      <c r="G41" s="547"/>
      <c r="H41" s="547"/>
      <c r="I41" s="547"/>
      <c r="J41" s="547"/>
      <c r="K41" s="547"/>
      <c r="L41" s="547"/>
      <c r="M41" s="547"/>
      <c r="N41" s="547"/>
      <c r="O41" s="547"/>
      <c r="P41" s="547"/>
      <c r="Q41" s="547"/>
      <c r="R41" s="547"/>
      <c r="S41" s="547"/>
      <c r="T41" s="547"/>
      <c r="U41" s="547"/>
      <c r="V41" s="547"/>
      <c r="W41" s="547"/>
      <c r="X41" s="547"/>
      <c r="Y41" s="547"/>
      <c r="Z41" s="547"/>
      <c r="AA41" s="547"/>
      <c r="AB41" s="547"/>
      <c r="AC41" s="547"/>
      <c r="AD41" s="547"/>
      <c r="AE41" s="547"/>
      <c r="AF41" s="547"/>
      <c r="AG41" s="547"/>
      <c r="AH41" s="547"/>
      <c r="AI41" s="539">
        <f t="shared" si="4"/>
        <v>0</v>
      </c>
      <c r="AJ41" s="519"/>
      <c r="AK41" s="520"/>
    </row>
    <row r="42" spans="1:37" ht="11">
      <c r="A42" s="554" t="s">
        <v>62</v>
      </c>
      <c r="B42" s="522"/>
      <c r="C42" s="557" t="s">
        <v>66</v>
      </c>
      <c r="D42" s="547"/>
      <c r="E42" s="547"/>
      <c r="F42" s="547"/>
      <c r="G42" s="547"/>
      <c r="H42" s="547"/>
      <c r="I42" s="547"/>
      <c r="J42" s="547"/>
      <c r="K42" s="547"/>
      <c r="L42" s="547"/>
      <c r="M42" s="547"/>
      <c r="N42" s="547"/>
      <c r="O42" s="547"/>
      <c r="P42" s="547"/>
      <c r="Q42" s="547"/>
      <c r="R42" s="547"/>
      <c r="S42" s="547"/>
      <c r="T42" s="547"/>
      <c r="U42" s="547"/>
      <c r="V42" s="547"/>
      <c r="W42" s="547"/>
      <c r="X42" s="547"/>
      <c r="Y42" s="547"/>
      <c r="Z42" s="547"/>
      <c r="AA42" s="547"/>
      <c r="AB42" s="547"/>
      <c r="AC42" s="547"/>
      <c r="AD42" s="547"/>
      <c r="AE42" s="547"/>
      <c r="AF42" s="547"/>
      <c r="AG42" s="547"/>
      <c r="AH42" s="547"/>
      <c r="AI42" s="539">
        <f t="shared" si="4"/>
        <v>0</v>
      </c>
      <c r="AJ42" s="521">
        <f>AI42</f>
        <v>0</v>
      </c>
      <c r="AK42" s="522"/>
    </row>
    <row r="43" spans="1:37" ht="11">
      <c r="A43" s="543"/>
      <c r="B43" s="573" t="s">
        <v>58</v>
      </c>
      <c r="C43" s="538" t="s">
        <v>67</v>
      </c>
      <c r="D43" s="547"/>
      <c r="E43" s="547"/>
      <c r="F43" s="547"/>
      <c r="G43" s="547"/>
      <c r="H43" s="547"/>
      <c r="I43" s="547"/>
      <c r="J43" s="547"/>
      <c r="K43" s="547"/>
      <c r="L43" s="547"/>
      <c r="M43" s="547"/>
      <c r="N43" s="547"/>
      <c r="O43" s="547"/>
      <c r="P43" s="547"/>
      <c r="Q43" s="547"/>
      <c r="R43" s="547"/>
      <c r="S43" s="547"/>
      <c r="T43" s="547"/>
      <c r="U43" s="547"/>
      <c r="V43" s="547"/>
      <c r="W43" s="547"/>
      <c r="X43" s="547"/>
      <c r="Y43" s="547"/>
      <c r="Z43" s="547"/>
      <c r="AA43" s="547"/>
      <c r="AB43" s="547"/>
      <c r="AC43" s="547"/>
      <c r="AD43" s="547"/>
      <c r="AE43" s="547"/>
      <c r="AF43" s="547"/>
      <c r="AG43" s="547"/>
      <c r="AH43" s="547"/>
      <c r="AI43" s="539">
        <f t="shared" si="4"/>
        <v>0</v>
      </c>
      <c r="AJ43" s="523">
        <f>SUM(AI43:AI44)</f>
        <v>0</v>
      </c>
      <c r="AK43" s="524"/>
    </row>
    <row r="44" spans="1:37" ht="11">
      <c r="A44" s="543"/>
      <c r="B44" s="526"/>
      <c r="C44" s="538" t="s">
        <v>58</v>
      </c>
      <c r="D44" s="547"/>
      <c r="E44" s="547"/>
      <c r="F44" s="547"/>
      <c r="G44" s="547"/>
      <c r="H44" s="547"/>
      <c r="I44" s="547"/>
      <c r="J44" s="547"/>
      <c r="K44" s="547"/>
      <c r="L44" s="547"/>
      <c r="M44" s="547"/>
      <c r="N44" s="547"/>
      <c r="O44" s="547"/>
      <c r="P44" s="547"/>
      <c r="Q44" s="547"/>
      <c r="R44" s="547"/>
      <c r="S44" s="547"/>
      <c r="T44" s="547"/>
      <c r="U44" s="547"/>
      <c r="V44" s="547"/>
      <c r="W44" s="547"/>
      <c r="X44" s="547"/>
      <c r="Y44" s="547"/>
      <c r="Z44" s="547"/>
      <c r="AA44" s="547"/>
      <c r="AB44" s="547"/>
      <c r="AC44" s="547"/>
      <c r="AD44" s="547"/>
      <c r="AE44" s="547"/>
      <c r="AF44" s="547"/>
      <c r="AG44" s="547"/>
      <c r="AH44" s="547"/>
      <c r="AI44" s="539">
        <f t="shared" si="4"/>
        <v>0</v>
      </c>
      <c r="AJ44" s="525"/>
      <c r="AK44" s="526"/>
    </row>
    <row r="45" spans="1:37" ht="11">
      <c r="A45" s="566"/>
      <c r="B45" s="574" t="s">
        <v>68</v>
      </c>
      <c r="C45" s="568"/>
      <c r="D45" s="539">
        <f t="shared" ref="D45:AH45" si="5">SUM(D39:D44)</f>
        <v>0</v>
      </c>
      <c r="E45" s="539">
        <f t="shared" si="5"/>
        <v>0</v>
      </c>
      <c r="F45" s="539">
        <f t="shared" si="5"/>
        <v>0</v>
      </c>
      <c r="G45" s="539">
        <f t="shared" si="5"/>
        <v>0</v>
      </c>
      <c r="H45" s="539">
        <f t="shared" si="5"/>
        <v>0</v>
      </c>
      <c r="I45" s="539">
        <f t="shared" si="5"/>
        <v>0</v>
      </c>
      <c r="J45" s="539">
        <f t="shared" si="5"/>
        <v>0</v>
      </c>
      <c r="K45" s="539">
        <f t="shared" si="5"/>
        <v>0</v>
      </c>
      <c r="L45" s="539">
        <f t="shared" si="5"/>
        <v>0</v>
      </c>
      <c r="M45" s="539">
        <f t="shared" si="5"/>
        <v>0</v>
      </c>
      <c r="N45" s="539">
        <f t="shared" si="5"/>
        <v>0</v>
      </c>
      <c r="O45" s="539">
        <f t="shared" si="5"/>
        <v>0</v>
      </c>
      <c r="P45" s="539">
        <f t="shared" si="5"/>
        <v>0</v>
      </c>
      <c r="Q45" s="539">
        <f t="shared" si="5"/>
        <v>0</v>
      </c>
      <c r="R45" s="539">
        <f t="shared" si="5"/>
        <v>0</v>
      </c>
      <c r="S45" s="539">
        <f t="shared" si="5"/>
        <v>0</v>
      </c>
      <c r="T45" s="539">
        <f t="shared" si="5"/>
        <v>0</v>
      </c>
      <c r="U45" s="539">
        <f t="shared" si="5"/>
        <v>0</v>
      </c>
      <c r="V45" s="539">
        <f t="shared" si="5"/>
        <v>0</v>
      </c>
      <c r="W45" s="539">
        <f t="shared" si="5"/>
        <v>0</v>
      </c>
      <c r="X45" s="539">
        <f t="shared" si="5"/>
        <v>0</v>
      </c>
      <c r="Y45" s="539">
        <f t="shared" si="5"/>
        <v>0</v>
      </c>
      <c r="Z45" s="539">
        <f t="shared" si="5"/>
        <v>0</v>
      </c>
      <c r="AA45" s="539">
        <f t="shared" si="5"/>
        <v>0</v>
      </c>
      <c r="AB45" s="539">
        <f t="shared" si="5"/>
        <v>0</v>
      </c>
      <c r="AC45" s="539">
        <f t="shared" si="5"/>
        <v>0</v>
      </c>
      <c r="AD45" s="539">
        <f t="shared" si="5"/>
        <v>0</v>
      </c>
      <c r="AE45" s="539">
        <f t="shared" si="5"/>
        <v>0</v>
      </c>
      <c r="AF45" s="539">
        <f t="shared" si="5"/>
        <v>0</v>
      </c>
      <c r="AG45" s="539">
        <f t="shared" si="5"/>
        <v>0</v>
      </c>
      <c r="AH45" s="539">
        <f t="shared" si="5"/>
        <v>0</v>
      </c>
      <c r="AI45" s="539">
        <f t="shared" si="4"/>
        <v>0</v>
      </c>
      <c r="AJ45" s="527">
        <f>SUM(AI39:AI44)</f>
        <v>0</v>
      </c>
      <c r="AK45" s="528"/>
    </row>
    <row r="46" spans="1:37" ht="11">
      <c r="W46" s="575"/>
      <c r="AE46" s="575"/>
      <c r="AF46" s="575"/>
      <c r="AG46" s="575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"/>
  <cols>
    <col min="1" max="1" width="7.81640625" style="108" customWidth="1"/>
    <col min="2" max="2" width="4.81640625" style="108" customWidth="1"/>
    <col min="3" max="3" width="12.08984375" style="108" bestFit="1" customWidth="1"/>
    <col min="4" max="34" width="6.26953125" style="108" customWidth="1"/>
    <col min="35" max="35" width="8.36328125" style="108" bestFit="1" customWidth="1"/>
    <col min="36" max="37" width="10.08984375" style="108" bestFit="1" customWidth="1"/>
    <col min="38" max="38" width="9" style="108" bestFit="1"/>
    <col min="39" max="16384" width="9" style="108"/>
  </cols>
  <sheetData>
    <row r="1" spans="1:37" ht="11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15"/>
      <c r="B6" s="121"/>
      <c r="C6" s="335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1">
      <c r="A7" s="115"/>
      <c r="B7" s="121"/>
      <c r="C7" s="335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1">
      <c r="A18" s="115"/>
      <c r="B18" s="131"/>
      <c r="C18" s="133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1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43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34">
        <f>SUM(AI29:AI31)</f>
        <v>0</v>
      </c>
      <c r="AK29" s="634">
        <v>20000</v>
      </c>
    </row>
    <row r="30" spans="1:37" ht="10.5">
      <c r="A30" s="115"/>
      <c r="B30" s="644"/>
      <c r="C30" s="336" t="s">
        <v>142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35"/>
      <c r="AK30" s="635"/>
    </row>
    <row r="31" spans="1:37" ht="11">
      <c r="A31" s="115"/>
      <c r="B31" s="645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36"/>
      <c r="AK31" s="636"/>
    </row>
    <row r="32" spans="1:37" ht="11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1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32"/>
  <sheetViews>
    <sheetView topLeftCell="H4" zoomScale="90" zoomScaleNormal="90" workbookViewId="0">
      <selection activeCell="T29" sqref="T29"/>
    </sheetView>
  </sheetViews>
  <sheetFormatPr defaultRowHeight="12.5"/>
  <cols>
    <col min="18" max="18" width="11" bestFit="1" customWidth="1"/>
    <col min="19" max="19" width="13.7265625" bestFit="1" customWidth="1"/>
    <col min="21" max="21" width="12.7265625" customWidth="1"/>
  </cols>
  <sheetData>
    <row r="1" spans="18:21">
      <c r="R1" t="s">
        <v>265</v>
      </c>
    </row>
    <row r="2" spans="18:21" ht="17">
      <c r="R2" s="463">
        <v>39459</v>
      </c>
      <c r="U2" s="607" t="s">
        <v>383</v>
      </c>
    </row>
    <row r="3" spans="18:21">
      <c r="R3" s="463">
        <v>39825</v>
      </c>
      <c r="S3" s="460">
        <f>7200</f>
        <v>7200</v>
      </c>
      <c r="U3" t="s">
        <v>379</v>
      </c>
    </row>
    <row r="4" spans="18:21">
      <c r="R4" s="463">
        <v>40190</v>
      </c>
      <c r="S4" s="460">
        <f>7200</f>
        <v>7200</v>
      </c>
      <c r="U4" t="s">
        <v>380</v>
      </c>
    </row>
    <row r="5" spans="18:21">
      <c r="R5" s="463">
        <v>40555</v>
      </c>
      <c r="S5" s="460">
        <f>7200</f>
        <v>7200</v>
      </c>
    </row>
    <row r="6" spans="18:21">
      <c r="R6" s="463">
        <v>40920</v>
      </c>
      <c r="S6" s="460">
        <f>7200</f>
        <v>7200</v>
      </c>
    </row>
    <row r="7" spans="18:21">
      <c r="R7" s="463">
        <v>41286</v>
      </c>
      <c r="S7" s="460">
        <f>7200</f>
        <v>7200</v>
      </c>
    </row>
    <row r="8" spans="18:21">
      <c r="R8" s="463">
        <v>41651</v>
      </c>
      <c r="S8" s="460">
        <f>7200</f>
        <v>7200</v>
      </c>
    </row>
    <row r="9" spans="18:21">
      <c r="R9" s="463">
        <v>42016</v>
      </c>
      <c r="S9" s="460">
        <f>7200</f>
        <v>7200</v>
      </c>
    </row>
    <row r="10" spans="18:21">
      <c r="R10" s="463">
        <v>42259</v>
      </c>
      <c r="S10" s="460">
        <f>600*9</f>
        <v>5400</v>
      </c>
    </row>
    <row r="11" spans="18:21">
      <c r="R11" s="492" t="s">
        <v>266</v>
      </c>
      <c r="S11" s="492"/>
    </row>
    <row r="12" spans="18:21">
      <c r="R12" t="s">
        <v>267</v>
      </c>
      <c r="S12" s="485">
        <f>SUM(S3:S10)</f>
        <v>55800</v>
      </c>
      <c r="U12" s="485"/>
    </row>
    <row r="13" spans="18:21">
      <c r="R13" t="s">
        <v>268</v>
      </c>
      <c r="S13" s="485">
        <v>6050</v>
      </c>
    </row>
    <row r="14" spans="18:21" ht="13.5" thickBot="1">
      <c r="R14" s="490" t="s">
        <v>269</v>
      </c>
      <c r="S14" s="491">
        <f>S12-S13</f>
        <v>49750</v>
      </c>
    </row>
    <row r="15" spans="18:21" ht="13" thickTop="1">
      <c r="R15" s="463">
        <v>42282</v>
      </c>
      <c r="S15" s="485"/>
    </row>
    <row r="16" spans="18:21">
      <c r="R16" t="s">
        <v>270</v>
      </c>
      <c r="S16" s="485">
        <v>30000</v>
      </c>
    </row>
    <row r="17" spans="18:23" ht="13">
      <c r="R17" s="389" t="s">
        <v>271</v>
      </c>
      <c r="S17" s="606">
        <f>S14-S16</f>
        <v>19750</v>
      </c>
    </row>
    <row r="18" spans="18:23">
      <c r="S18" s="485"/>
    </row>
    <row r="19" spans="18:23" ht="13.5">
      <c r="S19" s="485"/>
      <c r="U19" s="338" t="s">
        <v>377</v>
      </c>
    </row>
    <row r="20" spans="18:23" ht="13">
      <c r="U20" s="606">
        <f>S17-S32</f>
        <v>9017</v>
      </c>
    </row>
    <row r="22" spans="18:23">
      <c r="R22" s="463">
        <v>42289</v>
      </c>
      <c r="S22" s="460">
        <v>300</v>
      </c>
    </row>
    <row r="23" spans="18:23">
      <c r="R23" s="463">
        <v>42320</v>
      </c>
      <c r="S23" s="460">
        <v>300</v>
      </c>
    </row>
    <row r="24" spans="18:23">
      <c r="R24" s="463">
        <v>42350</v>
      </c>
      <c r="S24" s="460">
        <v>300</v>
      </c>
    </row>
    <row r="25" spans="18:23" ht="13.5">
      <c r="R25" s="463">
        <v>42716</v>
      </c>
      <c r="S25" s="460">
        <f>300*12</f>
        <v>3600</v>
      </c>
      <c r="W25" s="338"/>
    </row>
    <row r="26" spans="18:23" ht="13.5">
      <c r="R26" s="463">
        <v>42797</v>
      </c>
      <c r="S26" s="460">
        <f>300*3</f>
        <v>900</v>
      </c>
      <c r="W26" s="338"/>
    </row>
    <row r="27" spans="18:23" ht="13.5">
      <c r="R27" s="463">
        <v>43072</v>
      </c>
      <c r="S27" s="460">
        <v>2700</v>
      </c>
      <c r="W27" s="338"/>
    </row>
    <row r="28" spans="18:23" ht="13.5">
      <c r="R28" s="463">
        <v>43162</v>
      </c>
      <c r="S28" s="460">
        <f>300*3</f>
        <v>900</v>
      </c>
      <c r="U28" s="338" t="s">
        <v>375</v>
      </c>
    </row>
    <row r="29" spans="18:23" ht="13.5" thickBot="1">
      <c r="R29" s="490" t="s">
        <v>269</v>
      </c>
      <c r="S29" s="491">
        <f>SUM(S22:S28)+S14</f>
        <v>58750</v>
      </c>
      <c r="U29" s="485">
        <f>S29-53400</f>
        <v>5350</v>
      </c>
    </row>
    <row r="30" spans="18:23" ht="14" thickTop="1">
      <c r="R30" s="463">
        <v>42828</v>
      </c>
      <c r="U30" s="338" t="s">
        <v>376</v>
      </c>
    </row>
    <row r="31" spans="18:23" ht="13.5">
      <c r="R31" t="s">
        <v>270</v>
      </c>
      <c r="S31" s="485">
        <v>48017</v>
      </c>
      <c r="T31" s="338" t="s">
        <v>403</v>
      </c>
      <c r="U31" s="485">
        <f>S31*7.5%</f>
        <v>3601.2750000000001</v>
      </c>
    </row>
    <row r="32" spans="18:23" ht="13">
      <c r="R32" s="389" t="s">
        <v>271</v>
      </c>
      <c r="S32" s="606">
        <f>S29-S31</f>
        <v>10733</v>
      </c>
    </row>
  </sheetData>
  <phoneticPr fontId="18" type="noConversion"/>
  <hyperlinks>
    <hyperlink ref="U2" r:id="rId1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5"/>
  <cols>
    <col min="7" max="7" width="22.36328125" bestFit="1" customWidth="1"/>
    <col min="8" max="8" width="11" bestFit="1" customWidth="1"/>
    <col min="9" max="9" width="21" style="460"/>
  </cols>
  <sheetData>
    <row r="1" spans="1:9">
      <c r="A1" s="624" t="s">
        <v>228</v>
      </c>
      <c r="B1" s="624" t="s">
        <v>229</v>
      </c>
      <c r="C1" s="624" t="s">
        <v>230</v>
      </c>
      <c r="D1" s="624" t="s">
        <v>18</v>
      </c>
      <c r="E1" s="624" t="s">
        <v>231</v>
      </c>
      <c r="F1" s="624" t="s">
        <v>232</v>
      </c>
      <c r="G1" s="456" t="s">
        <v>233</v>
      </c>
    </row>
    <row r="2" spans="1:9">
      <c r="A2" s="624"/>
      <c r="B2" s="624"/>
      <c r="C2" s="624"/>
      <c r="D2" s="624"/>
      <c r="E2" s="624"/>
      <c r="F2" s="624"/>
      <c r="G2" s="456" t="s">
        <v>234</v>
      </c>
    </row>
    <row r="3" spans="1:9">
      <c r="A3" s="451">
        <v>41775.284722222219</v>
      </c>
      <c r="B3" s="452">
        <v>41775</v>
      </c>
      <c r="C3" s="453" t="s">
        <v>227</v>
      </c>
      <c r="D3" s="454">
        <v>1676</v>
      </c>
      <c r="E3" s="455"/>
      <c r="F3" s="454">
        <v>-927098</v>
      </c>
      <c r="G3" s="458" t="s">
        <v>235</v>
      </c>
      <c r="H3" t="s">
        <v>240</v>
      </c>
      <c r="I3" s="460">
        <v>209829</v>
      </c>
    </row>
    <row r="4" spans="1:9">
      <c r="A4" s="446">
        <v>41775.284722222219</v>
      </c>
      <c r="B4" s="447">
        <v>41775</v>
      </c>
      <c r="C4" s="448" t="s">
        <v>227</v>
      </c>
      <c r="D4" s="449">
        <v>10475</v>
      </c>
      <c r="E4" s="450"/>
      <c r="F4" s="449">
        <v>-937770</v>
      </c>
      <c r="G4" s="457" t="s">
        <v>236</v>
      </c>
      <c r="H4" t="s">
        <v>241</v>
      </c>
      <c r="I4" s="460">
        <v>1311557</v>
      </c>
    </row>
    <row r="5" spans="1:9">
      <c r="A5" s="451">
        <v>41775.284722222219</v>
      </c>
      <c r="B5" s="452">
        <v>41775</v>
      </c>
      <c r="C5" s="453" t="s">
        <v>227</v>
      </c>
      <c r="D5" s="454">
        <v>6343</v>
      </c>
      <c r="E5" s="455"/>
      <c r="F5" s="454">
        <v>-944232</v>
      </c>
      <c r="G5" s="458" t="s">
        <v>237</v>
      </c>
      <c r="H5" t="s">
        <v>242</v>
      </c>
      <c r="I5" s="460">
        <v>794126</v>
      </c>
    </row>
    <row r="6" spans="1:9">
      <c r="A6" s="446">
        <v>41790.178472222222</v>
      </c>
      <c r="B6" s="447">
        <v>41793</v>
      </c>
      <c r="C6" s="448" t="s">
        <v>227</v>
      </c>
      <c r="D6" s="449">
        <v>1453</v>
      </c>
      <c r="E6" s="450"/>
      <c r="F6" s="449">
        <v>-899694</v>
      </c>
      <c r="G6" s="457" t="s">
        <v>238</v>
      </c>
      <c r="H6" t="s">
        <v>240</v>
      </c>
      <c r="I6" s="460">
        <v>229373</v>
      </c>
    </row>
    <row r="7" spans="1:9">
      <c r="A7" s="451">
        <v>41790.178472222222</v>
      </c>
      <c r="B7" s="452">
        <v>41793</v>
      </c>
      <c r="C7" s="453" t="s">
        <v>227</v>
      </c>
      <c r="D7" s="454">
        <v>15977</v>
      </c>
      <c r="E7" s="455"/>
      <c r="F7" s="454">
        <v>-916044</v>
      </c>
      <c r="G7" s="458" t="s">
        <v>239</v>
      </c>
      <c r="H7" t="s">
        <v>241</v>
      </c>
      <c r="I7" s="460">
        <v>2523454</v>
      </c>
    </row>
    <row r="8" spans="1:9" ht="13" thickBot="1">
      <c r="A8" s="446"/>
      <c r="B8" s="447"/>
      <c r="C8" s="448"/>
      <c r="D8" s="459">
        <f>SUM(D3:D7)</f>
        <v>35924</v>
      </c>
      <c r="E8" s="450"/>
      <c r="F8" s="449"/>
      <c r="G8" s="457"/>
      <c r="I8" s="461">
        <f>SUM(I3:I7)</f>
        <v>5068339</v>
      </c>
    </row>
    <row r="9" spans="1:9" ht="13.5">
      <c r="C9" s="338" t="s">
        <v>260</v>
      </c>
      <c r="D9" s="454">
        <v>36161</v>
      </c>
    </row>
    <row r="10" spans="1:9" ht="13.5">
      <c r="C10" s="338" t="s">
        <v>261</v>
      </c>
      <c r="D10" s="479">
        <v>10000</v>
      </c>
    </row>
    <row r="11" spans="1:9" ht="13.5">
      <c r="C11" s="338" t="s">
        <v>381</v>
      </c>
      <c r="D11" s="454">
        <v>40000</v>
      </c>
    </row>
    <row r="12" spans="1:9" ht="13.5">
      <c r="C12" s="338" t="s">
        <v>262</v>
      </c>
      <c r="D12" s="479">
        <v>5000</v>
      </c>
    </row>
    <row r="13" spans="1:9" ht="14" thickBot="1">
      <c r="C13" s="481" t="s">
        <v>263</v>
      </c>
      <c r="D13" s="480">
        <f>SUM(D8:D12)</f>
        <v>127085</v>
      </c>
      <c r="E13" s="480">
        <v>124112</v>
      </c>
      <c r="F13" s="480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5"/>
  <cols>
    <col min="1" max="1" width="10.08984375" bestFit="1" customWidth="1"/>
    <col min="2" max="3" width="11.08984375" style="464" bestFit="1" customWidth="1"/>
    <col min="6" max="6" width="11.08984375" bestFit="1" customWidth="1"/>
  </cols>
  <sheetData>
    <row r="1" spans="1:8">
      <c r="B1" s="464">
        <f>SUM(B3:B65)</f>
        <v>765750</v>
      </c>
      <c r="C1" s="464">
        <f>SUM(C3:C65)</f>
        <v>730000</v>
      </c>
    </row>
    <row r="2" spans="1:8">
      <c r="A2" t="s">
        <v>69</v>
      </c>
      <c r="B2" s="464" t="s">
        <v>243</v>
      </c>
      <c r="C2" s="464" t="s">
        <v>244</v>
      </c>
    </row>
    <row r="3" spans="1:8">
      <c r="A3" s="463">
        <v>40483</v>
      </c>
      <c r="B3" s="464">
        <v>8100</v>
      </c>
      <c r="C3" s="464">
        <v>10000</v>
      </c>
      <c r="E3" t="s">
        <v>245</v>
      </c>
      <c r="F3" s="464">
        <v>800000</v>
      </c>
      <c r="G3" t="s">
        <v>246</v>
      </c>
      <c r="H3" s="467">
        <f>F3-B1</f>
        <v>34250</v>
      </c>
    </row>
    <row r="4" spans="1:8">
      <c r="A4" s="463">
        <v>40519</v>
      </c>
      <c r="B4" s="464">
        <v>10000</v>
      </c>
      <c r="C4" s="464">
        <v>10000</v>
      </c>
      <c r="G4" t="s">
        <v>247</v>
      </c>
      <c r="H4" s="467">
        <v>70000</v>
      </c>
    </row>
    <row r="5" spans="1:8">
      <c r="A5" s="463">
        <v>40553</v>
      </c>
      <c r="B5" s="464">
        <v>14750</v>
      </c>
      <c r="C5" s="464">
        <v>10000</v>
      </c>
      <c r="G5" t="s">
        <v>248</v>
      </c>
      <c r="H5" s="467">
        <f>H4-H3</f>
        <v>35750</v>
      </c>
    </row>
    <row r="6" spans="1:8">
      <c r="A6" s="463">
        <v>40582</v>
      </c>
      <c r="B6" s="464">
        <v>10000</v>
      </c>
      <c r="C6" s="464">
        <v>10000</v>
      </c>
    </row>
    <row r="7" spans="1:8">
      <c r="A7" s="463">
        <v>40606</v>
      </c>
      <c r="B7" s="464">
        <v>10000</v>
      </c>
      <c r="C7" s="464">
        <v>10000</v>
      </c>
      <c r="G7" s="467">
        <v>321780</v>
      </c>
      <c r="H7" s="467">
        <f>G7-H5</f>
        <v>286030</v>
      </c>
    </row>
    <row r="8" spans="1:8">
      <c r="A8" s="463">
        <v>40644</v>
      </c>
      <c r="B8" s="464">
        <v>20000</v>
      </c>
      <c r="C8" s="464">
        <v>20000</v>
      </c>
    </row>
    <row r="9" spans="1:8">
      <c r="A9" s="463">
        <v>40667</v>
      </c>
      <c r="B9" s="464">
        <v>14000</v>
      </c>
      <c r="C9" s="464">
        <v>20000</v>
      </c>
    </row>
    <row r="10" spans="1:8">
      <c r="A10" s="463">
        <v>40701</v>
      </c>
      <c r="B10" s="464">
        <v>20000</v>
      </c>
      <c r="C10" s="464">
        <v>20000</v>
      </c>
    </row>
    <row r="11" spans="1:8">
      <c r="A11" s="463">
        <v>40737</v>
      </c>
      <c r="B11" s="464">
        <v>21300</v>
      </c>
      <c r="C11" s="464">
        <v>20000</v>
      </c>
    </row>
    <row r="12" spans="1:8">
      <c r="A12" s="463">
        <v>40763</v>
      </c>
      <c r="B12" s="464">
        <v>20000</v>
      </c>
      <c r="C12" s="464">
        <v>20000</v>
      </c>
    </row>
    <row r="13" spans="1:8">
      <c r="A13" s="463">
        <v>40798</v>
      </c>
      <c r="B13" s="464">
        <v>12000</v>
      </c>
      <c r="C13" s="464">
        <v>20000</v>
      </c>
    </row>
    <row r="14" spans="1:8">
      <c r="A14" s="463">
        <v>40826</v>
      </c>
      <c r="B14" s="464">
        <v>29500</v>
      </c>
      <c r="C14" s="464">
        <v>20000</v>
      </c>
    </row>
    <row r="15" spans="1:8">
      <c r="A15" s="463">
        <v>40859</v>
      </c>
      <c r="B15" s="464">
        <v>20000</v>
      </c>
      <c r="C15" s="464">
        <v>20000</v>
      </c>
    </row>
    <row r="16" spans="1:8">
      <c r="A16" s="463">
        <v>40890</v>
      </c>
      <c r="B16" s="464">
        <v>20000</v>
      </c>
      <c r="C16" s="464">
        <v>20000</v>
      </c>
    </row>
    <row r="17" spans="1:3">
      <c r="A17" s="463">
        <v>40916</v>
      </c>
      <c r="B17" s="464">
        <v>29500</v>
      </c>
      <c r="C17" s="464">
        <v>20000</v>
      </c>
    </row>
    <row r="18" spans="1:3">
      <c r="A18" s="463">
        <v>40941</v>
      </c>
      <c r="B18" s="464">
        <v>20000</v>
      </c>
      <c r="C18" s="464">
        <v>20000</v>
      </c>
    </row>
    <row r="19" spans="1:3">
      <c r="A19" s="463">
        <v>40975</v>
      </c>
      <c r="B19" s="464">
        <v>20000</v>
      </c>
      <c r="C19" s="464">
        <v>20000</v>
      </c>
    </row>
    <row r="20" spans="1:3">
      <c r="A20" s="463">
        <v>41012</v>
      </c>
      <c r="B20" s="464">
        <v>20000</v>
      </c>
      <c r="C20" s="464">
        <v>20000</v>
      </c>
    </row>
    <row r="21" spans="1:3">
      <c r="A21" s="463">
        <v>41036</v>
      </c>
      <c r="B21" s="464">
        <v>29500</v>
      </c>
      <c r="C21" s="464">
        <v>20000</v>
      </c>
    </row>
    <row r="22" spans="1:3">
      <c r="A22" s="463">
        <v>41066</v>
      </c>
      <c r="B22" s="464">
        <v>18500</v>
      </c>
      <c r="C22" s="464">
        <v>20000</v>
      </c>
    </row>
    <row r="23" spans="1:3">
      <c r="A23" s="463">
        <v>41093</v>
      </c>
      <c r="B23" s="464">
        <v>20000</v>
      </c>
      <c r="C23" s="464">
        <v>20000</v>
      </c>
    </row>
    <row r="24" spans="1:3">
      <c r="A24" s="463">
        <v>41130</v>
      </c>
      <c r="B24" s="464">
        <v>20000</v>
      </c>
      <c r="C24" s="464">
        <v>20000</v>
      </c>
    </row>
    <row r="25" spans="1:3">
      <c r="A25" s="463">
        <v>41170</v>
      </c>
      <c r="B25" s="464">
        <v>20000</v>
      </c>
      <c r="C25" s="464">
        <v>20000</v>
      </c>
    </row>
    <row r="26" spans="1:3">
      <c r="A26" s="463">
        <v>41187</v>
      </c>
      <c r="B26" s="464">
        <v>20000</v>
      </c>
      <c r="C26" s="464">
        <v>20000</v>
      </c>
    </row>
    <row r="27" spans="1:3">
      <c r="A27" s="463">
        <v>41221</v>
      </c>
      <c r="B27" s="464">
        <v>10000</v>
      </c>
      <c r="C27" s="464">
        <v>10000</v>
      </c>
    </row>
    <row r="28" spans="1:3">
      <c r="A28" s="463">
        <v>41221</v>
      </c>
      <c r="B28" s="464">
        <v>9500</v>
      </c>
      <c r="C28" s="464">
        <v>0</v>
      </c>
    </row>
    <row r="29" spans="1:3">
      <c r="A29" s="463">
        <v>41252</v>
      </c>
      <c r="B29" s="464">
        <v>10000</v>
      </c>
      <c r="C29" s="464">
        <v>10000</v>
      </c>
    </row>
    <row r="30" spans="1:3">
      <c r="A30" s="463">
        <v>41298</v>
      </c>
      <c r="B30" s="464">
        <v>10000</v>
      </c>
      <c r="C30" s="464">
        <v>10000</v>
      </c>
    </row>
    <row r="31" spans="1:3">
      <c r="A31" s="463">
        <v>41324</v>
      </c>
      <c r="B31" s="464">
        <v>11500</v>
      </c>
      <c r="C31" s="464">
        <v>10000</v>
      </c>
    </row>
    <row r="32" spans="1:3">
      <c r="A32" s="463">
        <v>41359</v>
      </c>
      <c r="B32" s="464">
        <v>10000</v>
      </c>
      <c r="C32" s="464">
        <v>10000</v>
      </c>
    </row>
    <row r="33" spans="1:3">
      <c r="A33" s="463">
        <v>41374</v>
      </c>
      <c r="B33" s="464">
        <v>10000</v>
      </c>
      <c r="C33" s="464">
        <v>10000</v>
      </c>
    </row>
    <row r="34" spans="1:3">
      <c r="A34" s="463">
        <v>41414</v>
      </c>
      <c r="B34" s="464">
        <v>19500</v>
      </c>
      <c r="C34" s="464">
        <v>10000</v>
      </c>
    </row>
    <row r="35" spans="1:3">
      <c r="A35" s="463">
        <v>41451</v>
      </c>
      <c r="B35" s="464">
        <v>10000</v>
      </c>
      <c r="C35" s="464">
        <v>10000</v>
      </c>
    </row>
    <row r="36" spans="1:3">
      <c r="A36" s="463">
        <v>41459</v>
      </c>
      <c r="B36" s="464">
        <v>10000</v>
      </c>
      <c r="C36" s="464">
        <v>10000</v>
      </c>
    </row>
    <row r="37" spans="1:3">
      <c r="A37" s="463">
        <v>41541</v>
      </c>
      <c r="B37" s="464">
        <v>8100</v>
      </c>
      <c r="C37" s="464">
        <v>10000</v>
      </c>
    </row>
    <row r="38" spans="1:3">
      <c r="A38" s="463">
        <v>41571</v>
      </c>
      <c r="B38" s="464">
        <v>10000</v>
      </c>
      <c r="C38" s="464">
        <v>10000</v>
      </c>
    </row>
    <row r="39" spans="1:3">
      <c r="A39" s="463">
        <v>41584</v>
      </c>
      <c r="B39" s="464">
        <v>10000</v>
      </c>
      <c r="C39" s="464">
        <v>10000</v>
      </c>
    </row>
    <row r="40" spans="1:3">
      <c r="A40" s="463">
        <v>41613</v>
      </c>
      <c r="B40" s="464">
        <v>20000</v>
      </c>
      <c r="C40" s="464">
        <v>20000</v>
      </c>
    </row>
    <row r="41" spans="1:3">
      <c r="A41" s="463">
        <v>41662</v>
      </c>
      <c r="B41" s="464">
        <v>20000</v>
      </c>
      <c r="C41" s="464">
        <v>20000</v>
      </c>
    </row>
    <row r="42" spans="1:3">
      <c r="A42" s="463">
        <v>41695</v>
      </c>
      <c r="B42" s="464">
        <v>20000</v>
      </c>
      <c r="C42" s="464">
        <v>20000</v>
      </c>
    </row>
    <row r="43" spans="1:3">
      <c r="A43" s="463">
        <v>41704</v>
      </c>
      <c r="B43" s="464">
        <v>20000</v>
      </c>
      <c r="C43" s="464">
        <v>20000</v>
      </c>
    </row>
    <row r="44" spans="1:3">
      <c r="A44" s="463">
        <v>41738</v>
      </c>
      <c r="B44" s="464">
        <v>20000</v>
      </c>
      <c r="C44" s="464">
        <v>20000</v>
      </c>
    </row>
    <row r="45" spans="1:3">
      <c r="A45" s="463">
        <v>41766</v>
      </c>
      <c r="B45" s="464">
        <v>20000</v>
      </c>
      <c r="C45" s="464">
        <v>20000</v>
      </c>
    </row>
    <row r="46" spans="1:3">
      <c r="A46" s="463">
        <v>41811</v>
      </c>
      <c r="B46" s="464">
        <v>20000</v>
      </c>
      <c r="C46" s="464">
        <v>20000</v>
      </c>
    </row>
    <row r="47" spans="1:3">
      <c r="A47" s="463">
        <v>41850</v>
      </c>
      <c r="B47" s="464">
        <v>20000</v>
      </c>
      <c r="C47" s="464">
        <v>20000</v>
      </c>
    </row>
    <row r="48" spans="1:3" ht="13" thickBot="1">
      <c r="A48" s="465">
        <v>41871</v>
      </c>
      <c r="B48" s="466">
        <v>20000</v>
      </c>
      <c r="C48" s="466">
        <v>20000</v>
      </c>
    </row>
    <row r="49" ht="13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265625" defaultRowHeight="12.5"/>
  <cols>
    <col min="1" max="8" width="11.6328125" customWidth="1"/>
    <col min="9" max="9" width="13" customWidth="1"/>
    <col min="10" max="10" width="12.08984375" customWidth="1"/>
  </cols>
  <sheetData>
    <row r="1" spans="1:10">
      <c r="A1" t="s">
        <v>205</v>
      </c>
      <c r="B1" s="388">
        <f>COUNTA(C4:C200)*50</f>
        <v>950</v>
      </c>
      <c r="C1" t="s">
        <v>206</v>
      </c>
      <c r="D1" s="388">
        <f>SUM(I4:I200)</f>
        <v>400</v>
      </c>
      <c r="E1" t="s">
        <v>207</v>
      </c>
      <c r="F1" s="385">
        <f>(D1-B1)/B1</f>
        <v>-0.57894736842105265</v>
      </c>
      <c r="G1" t="s">
        <v>208</v>
      </c>
      <c r="H1" s="385">
        <f>COUNTA(I4:I200)/COUNTA(C4:C200)</f>
        <v>5.2631578947368418E-2</v>
      </c>
      <c r="I1" t="s">
        <v>211</v>
      </c>
      <c r="J1" s="386">
        <f>AVERAGE(J4:J200)</f>
        <v>0.84210526315789469</v>
      </c>
    </row>
    <row r="3" spans="1:10">
      <c r="A3" t="s">
        <v>183</v>
      </c>
      <c r="B3" t="s">
        <v>193</v>
      </c>
      <c r="C3" t="s">
        <v>184</v>
      </c>
      <c r="D3" t="s">
        <v>185</v>
      </c>
      <c r="E3" t="s">
        <v>186</v>
      </c>
      <c r="F3" t="s">
        <v>187</v>
      </c>
      <c r="G3" t="s">
        <v>188</v>
      </c>
      <c r="H3" t="s">
        <v>189</v>
      </c>
      <c r="I3" t="s">
        <v>209</v>
      </c>
      <c r="J3" t="s">
        <v>210</v>
      </c>
    </row>
    <row r="4" spans="1:10" ht="13">
      <c r="A4" s="380" t="s">
        <v>203</v>
      </c>
      <c r="B4" s="383">
        <v>40582</v>
      </c>
      <c r="C4" s="384">
        <v>3</v>
      </c>
      <c r="D4" s="390">
        <v>5</v>
      </c>
      <c r="E4" s="384">
        <v>19</v>
      </c>
      <c r="F4" s="382">
        <v>22</v>
      </c>
      <c r="G4" s="384">
        <v>27</v>
      </c>
      <c r="H4" s="382">
        <v>45</v>
      </c>
      <c r="J4" s="382">
        <v>1</v>
      </c>
    </row>
    <row r="5" spans="1:10" ht="13">
      <c r="A5" s="380" t="s">
        <v>203</v>
      </c>
      <c r="B5" s="383">
        <v>40582</v>
      </c>
      <c r="C5" s="382">
        <v>11</v>
      </c>
      <c r="D5" s="382">
        <v>28</v>
      </c>
      <c r="E5" s="382">
        <v>34</v>
      </c>
      <c r="F5" s="384">
        <v>36</v>
      </c>
      <c r="G5" s="382">
        <v>44</v>
      </c>
      <c r="H5" s="384">
        <v>49</v>
      </c>
      <c r="J5" s="382">
        <v>0</v>
      </c>
    </row>
    <row r="6" spans="1:10" ht="13">
      <c r="A6" s="380" t="s">
        <v>203</v>
      </c>
      <c r="B6" s="383">
        <v>40582</v>
      </c>
      <c r="C6" s="382">
        <v>14</v>
      </c>
      <c r="D6" s="382">
        <v>25</v>
      </c>
      <c r="E6" s="382">
        <v>31</v>
      </c>
      <c r="F6" s="382">
        <v>35</v>
      </c>
      <c r="G6" s="382">
        <v>37</v>
      </c>
      <c r="H6" s="382">
        <v>46</v>
      </c>
      <c r="J6" s="382">
        <v>0</v>
      </c>
    </row>
    <row r="7" spans="1:10" ht="13">
      <c r="A7" s="380" t="s">
        <v>203</v>
      </c>
      <c r="B7" s="383">
        <v>40582</v>
      </c>
      <c r="C7" s="382">
        <v>8</v>
      </c>
      <c r="D7" s="382">
        <v>26</v>
      </c>
      <c r="E7" s="382">
        <v>29</v>
      </c>
      <c r="F7" s="382">
        <v>30</v>
      </c>
      <c r="G7" s="382">
        <v>32</v>
      </c>
      <c r="H7" s="382">
        <v>40</v>
      </c>
      <c r="J7" s="382">
        <v>0</v>
      </c>
    </row>
    <row r="8" spans="1:10" ht="13">
      <c r="A8" s="380" t="s">
        <v>203</v>
      </c>
      <c r="B8" s="383">
        <v>40582</v>
      </c>
      <c r="C8" s="382">
        <v>15</v>
      </c>
      <c r="D8" s="382">
        <v>16</v>
      </c>
      <c r="E8" s="381">
        <v>23</v>
      </c>
      <c r="F8" s="382">
        <v>38</v>
      </c>
      <c r="G8" s="384">
        <v>42</v>
      </c>
      <c r="H8" s="382">
        <v>47</v>
      </c>
      <c r="J8" s="382">
        <v>1</v>
      </c>
    </row>
    <row r="9" spans="1:10" ht="13">
      <c r="A9" s="380" t="s">
        <v>203</v>
      </c>
      <c r="B9" s="383">
        <v>40582</v>
      </c>
      <c r="C9" s="382">
        <v>7</v>
      </c>
      <c r="D9" s="382">
        <v>9</v>
      </c>
      <c r="E9" s="382">
        <v>12</v>
      </c>
      <c r="F9" s="382">
        <v>21</v>
      </c>
      <c r="G9" s="382">
        <v>24</v>
      </c>
      <c r="H9" s="384">
        <v>43</v>
      </c>
      <c r="J9" s="382">
        <v>0</v>
      </c>
    </row>
    <row r="10" spans="1:10" ht="13">
      <c r="A10" s="380" t="s">
        <v>203</v>
      </c>
      <c r="B10" s="383">
        <v>40582</v>
      </c>
      <c r="C10" s="382">
        <v>2</v>
      </c>
      <c r="D10" s="382">
        <v>4</v>
      </c>
      <c r="E10" s="381">
        <v>6</v>
      </c>
      <c r="F10" s="382">
        <v>10</v>
      </c>
      <c r="G10" s="382">
        <v>18</v>
      </c>
      <c r="H10" s="382">
        <v>20</v>
      </c>
      <c r="J10" s="382">
        <v>1</v>
      </c>
    </row>
    <row r="11" spans="1:10" ht="13">
      <c r="A11" s="380" t="s">
        <v>203</v>
      </c>
      <c r="B11" s="383">
        <v>40582</v>
      </c>
      <c r="C11" s="384">
        <v>1</v>
      </c>
      <c r="D11" s="382">
        <v>17</v>
      </c>
      <c r="E11" s="382">
        <v>33</v>
      </c>
      <c r="F11" s="390">
        <v>39</v>
      </c>
      <c r="G11" s="381">
        <v>41</v>
      </c>
      <c r="H11" s="382">
        <v>48</v>
      </c>
      <c r="J11" s="382">
        <v>2</v>
      </c>
    </row>
    <row r="12" spans="1:10" ht="13">
      <c r="A12" s="380" t="s">
        <v>203</v>
      </c>
      <c r="B12" s="383">
        <v>40582</v>
      </c>
      <c r="C12" s="381">
        <v>5</v>
      </c>
      <c r="D12" s="382">
        <v>12</v>
      </c>
      <c r="E12" s="382">
        <v>13</v>
      </c>
      <c r="F12" s="382">
        <v>22</v>
      </c>
      <c r="G12" s="382">
        <v>29</v>
      </c>
      <c r="H12" s="384">
        <v>49</v>
      </c>
      <c r="J12" s="382">
        <v>1</v>
      </c>
    </row>
    <row r="13" spans="1:10" ht="13">
      <c r="A13" s="380" t="s">
        <v>203</v>
      </c>
      <c r="B13" s="383">
        <v>40582</v>
      </c>
      <c r="C13" s="391">
        <v>1</v>
      </c>
      <c r="D13" s="381">
        <v>5</v>
      </c>
      <c r="E13" s="381">
        <v>6</v>
      </c>
      <c r="F13" s="382">
        <v>33</v>
      </c>
      <c r="G13" s="390">
        <v>39</v>
      </c>
      <c r="H13" s="382">
        <v>44</v>
      </c>
      <c r="I13" s="387">
        <v>400</v>
      </c>
      <c r="J13" s="382">
        <v>3</v>
      </c>
    </row>
    <row r="14" spans="1:10" ht="13">
      <c r="A14" s="380" t="s">
        <v>203</v>
      </c>
      <c r="B14" s="383">
        <v>40582</v>
      </c>
      <c r="C14" s="382">
        <v>14</v>
      </c>
      <c r="D14" s="382">
        <v>21</v>
      </c>
      <c r="E14" s="382">
        <v>24</v>
      </c>
      <c r="F14" s="382">
        <v>28</v>
      </c>
      <c r="G14" s="382">
        <v>30</v>
      </c>
      <c r="H14" s="381">
        <v>31</v>
      </c>
      <c r="J14" s="382">
        <v>1</v>
      </c>
    </row>
    <row r="15" spans="1:10" ht="13">
      <c r="A15" s="380" t="s">
        <v>203</v>
      </c>
      <c r="B15" s="383">
        <v>40582</v>
      </c>
      <c r="C15" s="381">
        <v>6</v>
      </c>
      <c r="D15" s="382">
        <v>8</v>
      </c>
      <c r="E15" s="382">
        <v>11</v>
      </c>
      <c r="F15" s="382">
        <v>16</v>
      </c>
      <c r="G15" s="382">
        <v>28</v>
      </c>
      <c r="H15" s="384">
        <v>42</v>
      </c>
      <c r="J15" s="382">
        <v>1</v>
      </c>
    </row>
    <row r="16" spans="1:10" ht="13">
      <c r="A16" s="380" t="s">
        <v>203</v>
      </c>
      <c r="B16" s="383">
        <v>40582</v>
      </c>
      <c r="C16" s="382">
        <v>2</v>
      </c>
      <c r="D16" s="382">
        <v>4</v>
      </c>
      <c r="E16" s="382">
        <v>13</v>
      </c>
      <c r="F16" s="382">
        <v>17</v>
      </c>
      <c r="G16" s="382">
        <v>34</v>
      </c>
      <c r="H16" s="381">
        <v>41</v>
      </c>
      <c r="J16" s="382">
        <v>1</v>
      </c>
    </row>
    <row r="17" spans="1:10" ht="13">
      <c r="A17" s="380" t="s">
        <v>203</v>
      </c>
      <c r="B17" s="383">
        <v>40582</v>
      </c>
      <c r="C17" s="382">
        <v>4</v>
      </c>
      <c r="D17" s="382">
        <v>8</v>
      </c>
      <c r="E17" s="382">
        <v>18</v>
      </c>
      <c r="F17" s="382">
        <v>38</v>
      </c>
      <c r="G17" s="382">
        <v>43</v>
      </c>
      <c r="H17" s="382">
        <v>48</v>
      </c>
      <c r="J17" s="382">
        <v>0</v>
      </c>
    </row>
    <row r="18" spans="1:10" ht="13">
      <c r="A18" s="380" t="s">
        <v>203</v>
      </c>
      <c r="B18" s="383">
        <v>40582</v>
      </c>
      <c r="C18" s="382">
        <v>8</v>
      </c>
      <c r="D18" s="382">
        <v>14</v>
      </c>
      <c r="E18" s="382">
        <v>17</v>
      </c>
      <c r="F18" s="382">
        <v>22</v>
      </c>
      <c r="G18" s="382">
        <v>25</v>
      </c>
      <c r="H18" s="382">
        <v>40</v>
      </c>
      <c r="J18" s="382">
        <v>0</v>
      </c>
    </row>
    <row r="19" spans="1:10" ht="13">
      <c r="A19" s="380" t="s">
        <v>212</v>
      </c>
      <c r="B19" s="383">
        <v>40585</v>
      </c>
      <c r="C19" s="382">
        <v>10</v>
      </c>
      <c r="D19" s="382">
        <v>27</v>
      </c>
      <c r="E19" s="384">
        <v>34</v>
      </c>
      <c r="F19" s="382">
        <v>40</v>
      </c>
      <c r="G19" s="384">
        <v>45</v>
      </c>
      <c r="H19" s="382">
        <v>48</v>
      </c>
      <c r="J19" s="382">
        <v>2</v>
      </c>
    </row>
    <row r="20" spans="1:10" ht="13">
      <c r="A20" s="380" t="s">
        <v>212</v>
      </c>
      <c r="B20" s="383">
        <v>40585</v>
      </c>
      <c r="C20" s="382">
        <v>1</v>
      </c>
      <c r="D20" s="382">
        <v>5</v>
      </c>
      <c r="E20" s="382">
        <v>6</v>
      </c>
      <c r="F20" s="382">
        <v>10</v>
      </c>
      <c r="G20" s="382">
        <v>12</v>
      </c>
      <c r="H20" s="382">
        <v>25</v>
      </c>
      <c r="J20" s="382">
        <v>0</v>
      </c>
    </row>
    <row r="21" spans="1:10" ht="13">
      <c r="A21" s="380" t="s">
        <v>215</v>
      </c>
      <c r="B21" s="383">
        <v>40596</v>
      </c>
      <c r="C21" s="381">
        <v>15</v>
      </c>
      <c r="D21" s="382">
        <v>23</v>
      </c>
      <c r="E21" s="382">
        <v>24</v>
      </c>
      <c r="F21" s="382">
        <v>30</v>
      </c>
      <c r="G21" s="381">
        <v>39</v>
      </c>
      <c r="H21" s="382">
        <v>40</v>
      </c>
      <c r="J21" s="382">
        <v>2</v>
      </c>
    </row>
    <row r="22" spans="1:10" ht="13">
      <c r="A22" s="380" t="s">
        <v>215</v>
      </c>
      <c r="B22" s="383">
        <v>40596</v>
      </c>
      <c r="C22" s="382">
        <v>1</v>
      </c>
      <c r="D22" s="382">
        <v>18</v>
      </c>
      <c r="E22" s="382">
        <v>21</v>
      </c>
      <c r="F22" s="382">
        <v>26</v>
      </c>
      <c r="G22" s="382">
        <v>34</v>
      </c>
      <c r="H22" s="382">
        <v>43</v>
      </c>
      <c r="J22" s="382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265625" defaultRowHeight="12.5"/>
  <cols>
    <col min="1" max="17" width="10" customWidth="1"/>
  </cols>
  <sheetData>
    <row r="1" spans="1:17" ht="13">
      <c r="A1" s="384">
        <v>1</v>
      </c>
      <c r="B1" s="384">
        <v>2</v>
      </c>
      <c r="C1" s="384">
        <v>3</v>
      </c>
      <c r="D1" s="384">
        <v>4</v>
      </c>
      <c r="E1" s="384">
        <v>5</v>
      </c>
      <c r="F1" s="384">
        <v>6</v>
      </c>
      <c r="G1" s="384">
        <v>7</v>
      </c>
      <c r="H1" s="384">
        <v>8</v>
      </c>
      <c r="I1" s="384">
        <v>9</v>
      </c>
      <c r="J1" s="384">
        <v>10</v>
      </c>
      <c r="K1" s="384">
        <v>11</v>
      </c>
      <c r="L1" s="384">
        <v>12</v>
      </c>
      <c r="M1" s="384">
        <v>13</v>
      </c>
      <c r="N1" s="384">
        <v>14</v>
      </c>
      <c r="O1" s="384">
        <v>15</v>
      </c>
      <c r="P1" s="384">
        <v>16</v>
      </c>
    </row>
    <row r="2" spans="1:17">
      <c r="A2" s="389">
        <f>J8</f>
        <v>1</v>
      </c>
      <c r="B2" s="389">
        <f>J9</f>
        <v>1</v>
      </c>
      <c r="C2" s="389">
        <f>J10</f>
        <v>4</v>
      </c>
      <c r="D2" s="389">
        <f>J11</f>
        <v>2</v>
      </c>
      <c r="E2" s="389">
        <f>J12</f>
        <v>1</v>
      </c>
      <c r="F2" s="389">
        <f>J13</f>
        <v>2</v>
      </c>
      <c r="G2" s="389">
        <f>J14</f>
        <v>2</v>
      </c>
      <c r="H2" s="389">
        <f>J15</f>
        <v>0</v>
      </c>
      <c r="I2" s="389">
        <f>J16</f>
        <v>1</v>
      </c>
      <c r="J2" s="389">
        <f>J17</f>
        <v>2</v>
      </c>
      <c r="K2" s="389">
        <f>J18</f>
        <v>3</v>
      </c>
      <c r="L2" s="389">
        <f>J19</f>
        <v>3</v>
      </c>
      <c r="M2" s="389">
        <f>J20</f>
        <v>4</v>
      </c>
      <c r="N2" s="389">
        <f>J21</f>
        <v>3</v>
      </c>
      <c r="O2" s="389">
        <f>J22</f>
        <v>4</v>
      </c>
      <c r="P2" s="389">
        <f>J23</f>
        <v>2</v>
      </c>
    </row>
    <row r="3" spans="1:17" ht="13">
      <c r="A3" s="384">
        <v>17</v>
      </c>
      <c r="B3" s="384">
        <v>18</v>
      </c>
      <c r="C3" s="384">
        <v>19</v>
      </c>
      <c r="D3" s="384">
        <v>20</v>
      </c>
      <c r="E3" s="384">
        <v>21</v>
      </c>
      <c r="F3" s="384">
        <v>22</v>
      </c>
      <c r="G3" s="384">
        <v>23</v>
      </c>
      <c r="H3" s="384">
        <v>24</v>
      </c>
      <c r="I3" s="384">
        <v>25</v>
      </c>
      <c r="J3" s="384">
        <v>26</v>
      </c>
      <c r="K3" s="384">
        <v>27</v>
      </c>
      <c r="L3" s="384">
        <v>28</v>
      </c>
      <c r="M3" s="384">
        <v>29</v>
      </c>
      <c r="N3" s="384">
        <v>30</v>
      </c>
      <c r="O3" s="384">
        <v>31</v>
      </c>
      <c r="P3" s="384">
        <v>32</v>
      </c>
    </row>
    <row r="4" spans="1:17">
      <c r="A4" s="389">
        <f>J24</f>
        <v>4</v>
      </c>
      <c r="B4" s="389">
        <f>J25</f>
        <v>2</v>
      </c>
      <c r="C4" s="389">
        <f>J26</f>
        <v>1</v>
      </c>
      <c r="D4" s="389">
        <f>J27</f>
        <v>6</v>
      </c>
      <c r="E4" s="389">
        <f>J28</f>
        <v>1</v>
      </c>
      <c r="F4" s="389">
        <f>J29</f>
        <v>0</v>
      </c>
      <c r="G4" s="389">
        <f>J30</f>
        <v>3</v>
      </c>
      <c r="H4" s="389">
        <f>J31</f>
        <v>3</v>
      </c>
      <c r="I4" s="389">
        <f>J32</f>
        <v>1</v>
      </c>
      <c r="J4" s="389">
        <f>J33</f>
        <v>1</v>
      </c>
      <c r="K4" s="389">
        <f>J34</f>
        <v>0</v>
      </c>
      <c r="L4" s="389">
        <f>J35</f>
        <v>0</v>
      </c>
      <c r="M4" s="389">
        <f>J36</f>
        <v>0</v>
      </c>
      <c r="N4" s="389">
        <f>J37</f>
        <v>0</v>
      </c>
      <c r="O4" s="389">
        <f>J38</f>
        <v>2</v>
      </c>
      <c r="P4" s="389">
        <f>J39</f>
        <v>3</v>
      </c>
    </row>
    <row r="5" spans="1:17" ht="13">
      <c r="A5" s="384">
        <v>33</v>
      </c>
      <c r="B5" s="384">
        <v>34</v>
      </c>
      <c r="C5" s="384">
        <v>35</v>
      </c>
      <c r="D5" s="384">
        <v>36</v>
      </c>
      <c r="E5" s="384">
        <v>37</v>
      </c>
      <c r="F5" s="384">
        <v>38</v>
      </c>
      <c r="G5" s="384">
        <v>39</v>
      </c>
      <c r="H5" s="384">
        <v>40</v>
      </c>
      <c r="I5" s="384">
        <v>41</v>
      </c>
      <c r="J5" s="384">
        <v>42</v>
      </c>
      <c r="K5" s="384">
        <v>43</v>
      </c>
      <c r="L5" s="384">
        <v>44</v>
      </c>
      <c r="M5" s="384">
        <v>45</v>
      </c>
      <c r="N5" s="384">
        <v>46</v>
      </c>
      <c r="O5" s="384">
        <v>47</v>
      </c>
      <c r="P5" s="384">
        <v>48</v>
      </c>
      <c r="Q5" s="384">
        <v>49</v>
      </c>
    </row>
    <row r="6" spans="1:17">
      <c r="A6" s="389">
        <f>J40</f>
        <v>3</v>
      </c>
      <c r="B6" s="389">
        <f>J41</f>
        <v>2</v>
      </c>
      <c r="C6" s="389">
        <f>J42</f>
        <v>4</v>
      </c>
      <c r="D6" s="389">
        <f>J43</f>
        <v>2</v>
      </c>
      <c r="E6" s="389">
        <f>J44</f>
        <v>3</v>
      </c>
      <c r="F6" s="389">
        <f>J45</f>
        <v>2</v>
      </c>
      <c r="G6" s="389">
        <f>J46</f>
        <v>5</v>
      </c>
      <c r="H6" s="389">
        <f>J47</f>
        <v>2</v>
      </c>
      <c r="I6" s="389">
        <f>J49</f>
        <v>5</v>
      </c>
      <c r="J6" s="389">
        <f>J49</f>
        <v>5</v>
      </c>
      <c r="K6" s="389">
        <f>J50</f>
        <v>1</v>
      </c>
      <c r="L6" s="389">
        <f>J51</f>
        <v>0</v>
      </c>
      <c r="M6" s="389">
        <f>J52</f>
        <v>2</v>
      </c>
      <c r="N6" s="389">
        <f>J53</f>
        <v>2</v>
      </c>
      <c r="O6" s="389">
        <f>J54</f>
        <v>5</v>
      </c>
      <c r="P6" s="389">
        <f>J55</f>
        <v>0</v>
      </c>
      <c r="Q6" s="389">
        <f>J56</f>
        <v>2</v>
      </c>
    </row>
    <row r="7" spans="1:17" hidden="1">
      <c r="A7" t="s">
        <v>176</v>
      </c>
      <c r="C7" t="s">
        <v>177</v>
      </c>
      <c r="D7" t="s">
        <v>178</v>
      </c>
      <c r="E7" t="s">
        <v>179</v>
      </c>
      <c r="F7" t="s">
        <v>180</v>
      </c>
      <c r="G7" t="s">
        <v>181</v>
      </c>
      <c r="H7" t="s">
        <v>182</v>
      </c>
      <c r="I7" t="s">
        <v>191</v>
      </c>
      <c r="J7" t="s">
        <v>204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183</v>
      </c>
      <c r="B57" t="s">
        <v>193</v>
      </c>
      <c r="C57" t="s">
        <v>184</v>
      </c>
      <c r="D57" t="s">
        <v>185</v>
      </c>
      <c r="E57" t="s">
        <v>186</v>
      </c>
      <c r="F57" t="s">
        <v>187</v>
      </c>
      <c r="G57" t="s">
        <v>188</v>
      </c>
      <c r="H57" t="s">
        <v>189</v>
      </c>
      <c r="I57" t="s">
        <v>190</v>
      </c>
    </row>
    <row r="58" spans="1:10" ht="13">
      <c r="A58" s="380" t="s">
        <v>192</v>
      </c>
      <c r="B58" s="383">
        <v>40547</v>
      </c>
      <c r="C58" s="382">
        <v>14</v>
      </c>
      <c r="D58" s="382">
        <v>19</v>
      </c>
      <c r="E58" s="382">
        <v>23</v>
      </c>
      <c r="F58" s="382">
        <v>35</v>
      </c>
      <c r="G58" s="382">
        <v>37</v>
      </c>
      <c r="H58" s="382">
        <v>47</v>
      </c>
      <c r="I58" s="381">
        <v>42</v>
      </c>
    </row>
    <row r="59" spans="1:10" ht="13">
      <c r="A59" s="380" t="s">
        <v>194</v>
      </c>
      <c r="B59" s="383">
        <v>40550</v>
      </c>
      <c r="C59" s="382">
        <v>11</v>
      </c>
      <c r="D59" s="382">
        <v>13</v>
      </c>
      <c r="E59" s="382">
        <v>34</v>
      </c>
      <c r="F59" s="382">
        <v>35</v>
      </c>
      <c r="G59" s="382">
        <v>47</v>
      </c>
      <c r="H59" s="382">
        <v>49</v>
      </c>
      <c r="I59" s="381">
        <v>20</v>
      </c>
    </row>
    <row r="60" spans="1:10" ht="13">
      <c r="A60" s="380" t="s">
        <v>195</v>
      </c>
      <c r="B60" s="383">
        <v>40554</v>
      </c>
      <c r="C60" s="382">
        <v>7</v>
      </c>
      <c r="D60" s="382">
        <v>10</v>
      </c>
      <c r="E60" s="382">
        <v>11</v>
      </c>
      <c r="F60" s="382">
        <v>12</v>
      </c>
      <c r="G60" s="382">
        <v>14</v>
      </c>
      <c r="H60" s="382">
        <v>20</v>
      </c>
      <c r="I60" s="381">
        <v>41</v>
      </c>
    </row>
    <row r="61" spans="1:10" ht="13">
      <c r="A61" s="380" t="s">
        <v>196</v>
      </c>
      <c r="B61" s="383">
        <v>40557</v>
      </c>
      <c r="C61" s="382">
        <v>16</v>
      </c>
      <c r="D61" s="382">
        <v>17</v>
      </c>
      <c r="E61" s="382">
        <v>20</v>
      </c>
      <c r="F61" s="382">
        <v>32</v>
      </c>
      <c r="G61" s="382">
        <v>39</v>
      </c>
      <c r="H61" s="382">
        <v>45</v>
      </c>
      <c r="I61" s="381">
        <v>46</v>
      </c>
    </row>
    <row r="62" spans="1:10" ht="13">
      <c r="A62" s="380" t="s">
        <v>197</v>
      </c>
      <c r="B62" s="383">
        <v>40561</v>
      </c>
      <c r="C62" s="382">
        <v>15</v>
      </c>
      <c r="D62" s="382">
        <v>38</v>
      </c>
      <c r="E62" s="382">
        <v>40</v>
      </c>
      <c r="F62" s="382">
        <v>42</v>
      </c>
      <c r="G62" s="382">
        <v>46</v>
      </c>
      <c r="H62" s="382">
        <v>47</v>
      </c>
      <c r="I62" s="381">
        <v>17</v>
      </c>
    </row>
    <row r="63" spans="1:10" ht="13">
      <c r="A63" s="380" t="s">
        <v>198</v>
      </c>
      <c r="B63" s="383">
        <v>40564</v>
      </c>
      <c r="C63" s="382">
        <v>2</v>
      </c>
      <c r="D63" s="382">
        <v>32</v>
      </c>
      <c r="E63" s="382">
        <v>36</v>
      </c>
      <c r="F63" s="382">
        <v>37</v>
      </c>
      <c r="G63" s="382">
        <v>39</v>
      </c>
      <c r="H63" s="382">
        <v>43</v>
      </c>
      <c r="I63" s="381">
        <v>3</v>
      </c>
    </row>
    <row r="64" spans="1:10" ht="13">
      <c r="A64" s="380" t="s">
        <v>199</v>
      </c>
      <c r="B64" s="383">
        <v>40568</v>
      </c>
      <c r="C64" s="382">
        <v>12</v>
      </c>
      <c r="D64" s="382">
        <v>13</v>
      </c>
      <c r="E64" s="382">
        <v>17</v>
      </c>
      <c r="F64" s="382">
        <v>21</v>
      </c>
      <c r="G64" s="382">
        <v>31</v>
      </c>
      <c r="H64" s="382">
        <v>39</v>
      </c>
      <c r="I64" s="381">
        <v>20</v>
      </c>
    </row>
    <row r="65" spans="1:9" ht="13">
      <c r="A65" s="380" t="s">
        <v>200</v>
      </c>
      <c r="B65" s="383">
        <v>40571</v>
      </c>
      <c r="C65" s="382">
        <v>3</v>
      </c>
      <c r="D65" s="382">
        <v>4</v>
      </c>
      <c r="E65" s="382">
        <v>13</v>
      </c>
      <c r="F65" s="382">
        <v>18</v>
      </c>
      <c r="G65" s="382">
        <v>24</v>
      </c>
      <c r="H65" s="382">
        <v>42</v>
      </c>
      <c r="I65" s="381">
        <v>47</v>
      </c>
    </row>
    <row r="66" spans="1:9" ht="13">
      <c r="A66" s="380" t="s">
        <v>201</v>
      </c>
      <c r="B66" s="383">
        <v>40575</v>
      </c>
      <c r="C66" s="382">
        <v>1</v>
      </c>
      <c r="D66" s="382">
        <v>6</v>
      </c>
      <c r="E66" s="382">
        <v>17</v>
      </c>
      <c r="F66" s="382">
        <v>25</v>
      </c>
      <c r="G66" s="382">
        <v>40</v>
      </c>
      <c r="H66" s="382">
        <v>42</v>
      </c>
      <c r="I66" s="381">
        <v>15</v>
      </c>
    </row>
    <row r="67" spans="1:9" ht="13">
      <c r="A67" s="380" t="s">
        <v>202</v>
      </c>
      <c r="B67" s="383">
        <v>40578</v>
      </c>
      <c r="C67" s="382">
        <v>10</v>
      </c>
      <c r="D67" s="382">
        <v>33</v>
      </c>
      <c r="E67" s="382">
        <v>41</v>
      </c>
      <c r="F67" s="382">
        <v>42</v>
      </c>
      <c r="G67" s="382">
        <v>47</v>
      </c>
      <c r="H67" s="382">
        <v>49</v>
      </c>
      <c r="I67" s="381">
        <v>3</v>
      </c>
    </row>
    <row r="68" spans="1:9" ht="13">
      <c r="A68" s="380" t="s">
        <v>203</v>
      </c>
      <c r="B68" s="383">
        <v>40582</v>
      </c>
      <c r="C68" s="382">
        <v>5</v>
      </c>
      <c r="D68" s="382">
        <v>6</v>
      </c>
      <c r="E68" s="382">
        <v>23</v>
      </c>
      <c r="F68" s="382">
        <v>31</v>
      </c>
      <c r="G68" s="382">
        <v>39</v>
      </c>
      <c r="H68" s="382">
        <v>41</v>
      </c>
      <c r="I68" s="381">
        <v>16</v>
      </c>
    </row>
    <row r="69" spans="1:9" ht="13">
      <c r="A69" s="380" t="s">
        <v>212</v>
      </c>
      <c r="B69" s="383">
        <v>40585</v>
      </c>
      <c r="C69" s="382">
        <v>3</v>
      </c>
      <c r="D69" s="382">
        <v>4</v>
      </c>
      <c r="E69" s="382">
        <v>7</v>
      </c>
      <c r="F69" s="382">
        <v>34</v>
      </c>
      <c r="G69" s="382">
        <v>36</v>
      </c>
      <c r="H69" s="382">
        <v>45</v>
      </c>
      <c r="I69" s="381">
        <v>24</v>
      </c>
    </row>
    <row r="70" spans="1:9" ht="13">
      <c r="A70" s="380" t="s">
        <v>213</v>
      </c>
      <c r="B70" s="383">
        <v>40589</v>
      </c>
      <c r="C70" s="382">
        <v>9</v>
      </c>
      <c r="D70" s="382">
        <v>12</v>
      </c>
      <c r="E70" s="382">
        <v>15</v>
      </c>
      <c r="F70" s="382">
        <v>24</v>
      </c>
      <c r="G70" s="382">
        <v>33</v>
      </c>
      <c r="H70" s="382">
        <v>35</v>
      </c>
      <c r="I70" s="381">
        <v>18</v>
      </c>
    </row>
    <row r="71" spans="1:9" ht="13">
      <c r="A71" s="380" t="s">
        <v>214</v>
      </c>
      <c r="B71" s="383">
        <v>40592</v>
      </c>
      <c r="C71" s="382">
        <v>14</v>
      </c>
      <c r="D71" s="382">
        <v>20</v>
      </c>
      <c r="E71" s="382">
        <v>23</v>
      </c>
      <c r="F71" s="382">
        <v>26</v>
      </c>
      <c r="G71" s="382">
        <v>37</v>
      </c>
      <c r="H71" s="382">
        <v>38</v>
      </c>
      <c r="I71" s="381">
        <v>33</v>
      </c>
    </row>
    <row r="72" spans="1:9" ht="13">
      <c r="A72" s="380" t="s">
        <v>215</v>
      </c>
      <c r="B72" s="383">
        <v>40596</v>
      </c>
      <c r="C72" s="382">
        <v>13</v>
      </c>
      <c r="D72" s="382">
        <v>15</v>
      </c>
      <c r="E72" s="382">
        <v>20</v>
      </c>
      <c r="F72" s="382">
        <v>32</v>
      </c>
      <c r="G72" s="382">
        <v>35</v>
      </c>
      <c r="H72" s="382">
        <v>39</v>
      </c>
      <c r="I72" s="381">
        <v>11</v>
      </c>
    </row>
    <row r="73" spans="1:9" ht="13">
      <c r="B73" s="383"/>
      <c r="C73" s="382"/>
      <c r="D73" s="382"/>
      <c r="E73" s="382"/>
      <c r="F73" s="382"/>
      <c r="G73" s="382"/>
      <c r="H73" s="382"/>
      <c r="I73" s="381"/>
    </row>
    <row r="74" spans="1:9" ht="13">
      <c r="B74" s="383"/>
      <c r="C74" s="382"/>
      <c r="D74" s="382"/>
      <c r="E74" s="382"/>
      <c r="F74" s="382"/>
      <c r="G74" s="382"/>
      <c r="H74" s="382"/>
      <c r="I74" s="381"/>
    </row>
    <row r="75" spans="1:9" ht="13">
      <c r="B75" s="383"/>
      <c r="C75" s="382"/>
      <c r="D75" s="382"/>
      <c r="E75" s="382"/>
      <c r="F75" s="382"/>
      <c r="G75" s="382"/>
      <c r="H75" s="382"/>
      <c r="I75" s="381"/>
    </row>
    <row r="76" spans="1:9" ht="13">
      <c r="B76" s="383"/>
      <c r="C76" s="382"/>
      <c r="D76" s="382"/>
      <c r="E76" s="382"/>
      <c r="F76" s="382"/>
      <c r="G76" s="382"/>
      <c r="H76" s="382"/>
      <c r="I76" s="381"/>
    </row>
    <row r="77" spans="1:9" ht="13">
      <c r="B77" s="383"/>
      <c r="C77" s="382"/>
      <c r="D77" s="382"/>
      <c r="E77" s="382"/>
      <c r="F77" s="382"/>
      <c r="G77" s="382"/>
      <c r="H77" s="382"/>
      <c r="I77" s="381"/>
    </row>
    <row r="78" spans="1:9" ht="13">
      <c r="B78" s="383"/>
      <c r="C78" s="382"/>
      <c r="D78" s="382"/>
      <c r="E78" s="382"/>
      <c r="F78" s="382"/>
      <c r="G78" s="382"/>
      <c r="H78" s="382"/>
      <c r="I78" s="381"/>
    </row>
    <row r="79" spans="1:9" ht="13">
      <c r="B79" s="383"/>
      <c r="C79" s="382"/>
      <c r="D79" s="382"/>
      <c r="E79" s="382"/>
      <c r="F79" s="382"/>
      <c r="G79" s="382"/>
      <c r="H79" s="382"/>
      <c r="I79" s="381"/>
    </row>
    <row r="80" spans="1:9" ht="13">
      <c r="B80" s="383"/>
      <c r="C80" s="382"/>
      <c r="D80" s="382"/>
      <c r="E80" s="382"/>
      <c r="F80" s="382"/>
      <c r="G80" s="382"/>
      <c r="H80" s="382"/>
      <c r="I80" s="381"/>
    </row>
    <row r="81" spans="2:9" ht="13">
      <c r="B81" s="383"/>
      <c r="C81" s="382"/>
      <c r="D81" s="382"/>
      <c r="E81" s="382"/>
      <c r="F81" s="382"/>
      <c r="G81" s="382"/>
      <c r="H81" s="382"/>
      <c r="I81" s="381"/>
    </row>
    <row r="82" spans="2:9" ht="13">
      <c r="B82" s="383"/>
      <c r="C82" s="382"/>
      <c r="D82" s="382"/>
      <c r="E82" s="382"/>
      <c r="F82" s="382"/>
      <c r="G82" s="382"/>
      <c r="H82" s="382"/>
      <c r="I82" s="381"/>
    </row>
    <row r="83" spans="2:9" ht="13">
      <c r="B83" s="383"/>
      <c r="C83" s="382"/>
      <c r="D83" s="382"/>
      <c r="E83" s="382"/>
      <c r="F83" s="382"/>
      <c r="G83" s="382"/>
      <c r="H83" s="382"/>
      <c r="I83" s="381"/>
    </row>
    <row r="84" spans="2:9" ht="13">
      <c r="B84" s="383"/>
      <c r="C84" s="382"/>
      <c r="D84" s="382"/>
      <c r="E84" s="382"/>
      <c r="F84" s="382"/>
      <c r="G84" s="382"/>
      <c r="H84" s="382"/>
      <c r="I84" s="381"/>
    </row>
    <row r="85" spans="2:9" ht="13">
      <c r="B85" s="383"/>
      <c r="C85" s="382"/>
      <c r="D85" s="382"/>
      <c r="E85" s="382"/>
      <c r="F85" s="382"/>
      <c r="G85" s="382"/>
      <c r="H85" s="382"/>
      <c r="I85" s="381"/>
    </row>
    <row r="86" spans="2:9" ht="13">
      <c r="B86" s="383"/>
      <c r="C86" s="382"/>
      <c r="D86" s="382"/>
      <c r="E86" s="382"/>
      <c r="F86" s="382"/>
      <c r="G86" s="382"/>
      <c r="H86" s="382"/>
      <c r="I86" s="381"/>
    </row>
    <row r="87" spans="2:9" ht="13">
      <c r="B87" s="383"/>
      <c r="C87" s="382"/>
      <c r="D87" s="382"/>
      <c r="E87" s="382"/>
      <c r="F87" s="382"/>
      <c r="G87" s="382"/>
      <c r="H87" s="382"/>
      <c r="I87" s="381"/>
    </row>
    <row r="88" spans="2:9" ht="13">
      <c r="B88" s="383"/>
      <c r="C88" s="382"/>
      <c r="D88" s="382"/>
      <c r="E88" s="382"/>
      <c r="F88" s="382"/>
      <c r="G88" s="382"/>
      <c r="H88" s="382"/>
      <c r="I88" s="381"/>
    </row>
    <row r="89" spans="2:9" ht="13">
      <c r="B89" s="383"/>
      <c r="C89" s="382"/>
      <c r="D89" s="382"/>
      <c r="E89" s="382"/>
      <c r="F89" s="382"/>
      <c r="G89" s="382"/>
      <c r="H89" s="382"/>
      <c r="I89" s="381"/>
    </row>
    <row r="90" spans="2:9" ht="13">
      <c r="B90" s="383"/>
      <c r="C90" s="382"/>
      <c r="D90" s="382"/>
      <c r="E90" s="382"/>
      <c r="F90" s="382"/>
      <c r="G90" s="382"/>
      <c r="H90" s="382"/>
      <c r="I90" s="381"/>
    </row>
    <row r="91" spans="2:9" ht="13">
      <c r="B91" s="383"/>
      <c r="C91" s="382"/>
      <c r="D91" s="382"/>
      <c r="E91" s="382"/>
      <c r="F91" s="382"/>
      <c r="G91" s="382"/>
      <c r="H91" s="382"/>
      <c r="I91" s="381"/>
    </row>
    <row r="92" spans="2:9" ht="13">
      <c r="B92" s="383"/>
      <c r="C92" s="382"/>
      <c r="D92" s="382"/>
      <c r="E92" s="382"/>
      <c r="F92" s="382"/>
      <c r="G92" s="382"/>
      <c r="H92" s="382"/>
      <c r="I92" s="381"/>
    </row>
    <row r="93" spans="2:9" ht="13">
      <c r="B93" s="383"/>
      <c r="C93" s="382"/>
      <c r="D93" s="382"/>
      <c r="E93" s="382"/>
      <c r="F93" s="382"/>
      <c r="G93" s="382"/>
      <c r="H93" s="382"/>
      <c r="I93" s="381"/>
    </row>
    <row r="94" spans="2:9" ht="13">
      <c r="B94" s="383"/>
      <c r="C94" s="382"/>
      <c r="D94" s="382"/>
      <c r="E94" s="382"/>
      <c r="F94" s="382"/>
      <c r="G94" s="382"/>
      <c r="H94" s="382"/>
      <c r="I94" s="381"/>
    </row>
    <row r="95" spans="2:9" ht="13">
      <c r="B95" s="383"/>
      <c r="C95" s="382"/>
      <c r="D95" s="382"/>
      <c r="E95" s="382"/>
      <c r="F95" s="382"/>
      <c r="G95" s="382"/>
      <c r="H95" s="382"/>
      <c r="I95" s="381"/>
    </row>
    <row r="96" spans="2:9" ht="13">
      <c r="B96" s="383"/>
      <c r="C96" s="382"/>
      <c r="D96" s="382"/>
      <c r="E96" s="382"/>
      <c r="F96" s="382"/>
      <c r="G96" s="382"/>
      <c r="H96" s="382"/>
      <c r="I96" s="381"/>
    </row>
    <row r="97" spans="2:9" ht="13">
      <c r="B97" s="383"/>
      <c r="C97" s="382"/>
      <c r="D97" s="382"/>
      <c r="E97" s="382"/>
      <c r="F97" s="382"/>
      <c r="G97" s="382"/>
      <c r="H97" s="382"/>
      <c r="I97" s="381"/>
    </row>
    <row r="98" spans="2:9" ht="13">
      <c r="B98" s="383"/>
      <c r="C98" s="382"/>
      <c r="D98" s="382"/>
      <c r="E98" s="382"/>
      <c r="F98" s="382"/>
      <c r="G98" s="382"/>
      <c r="H98" s="382"/>
      <c r="I98" s="381"/>
    </row>
    <row r="99" spans="2:9" ht="13">
      <c r="B99" s="383"/>
      <c r="C99" s="382"/>
      <c r="D99" s="382"/>
      <c r="E99" s="382"/>
      <c r="F99" s="382"/>
      <c r="G99" s="382"/>
      <c r="H99" s="382"/>
      <c r="I99" s="381"/>
    </row>
    <row r="100" spans="2:9" ht="13">
      <c r="B100" s="383"/>
      <c r="C100" s="382"/>
      <c r="D100" s="382"/>
      <c r="E100" s="382"/>
      <c r="F100" s="382"/>
      <c r="G100" s="382"/>
      <c r="H100" s="382"/>
      <c r="I100" s="381"/>
    </row>
    <row r="101" spans="2:9" ht="13">
      <c r="B101" s="383"/>
      <c r="C101" s="382"/>
      <c r="D101" s="382"/>
      <c r="E101" s="382"/>
      <c r="F101" s="382"/>
      <c r="G101" s="382"/>
      <c r="H101" s="382"/>
      <c r="I101" s="381"/>
    </row>
    <row r="102" spans="2:9" ht="13">
      <c r="B102" s="383"/>
      <c r="C102" s="382"/>
      <c r="D102" s="382"/>
      <c r="E102" s="382"/>
      <c r="F102" s="382"/>
      <c r="G102" s="382"/>
      <c r="H102" s="382"/>
      <c r="I102" s="381"/>
    </row>
    <row r="103" spans="2:9" ht="13">
      <c r="B103" s="383"/>
      <c r="C103" s="382"/>
      <c r="D103" s="382"/>
      <c r="E103" s="382"/>
      <c r="F103" s="382"/>
      <c r="G103" s="382"/>
      <c r="H103" s="382"/>
      <c r="I103" s="381"/>
    </row>
    <row r="104" spans="2:9" ht="13">
      <c r="B104" s="383"/>
      <c r="C104" s="382"/>
      <c r="D104" s="382"/>
      <c r="E104" s="382"/>
      <c r="F104" s="382"/>
      <c r="G104" s="382"/>
      <c r="H104" s="382"/>
      <c r="I104" s="381"/>
    </row>
    <row r="105" spans="2:9" ht="13">
      <c r="B105" s="383"/>
      <c r="C105" s="382"/>
      <c r="D105" s="382"/>
      <c r="E105" s="382"/>
      <c r="F105" s="382"/>
      <c r="G105" s="382"/>
      <c r="H105" s="382"/>
      <c r="I105" s="381"/>
    </row>
    <row r="106" spans="2:9" ht="13">
      <c r="B106" s="383"/>
      <c r="C106" s="382"/>
      <c r="D106" s="382"/>
      <c r="E106" s="382"/>
      <c r="F106" s="382"/>
      <c r="G106" s="382"/>
      <c r="H106" s="382"/>
      <c r="I106" s="381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76"/>
  <sheetViews>
    <sheetView workbookViewId="0">
      <selection activeCell="O5" sqref="O5"/>
    </sheetView>
  </sheetViews>
  <sheetFormatPr defaultColWidth="8.7265625" defaultRowHeight="12.5"/>
  <cols>
    <col min="2" max="3" width="9.7265625" bestFit="1" customWidth="1"/>
    <col min="5" max="6" width="9.7265625" bestFit="1" customWidth="1"/>
    <col min="14" max="14" width="11.08984375" bestFit="1" customWidth="1"/>
  </cols>
  <sheetData>
    <row r="1" spans="1:14" ht="13.5">
      <c r="A1" s="331" t="s">
        <v>145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37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37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37"/>
    </row>
    <row r="38" spans="1:14" ht="13.5">
      <c r="A38" s="331" t="s">
        <v>149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5">
      <c r="A40" s="338" t="s">
        <v>151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37"/>
    </row>
    <row r="41" spans="1:14" ht="13.5">
      <c r="A41" s="338" t="s">
        <v>150</v>
      </c>
      <c r="B41" s="204">
        <f>信用卡!O43</f>
        <v>422699</v>
      </c>
      <c r="C41" s="204">
        <f>信用卡!P43</f>
        <v>543481</v>
      </c>
      <c r="D41" s="204">
        <f>信用卡!Q43</f>
        <v>572767</v>
      </c>
      <c r="E41" s="204">
        <f>信用卡!R43</f>
        <v>0</v>
      </c>
      <c r="F41" s="204">
        <f>信用卡!S43</f>
        <v>0</v>
      </c>
      <c r="G41" s="204">
        <f>信用卡!T43</f>
        <v>0</v>
      </c>
      <c r="H41" s="204">
        <f>信用卡!U43</f>
        <v>0</v>
      </c>
      <c r="I41" s="204">
        <f>信用卡!V43</f>
        <v>0</v>
      </c>
      <c r="J41" s="204">
        <f>信用卡!W43</f>
        <v>0</v>
      </c>
      <c r="K41" s="204">
        <f>信用卡!X43</f>
        <v>0</v>
      </c>
      <c r="L41" s="204">
        <f>信用卡!Y43</f>
        <v>0</v>
      </c>
      <c r="M41" s="204">
        <f>信用卡!Z43</f>
        <v>0</v>
      </c>
      <c r="N41" s="337"/>
    </row>
    <row r="42" spans="1:14" ht="13.5">
      <c r="A42" s="338" t="s">
        <v>154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37"/>
    </row>
    <row r="43" spans="1:14" ht="13.5">
      <c r="A43" s="338" t="s">
        <v>156</v>
      </c>
      <c r="B43" s="204">
        <v>0</v>
      </c>
      <c r="C43" s="204">
        <v>0</v>
      </c>
      <c r="D43" s="204">
        <v>0</v>
      </c>
      <c r="E43" s="204">
        <f>SUM(信用卡!R19:R23)</f>
        <v>2416133</v>
      </c>
      <c r="F43" s="204">
        <f>SUM(信用卡!S19:S23)</f>
        <v>2104600</v>
      </c>
      <c r="G43" s="204">
        <f>SUM(信用卡!T19:T23)</f>
        <v>1955375</v>
      </c>
      <c r="H43" s="204">
        <f>SUM(信用卡!U19:U23)</f>
        <v>1962739</v>
      </c>
      <c r="I43" s="204">
        <f>SUM(信用卡!V19:V23)</f>
        <v>2012798</v>
      </c>
      <c r="J43" s="204">
        <f>SUM(信用卡!W19:W23)</f>
        <v>2060057</v>
      </c>
      <c r="K43" s="204">
        <f>SUM(信用卡!X19:X23)</f>
        <v>2061408</v>
      </c>
      <c r="L43" s="204">
        <f>SUM(信用卡!Y19:Y23)</f>
        <v>2133690</v>
      </c>
      <c r="M43" s="204">
        <f>SUM(信用卡!Z19:Z23)</f>
        <v>2102509</v>
      </c>
      <c r="N43" s="337"/>
    </row>
    <row r="44" spans="1:14" ht="13.5">
      <c r="A44" s="338" t="s">
        <v>155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37"/>
    </row>
    <row r="73" spans="1:14" ht="13.5">
      <c r="A73" s="331" t="s">
        <v>157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5">
      <c r="A75" s="338" t="s">
        <v>159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37"/>
    </row>
    <row r="76" spans="1:14" ht="13.5">
      <c r="A76" s="338" t="s">
        <v>158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37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selection activeCell="K17" sqref="K17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1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1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1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1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1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1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1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1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1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1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1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1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1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1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1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1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1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1">
      <c r="A28" s="16"/>
      <c r="B28" s="625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28">
        <v>749968</v>
      </c>
      <c r="R28" s="628">
        <v>220000</v>
      </c>
    </row>
    <row r="29" spans="1:18" ht="10.5">
      <c r="A29" s="16"/>
      <c r="B29" s="626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29"/>
      <c r="R29" s="629"/>
    </row>
    <row r="30" spans="1:18" ht="11">
      <c r="A30" s="16"/>
      <c r="B30" s="627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30"/>
      <c r="R30" s="630"/>
    </row>
    <row r="31" spans="1:18" ht="11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1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1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1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1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1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1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1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1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1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1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1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1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台灣NEC - 王昌元(andrew-wang)</cp:lastModifiedBy>
  <cp:lastPrinted>2007-06-06T02:54:45Z</cp:lastPrinted>
  <dcterms:created xsi:type="dcterms:W3CDTF">2006-07-03T03:18:01Z</dcterms:created>
  <dcterms:modified xsi:type="dcterms:W3CDTF">2018-07-04T16:40:52Z</dcterms:modified>
</cp:coreProperties>
</file>