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uskywang\Documents\GitHub\Taipei-102\移動測試\"/>
    </mc:Choice>
  </mc:AlternateContent>
  <xr:revisionPtr revIDLastSave="0" documentId="13_ncr:1_{70A3E533-138E-4B59-AE07-985A0542645C}" xr6:coauthVersionLast="28" xr6:coauthVersionMax="28" xr10:uidLastSave="{00000000-0000-0000-0000-000000000000}"/>
  <bookViews>
    <workbookView xWindow="0" yWindow="0" windowWidth="16395" windowHeight="6945" tabRatio="653" xr2:uid="{00000000-000D-0000-FFFF-FFFF00000000}"/>
  </bookViews>
  <sheets>
    <sheet name="信用卡" sheetId="14" r:id="rId1"/>
    <sheet name="淑琪" sheetId="24" r:id="rId2"/>
    <sheet name="Invest" sheetId="22" r:id="rId3"/>
    <sheet name="永豐貸款" sheetId="20" r:id="rId4"/>
    <sheet name="五樓" sheetId="21" r:id="rId5"/>
    <sheet name="大樂透" sheetId="19" r:id="rId6"/>
    <sheet name="中獎號碼" sheetId="18" r:id="rId7"/>
    <sheet name="比較表" sheetId="17" r:id="rId8"/>
    <sheet name="2008年總表" sheetId="16" r:id="rId9"/>
    <sheet name="2009年總表" sheetId="1" r:id="rId10"/>
    <sheet name="2015年總表" sheetId="23" r:id="rId11"/>
    <sheet name="2017年总表" sheetId="25" r:id="rId12"/>
    <sheet name="一月" sheetId="2" r:id="rId13"/>
    <sheet name="二月" sheetId="3" r:id="rId14"/>
    <sheet name="三月" sheetId="4" r:id="rId15"/>
    <sheet name="四月" sheetId="5" r:id="rId16"/>
    <sheet name="五月" sheetId="6" r:id="rId17"/>
    <sheet name="六月" sheetId="7" r:id="rId18"/>
    <sheet name="七月" sheetId="8" r:id="rId19"/>
    <sheet name="八月" sheetId="9" r:id="rId20"/>
    <sheet name="九月" sheetId="10" r:id="rId21"/>
    <sheet name="十月" sheetId="11" r:id="rId22"/>
    <sheet name="十一月" sheetId="12" r:id="rId23"/>
    <sheet name="十二月" sheetId="13" r:id="rId24"/>
  </sheets>
  <externalReferences>
    <externalReference r:id="rId25"/>
  </externalReferences>
  <definedNames>
    <definedName name="_xlnm.Print_Area" localSheetId="9">'2009年總表'!$A$1:$R$45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V26" i="14" l="1"/>
  <c r="DV24" i="14"/>
  <c r="DV25" i="14"/>
  <c r="S26" i="22" l="1"/>
  <c r="DU25" i="14" l="1"/>
  <c r="DU26" i="14"/>
  <c r="DU24" i="14"/>
  <c r="DU8" i="14"/>
  <c r="DX42" i="14" l="1"/>
  <c r="DX36" i="14"/>
  <c r="DX35" i="14"/>
  <c r="DX34" i="14"/>
  <c r="DX30" i="14"/>
  <c r="DX22" i="14"/>
  <c r="DX21" i="14"/>
  <c r="DX18" i="14"/>
  <c r="DX17" i="14"/>
  <c r="DX16" i="14"/>
  <c r="DW42" i="14"/>
  <c r="DW35" i="14"/>
  <c r="DW34" i="14"/>
  <c r="DW30" i="14"/>
  <c r="DW22" i="14"/>
  <c r="DW21" i="14"/>
  <c r="DW17" i="14"/>
  <c r="DW16" i="14"/>
  <c r="DW36" i="14" s="1"/>
  <c r="DW9" i="14"/>
  <c r="DX9" i="14" s="1"/>
  <c r="DW8" i="14"/>
  <c r="DV42" i="14"/>
  <c r="DV35" i="14"/>
  <c r="DW25" i="14"/>
  <c r="DX25" i="14" s="1"/>
  <c r="DW24" i="14"/>
  <c r="DX24" i="14" s="1"/>
  <c r="DV22" i="14"/>
  <c r="DV21" i="14"/>
  <c r="DV17" i="14"/>
  <c r="DV16" i="14"/>
  <c r="DT26" i="14"/>
  <c r="DT24" i="14"/>
  <c r="DT25" i="14"/>
  <c r="DX29" i="14" l="1"/>
  <c r="DX33" i="14"/>
  <c r="DW12" i="14"/>
  <c r="DV37" i="14"/>
  <c r="DW11" i="14"/>
  <c r="DX8" i="14"/>
  <c r="DW18" i="14"/>
  <c r="DW28" i="14"/>
  <c r="DW29" i="14"/>
  <c r="DW33" i="14"/>
  <c r="DV18" i="14"/>
  <c r="DV13" i="14"/>
  <c r="DV29" i="14"/>
  <c r="DR25" i="14"/>
  <c r="DR24" i="14"/>
  <c r="DW37" i="14" l="1"/>
  <c r="DW32" i="14"/>
  <c r="DX12" i="14"/>
  <c r="DX32" i="14" s="1"/>
  <c r="DW31" i="14"/>
  <c r="DX11" i="14"/>
  <c r="DW13" i="14"/>
  <c r="DW26" i="14"/>
  <c r="DX28" i="14"/>
  <c r="DV27" i="14"/>
  <c r="DV39" i="14" s="1"/>
  <c r="DV23" i="14"/>
  <c r="DU21" i="14"/>
  <c r="DT21" i="14"/>
  <c r="DS21" i="14"/>
  <c r="DS12" i="14"/>
  <c r="DQ25" i="14"/>
  <c r="DX37" i="14" l="1"/>
  <c r="DW27" i="14"/>
  <c r="DW39" i="14" s="1"/>
  <c r="DW23" i="14"/>
  <c r="DX31" i="14"/>
  <c r="DX13" i="14"/>
  <c r="DX26" i="14"/>
  <c r="DS32" i="14"/>
  <c r="DS13" i="14"/>
  <c r="DS29" i="14"/>
  <c r="DP25" i="14"/>
  <c r="DR29" i="14"/>
  <c r="DN24" i="14"/>
  <c r="DN25" i="14"/>
  <c r="DM24" i="14"/>
  <c r="DM25" i="14"/>
  <c r="CH16" i="14"/>
  <c r="CI16" i="14" s="1"/>
  <c r="CJ16" i="14" s="1"/>
  <c r="CK16" i="14" s="1"/>
  <c r="DN29" i="14"/>
  <c r="DP35" i="14"/>
  <c r="DQ35" i="14" s="1"/>
  <c r="DN13" i="14"/>
  <c r="DR35" i="14"/>
  <c r="DS35" i="14" s="1"/>
  <c r="CQ42" i="14"/>
  <c r="CR42" i="14" s="1"/>
  <c r="CS42" i="14" s="1"/>
  <c r="CT42" i="14" s="1"/>
  <c r="CU42" i="14" s="1"/>
  <c r="CV42" i="14" s="1"/>
  <c r="CW42" i="14" s="1"/>
  <c r="CX42" i="14" s="1"/>
  <c r="CY42" i="14" s="1"/>
  <c r="CZ42" i="14" s="1"/>
  <c r="DA42" i="14" s="1"/>
  <c r="DB42" i="14" s="1"/>
  <c r="DC42" i="14" s="1"/>
  <c r="DD42" i="14" s="1"/>
  <c r="DE42" i="14" s="1"/>
  <c r="DF42" i="14" s="1"/>
  <c r="DG42" i="14" s="1"/>
  <c r="DH42" i="14" s="1"/>
  <c r="DI42" i="14" s="1"/>
  <c r="DJ42" i="14" s="1"/>
  <c r="DK42" i="14" s="1"/>
  <c r="DL42" i="14" s="1"/>
  <c r="DM42" i="14" s="1"/>
  <c r="DN42" i="14" s="1"/>
  <c r="DO42" i="14" s="1"/>
  <c r="DP42" i="14" s="1"/>
  <c r="DQ42" i="14" s="1"/>
  <c r="DR42" i="14" s="1"/>
  <c r="DS42" i="14" s="1"/>
  <c r="DT42" i="14" s="1"/>
  <c r="DU42" i="14" s="1"/>
  <c r="DR32" i="14"/>
  <c r="AX22" i="14"/>
  <c r="AY22" i="14" s="1"/>
  <c r="AZ22" i="14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BM22" i="14" s="1"/>
  <c r="BN22" i="14" s="1"/>
  <c r="BO22" i="14" s="1"/>
  <c r="BP22" i="14" s="1"/>
  <c r="BQ22" i="14" s="1"/>
  <c r="BR22" i="14" s="1"/>
  <c r="BS22" i="14" s="1"/>
  <c r="BT22" i="14" s="1"/>
  <c r="BU22" i="14" s="1"/>
  <c r="BV22" i="14" s="1"/>
  <c r="BW22" i="14" s="1"/>
  <c r="BX22" i="14" s="1"/>
  <c r="BY22" i="14" s="1"/>
  <c r="BZ22" i="14" s="1"/>
  <c r="CA22" i="14" s="1"/>
  <c r="CB22" i="14" s="1"/>
  <c r="CC22" i="14" s="1"/>
  <c r="CD22" i="14" s="1"/>
  <c r="CE22" i="14" s="1"/>
  <c r="CF22" i="14" s="1"/>
  <c r="CG22" i="14" s="1"/>
  <c r="CH22" i="14" s="1"/>
  <c r="CI22" i="14" s="1"/>
  <c r="CJ22" i="14" s="1"/>
  <c r="CK22" i="14" s="1"/>
  <c r="CL22" i="14" s="1"/>
  <c r="CM22" i="14" s="1"/>
  <c r="CN22" i="14" s="1"/>
  <c r="CO22" i="14" s="1"/>
  <c r="CP22" i="14" s="1"/>
  <c r="CQ22" i="14" s="1"/>
  <c r="CR22" i="14" s="1"/>
  <c r="CS22" i="14" s="1"/>
  <c r="CT22" i="14" s="1"/>
  <c r="CU22" i="14" s="1"/>
  <c r="CV22" i="14" s="1"/>
  <c r="CW22" i="14" s="1"/>
  <c r="CX22" i="14" s="1"/>
  <c r="CY22" i="14" s="1"/>
  <c r="CZ22" i="14" s="1"/>
  <c r="DA22" i="14" s="1"/>
  <c r="DB22" i="14" s="1"/>
  <c r="DC22" i="14" s="1"/>
  <c r="DD22" i="14" s="1"/>
  <c r="DE22" i="14" s="1"/>
  <c r="DF22" i="14" s="1"/>
  <c r="DG22" i="14" s="1"/>
  <c r="DH22" i="14" s="1"/>
  <c r="DI22" i="14" s="1"/>
  <c r="DJ22" i="14" s="1"/>
  <c r="DK22" i="14" s="1"/>
  <c r="DL22" i="14" s="1"/>
  <c r="DM22" i="14" s="1"/>
  <c r="DN22" i="14" s="1"/>
  <c r="DO22" i="14" s="1"/>
  <c r="DP22" i="14" s="1"/>
  <c r="DQ22" i="14" s="1"/>
  <c r="DR22" i="14" s="1"/>
  <c r="DS22" i="14" s="1"/>
  <c r="DT22" i="14" s="1"/>
  <c r="DU22" i="14" s="1"/>
  <c r="DR21" i="14"/>
  <c r="BV17" i="14"/>
  <c r="BW17" i="14" s="1"/>
  <c r="BX17" i="14" s="1"/>
  <c r="BY17" i="14" s="1"/>
  <c r="BZ17" i="14" s="1"/>
  <c r="CA17" i="14" s="1"/>
  <c r="DQ29" i="14"/>
  <c r="DQ21" i="14"/>
  <c r="DQ13" i="14"/>
  <c r="DP29" i="14"/>
  <c r="DP21" i="14"/>
  <c r="DP13" i="14"/>
  <c r="DO29" i="14"/>
  <c r="DO21" i="14"/>
  <c r="DO13" i="14"/>
  <c r="DL25" i="14"/>
  <c r="DK25" i="14"/>
  <c r="R35" i="25"/>
  <c r="R34" i="25"/>
  <c r="R33" i="25"/>
  <c r="R32" i="25"/>
  <c r="R29" i="25"/>
  <c r="R28" i="25"/>
  <c r="R27" i="25"/>
  <c r="R25" i="25"/>
  <c r="R24" i="25"/>
  <c r="R22" i="25"/>
  <c r="R15" i="25"/>
  <c r="R8" i="25"/>
  <c r="R5" i="25"/>
  <c r="R2" i="25"/>
  <c r="R37" i="25" s="1"/>
  <c r="DJ24" i="14"/>
  <c r="DJ25" i="14"/>
  <c r="S28" i="22"/>
  <c r="DN21" i="14"/>
  <c r="DM21" i="14"/>
  <c r="DL21" i="14"/>
  <c r="DI24" i="14"/>
  <c r="DI25" i="14"/>
  <c r="U31" i="22"/>
  <c r="S25" i="22"/>
  <c r="DH24" i="14"/>
  <c r="DH25" i="14"/>
  <c r="DG25" i="14"/>
  <c r="DG24" i="14"/>
  <c r="DF25" i="14"/>
  <c r="DF24" i="14"/>
  <c r="DE24" i="14"/>
  <c r="DE25" i="14"/>
  <c r="DD24" i="14"/>
  <c r="DL29" i="14"/>
  <c r="DC24" i="14"/>
  <c r="DM29" i="14"/>
  <c r="DC25" i="14"/>
  <c r="DD25" i="14" s="1"/>
  <c r="DK29" i="14"/>
  <c r="DK21" i="14"/>
  <c r="DJ29" i="14"/>
  <c r="DJ21" i="14"/>
  <c r="DI29" i="14"/>
  <c r="DI21" i="14"/>
  <c r="DH29" i="14"/>
  <c r="DH21" i="14"/>
  <c r="DG29" i="14"/>
  <c r="DG21" i="14"/>
  <c r="DB26" i="14"/>
  <c r="DB23" i="14" s="1"/>
  <c r="DB24" i="14"/>
  <c r="DB25" i="14"/>
  <c r="CZ24" i="14"/>
  <c r="DA24" i="14" s="1"/>
  <c r="CZ25" i="14"/>
  <c r="DA25" i="14" s="1"/>
  <c r="K95" i="24"/>
  <c r="K94" i="24"/>
  <c r="K93" i="24"/>
  <c r="K88" i="24"/>
  <c r="K87" i="24"/>
  <c r="K81" i="24"/>
  <c r="K80" i="24"/>
  <c r="K79" i="24"/>
  <c r="K78" i="24"/>
  <c r="K77" i="24"/>
  <c r="K76" i="24"/>
  <c r="K75" i="24"/>
  <c r="K70" i="24"/>
  <c r="K69" i="24"/>
  <c r="K67" i="24"/>
  <c r="K64" i="24"/>
  <c r="K63" i="24"/>
  <c r="K62" i="24"/>
  <c r="K60" i="24"/>
  <c r="K68" i="24" s="1"/>
  <c r="C37" i="24"/>
  <c r="C36" i="24"/>
  <c r="H35" i="24"/>
  <c r="D25" i="24"/>
  <c r="E2" i="24"/>
  <c r="B3" i="24" s="1"/>
  <c r="E3" i="24" s="1"/>
  <c r="B4" i="24" s="1"/>
  <c r="E4" i="24" s="1"/>
  <c r="B5" i="24" s="1"/>
  <c r="E5" i="24" s="1"/>
  <c r="B6" i="24" s="1"/>
  <c r="E6" i="24" s="1"/>
  <c r="B7" i="24" s="1"/>
  <c r="E7" i="24" s="1"/>
  <c r="B8" i="24" s="1"/>
  <c r="E8" i="24" s="1"/>
  <c r="B9" i="24" s="1"/>
  <c r="E9" i="24" s="1"/>
  <c r="B10" i="24" s="1"/>
  <c r="E10" i="24" s="1"/>
  <c r="B11" i="24" s="1"/>
  <c r="E11" i="24" s="1"/>
  <c r="B12" i="24" s="1"/>
  <c r="E12" i="24" s="1"/>
  <c r="B13" i="24" s="1"/>
  <c r="E13" i="24" s="1"/>
  <c r="B14" i="24" s="1"/>
  <c r="E14" i="24" s="1"/>
  <c r="B15" i="24" s="1"/>
  <c r="E15" i="24" s="1"/>
  <c r="B16" i="24" s="1"/>
  <c r="E16" i="24" s="1"/>
  <c r="B17" i="24" s="1"/>
  <c r="E17" i="24" s="1"/>
  <c r="B18" i="24" s="1"/>
  <c r="E18" i="24" s="1"/>
  <c r="B19" i="24" s="1"/>
  <c r="E19" i="24" s="1"/>
  <c r="B20" i="24" s="1"/>
  <c r="E20" i="24" s="1"/>
  <c r="B21" i="24" s="1"/>
  <c r="E21" i="24" s="1"/>
  <c r="B22" i="24" s="1"/>
  <c r="E22" i="24" s="1"/>
  <c r="B23" i="24" s="1"/>
  <c r="E23" i="24" s="1"/>
  <c r="B24" i="24" s="1"/>
  <c r="E24" i="24" s="1"/>
  <c r="B25" i="24" s="1"/>
  <c r="E25" i="24" s="1"/>
  <c r="B26" i="24" s="1"/>
  <c r="E26" i="24" s="1"/>
  <c r="B27" i="24" s="1"/>
  <c r="E27" i="24" s="1"/>
  <c r="B28" i="24" s="1"/>
  <c r="E28" i="24" s="1"/>
  <c r="B29" i="24" s="1"/>
  <c r="E29" i="24" s="1"/>
  <c r="B30" i="24" s="1"/>
  <c r="E30" i="24" s="1"/>
  <c r="B31" i="24" s="1"/>
  <c r="E31" i="24" s="1"/>
  <c r="B32" i="24" s="1"/>
  <c r="E32" i="24" s="1"/>
  <c r="B33" i="24" s="1"/>
  <c r="E33" i="24" s="1"/>
  <c r="B34" i="24" s="1"/>
  <c r="E34" i="24" s="1"/>
  <c r="B35" i="24" s="1"/>
  <c r="E35" i="24" s="1"/>
  <c r="B36" i="24" s="1"/>
  <c r="DG13" i="14"/>
  <c r="DF33" i="14"/>
  <c r="DF29" i="14"/>
  <c r="DF21" i="14"/>
  <c r="DE33" i="14"/>
  <c r="DE29" i="14"/>
  <c r="DE21" i="14"/>
  <c r="DD33" i="14"/>
  <c r="DD29" i="14"/>
  <c r="DD21" i="14"/>
  <c r="DC33" i="14"/>
  <c r="DC29" i="14"/>
  <c r="DC21" i="14"/>
  <c r="DB33" i="14"/>
  <c r="DB29" i="14"/>
  <c r="DB21" i="14"/>
  <c r="DA33" i="14"/>
  <c r="DA29" i="14"/>
  <c r="DA21" i="14"/>
  <c r="CY25" i="14"/>
  <c r="CY24" i="14"/>
  <c r="DH13" i="14"/>
  <c r="DB13" i="14"/>
  <c r="DA13" i="14"/>
  <c r="CX25" i="14"/>
  <c r="CX27" i="14" s="1"/>
  <c r="DI13" i="14"/>
  <c r="DC13" i="14"/>
  <c r="CW25" i="14"/>
  <c r="DJ13" i="14"/>
  <c r="DD13" i="14"/>
  <c r="CZ33" i="14"/>
  <c r="CZ29" i="14"/>
  <c r="CZ21" i="14"/>
  <c r="CY33" i="14"/>
  <c r="CY29" i="14"/>
  <c r="CY21" i="14"/>
  <c r="CX33" i="14"/>
  <c r="CX32" i="14"/>
  <c r="CX29" i="14"/>
  <c r="CX21" i="14"/>
  <c r="DL13" i="14"/>
  <c r="DK13" i="14"/>
  <c r="DE13" i="14"/>
  <c r="CX13" i="14"/>
  <c r="CV26" i="14"/>
  <c r="CV25" i="14"/>
  <c r="CV27" i="14" s="1"/>
  <c r="CV39" i="14" s="1"/>
  <c r="DM13" i="14"/>
  <c r="DF13" i="14"/>
  <c r="CY13" i="14"/>
  <c r="CZ13" i="14"/>
  <c r="CU8" i="14"/>
  <c r="CU13" i="14" s="1"/>
  <c r="CW33" i="14"/>
  <c r="CW32" i="14"/>
  <c r="CW29" i="14"/>
  <c r="CW21" i="14"/>
  <c r="CV33" i="14"/>
  <c r="CV32" i="14"/>
  <c r="CV29" i="14"/>
  <c r="CV23" i="14"/>
  <c r="CV24" i="14"/>
  <c r="CV21" i="14"/>
  <c r="CU33" i="14"/>
  <c r="CU32" i="14"/>
  <c r="CU29" i="14"/>
  <c r="CU21" i="14"/>
  <c r="CV13" i="14"/>
  <c r="CW13" i="14"/>
  <c r="D37" i="11"/>
  <c r="R35" i="23"/>
  <c r="R34" i="23"/>
  <c r="R33" i="23"/>
  <c r="R32" i="23"/>
  <c r="R29" i="23"/>
  <c r="R28" i="23"/>
  <c r="R27" i="23"/>
  <c r="R25" i="23"/>
  <c r="R24" i="23"/>
  <c r="R22" i="23"/>
  <c r="R15" i="23"/>
  <c r="R8" i="23"/>
  <c r="R5" i="23"/>
  <c r="R2" i="23"/>
  <c r="S10" i="22"/>
  <c r="S9" i="22"/>
  <c r="S8" i="22"/>
  <c r="S7" i="22"/>
  <c r="S6" i="22"/>
  <c r="S5" i="22"/>
  <c r="S4" i="22"/>
  <c r="S3" i="22"/>
  <c r="D8" i="20"/>
  <c r="D13" i="20" s="1"/>
  <c r="F13" i="20"/>
  <c r="CO43" i="14"/>
  <c r="CN26" i="14"/>
  <c r="CN24" i="14"/>
  <c r="CN43" i="14"/>
  <c r="CM43" i="14"/>
  <c r="CT33" i="14"/>
  <c r="CT32" i="14"/>
  <c r="CT29" i="14"/>
  <c r="CT21" i="14"/>
  <c r="CS33" i="14"/>
  <c r="CS32" i="14"/>
  <c r="CS29" i="14"/>
  <c r="CS21" i="14"/>
  <c r="CR33" i="14"/>
  <c r="CR32" i="14"/>
  <c r="CR29" i="14"/>
  <c r="CR21" i="14"/>
  <c r="CQ33" i="14"/>
  <c r="CQ32" i="14"/>
  <c r="CQ29" i="14"/>
  <c r="CQ21" i="14"/>
  <c r="CP33" i="14"/>
  <c r="CP32" i="14"/>
  <c r="CP29" i="14"/>
  <c r="CP21" i="14"/>
  <c r="CO33" i="14"/>
  <c r="CO32" i="14"/>
  <c r="CO29" i="14"/>
  <c r="CO23" i="14"/>
  <c r="CQ25" i="14"/>
  <c r="CQ27" i="14" s="1"/>
  <c r="CO21" i="14"/>
  <c r="CO27" i="14"/>
  <c r="CS24" i="14"/>
  <c r="CT24" i="14" s="1"/>
  <c r="CT27" i="14" s="1"/>
  <c r="CT39" i="14" s="1"/>
  <c r="CP26" i="14"/>
  <c r="CP27" i="14" s="1"/>
  <c r="CS25" i="14"/>
  <c r="CT25" i="14" s="1"/>
  <c r="CP13" i="14"/>
  <c r="CO13" i="14"/>
  <c r="CM24" i="14"/>
  <c r="CP23" i="14"/>
  <c r="CQ13" i="14"/>
  <c r="CQ23" i="14"/>
  <c r="CR13" i="14"/>
  <c r="CS26" i="14"/>
  <c r="CS23" i="14" s="1"/>
  <c r="CR23" i="14"/>
  <c r="CR27" i="14"/>
  <c r="CN33" i="14"/>
  <c r="CN29" i="14"/>
  <c r="CN21" i="14"/>
  <c r="CN13" i="14"/>
  <c r="CS13" i="14"/>
  <c r="CT26" i="14"/>
  <c r="CT23" i="14" s="1"/>
  <c r="CS27" i="14"/>
  <c r="CM33" i="14"/>
  <c r="CM29" i="14"/>
  <c r="CM23" i="14"/>
  <c r="CM21" i="14"/>
  <c r="CT13" i="14"/>
  <c r="CM13" i="14"/>
  <c r="CL33" i="14"/>
  <c r="CL29" i="14"/>
  <c r="CL23" i="14"/>
  <c r="CL25" i="14"/>
  <c r="CM25" i="14"/>
  <c r="CM27" i="14" s="1"/>
  <c r="CM39" i="14" s="1"/>
  <c r="CL21" i="14"/>
  <c r="CL13" i="14"/>
  <c r="CL27" i="14"/>
  <c r="CI41" i="14"/>
  <c r="CH41" i="14"/>
  <c r="CK33" i="14"/>
  <c r="CK29" i="14"/>
  <c r="CK21" i="14"/>
  <c r="CJ33" i="14"/>
  <c r="CJ29" i="14"/>
  <c r="CJ21" i="14"/>
  <c r="CI33" i="14"/>
  <c r="CI29" i="14"/>
  <c r="CI23" i="14"/>
  <c r="CI25" i="14"/>
  <c r="CJ25" i="14" s="1"/>
  <c r="CJ27" i="14" s="1"/>
  <c r="CI24" i="14"/>
  <c r="CI27" i="14" s="1"/>
  <c r="CI21" i="14"/>
  <c r="CI13" i="14"/>
  <c r="CG10" i="14"/>
  <c r="CG13" i="14" s="1"/>
  <c r="CJ23" i="14"/>
  <c r="CJ13" i="14"/>
  <c r="CG23" i="14"/>
  <c r="CE23" i="14"/>
  <c r="CC23" i="14"/>
  <c r="CB23" i="14"/>
  <c r="CA23" i="14"/>
  <c r="BZ23" i="14"/>
  <c r="BY23" i="14"/>
  <c r="BX23" i="14"/>
  <c r="BW23" i="14"/>
  <c r="BV23" i="14"/>
  <c r="BU23" i="14"/>
  <c r="BQ23" i="14"/>
  <c r="T18" i="14"/>
  <c r="CK23" i="14"/>
  <c r="CK27" i="14"/>
  <c r="CK39" i="14" s="1"/>
  <c r="CK13" i="14"/>
  <c r="C1" i="21"/>
  <c r="B1" i="21"/>
  <c r="H3" i="21"/>
  <c r="H5" i="21" s="1"/>
  <c r="H7" i="21" s="1"/>
  <c r="AI42" i="14"/>
  <c r="CC10" i="14"/>
  <c r="CC8" i="14"/>
  <c r="I8" i="20"/>
  <c r="CB25" i="14"/>
  <c r="CB27" i="14" s="1"/>
  <c r="CD26" i="14"/>
  <c r="CH33" i="14"/>
  <c r="CH29" i="14"/>
  <c r="CH37" i="14" s="1"/>
  <c r="CH21" i="14"/>
  <c r="CH13" i="14"/>
  <c r="CG33" i="14"/>
  <c r="CG29" i="14"/>
  <c r="CG21" i="14"/>
  <c r="CF33" i="14"/>
  <c r="CF29" i="14"/>
  <c r="CF21" i="14"/>
  <c r="CF13" i="14"/>
  <c r="CE33" i="14"/>
  <c r="CE29" i="14"/>
  <c r="CE21" i="14"/>
  <c r="CE13" i="14"/>
  <c r="CD33" i="14"/>
  <c r="CD29" i="14"/>
  <c r="CD24" i="14"/>
  <c r="CD21" i="14"/>
  <c r="CD13" i="14"/>
  <c r="CC33" i="14"/>
  <c r="CC29" i="14"/>
  <c r="CC27" i="14"/>
  <c r="CC21" i="14"/>
  <c r="CC13" i="14"/>
  <c r="CF26" i="14"/>
  <c r="CD23" i="14"/>
  <c r="BZ10" i="14"/>
  <c r="CH23" i="14"/>
  <c r="CF23" i="14"/>
  <c r="BZ8" i="14"/>
  <c r="BZ13" i="14" s="1"/>
  <c r="CB33" i="14"/>
  <c r="CB29" i="14"/>
  <c r="CB21" i="14"/>
  <c r="CB13" i="14"/>
  <c r="CA29" i="14"/>
  <c r="CA21" i="14"/>
  <c r="CA13" i="14"/>
  <c r="CG27" i="14"/>
  <c r="CH27" i="14"/>
  <c r="BZ29" i="14"/>
  <c r="BZ21" i="14"/>
  <c r="BY29" i="14"/>
  <c r="BY21" i="14"/>
  <c r="BY13" i="14"/>
  <c r="BX29" i="14"/>
  <c r="BX21" i="14"/>
  <c r="BX13" i="14"/>
  <c r="BW33" i="14"/>
  <c r="BW29" i="14"/>
  <c r="BW21" i="14"/>
  <c r="BW13" i="14"/>
  <c r="BV29" i="14"/>
  <c r="BV21" i="14"/>
  <c r="BT15" i="14"/>
  <c r="BU15" i="14"/>
  <c r="BV13" i="14"/>
  <c r="BU29" i="14"/>
  <c r="BU35" i="14"/>
  <c r="BU21" i="14"/>
  <c r="BU13" i="14"/>
  <c r="BT29" i="14"/>
  <c r="BT21" i="14"/>
  <c r="BT13" i="14"/>
  <c r="BQ24" i="14"/>
  <c r="BQ27" i="14" s="1"/>
  <c r="BR26" i="14"/>
  <c r="BR23" i="14"/>
  <c r="BS29" i="14"/>
  <c r="BS21" i="14"/>
  <c r="BS13" i="14"/>
  <c r="BR29" i="14"/>
  <c r="BR34" i="14"/>
  <c r="BR21" i="14"/>
  <c r="BR13" i="14"/>
  <c r="BQ29" i="14"/>
  <c r="BQ21" i="14"/>
  <c r="BQ13" i="14"/>
  <c r="BO8" i="14"/>
  <c r="BO13" i="14"/>
  <c r="BE24" i="14"/>
  <c r="BF24" i="14" s="1"/>
  <c r="BG24" i="14" s="1"/>
  <c r="BM26" i="14"/>
  <c r="BN26" i="14" s="1"/>
  <c r="BO26" i="14" s="1"/>
  <c r="BP26" i="14" s="1"/>
  <c r="BP23" i="14" s="1"/>
  <c r="BP29" i="14"/>
  <c r="BG17" i="14"/>
  <c r="BH17" i="14" s="1"/>
  <c r="BE16" i="14"/>
  <c r="BJ15" i="14"/>
  <c r="BK15" i="14" s="1"/>
  <c r="BL15" i="14" s="1"/>
  <c r="BM15" i="14" s="1"/>
  <c r="BN15" i="14" s="1"/>
  <c r="BO15" i="14" s="1"/>
  <c r="BP15" i="14" s="1"/>
  <c r="BQ15" i="14" s="1"/>
  <c r="AM16" i="14"/>
  <c r="AM18" i="14" s="1"/>
  <c r="AN17" i="14"/>
  <c r="AO17" i="14" s="1"/>
  <c r="AP17" i="14" s="1"/>
  <c r="AQ17" i="14" s="1"/>
  <c r="AR17" i="14" s="1"/>
  <c r="AS17" i="14" s="1"/>
  <c r="AT17" i="14" s="1"/>
  <c r="AU16" i="14"/>
  <c r="AU18" i="14" s="1"/>
  <c r="AV16" i="14"/>
  <c r="AW17" i="14"/>
  <c r="AX17" i="14"/>
  <c r="AY17" i="14" s="1"/>
  <c r="AZ17" i="14" s="1"/>
  <c r="BA17" i="14" s="1"/>
  <c r="BB16" i="14"/>
  <c r="BB17" i="14" s="1"/>
  <c r="BC17" i="14" s="1"/>
  <c r="BD18" i="14"/>
  <c r="BE17" i="14"/>
  <c r="BP21" i="14"/>
  <c r="BP13" i="14"/>
  <c r="BO29" i="14"/>
  <c r="BO21" i="14"/>
  <c r="BN29" i="14"/>
  <c r="BN31" i="14"/>
  <c r="BN21" i="14"/>
  <c r="BN13" i="14"/>
  <c r="BM31" i="14"/>
  <c r="BM29" i="14"/>
  <c r="BM21" i="14"/>
  <c r="BM13" i="14"/>
  <c r="BL31" i="14"/>
  <c r="BL29" i="14"/>
  <c r="BL21" i="14"/>
  <c r="BL13" i="14"/>
  <c r="BK31" i="14"/>
  <c r="BK29" i="14"/>
  <c r="BK21" i="14"/>
  <c r="BK13" i="14"/>
  <c r="AQ15" i="14"/>
  <c r="BJ31" i="14"/>
  <c r="BJ29" i="14"/>
  <c r="BJ21" i="14"/>
  <c r="BJ13" i="14"/>
  <c r="BI29" i="14"/>
  <c r="BI21" i="14"/>
  <c r="BI13" i="14"/>
  <c r="BH29" i="14"/>
  <c r="BH21" i="14"/>
  <c r="BH13" i="14"/>
  <c r="BG29" i="14"/>
  <c r="BG21" i="14"/>
  <c r="BE26" i="14"/>
  <c r="BE25" i="14"/>
  <c r="BC24" i="14"/>
  <c r="BC27" i="14" s="1"/>
  <c r="BF30" i="14"/>
  <c r="BF29" i="14"/>
  <c r="BF21" i="14"/>
  <c r="BE29" i="14"/>
  <c r="BE21" i="14"/>
  <c r="BD29" i="14"/>
  <c r="BD21" i="14"/>
  <c r="BC29" i="14"/>
  <c r="BC21" i="14"/>
  <c r="BA24" i="14"/>
  <c r="BA27" i="14" s="1"/>
  <c r="I9" i="14"/>
  <c r="I10" i="14"/>
  <c r="R12" i="14"/>
  <c r="I12" i="14" s="1"/>
  <c r="AZ24" i="14"/>
  <c r="AZ25" i="14"/>
  <c r="AY25" i="14"/>
  <c r="AY24" i="14"/>
  <c r="BD27" i="14"/>
  <c r="AW10" i="14"/>
  <c r="BB30" i="14"/>
  <c r="BB29" i="14"/>
  <c r="BB27" i="14"/>
  <c r="BA29" i="14"/>
  <c r="AZ29" i="14"/>
  <c r="AY30" i="14"/>
  <c r="AY29" i="14"/>
  <c r="BB11" i="14"/>
  <c r="BB13" i="14" s="1"/>
  <c r="AZ11" i="14"/>
  <c r="AW25" i="14"/>
  <c r="AV25" i="14"/>
  <c r="AV24" i="14"/>
  <c r="AX29" i="14"/>
  <c r="AX21" i="14"/>
  <c r="AW29" i="14"/>
  <c r="AW21" i="14"/>
  <c r="T41" i="14"/>
  <c r="AT25" i="14"/>
  <c r="AT24" i="14"/>
  <c r="AR32" i="14"/>
  <c r="AW11" i="14"/>
  <c r="AR22" i="14"/>
  <c r="AS22" i="14" s="1"/>
  <c r="AT22" i="14"/>
  <c r="AU22" i="14" s="1"/>
  <c r="AP27" i="14"/>
  <c r="AV29" i="14"/>
  <c r="AU29" i="14"/>
  <c r="AT29" i="14"/>
  <c r="AS29" i="14"/>
  <c r="AR29" i="14"/>
  <c r="AQ29" i="14"/>
  <c r="AO24" i="14"/>
  <c r="AO27" i="14" s="1"/>
  <c r="AP29" i="14"/>
  <c r="AP31" i="14"/>
  <c r="AL16" i="14"/>
  <c r="AL18" i="14" s="1"/>
  <c r="AE16" i="14"/>
  <c r="AF16" i="14" s="1"/>
  <c r="D1" i="19"/>
  <c r="J1" i="19"/>
  <c r="H1" i="19"/>
  <c r="B1" i="19"/>
  <c r="F1" i="19" s="1"/>
  <c r="H54" i="18"/>
  <c r="C9" i="18"/>
  <c r="D9" i="18"/>
  <c r="E9" i="18"/>
  <c r="F9" i="18"/>
  <c r="G9" i="18"/>
  <c r="H9" i="18"/>
  <c r="I9" i="18"/>
  <c r="C10" i="18"/>
  <c r="D10" i="18"/>
  <c r="E10" i="18"/>
  <c r="F10" i="18"/>
  <c r="G10" i="18"/>
  <c r="H10" i="18"/>
  <c r="I10" i="18"/>
  <c r="C11" i="18"/>
  <c r="D11" i="18"/>
  <c r="E11" i="18"/>
  <c r="F11" i="18"/>
  <c r="G11" i="18"/>
  <c r="H11" i="18"/>
  <c r="I11" i="18"/>
  <c r="C12" i="18"/>
  <c r="D12" i="18"/>
  <c r="E12" i="18"/>
  <c r="F12" i="18"/>
  <c r="G12" i="18"/>
  <c r="H12" i="18"/>
  <c r="I12" i="18"/>
  <c r="C13" i="18"/>
  <c r="D13" i="18"/>
  <c r="E13" i="18"/>
  <c r="F13" i="18"/>
  <c r="G13" i="18"/>
  <c r="H13" i="18"/>
  <c r="I13" i="18"/>
  <c r="C14" i="18"/>
  <c r="D14" i="18"/>
  <c r="E14" i="18"/>
  <c r="F14" i="18"/>
  <c r="G14" i="18"/>
  <c r="H14" i="18"/>
  <c r="I14" i="18"/>
  <c r="C15" i="18"/>
  <c r="D15" i="18"/>
  <c r="E15" i="18"/>
  <c r="F15" i="18"/>
  <c r="G15" i="18"/>
  <c r="H15" i="18"/>
  <c r="I15" i="18"/>
  <c r="C16" i="18"/>
  <c r="D16" i="18"/>
  <c r="E16" i="18"/>
  <c r="F16" i="18"/>
  <c r="G16" i="18"/>
  <c r="H16" i="18"/>
  <c r="I16" i="18"/>
  <c r="C17" i="18"/>
  <c r="D17" i="18"/>
  <c r="E17" i="18"/>
  <c r="F17" i="18"/>
  <c r="G17" i="18"/>
  <c r="H17" i="18"/>
  <c r="I17" i="18"/>
  <c r="C18" i="18"/>
  <c r="D18" i="18"/>
  <c r="E18" i="18"/>
  <c r="F18" i="18"/>
  <c r="G18" i="18"/>
  <c r="H18" i="18"/>
  <c r="I18" i="18"/>
  <c r="C19" i="18"/>
  <c r="D19" i="18"/>
  <c r="E19" i="18"/>
  <c r="F19" i="18"/>
  <c r="G19" i="18"/>
  <c r="H19" i="18"/>
  <c r="I19" i="18"/>
  <c r="C20" i="18"/>
  <c r="D20" i="18"/>
  <c r="E20" i="18"/>
  <c r="F20" i="18"/>
  <c r="G20" i="18"/>
  <c r="H20" i="18"/>
  <c r="I20" i="18"/>
  <c r="C21" i="18"/>
  <c r="D21" i="18"/>
  <c r="E21" i="18"/>
  <c r="F21" i="18"/>
  <c r="G21" i="18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D25" i="18"/>
  <c r="E25" i="18"/>
  <c r="F25" i="18"/>
  <c r="G25" i="18"/>
  <c r="H25" i="18"/>
  <c r="I25" i="18"/>
  <c r="C26" i="18"/>
  <c r="D26" i="18"/>
  <c r="E26" i="18"/>
  <c r="F26" i="18"/>
  <c r="G26" i="18"/>
  <c r="H26" i="18"/>
  <c r="I26" i="18"/>
  <c r="C27" i="18"/>
  <c r="D27" i="18"/>
  <c r="E27" i="18"/>
  <c r="F27" i="18"/>
  <c r="G27" i="18"/>
  <c r="H27" i="18"/>
  <c r="I27" i="18"/>
  <c r="C28" i="18"/>
  <c r="D28" i="18"/>
  <c r="E28" i="18"/>
  <c r="F28" i="18"/>
  <c r="G28" i="18"/>
  <c r="H28" i="18"/>
  <c r="I28" i="18"/>
  <c r="C29" i="18"/>
  <c r="D29" i="18"/>
  <c r="E29" i="18"/>
  <c r="F29" i="18"/>
  <c r="G29" i="18"/>
  <c r="H29" i="18"/>
  <c r="I29" i="18"/>
  <c r="C30" i="18"/>
  <c r="D30" i="18"/>
  <c r="E30" i="18"/>
  <c r="F30" i="18"/>
  <c r="G30" i="18"/>
  <c r="H30" i="18"/>
  <c r="I30" i="18"/>
  <c r="C31" i="18"/>
  <c r="D31" i="18"/>
  <c r="E31" i="18"/>
  <c r="F31" i="18"/>
  <c r="G31" i="18"/>
  <c r="H31" i="18"/>
  <c r="I31" i="18"/>
  <c r="C32" i="18"/>
  <c r="D32" i="18"/>
  <c r="E32" i="18"/>
  <c r="F32" i="18"/>
  <c r="G32" i="18"/>
  <c r="H32" i="18"/>
  <c r="I32" i="18"/>
  <c r="C33" i="18"/>
  <c r="D33" i="18"/>
  <c r="E33" i="18"/>
  <c r="F33" i="18"/>
  <c r="G33" i="18"/>
  <c r="H33" i="18"/>
  <c r="I33" i="18"/>
  <c r="C34" i="18"/>
  <c r="D34" i="18"/>
  <c r="E34" i="18"/>
  <c r="F34" i="18"/>
  <c r="G34" i="18"/>
  <c r="H34" i="18"/>
  <c r="I34" i="18"/>
  <c r="C35" i="18"/>
  <c r="D35" i="18"/>
  <c r="E35" i="18"/>
  <c r="F35" i="18"/>
  <c r="G35" i="18"/>
  <c r="H35" i="18"/>
  <c r="I35" i="18"/>
  <c r="C36" i="18"/>
  <c r="D36" i="18"/>
  <c r="E36" i="18"/>
  <c r="F36" i="18"/>
  <c r="G36" i="18"/>
  <c r="H36" i="18"/>
  <c r="I36" i="18"/>
  <c r="C37" i="18"/>
  <c r="D37" i="18"/>
  <c r="E37" i="18"/>
  <c r="F37" i="18"/>
  <c r="G37" i="18"/>
  <c r="H37" i="18"/>
  <c r="I37" i="18"/>
  <c r="C38" i="18"/>
  <c r="D38" i="18"/>
  <c r="E38" i="18"/>
  <c r="F38" i="18"/>
  <c r="G38" i="18"/>
  <c r="H38" i="18"/>
  <c r="I38" i="18"/>
  <c r="C39" i="18"/>
  <c r="D39" i="18"/>
  <c r="E39" i="18"/>
  <c r="F39" i="18"/>
  <c r="G39" i="18"/>
  <c r="H39" i="18"/>
  <c r="I39" i="18"/>
  <c r="C40" i="18"/>
  <c r="D40" i="18"/>
  <c r="E40" i="18"/>
  <c r="F40" i="18"/>
  <c r="G40" i="18"/>
  <c r="H40" i="18"/>
  <c r="I40" i="18"/>
  <c r="C41" i="18"/>
  <c r="D41" i="18"/>
  <c r="E41" i="18"/>
  <c r="F41" i="18"/>
  <c r="G41" i="18"/>
  <c r="H41" i="18"/>
  <c r="I41" i="18"/>
  <c r="C42" i="18"/>
  <c r="D42" i="18"/>
  <c r="E42" i="18"/>
  <c r="F42" i="18"/>
  <c r="G42" i="18"/>
  <c r="H42" i="18"/>
  <c r="I42" i="18"/>
  <c r="C43" i="18"/>
  <c r="D43" i="18"/>
  <c r="E43" i="18"/>
  <c r="F43" i="18"/>
  <c r="G43" i="18"/>
  <c r="H43" i="18"/>
  <c r="I43" i="18"/>
  <c r="C44" i="18"/>
  <c r="D44" i="18"/>
  <c r="E44" i="18"/>
  <c r="F44" i="18"/>
  <c r="G44" i="18"/>
  <c r="H44" i="18"/>
  <c r="I44" i="18"/>
  <c r="C45" i="18"/>
  <c r="D45" i="18"/>
  <c r="E45" i="18"/>
  <c r="F45" i="18"/>
  <c r="G45" i="18"/>
  <c r="H45" i="18"/>
  <c r="I45" i="18"/>
  <c r="C46" i="18"/>
  <c r="D46" i="18"/>
  <c r="E46" i="18"/>
  <c r="F46" i="18"/>
  <c r="G46" i="18"/>
  <c r="H46" i="18"/>
  <c r="I46" i="18"/>
  <c r="C47" i="18"/>
  <c r="D47" i="18"/>
  <c r="E47" i="18"/>
  <c r="F47" i="18"/>
  <c r="G47" i="18"/>
  <c r="H47" i="18"/>
  <c r="I47" i="18"/>
  <c r="C48" i="18"/>
  <c r="D48" i="18"/>
  <c r="E48" i="18"/>
  <c r="F48" i="18"/>
  <c r="G48" i="18"/>
  <c r="H48" i="18"/>
  <c r="I48" i="18"/>
  <c r="C49" i="18"/>
  <c r="D49" i="18"/>
  <c r="E49" i="18"/>
  <c r="F49" i="18"/>
  <c r="G49" i="18"/>
  <c r="H49" i="18"/>
  <c r="I49" i="18"/>
  <c r="C50" i="18"/>
  <c r="D50" i="18"/>
  <c r="E50" i="18"/>
  <c r="F50" i="18"/>
  <c r="G50" i="18"/>
  <c r="H50" i="18"/>
  <c r="I50" i="18"/>
  <c r="C51" i="18"/>
  <c r="D51" i="18"/>
  <c r="E51" i="18"/>
  <c r="F51" i="18"/>
  <c r="G51" i="18"/>
  <c r="H51" i="18"/>
  <c r="I51" i="18"/>
  <c r="C52" i="18"/>
  <c r="D52" i="18"/>
  <c r="E52" i="18"/>
  <c r="F52" i="18"/>
  <c r="G52" i="18"/>
  <c r="H52" i="18"/>
  <c r="I52" i="18"/>
  <c r="C53" i="18"/>
  <c r="D53" i="18"/>
  <c r="E53" i="18"/>
  <c r="F53" i="18"/>
  <c r="G53" i="18"/>
  <c r="H53" i="18"/>
  <c r="I53" i="18"/>
  <c r="C54" i="18"/>
  <c r="D54" i="18"/>
  <c r="E54" i="18"/>
  <c r="F54" i="18"/>
  <c r="G54" i="18"/>
  <c r="I54" i="18"/>
  <c r="C55" i="18"/>
  <c r="D55" i="18"/>
  <c r="E55" i="18"/>
  <c r="F55" i="18"/>
  <c r="G55" i="18"/>
  <c r="H55" i="18"/>
  <c r="I55" i="18"/>
  <c r="C56" i="18"/>
  <c r="D56" i="18"/>
  <c r="E56" i="18"/>
  <c r="F56" i="18"/>
  <c r="G56" i="18"/>
  <c r="H56" i="18"/>
  <c r="I56" i="18"/>
  <c r="D8" i="18"/>
  <c r="E8" i="18"/>
  <c r="F8" i="18"/>
  <c r="G8" i="18"/>
  <c r="H8" i="18"/>
  <c r="I8" i="18"/>
  <c r="C8" i="18"/>
  <c r="AN25" i="14"/>
  <c r="AN27" i="14" s="1"/>
  <c r="AN39" i="14" s="1"/>
  <c r="AO31" i="14"/>
  <c r="AO29" i="14"/>
  <c r="AN31" i="14"/>
  <c r="AN29" i="14"/>
  <c r="AM31" i="14"/>
  <c r="AM29" i="14"/>
  <c r="AM27" i="14"/>
  <c r="AL25" i="14"/>
  <c r="AL24" i="14"/>
  <c r="AJ25" i="14"/>
  <c r="AH24" i="14"/>
  <c r="AH27" i="14" s="1"/>
  <c r="AH39" i="14" s="1"/>
  <c r="AG24" i="14"/>
  <c r="AF24" i="14"/>
  <c r="AF27" i="14" s="1"/>
  <c r="AI20" i="14"/>
  <c r="AJ20" i="14" s="1"/>
  <c r="AI19" i="14"/>
  <c r="AJ19" i="14" s="1"/>
  <c r="AK19" i="14" s="1"/>
  <c r="AL19" i="14"/>
  <c r="AX27" i="14"/>
  <c r="AW27" i="14"/>
  <c r="AQ27" i="14"/>
  <c r="AR27" i="14"/>
  <c r="AR39" i="14"/>
  <c r="AS27" i="14"/>
  <c r="AS39" i="14"/>
  <c r="AU27" i="14"/>
  <c r="AV27" i="14"/>
  <c r="AV39" i="14" s="1"/>
  <c r="AE24" i="14"/>
  <c r="AE27" i="14"/>
  <c r="AD25" i="14"/>
  <c r="AD8" i="14"/>
  <c r="AD24" i="14"/>
  <c r="N27" i="14"/>
  <c r="AC24" i="14"/>
  <c r="BG31" i="14"/>
  <c r="BC13" i="14"/>
  <c r="D45" i="13"/>
  <c r="AA16" i="14"/>
  <c r="AB24" i="14"/>
  <c r="AB25" i="14"/>
  <c r="AB14" i="14"/>
  <c r="E1" i="13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2" i="13"/>
  <c r="AI3" i="13"/>
  <c r="AI4" i="13"/>
  <c r="AI5" i="13"/>
  <c r="AI6" i="13"/>
  <c r="AI7" i="13"/>
  <c r="AI8" i="13"/>
  <c r="AI9" i="13"/>
  <c r="AI10" i="13"/>
  <c r="AI11" i="13"/>
  <c r="AI12" i="13"/>
  <c r="O12" i="25" s="1"/>
  <c r="AI13" i="13"/>
  <c r="AI14" i="13"/>
  <c r="AI15" i="13"/>
  <c r="AI16" i="13"/>
  <c r="AI17" i="13"/>
  <c r="AI18" i="13"/>
  <c r="AI19" i="13"/>
  <c r="AI20" i="13"/>
  <c r="AI21" i="13"/>
  <c r="AI22" i="13"/>
  <c r="AI23" i="13"/>
  <c r="AI24" i="13"/>
  <c r="AI25" i="13"/>
  <c r="AI26" i="13"/>
  <c r="AI27" i="13"/>
  <c r="AI28" i="13"/>
  <c r="AI29" i="13"/>
  <c r="AI30" i="13"/>
  <c r="AI31" i="13"/>
  <c r="AI32" i="13"/>
  <c r="AI33" i="13"/>
  <c r="AI34" i="13"/>
  <c r="AI35" i="13"/>
  <c r="O35" i="25"/>
  <c r="AI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K37" i="13"/>
  <c r="AI40" i="13"/>
  <c r="AI41" i="13"/>
  <c r="AI42" i="13"/>
  <c r="AI43" i="13"/>
  <c r="AI44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E1" i="12"/>
  <c r="F1" i="12" s="1"/>
  <c r="G1" i="12" s="1"/>
  <c r="H1" i="12" s="1"/>
  <c r="I1" i="12" s="1"/>
  <c r="J1" i="12" s="1"/>
  <c r="K1" i="12" s="1"/>
  <c r="L1" i="12" s="1"/>
  <c r="M1" i="12" s="1"/>
  <c r="N1" i="12" s="1"/>
  <c r="O1" i="12" s="1"/>
  <c r="P1" i="12" s="1"/>
  <c r="Q1" i="12" s="1"/>
  <c r="R1" i="12" s="1"/>
  <c r="S1" i="12" s="1"/>
  <c r="T1" i="12" s="1"/>
  <c r="U1" i="12" s="1"/>
  <c r="V1" i="12" s="1"/>
  <c r="W1" i="12" s="1"/>
  <c r="X1" i="12" s="1"/>
  <c r="Y1" i="12" s="1"/>
  <c r="Z1" i="12" s="1"/>
  <c r="AA1" i="12" s="1"/>
  <c r="AB1" i="12" s="1"/>
  <c r="AC1" i="12" s="1"/>
  <c r="AD1" i="12" s="1"/>
  <c r="AE1" i="12" s="1"/>
  <c r="AF1" i="12" s="1"/>
  <c r="AG1" i="12" s="1"/>
  <c r="AH1" i="12" s="1"/>
  <c r="AI2" i="12"/>
  <c r="N2" i="25" s="1"/>
  <c r="AI3" i="12"/>
  <c r="AI4" i="12"/>
  <c r="AI5" i="12"/>
  <c r="N5" i="23" s="1"/>
  <c r="AI6" i="12"/>
  <c r="AI7" i="12"/>
  <c r="AI8" i="12"/>
  <c r="AI9" i="12"/>
  <c r="AI10" i="12"/>
  <c r="AI11" i="12"/>
  <c r="AI12" i="12"/>
  <c r="AI13" i="12"/>
  <c r="N13" i="23" s="1"/>
  <c r="AI14" i="12"/>
  <c r="AI15" i="12"/>
  <c r="AI16" i="12"/>
  <c r="N16" i="25"/>
  <c r="AI17" i="12"/>
  <c r="AI18" i="12"/>
  <c r="AI19" i="12"/>
  <c r="AI20" i="12"/>
  <c r="N20" i="23" s="1"/>
  <c r="AI21" i="12"/>
  <c r="AI22" i="12"/>
  <c r="AI23" i="12"/>
  <c r="AI24" i="12"/>
  <c r="N24" i="23" s="1"/>
  <c r="AI25" i="12"/>
  <c r="AI26" i="12"/>
  <c r="AI27" i="12"/>
  <c r="AI28" i="12"/>
  <c r="AI29" i="12"/>
  <c r="AI30" i="12"/>
  <c r="AI31" i="12"/>
  <c r="AI32" i="12"/>
  <c r="AI33" i="12"/>
  <c r="N33" i="25" s="1"/>
  <c r="AI34" i="12"/>
  <c r="AI35" i="12"/>
  <c r="N35" i="23" s="1"/>
  <c r="AI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K37" i="12"/>
  <c r="AI39" i="12"/>
  <c r="AI40" i="12"/>
  <c r="N40" i="25"/>
  <c r="L76" i="17"/>
  <c r="AI41" i="12"/>
  <c r="AI42" i="12"/>
  <c r="AI43" i="12"/>
  <c r="AI44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E1" i="1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H1" i="11" s="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J24" i="11" s="1"/>
  <c r="AI25" i="11"/>
  <c r="M25" i="25" s="1"/>
  <c r="AI26" i="11"/>
  <c r="AI27" i="11"/>
  <c r="AI28" i="11"/>
  <c r="AI29" i="11"/>
  <c r="AI30" i="11"/>
  <c r="AI31" i="11"/>
  <c r="AI32" i="11"/>
  <c r="M32" i="25" s="1"/>
  <c r="AI33" i="11"/>
  <c r="M33" i="25" s="1"/>
  <c r="AI34" i="11"/>
  <c r="AI35" i="11"/>
  <c r="AI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K37" i="11"/>
  <c r="AI39" i="11"/>
  <c r="M39" i="25" s="1"/>
  <c r="AI40" i="11"/>
  <c r="AI41" i="11"/>
  <c r="AI42" i="11"/>
  <c r="AI43" i="11"/>
  <c r="AI44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E1" i="10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2" i="10"/>
  <c r="AI3" i="10"/>
  <c r="L3" i="23" s="1"/>
  <c r="AI4" i="10"/>
  <c r="AI5" i="10"/>
  <c r="AI6" i="10"/>
  <c r="AI7" i="10"/>
  <c r="AI8" i="10"/>
  <c r="AI9" i="10"/>
  <c r="AI10" i="10"/>
  <c r="AI11" i="10"/>
  <c r="AI12" i="10"/>
  <c r="AI13" i="10"/>
  <c r="AI14" i="10"/>
  <c r="AI15" i="10"/>
  <c r="AI16" i="10"/>
  <c r="AI17" i="10"/>
  <c r="AI18" i="10"/>
  <c r="AI19" i="10"/>
  <c r="AI20" i="10"/>
  <c r="AI21" i="10"/>
  <c r="AI22" i="10"/>
  <c r="AI23" i="10"/>
  <c r="L23" i="23" s="1"/>
  <c r="AI24" i="10"/>
  <c r="L24" i="25" s="1"/>
  <c r="AI25" i="10"/>
  <c r="AI26" i="10"/>
  <c r="AI27" i="10"/>
  <c r="L27" i="25" s="1"/>
  <c r="AI28" i="10"/>
  <c r="AI29" i="10"/>
  <c r="L29" i="25" s="1"/>
  <c r="AI30" i="10"/>
  <c r="AI31" i="10"/>
  <c r="AI32" i="10"/>
  <c r="AI33" i="10"/>
  <c r="AJ33" i="10" s="1"/>
  <c r="AI34" i="10"/>
  <c r="L34" i="25"/>
  <c r="AI35" i="10"/>
  <c r="AI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K37" i="10"/>
  <c r="AI39" i="10"/>
  <c r="AI40" i="10"/>
  <c r="L40" i="25" s="1"/>
  <c r="AI41" i="10"/>
  <c r="AI42" i="10"/>
  <c r="L42" i="25" s="1"/>
  <c r="AI43" i="10"/>
  <c r="L43" i="23" s="1"/>
  <c r="AI44" i="10"/>
  <c r="L44" i="25" s="1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AI2" i="9"/>
  <c r="AI3" i="9"/>
  <c r="K3" i="23" s="1"/>
  <c r="AI4" i="9"/>
  <c r="K4" i="25" s="1"/>
  <c r="AI5" i="9"/>
  <c r="AI6" i="9"/>
  <c r="K6" i="23" s="1"/>
  <c r="AI7" i="9"/>
  <c r="AI8" i="9"/>
  <c r="AI9" i="9"/>
  <c r="AI10" i="9"/>
  <c r="K10" i="23" s="1"/>
  <c r="AI11" i="9"/>
  <c r="AI12" i="9"/>
  <c r="AI13" i="9"/>
  <c r="AI14" i="9"/>
  <c r="AI15" i="9"/>
  <c r="AI16" i="9"/>
  <c r="AI17" i="9"/>
  <c r="AI18" i="9"/>
  <c r="K18" i="23" s="1"/>
  <c r="AI19" i="9"/>
  <c r="AI20" i="9"/>
  <c r="AI21" i="9"/>
  <c r="AI22" i="9"/>
  <c r="AI23" i="9"/>
  <c r="AI24" i="9"/>
  <c r="AI25" i="9"/>
  <c r="AI26" i="9"/>
  <c r="K26" i="23" s="1"/>
  <c r="AI27" i="9"/>
  <c r="K27" i="25" s="1"/>
  <c r="AI28" i="9"/>
  <c r="AI29" i="9"/>
  <c r="K29" i="23" s="1"/>
  <c r="AI30" i="9"/>
  <c r="AI31" i="9"/>
  <c r="AI32" i="9"/>
  <c r="AI33" i="9"/>
  <c r="K33" i="23" s="1"/>
  <c r="AI34" i="9"/>
  <c r="AI35" i="9"/>
  <c r="AI36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K37" i="9"/>
  <c r="AI39" i="9"/>
  <c r="K39" i="23" s="1"/>
  <c r="AI40" i="9"/>
  <c r="AI41" i="9"/>
  <c r="AI42" i="9"/>
  <c r="AI43" i="9"/>
  <c r="K43" i="23" s="1"/>
  <c r="AI44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E1" i="8"/>
  <c r="F1" i="8" s="1"/>
  <c r="G1" i="8" s="1"/>
  <c r="H1" i="8" s="1"/>
  <c r="I1" i="8" s="1"/>
  <c r="J1" i="8" s="1"/>
  <c r="K1" i="8" s="1"/>
  <c r="L1" i="8" s="1"/>
  <c r="M1" i="8" s="1"/>
  <c r="N1" i="8" s="1"/>
  <c r="O1" i="8" s="1"/>
  <c r="P1" i="8" s="1"/>
  <c r="Q1" i="8" s="1"/>
  <c r="R1" i="8" s="1"/>
  <c r="S1" i="8" s="1"/>
  <c r="T1" i="8" s="1"/>
  <c r="U1" i="8" s="1"/>
  <c r="V1" i="8" s="1"/>
  <c r="W1" i="8" s="1"/>
  <c r="X1" i="8" s="1"/>
  <c r="Y1" i="8" s="1"/>
  <c r="Z1" i="8" s="1"/>
  <c r="AA1" i="8" s="1"/>
  <c r="AB1" i="8" s="1"/>
  <c r="AC1" i="8" s="1"/>
  <c r="AD1" i="8" s="1"/>
  <c r="AE1" i="8" s="1"/>
  <c r="AF1" i="8" s="1"/>
  <c r="AG1" i="8" s="1"/>
  <c r="AH1" i="8" s="1"/>
  <c r="AI2" i="8"/>
  <c r="AI3" i="8"/>
  <c r="AI4" i="8"/>
  <c r="AI5" i="8"/>
  <c r="AI6" i="8"/>
  <c r="AI7" i="8"/>
  <c r="AI8" i="8"/>
  <c r="AI9" i="8"/>
  <c r="AI10" i="8"/>
  <c r="AI11" i="8"/>
  <c r="AI12" i="8"/>
  <c r="AI13" i="8"/>
  <c r="J13" i="23" s="1"/>
  <c r="AI14" i="8"/>
  <c r="AI15" i="8"/>
  <c r="AI16" i="8"/>
  <c r="AI17" i="8"/>
  <c r="J17" i="25" s="1"/>
  <c r="AI18" i="8"/>
  <c r="AI19" i="8"/>
  <c r="AI20" i="8"/>
  <c r="AI21" i="8"/>
  <c r="AI22" i="8"/>
  <c r="AI23" i="8"/>
  <c r="AI24" i="8"/>
  <c r="AI25" i="8"/>
  <c r="J25" i="25" s="1"/>
  <c r="AI26" i="8"/>
  <c r="AI27" i="8"/>
  <c r="AI28" i="8"/>
  <c r="AI29" i="8"/>
  <c r="AJ29" i="8" s="1"/>
  <c r="AI30" i="8"/>
  <c r="AI31" i="8"/>
  <c r="AI32" i="8"/>
  <c r="AI33" i="8"/>
  <c r="AI34" i="8"/>
  <c r="J34" i="23" s="1"/>
  <c r="AI35" i="8"/>
  <c r="J35" i="25" s="1"/>
  <c r="AI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K37" i="8"/>
  <c r="AI39" i="8"/>
  <c r="AI40" i="8"/>
  <c r="J40" i="23" s="1"/>
  <c r="AI41" i="8"/>
  <c r="AI42" i="8"/>
  <c r="J42" i="25" s="1"/>
  <c r="AI43" i="8"/>
  <c r="J43" i="23" s="1"/>
  <c r="AI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2" i="7"/>
  <c r="AI3" i="7"/>
  <c r="AI4" i="7"/>
  <c r="AI5" i="7"/>
  <c r="AI6" i="7"/>
  <c r="I6" i="23" s="1"/>
  <c r="AI7" i="7"/>
  <c r="AI8" i="7"/>
  <c r="AI9" i="7"/>
  <c r="AI10" i="7"/>
  <c r="AI11" i="7"/>
  <c r="AI12" i="7"/>
  <c r="AI13" i="7"/>
  <c r="AI14" i="7"/>
  <c r="AI15" i="7"/>
  <c r="AI16" i="7"/>
  <c r="AI17" i="7"/>
  <c r="AI18" i="7"/>
  <c r="I18" i="25" s="1"/>
  <c r="AI19" i="7"/>
  <c r="AI20" i="7"/>
  <c r="AI21" i="7"/>
  <c r="AI22" i="7"/>
  <c r="I22" i="25" s="1"/>
  <c r="AI23" i="7"/>
  <c r="AI24" i="7"/>
  <c r="AI25" i="7"/>
  <c r="AI26" i="7"/>
  <c r="AI27" i="7"/>
  <c r="AI28" i="7"/>
  <c r="AJ28" i="7" s="1"/>
  <c r="AI29" i="7"/>
  <c r="I29" i="25" s="1"/>
  <c r="AI30" i="7"/>
  <c r="I30" i="25" s="1"/>
  <c r="AI31" i="7"/>
  <c r="AI32" i="7"/>
  <c r="I32" i="25" s="1"/>
  <c r="AI33" i="7"/>
  <c r="AI34" i="7"/>
  <c r="I34" i="25" s="1"/>
  <c r="AI35" i="7"/>
  <c r="AI36" i="7"/>
  <c r="I36" i="25" s="1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K37" i="7"/>
  <c r="AI39" i="7"/>
  <c r="AI40" i="7"/>
  <c r="AI41" i="7"/>
  <c r="AI42" i="7"/>
  <c r="I42" i="23" s="1"/>
  <c r="AI43" i="7"/>
  <c r="I43" i="25"/>
  <c r="AI44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E1" i="6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A1" i="6" s="1"/>
  <c r="AB1" i="6" s="1"/>
  <c r="AC1" i="6" s="1"/>
  <c r="AD1" i="6" s="1"/>
  <c r="AE1" i="6" s="1"/>
  <c r="AF1" i="6" s="1"/>
  <c r="AG1" i="6" s="1"/>
  <c r="AH1" i="6" s="1"/>
  <c r="AI2" i="6"/>
  <c r="H2" i="25" s="1"/>
  <c r="AI3" i="6"/>
  <c r="AI4" i="6"/>
  <c r="AI5" i="6"/>
  <c r="AI6" i="6"/>
  <c r="AI7" i="6"/>
  <c r="AI8" i="6"/>
  <c r="AI9" i="6"/>
  <c r="AI10" i="6"/>
  <c r="H10" i="25" s="1"/>
  <c r="AI11" i="6"/>
  <c r="AI12" i="6"/>
  <c r="H12" i="23" s="1"/>
  <c r="AI13" i="6"/>
  <c r="H13" i="25" s="1"/>
  <c r="AI14" i="6"/>
  <c r="AI15" i="6"/>
  <c r="AI16" i="6"/>
  <c r="H16" i="25" s="1"/>
  <c r="AI17" i="6"/>
  <c r="AI19" i="6"/>
  <c r="AI20" i="6"/>
  <c r="AI21" i="6"/>
  <c r="H21" i="23" s="1"/>
  <c r="AI22" i="6"/>
  <c r="AI23" i="6"/>
  <c r="H23" i="25" s="1"/>
  <c r="AI24" i="6"/>
  <c r="AI25" i="6"/>
  <c r="AI26" i="6"/>
  <c r="H26" i="23" s="1"/>
  <c r="AI27" i="6"/>
  <c r="AJ27" i="6" s="1"/>
  <c r="AI28" i="6"/>
  <c r="H28" i="25" s="1"/>
  <c r="AI29" i="6"/>
  <c r="AI30" i="6"/>
  <c r="AI31" i="6"/>
  <c r="AI32" i="6"/>
  <c r="H32" i="25" s="1"/>
  <c r="AI33" i="6"/>
  <c r="AI34" i="6"/>
  <c r="AI35" i="6"/>
  <c r="S37" i="6"/>
  <c r="D37" i="6"/>
  <c r="E37" i="6"/>
  <c r="F37" i="6"/>
  <c r="G37" i="6"/>
  <c r="H37" i="6"/>
  <c r="J37" i="6"/>
  <c r="K37" i="6"/>
  <c r="L37" i="6"/>
  <c r="M37" i="6"/>
  <c r="N37" i="6"/>
  <c r="O37" i="6"/>
  <c r="P37" i="6"/>
  <c r="Q37" i="6"/>
  <c r="R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K37" i="6"/>
  <c r="AI39" i="6"/>
  <c r="AI40" i="6"/>
  <c r="AJ45" i="6" s="1"/>
  <c r="AI41" i="6"/>
  <c r="AI42" i="6"/>
  <c r="AI43" i="6"/>
  <c r="H43" i="25"/>
  <c r="AI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E1" i="5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2" i="5"/>
  <c r="AI3" i="5"/>
  <c r="AI4" i="5"/>
  <c r="AI5" i="5"/>
  <c r="AI6" i="5"/>
  <c r="G6" i="25" s="1"/>
  <c r="AI7" i="5"/>
  <c r="G7" i="23" s="1"/>
  <c r="AI8" i="5"/>
  <c r="AI9" i="5"/>
  <c r="AI10" i="5"/>
  <c r="G10" i="23" s="1"/>
  <c r="AI11" i="5"/>
  <c r="G11" i="23" s="1"/>
  <c r="AI12" i="5"/>
  <c r="AI13" i="5"/>
  <c r="AI14" i="5"/>
  <c r="AI15" i="5"/>
  <c r="AI16" i="5"/>
  <c r="AI17" i="5"/>
  <c r="AI19" i="5"/>
  <c r="AI20" i="5"/>
  <c r="AI21" i="5"/>
  <c r="AI22" i="5"/>
  <c r="AI23" i="5"/>
  <c r="G23" i="25" s="1"/>
  <c r="AI24" i="5"/>
  <c r="G24" i="23" s="1"/>
  <c r="AI25" i="5"/>
  <c r="AI26" i="5"/>
  <c r="AI27" i="5"/>
  <c r="G27" i="23" s="1"/>
  <c r="AI28" i="5"/>
  <c r="G28" i="23" s="1"/>
  <c r="AI29" i="5"/>
  <c r="AI30" i="5"/>
  <c r="AI31" i="5"/>
  <c r="AI32" i="5"/>
  <c r="G32" i="25" s="1"/>
  <c r="AI33" i="5"/>
  <c r="AI34" i="5"/>
  <c r="G34" i="25"/>
  <c r="AI35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K37" i="5"/>
  <c r="AI39" i="5"/>
  <c r="AI40" i="5"/>
  <c r="G40" i="25" s="1"/>
  <c r="AI41" i="5"/>
  <c r="AI42" i="5"/>
  <c r="AI43" i="5"/>
  <c r="AI44" i="5"/>
  <c r="G44" i="23" s="1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E1" i="4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2" i="4"/>
  <c r="AI3" i="4"/>
  <c r="F3" i="23" s="1"/>
  <c r="J37" i="4"/>
  <c r="AI5" i="4"/>
  <c r="AI6" i="4"/>
  <c r="AI7" i="4"/>
  <c r="F7" i="23" s="1"/>
  <c r="AI8" i="4"/>
  <c r="AI9" i="4"/>
  <c r="AI10" i="4"/>
  <c r="AI11" i="4"/>
  <c r="AI12" i="4"/>
  <c r="AI13" i="4"/>
  <c r="AI14" i="4"/>
  <c r="AI15" i="4"/>
  <c r="F15" i="23" s="1"/>
  <c r="AI16" i="4"/>
  <c r="AI17" i="4"/>
  <c r="T37" i="4"/>
  <c r="AI19" i="4"/>
  <c r="F19" i="23" s="1"/>
  <c r="AI20" i="4"/>
  <c r="AI21" i="4"/>
  <c r="AI22" i="4"/>
  <c r="AI23" i="4"/>
  <c r="F23" i="23" s="1"/>
  <c r="AI24" i="4"/>
  <c r="AI25" i="4"/>
  <c r="AI26" i="4"/>
  <c r="AI27" i="4"/>
  <c r="F27" i="25" s="1"/>
  <c r="AI28" i="4"/>
  <c r="AJ28" i="4" s="1"/>
  <c r="AI29" i="4"/>
  <c r="AI30" i="4"/>
  <c r="AI31" i="4"/>
  <c r="AI32" i="4"/>
  <c r="F32" i="25"/>
  <c r="AI33" i="4"/>
  <c r="F33" i="25" s="1"/>
  <c r="AI34" i="4"/>
  <c r="AI35" i="4"/>
  <c r="AI36" i="4"/>
  <c r="D37" i="4"/>
  <c r="E37" i="4"/>
  <c r="F37" i="4"/>
  <c r="G37" i="4"/>
  <c r="H37" i="4"/>
  <c r="I37" i="4"/>
  <c r="K37" i="4"/>
  <c r="L37" i="4"/>
  <c r="M37" i="4"/>
  <c r="O37" i="4"/>
  <c r="P37" i="4"/>
  <c r="Q37" i="4"/>
  <c r="R37" i="4"/>
  <c r="U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K37" i="4"/>
  <c r="AI39" i="4"/>
  <c r="AI40" i="4"/>
  <c r="AI41" i="4"/>
  <c r="AI42" i="4"/>
  <c r="AI43" i="4"/>
  <c r="AI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E1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2" i="3"/>
  <c r="AI3" i="3"/>
  <c r="AI4" i="3"/>
  <c r="AI5" i="3"/>
  <c r="AI6" i="3"/>
  <c r="AI7" i="3"/>
  <c r="AI8" i="3"/>
  <c r="AI9" i="3"/>
  <c r="AI10" i="3"/>
  <c r="H37" i="3"/>
  <c r="AI13" i="3"/>
  <c r="AI14" i="3"/>
  <c r="E14" i="25" s="1"/>
  <c r="AI15" i="3"/>
  <c r="AI16" i="3"/>
  <c r="AI17" i="3"/>
  <c r="AI18" i="3"/>
  <c r="E18" i="25" s="1"/>
  <c r="AI19" i="3"/>
  <c r="AI20" i="3"/>
  <c r="AI21" i="3"/>
  <c r="AI22" i="3"/>
  <c r="E22" i="23" s="1"/>
  <c r="AI23" i="3"/>
  <c r="AI24" i="3"/>
  <c r="AJ24" i="3" s="1"/>
  <c r="AI25" i="3"/>
  <c r="E25" i="25" s="1"/>
  <c r="AI26" i="3"/>
  <c r="AI27" i="3"/>
  <c r="AI28" i="3"/>
  <c r="AJ28" i="3" s="1"/>
  <c r="AI29" i="3"/>
  <c r="AI30" i="3"/>
  <c r="AI31" i="3"/>
  <c r="AI32" i="3"/>
  <c r="E32" i="23" s="1"/>
  <c r="AI33" i="3"/>
  <c r="E33" i="25" s="1"/>
  <c r="AI34" i="3"/>
  <c r="AI35" i="3"/>
  <c r="S37" i="3"/>
  <c r="D37" i="3"/>
  <c r="E37" i="3"/>
  <c r="F37" i="3"/>
  <c r="I37" i="3"/>
  <c r="J37" i="3"/>
  <c r="K37" i="3"/>
  <c r="L37" i="3"/>
  <c r="M37" i="3"/>
  <c r="N37" i="3"/>
  <c r="O37" i="3"/>
  <c r="R37" i="3"/>
  <c r="U37" i="3"/>
  <c r="W37" i="3"/>
  <c r="X37" i="3"/>
  <c r="Z37" i="3"/>
  <c r="AA37" i="3"/>
  <c r="AB37" i="3"/>
  <c r="AC37" i="3"/>
  <c r="AE37" i="3"/>
  <c r="AF37" i="3"/>
  <c r="AG37" i="3"/>
  <c r="AH37" i="3"/>
  <c r="AK37" i="3"/>
  <c r="AI40" i="3"/>
  <c r="AI41" i="3"/>
  <c r="E41" i="25" s="1"/>
  <c r="AI42" i="3"/>
  <c r="AI43" i="3"/>
  <c r="AI44" i="3"/>
  <c r="E44" i="23" s="1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E1" i="2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2" i="2"/>
  <c r="D2" i="25" s="1"/>
  <c r="AI3" i="2"/>
  <c r="U37" i="2"/>
  <c r="Z37" i="2"/>
  <c r="AI5" i="2"/>
  <c r="AI6" i="2"/>
  <c r="AI7" i="2"/>
  <c r="AI8" i="2"/>
  <c r="AI9" i="2"/>
  <c r="AI10" i="2"/>
  <c r="AI11" i="2"/>
  <c r="AI12" i="2"/>
  <c r="D12" i="25" s="1"/>
  <c r="AI13" i="2"/>
  <c r="AI14" i="2"/>
  <c r="AI15" i="2"/>
  <c r="AI16" i="2"/>
  <c r="D16" i="25" s="1"/>
  <c r="AI17" i="2"/>
  <c r="AI18" i="2"/>
  <c r="D18" i="25"/>
  <c r="AI19" i="2"/>
  <c r="D19" i="25" s="1"/>
  <c r="AI20" i="2"/>
  <c r="AI21" i="2"/>
  <c r="AI22" i="2"/>
  <c r="AI24" i="2"/>
  <c r="D24" i="25" s="1"/>
  <c r="AI25" i="2"/>
  <c r="AI26" i="2"/>
  <c r="AI27" i="2"/>
  <c r="AI28" i="2"/>
  <c r="AI29" i="2"/>
  <c r="D29" i="25" s="1"/>
  <c r="AI30" i="2"/>
  <c r="AI31" i="2"/>
  <c r="D31" i="25"/>
  <c r="AI32" i="2"/>
  <c r="AI33" i="2"/>
  <c r="AI34" i="2"/>
  <c r="AI35" i="2"/>
  <c r="AJ35" i="2" s="1"/>
  <c r="AI36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W37" i="2"/>
  <c r="X37" i="2"/>
  <c r="Y37" i="2"/>
  <c r="AA37" i="2"/>
  <c r="AB37" i="2"/>
  <c r="AD37" i="2"/>
  <c r="AE37" i="2"/>
  <c r="AF37" i="2"/>
  <c r="AG37" i="2"/>
  <c r="AH37" i="2"/>
  <c r="AK37" i="2"/>
  <c r="AI39" i="2"/>
  <c r="D39" i="25" s="1"/>
  <c r="AI40" i="2"/>
  <c r="AI41" i="2"/>
  <c r="AI42" i="2"/>
  <c r="AI43" i="2"/>
  <c r="AI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J76" i="17"/>
  <c r="P38" i="16"/>
  <c r="P39" i="16"/>
  <c r="P40" i="16"/>
  <c r="P41" i="16"/>
  <c r="P44" i="16" s="1"/>
  <c r="P42" i="16"/>
  <c r="P43" i="16"/>
  <c r="F44" i="16"/>
  <c r="G44" i="16"/>
  <c r="H44" i="16"/>
  <c r="I44" i="16"/>
  <c r="C40" i="17"/>
  <c r="D40" i="17" s="1"/>
  <c r="F40" i="17"/>
  <c r="G40" i="17" s="1"/>
  <c r="H40" i="17" s="1"/>
  <c r="I40" i="17" s="1"/>
  <c r="J40" i="17" s="1"/>
  <c r="K40" i="17" s="1"/>
  <c r="L40" i="17" s="1"/>
  <c r="M40" i="17" s="1"/>
  <c r="D41" i="17"/>
  <c r="E41" i="17"/>
  <c r="F41" i="17"/>
  <c r="G41" i="17"/>
  <c r="H41" i="17"/>
  <c r="I41" i="17"/>
  <c r="J41" i="17"/>
  <c r="K41" i="17"/>
  <c r="L41" i="17"/>
  <c r="M41" i="17"/>
  <c r="C42" i="17"/>
  <c r="D42" i="17" s="1"/>
  <c r="E42" i="17" s="1"/>
  <c r="F42" i="17" s="1"/>
  <c r="G42" i="17" s="1"/>
  <c r="H42" i="17" s="1"/>
  <c r="I42" i="17" s="1"/>
  <c r="J42" i="17" s="1"/>
  <c r="K42" i="17" s="1"/>
  <c r="L42" i="17" s="1"/>
  <c r="M42" i="17" s="1"/>
  <c r="E43" i="17"/>
  <c r="E44" i="17"/>
  <c r="F44" i="17" s="1"/>
  <c r="G44" i="17" s="1"/>
  <c r="H44" i="17" s="1"/>
  <c r="I44" i="17" s="1"/>
  <c r="J44" i="17" s="1"/>
  <c r="K44" i="17" s="1"/>
  <c r="L44" i="17" s="1"/>
  <c r="M44" i="17" s="1"/>
  <c r="N8" i="14"/>
  <c r="N13" i="14" s="1"/>
  <c r="P8" i="14"/>
  <c r="P13" i="14"/>
  <c r="R8" i="14"/>
  <c r="R13" i="14" s="1"/>
  <c r="O10" i="14"/>
  <c r="O13" i="14"/>
  <c r="V10" i="14"/>
  <c r="V13" i="14" s="1"/>
  <c r="W10" i="14"/>
  <c r="W13" i="14" s="1"/>
  <c r="X11" i="14"/>
  <c r="X13" i="14" s="1"/>
  <c r="Y11" i="14"/>
  <c r="Y13" i="14" s="1"/>
  <c r="Z11" i="14"/>
  <c r="Z13" i="14" s="1"/>
  <c r="M12" i="14"/>
  <c r="M13" i="14"/>
  <c r="K13" i="14"/>
  <c r="L13" i="14"/>
  <c r="Q13" i="14"/>
  <c r="S13" i="14"/>
  <c r="T13" i="14"/>
  <c r="U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Y13" i="14"/>
  <c r="AZ13" i="14"/>
  <c r="BA13" i="14"/>
  <c r="DY13" i="14"/>
  <c r="DZ13" i="14"/>
  <c r="EA13" i="14"/>
  <c r="EB13" i="14"/>
  <c r="EC13" i="14"/>
  <c r="ED13" i="14"/>
  <c r="EE13" i="14"/>
  <c r="EF13" i="14"/>
  <c r="EG13" i="14"/>
  <c r="EH13" i="14"/>
  <c r="EI13" i="14"/>
  <c r="EJ13" i="14"/>
  <c r="EK13" i="14"/>
  <c r="EL13" i="14"/>
  <c r="EM13" i="14"/>
  <c r="EN13" i="14"/>
  <c r="EO13" i="14"/>
  <c r="EP13" i="14"/>
  <c r="EQ13" i="14"/>
  <c r="ER13" i="14"/>
  <c r="ES13" i="14"/>
  <c r="ET13" i="14"/>
  <c r="EU13" i="14"/>
  <c r="EV13" i="14"/>
  <c r="EW13" i="14"/>
  <c r="EX13" i="14"/>
  <c r="EY13" i="14"/>
  <c r="EZ13" i="14"/>
  <c r="FA13" i="14"/>
  <c r="FB13" i="14"/>
  <c r="FC13" i="14"/>
  <c r="FD13" i="14"/>
  <c r="FE13" i="14"/>
  <c r="FF13" i="14"/>
  <c r="FG13" i="14"/>
  <c r="FH13" i="14"/>
  <c r="FI13" i="14"/>
  <c r="FJ13" i="14"/>
  <c r="FK13" i="14"/>
  <c r="FL13" i="14"/>
  <c r="FM13" i="14"/>
  <c r="FN13" i="14"/>
  <c r="S16" i="14"/>
  <c r="S17" i="14"/>
  <c r="T23" i="14"/>
  <c r="G43" i="17"/>
  <c r="U18" i="14"/>
  <c r="V18" i="14"/>
  <c r="W18" i="14"/>
  <c r="X18" i="14"/>
  <c r="Y18" i="14"/>
  <c r="Z18" i="14"/>
  <c r="DY18" i="14"/>
  <c r="DZ18" i="14"/>
  <c r="EA18" i="14"/>
  <c r="EB18" i="14"/>
  <c r="EC18" i="14"/>
  <c r="ED18" i="14"/>
  <c r="EE18" i="14"/>
  <c r="EF18" i="14"/>
  <c r="EG18" i="14"/>
  <c r="EH18" i="14"/>
  <c r="EI18" i="14"/>
  <c r="EJ18" i="14"/>
  <c r="EK18" i="14"/>
  <c r="EL18" i="14"/>
  <c r="EM18" i="14"/>
  <c r="EN18" i="14"/>
  <c r="EO18" i="14"/>
  <c r="EP18" i="14"/>
  <c r="EQ18" i="14"/>
  <c r="ER18" i="14"/>
  <c r="ES18" i="14"/>
  <c r="ET18" i="14"/>
  <c r="EU18" i="14"/>
  <c r="EV18" i="14"/>
  <c r="EW18" i="14"/>
  <c r="EX18" i="14"/>
  <c r="EY18" i="14"/>
  <c r="EZ18" i="14"/>
  <c r="FA18" i="14"/>
  <c r="FB18" i="14"/>
  <c r="FC18" i="14"/>
  <c r="FD18" i="14"/>
  <c r="FE18" i="14"/>
  <c r="FF18" i="14"/>
  <c r="FG18" i="14"/>
  <c r="FH18" i="14"/>
  <c r="FI18" i="14"/>
  <c r="FJ18" i="14"/>
  <c r="FK18" i="14"/>
  <c r="FL18" i="14"/>
  <c r="FM18" i="14"/>
  <c r="FN18" i="14"/>
  <c r="FO18" i="14"/>
  <c r="FP18" i="14"/>
  <c r="FQ18" i="14"/>
  <c r="FR18" i="14"/>
  <c r="FS18" i="14"/>
  <c r="FT18" i="14"/>
  <c r="FU18" i="14"/>
  <c r="FV18" i="14"/>
  <c r="FW18" i="14"/>
  <c r="FX18" i="14"/>
  <c r="FY18" i="14"/>
  <c r="FZ18" i="14"/>
  <c r="GA18" i="14"/>
  <c r="GB18" i="14"/>
  <c r="GC18" i="14"/>
  <c r="GD18" i="14"/>
  <c r="GE18" i="14"/>
  <c r="GF18" i="14"/>
  <c r="GG18" i="14"/>
  <c r="GH18" i="14"/>
  <c r="GI18" i="14"/>
  <c r="GJ18" i="14"/>
  <c r="GK18" i="14"/>
  <c r="GL18" i="14"/>
  <c r="GM18" i="14"/>
  <c r="GN18" i="14"/>
  <c r="M19" i="14"/>
  <c r="L20" i="14"/>
  <c r="M20" i="14"/>
  <c r="O20" i="14"/>
  <c r="O21" i="14" s="1"/>
  <c r="Q20" i="14"/>
  <c r="N21" i="14"/>
  <c r="P21" i="14"/>
  <c r="R21" i="14"/>
  <c r="S21" i="14"/>
  <c r="T21" i="14"/>
  <c r="U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P21" i="14"/>
  <c r="AQ21" i="14"/>
  <c r="AR21" i="14"/>
  <c r="AS21" i="14"/>
  <c r="AT21" i="14"/>
  <c r="AU21" i="14"/>
  <c r="AV21" i="14"/>
  <c r="AY21" i="14"/>
  <c r="AZ21" i="14"/>
  <c r="BA21" i="14"/>
  <c r="BB21" i="14"/>
  <c r="S24" i="14"/>
  <c r="S27" i="14" s="1"/>
  <c r="AA24" i="14"/>
  <c r="AA27" i="14"/>
  <c r="Z25" i="14"/>
  <c r="Z27" i="14"/>
  <c r="Z39" i="14" s="1"/>
  <c r="J27" i="14"/>
  <c r="M27" i="14"/>
  <c r="O27" i="14"/>
  <c r="P27" i="14"/>
  <c r="P39" i="14" s="1"/>
  <c r="Q27" i="14"/>
  <c r="Q39" i="14" s="1"/>
  <c r="R27" i="14"/>
  <c r="R39" i="14" s="1"/>
  <c r="T27" i="14"/>
  <c r="U27" i="14"/>
  <c r="U39" i="14" s="1"/>
  <c r="V27" i="14"/>
  <c r="V29" i="14"/>
  <c r="W27" i="14"/>
  <c r="X27" i="14"/>
  <c r="Y27" i="14"/>
  <c r="Z29" i="14"/>
  <c r="AC27" i="14"/>
  <c r="AD27" i="14"/>
  <c r="AD39" i="14" s="1"/>
  <c r="AG27" i="14"/>
  <c r="AI27" i="14"/>
  <c r="AJ27" i="14"/>
  <c r="S28" i="14"/>
  <c r="T29" i="14"/>
  <c r="U29" i="14"/>
  <c r="W29" i="14"/>
  <c r="X29" i="14"/>
  <c r="Y29" i="14"/>
  <c r="AA29" i="14"/>
  <c r="AA39" i="14" s="1"/>
  <c r="AB29" i="14"/>
  <c r="AC29" i="14"/>
  <c r="AD29" i="14"/>
  <c r="AE29" i="14"/>
  <c r="AE39" i="14" s="1"/>
  <c r="AF29" i="14"/>
  <c r="AG29" i="14"/>
  <c r="AH29" i="14"/>
  <c r="AI29" i="14"/>
  <c r="AJ29" i="14"/>
  <c r="AK29" i="14"/>
  <c r="AL29" i="14"/>
  <c r="I30" i="14"/>
  <c r="AC31" i="14"/>
  <c r="AD31" i="14"/>
  <c r="AE31" i="14"/>
  <c r="AF31" i="14"/>
  <c r="AG31" i="14"/>
  <c r="AH31" i="14"/>
  <c r="AI31" i="14"/>
  <c r="AJ31" i="14"/>
  <c r="AK31" i="14"/>
  <c r="AL31" i="14"/>
  <c r="O46" i="14"/>
  <c r="B41" i="17"/>
  <c r="P46" i="14"/>
  <c r="C41" i="17" s="1"/>
  <c r="BD13" i="14"/>
  <c r="F76" i="17"/>
  <c r="R37" i="5"/>
  <c r="AJ22" i="11"/>
  <c r="AJ5" i="9"/>
  <c r="S37" i="8"/>
  <c r="AB16" i="14"/>
  <c r="AF17" i="14"/>
  <c r="AG17" i="14"/>
  <c r="BE13" i="14"/>
  <c r="BG13" i="14"/>
  <c r="BF13" i="14"/>
  <c r="AG16" i="14"/>
  <c r="AH16" i="14" s="1"/>
  <c r="AI16" i="14" s="1"/>
  <c r="AJ16" i="14" s="1"/>
  <c r="G43" i="23"/>
  <c r="G43" i="25"/>
  <c r="I44" i="23"/>
  <c r="I44" i="25"/>
  <c r="I40" i="23"/>
  <c r="I40" i="25"/>
  <c r="J40" i="25"/>
  <c r="K44" i="23"/>
  <c r="K44" i="25"/>
  <c r="K40" i="23"/>
  <c r="K40" i="25"/>
  <c r="L41" i="23"/>
  <c r="L41" i="25"/>
  <c r="M43" i="23"/>
  <c r="M43" i="25"/>
  <c r="N44" i="23"/>
  <c r="N44" i="25"/>
  <c r="O41" i="23"/>
  <c r="O41" i="25"/>
  <c r="G42" i="23"/>
  <c r="G42" i="25"/>
  <c r="H42" i="23"/>
  <c r="H42" i="25"/>
  <c r="K43" i="25"/>
  <c r="L44" i="23"/>
  <c r="L40" i="23"/>
  <c r="M42" i="23"/>
  <c r="M42" i="25"/>
  <c r="O44" i="23"/>
  <c r="O44" i="25"/>
  <c r="O40" i="23"/>
  <c r="O40" i="25"/>
  <c r="BA39" i="14"/>
  <c r="I42" i="25"/>
  <c r="K42" i="23"/>
  <c r="K42" i="25"/>
  <c r="K45" i="25" s="1"/>
  <c r="L43" i="25"/>
  <c r="AI37" i="10"/>
  <c r="O43" i="23"/>
  <c r="O43" i="25"/>
  <c r="F44" i="23"/>
  <c r="F44" i="25"/>
  <c r="H41" i="23"/>
  <c r="H41" i="25"/>
  <c r="M41" i="23"/>
  <c r="M41" i="25"/>
  <c r="N42" i="23"/>
  <c r="N42" i="25"/>
  <c r="L21" i="14"/>
  <c r="G44" i="25"/>
  <c r="H44" i="23"/>
  <c r="H44" i="25"/>
  <c r="I41" i="23"/>
  <c r="I41" i="25"/>
  <c r="J41" i="23"/>
  <c r="J41" i="25"/>
  <c r="K41" i="23"/>
  <c r="K41" i="25"/>
  <c r="M44" i="23"/>
  <c r="M44" i="25"/>
  <c r="M40" i="23"/>
  <c r="M40" i="25"/>
  <c r="N41" i="23"/>
  <c r="N41" i="25"/>
  <c r="J56" i="18"/>
  <c r="Q6" i="18" s="1"/>
  <c r="J36" i="18"/>
  <c r="M4" i="18" s="1"/>
  <c r="J23" i="18"/>
  <c r="P2" i="18" s="1"/>
  <c r="O6" i="23"/>
  <c r="O6" i="25"/>
  <c r="O13" i="23"/>
  <c r="O13" i="25"/>
  <c r="O36" i="23"/>
  <c r="O36" i="25"/>
  <c r="O22" i="23"/>
  <c r="O22" i="25"/>
  <c r="O27" i="23"/>
  <c r="O27" i="25"/>
  <c r="O19" i="23"/>
  <c r="O19" i="25"/>
  <c r="O11" i="23"/>
  <c r="O11" i="25"/>
  <c r="O3" i="23"/>
  <c r="O3" i="25"/>
  <c r="O14" i="23"/>
  <c r="O14" i="25"/>
  <c r="O21" i="23"/>
  <c r="O21" i="25"/>
  <c r="O34" i="23"/>
  <c r="O34" i="25"/>
  <c r="O26" i="23"/>
  <c r="O26" i="25"/>
  <c r="O18" i="23"/>
  <c r="O18" i="25"/>
  <c r="O10" i="23"/>
  <c r="O10" i="25"/>
  <c r="O2" i="23"/>
  <c r="O2" i="25"/>
  <c r="O33" i="23"/>
  <c r="O33" i="25"/>
  <c r="O25" i="23"/>
  <c r="O25" i="25"/>
  <c r="O17" i="23"/>
  <c r="O17" i="25"/>
  <c r="O9" i="23"/>
  <c r="O9" i="25"/>
  <c r="O30" i="23"/>
  <c r="O30" i="25"/>
  <c r="O5" i="23"/>
  <c r="O5" i="25"/>
  <c r="O32" i="23"/>
  <c r="O8" i="25"/>
  <c r="O29" i="23"/>
  <c r="O29" i="25"/>
  <c r="O31" i="23"/>
  <c r="O31" i="25"/>
  <c r="O23" i="23"/>
  <c r="O23" i="25"/>
  <c r="O15" i="23"/>
  <c r="O15" i="25"/>
  <c r="O7" i="23"/>
  <c r="O7" i="25"/>
  <c r="N39" i="23"/>
  <c r="N39" i="25"/>
  <c r="N5" i="25"/>
  <c r="N12" i="23"/>
  <c r="N12" i="25"/>
  <c r="N31" i="23"/>
  <c r="N31" i="25"/>
  <c r="N23" i="23"/>
  <c r="N23" i="25"/>
  <c r="N15" i="23"/>
  <c r="N15" i="25"/>
  <c r="N7" i="23"/>
  <c r="N7" i="25"/>
  <c r="N29" i="23"/>
  <c r="N29" i="25"/>
  <c r="N28" i="23"/>
  <c r="N28" i="25"/>
  <c r="N30" i="23"/>
  <c r="N30" i="25"/>
  <c r="N22" i="23"/>
  <c r="N22" i="25"/>
  <c r="N14" i="23"/>
  <c r="N14" i="25"/>
  <c r="N6" i="23"/>
  <c r="N6" i="25"/>
  <c r="N20" i="25"/>
  <c r="N35" i="25"/>
  <c r="N27" i="23"/>
  <c r="N27" i="25"/>
  <c r="N19" i="23"/>
  <c r="N19" i="25"/>
  <c r="N11" i="23"/>
  <c r="N11" i="25"/>
  <c r="N3" i="23"/>
  <c r="N3" i="25"/>
  <c r="N37" i="25" s="1"/>
  <c r="N34" i="23"/>
  <c r="N34" i="25"/>
  <c r="N26" i="23"/>
  <c r="N26" i="25"/>
  <c r="N18" i="23"/>
  <c r="N18" i="25"/>
  <c r="N10" i="23"/>
  <c r="N10" i="25"/>
  <c r="N21" i="23"/>
  <c r="N21" i="25"/>
  <c r="N25" i="23"/>
  <c r="N25" i="25"/>
  <c r="N17" i="23"/>
  <c r="N17" i="25"/>
  <c r="N9" i="23"/>
  <c r="N9" i="25"/>
  <c r="N13" i="25"/>
  <c r="N36" i="23"/>
  <c r="N36" i="25"/>
  <c r="N4" i="23"/>
  <c r="N4" i="25"/>
  <c r="N32" i="23"/>
  <c r="N32" i="25"/>
  <c r="N24" i="25"/>
  <c r="N8" i="23"/>
  <c r="N8" i="25"/>
  <c r="M35" i="23"/>
  <c r="M35" i="25"/>
  <c r="M27" i="23"/>
  <c r="M27" i="25"/>
  <c r="M20" i="23"/>
  <c r="M20" i="25"/>
  <c r="M12" i="23"/>
  <c r="M12" i="25"/>
  <c r="M4" i="23"/>
  <c r="M4" i="25"/>
  <c r="M21" i="23"/>
  <c r="M21" i="25"/>
  <c r="M34" i="23"/>
  <c r="M34" i="25"/>
  <c r="M26" i="23"/>
  <c r="M26" i="25"/>
  <c r="M19" i="23"/>
  <c r="M19" i="25"/>
  <c r="M11" i="23"/>
  <c r="M11" i="25"/>
  <c r="M3" i="23"/>
  <c r="M3" i="25"/>
  <c r="M18" i="23"/>
  <c r="M18" i="25"/>
  <c r="M10" i="23"/>
  <c r="M10" i="25"/>
  <c r="M2" i="23"/>
  <c r="M2" i="25"/>
  <c r="M28" i="23"/>
  <c r="M28" i="25"/>
  <c r="M17" i="23"/>
  <c r="M17" i="25"/>
  <c r="M9" i="23"/>
  <c r="M9" i="25"/>
  <c r="M36" i="23"/>
  <c r="M36" i="25"/>
  <c r="M31" i="23"/>
  <c r="M31" i="25"/>
  <c r="M24" i="23"/>
  <c r="M24" i="25"/>
  <c r="M16" i="23"/>
  <c r="M16" i="25"/>
  <c r="M8" i="23"/>
  <c r="M8" i="25"/>
  <c r="M5" i="23"/>
  <c r="M5" i="25"/>
  <c r="M30" i="23"/>
  <c r="M30" i="25"/>
  <c r="M23" i="23"/>
  <c r="M23" i="25"/>
  <c r="M15" i="23"/>
  <c r="M15" i="25"/>
  <c r="M7" i="23"/>
  <c r="M7" i="25"/>
  <c r="M13" i="23"/>
  <c r="M13" i="25"/>
  <c r="M29" i="23"/>
  <c r="M29" i="25"/>
  <c r="M22" i="23"/>
  <c r="M22" i="25"/>
  <c r="M14" i="23"/>
  <c r="M14" i="25"/>
  <c r="M6" i="23"/>
  <c r="M6" i="25"/>
  <c r="L39" i="23"/>
  <c r="L39" i="25"/>
  <c r="L45" i="25" s="1"/>
  <c r="L4" i="23"/>
  <c r="L4" i="25"/>
  <c r="L19" i="23"/>
  <c r="L19" i="25"/>
  <c r="L28" i="23"/>
  <c r="L28" i="25"/>
  <c r="L26" i="25"/>
  <c r="L10" i="23"/>
  <c r="L10" i="25"/>
  <c r="L2" i="23"/>
  <c r="L2" i="25"/>
  <c r="L33" i="23"/>
  <c r="L33" i="25"/>
  <c r="L25" i="23"/>
  <c r="L25" i="25"/>
  <c r="L17" i="23"/>
  <c r="L17" i="25"/>
  <c r="L9" i="23"/>
  <c r="L9" i="25"/>
  <c r="L35" i="23"/>
  <c r="L35" i="25"/>
  <c r="L32" i="23"/>
  <c r="L32" i="25"/>
  <c r="L16" i="23"/>
  <c r="L16" i="25"/>
  <c r="L8" i="23"/>
  <c r="L8" i="25"/>
  <c r="L31" i="23"/>
  <c r="L31" i="25"/>
  <c r="L23" i="25"/>
  <c r="L15" i="23"/>
  <c r="L20" i="23"/>
  <c r="L20" i="25"/>
  <c r="L30" i="23"/>
  <c r="L30" i="25"/>
  <c r="L22" i="23"/>
  <c r="L22" i="25"/>
  <c r="L14" i="23"/>
  <c r="L14" i="25"/>
  <c r="L6" i="23"/>
  <c r="L6" i="25"/>
  <c r="L12" i="23"/>
  <c r="L12" i="25"/>
  <c r="L36" i="23"/>
  <c r="L36" i="25"/>
  <c r="L21" i="23"/>
  <c r="L21" i="25"/>
  <c r="L13" i="23"/>
  <c r="L13" i="25"/>
  <c r="L5" i="23"/>
  <c r="L5" i="25"/>
  <c r="L18" i="23"/>
  <c r="L18" i="25"/>
  <c r="K39" i="25"/>
  <c r="K32" i="23"/>
  <c r="K32" i="25"/>
  <c r="K34" i="23"/>
  <c r="K34" i="25"/>
  <c r="K26" i="25"/>
  <c r="K18" i="25"/>
  <c r="K10" i="25"/>
  <c r="K2" i="23"/>
  <c r="K2" i="25"/>
  <c r="K33" i="25"/>
  <c r="K25" i="23"/>
  <c r="K25" i="25"/>
  <c r="K17" i="23"/>
  <c r="K17" i="25"/>
  <c r="K9" i="23"/>
  <c r="K9" i="25"/>
  <c r="K31" i="23"/>
  <c r="K31" i="25"/>
  <c r="K23" i="23"/>
  <c r="K23" i="25"/>
  <c r="K15" i="23"/>
  <c r="K15" i="25"/>
  <c r="K7" i="23"/>
  <c r="K7" i="25"/>
  <c r="K8" i="23"/>
  <c r="K8" i="25"/>
  <c r="K30" i="23"/>
  <c r="K30" i="25"/>
  <c r="K14" i="23"/>
  <c r="K14" i="25"/>
  <c r="K6" i="25"/>
  <c r="K24" i="23"/>
  <c r="K24" i="25"/>
  <c r="K29" i="25"/>
  <c r="K21" i="23"/>
  <c r="K21" i="25"/>
  <c r="K13" i="23"/>
  <c r="K13" i="25"/>
  <c r="K5" i="23"/>
  <c r="K5" i="25"/>
  <c r="K36" i="23"/>
  <c r="K36" i="25"/>
  <c r="K28" i="23"/>
  <c r="K28" i="25"/>
  <c r="K20" i="23"/>
  <c r="K20" i="25"/>
  <c r="K12" i="23"/>
  <c r="K12" i="25"/>
  <c r="K16" i="23"/>
  <c r="K16" i="25"/>
  <c r="K35" i="23"/>
  <c r="K35" i="25"/>
  <c r="K19" i="23"/>
  <c r="K19" i="25"/>
  <c r="K11" i="23"/>
  <c r="K11" i="25"/>
  <c r="K3" i="25"/>
  <c r="J39" i="23"/>
  <c r="J39" i="25"/>
  <c r="J7" i="23"/>
  <c r="J7" i="25"/>
  <c r="J25" i="23"/>
  <c r="J17" i="23"/>
  <c r="J31" i="23"/>
  <c r="J31" i="25"/>
  <c r="J32" i="23"/>
  <c r="J32" i="25"/>
  <c r="J24" i="23"/>
  <c r="J24" i="25"/>
  <c r="J16" i="23"/>
  <c r="J16" i="25"/>
  <c r="J8" i="23"/>
  <c r="J8" i="25"/>
  <c r="J30" i="23"/>
  <c r="J30" i="25"/>
  <c r="J22" i="23"/>
  <c r="J22" i="25"/>
  <c r="J14" i="23"/>
  <c r="J14" i="25"/>
  <c r="J6" i="23"/>
  <c r="J6" i="25"/>
  <c r="J15" i="23"/>
  <c r="J15" i="25"/>
  <c r="J29" i="23"/>
  <c r="J13" i="25"/>
  <c r="J5" i="23"/>
  <c r="J36" i="23"/>
  <c r="J36" i="25"/>
  <c r="J28" i="23"/>
  <c r="J28" i="25"/>
  <c r="J20" i="23"/>
  <c r="J20" i="25"/>
  <c r="J12" i="23"/>
  <c r="J12" i="25"/>
  <c r="J4" i="23"/>
  <c r="J4" i="25"/>
  <c r="J23" i="23"/>
  <c r="J23" i="25"/>
  <c r="J27" i="23"/>
  <c r="J27" i="25"/>
  <c r="J19" i="23"/>
  <c r="J19" i="25"/>
  <c r="J11" i="23"/>
  <c r="J11" i="25"/>
  <c r="J3" i="23"/>
  <c r="J3" i="25"/>
  <c r="J34" i="25"/>
  <c r="J26" i="23"/>
  <c r="J26" i="25"/>
  <c r="J18" i="23"/>
  <c r="J18" i="25"/>
  <c r="J10" i="23"/>
  <c r="J10" i="25"/>
  <c r="J2" i="23"/>
  <c r="J2" i="25"/>
  <c r="I39" i="25"/>
  <c r="I7" i="23"/>
  <c r="I7" i="25"/>
  <c r="I25" i="23"/>
  <c r="I25" i="25"/>
  <c r="I17" i="23"/>
  <c r="I17" i="25"/>
  <c r="I9" i="23"/>
  <c r="I9" i="25"/>
  <c r="I31" i="23"/>
  <c r="I31" i="25"/>
  <c r="I24" i="23"/>
  <c r="I24" i="25"/>
  <c r="I16" i="23"/>
  <c r="I16" i="25"/>
  <c r="I8" i="23"/>
  <c r="I8" i="25"/>
  <c r="I29" i="23"/>
  <c r="I22" i="23"/>
  <c r="I36" i="23"/>
  <c r="I21" i="23"/>
  <c r="I21" i="25"/>
  <c r="I13" i="23"/>
  <c r="I13" i="25"/>
  <c r="I5" i="23"/>
  <c r="I5" i="25"/>
  <c r="I15" i="23"/>
  <c r="I15" i="25"/>
  <c r="I35" i="23"/>
  <c r="I35" i="25"/>
  <c r="I28" i="23"/>
  <c r="I28" i="25"/>
  <c r="I20" i="23"/>
  <c r="I20" i="25"/>
  <c r="I12" i="23"/>
  <c r="I12" i="25"/>
  <c r="I4" i="23"/>
  <c r="I4" i="25"/>
  <c r="I23" i="23"/>
  <c r="I23" i="25"/>
  <c r="I27" i="23"/>
  <c r="I27" i="25"/>
  <c r="I19" i="23"/>
  <c r="I19" i="25"/>
  <c r="I11" i="23"/>
  <c r="I11" i="25"/>
  <c r="I33" i="23"/>
  <c r="I18" i="23"/>
  <c r="I2" i="23"/>
  <c r="I2" i="25"/>
  <c r="H39" i="23"/>
  <c r="H39" i="25"/>
  <c r="H40" i="23"/>
  <c r="H40" i="25"/>
  <c r="H8" i="23"/>
  <c r="H8" i="25"/>
  <c r="H15" i="23"/>
  <c r="H15" i="25"/>
  <c r="H30" i="23"/>
  <c r="H30" i="25"/>
  <c r="H14" i="23"/>
  <c r="H14" i="25"/>
  <c r="H6" i="23"/>
  <c r="H6" i="25"/>
  <c r="H7" i="23"/>
  <c r="H7" i="25"/>
  <c r="H29" i="23"/>
  <c r="H29" i="25"/>
  <c r="H22" i="23"/>
  <c r="H20" i="23"/>
  <c r="H20" i="25"/>
  <c r="H11" i="23"/>
  <c r="H11" i="25"/>
  <c r="H3" i="23"/>
  <c r="H3" i="25"/>
  <c r="H24" i="23"/>
  <c r="H24" i="25"/>
  <c r="H4" i="23"/>
  <c r="H4" i="25"/>
  <c r="H34" i="23"/>
  <c r="H34" i="25"/>
  <c r="H27" i="23"/>
  <c r="H27" i="25"/>
  <c r="H19" i="23"/>
  <c r="H19" i="25"/>
  <c r="H2" i="23"/>
  <c r="H12" i="25"/>
  <c r="H33" i="23"/>
  <c r="H33" i="25"/>
  <c r="H26" i="25"/>
  <c r="H9" i="25"/>
  <c r="G40" i="23"/>
  <c r="G39" i="23"/>
  <c r="G39" i="25"/>
  <c r="G41" i="23"/>
  <c r="G41" i="25"/>
  <c r="G7" i="25"/>
  <c r="G26" i="23"/>
  <c r="G26" i="25"/>
  <c r="G17" i="23"/>
  <c r="G17" i="25"/>
  <c r="G9" i="23"/>
  <c r="G9" i="25"/>
  <c r="G33" i="23"/>
  <c r="G33" i="25"/>
  <c r="G25" i="23"/>
  <c r="G25" i="25"/>
  <c r="G16" i="23"/>
  <c r="G16" i="25"/>
  <c r="G8" i="23"/>
  <c r="G8" i="25"/>
  <c r="G31" i="23"/>
  <c r="G31" i="25"/>
  <c r="G23" i="23"/>
  <c r="P23" i="23" s="1"/>
  <c r="G14" i="23"/>
  <c r="G14" i="25"/>
  <c r="G6" i="23"/>
  <c r="G15" i="23"/>
  <c r="G15" i="25"/>
  <c r="G30" i="23"/>
  <c r="G30" i="25"/>
  <c r="G22" i="23"/>
  <c r="G22" i="25"/>
  <c r="G13" i="23"/>
  <c r="G13" i="25"/>
  <c r="G5" i="23"/>
  <c r="G5" i="25"/>
  <c r="G29" i="23"/>
  <c r="G29" i="25"/>
  <c r="G21" i="23"/>
  <c r="G21" i="25"/>
  <c r="G12" i="23"/>
  <c r="G12" i="25"/>
  <c r="G4" i="23"/>
  <c r="G4" i="25"/>
  <c r="G28" i="25"/>
  <c r="G20" i="23"/>
  <c r="G20" i="25"/>
  <c r="G3" i="23"/>
  <c r="G3" i="25"/>
  <c r="G24" i="25"/>
  <c r="G35" i="23"/>
  <c r="G35" i="25"/>
  <c r="G27" i="25"/>
  <c r="G19" i="23"/>
  <c r="G19" i="25"/>
  <c r="G10" i="25"/>
  <c r="G2" i="23"/>
  <c r="G2" i="25"/>
  <c r="F40" i="23"/>
  <c r="F40" i="25"/>
  <c r="F43" i="23"/>
  <c r="F43" i="25"/>
  <c r="F42" i="23"/>
  <c r="F42" i="25"/>
  <c r="F39" i="23"/>
  <c r="F39" i="25"/>
  <c r="F2" i="23"/>
  <c r="F2" i="25"/>
  <c r="F25" i="23"/>
  <c r="F25" i="25"/>
  <c r="F31" i="23"/>
  <c r="F31" i="25"/>
  <c r="F24" i="23"/>
  <c r="F24" i="25"/>
  <c r="F16" i="23"/>
  <c r="F16" i="25"/>
  <c r="F8" i="23"/>
  <c r="F8" i="25"/>
  <c r="F26" i="23"/>
  <c r="F26" i="25"/>
  <c r="F17" i="23"/>
  <c r="F17" i="25"/>
  <c r="F30" i="23"/>
  <c r="F30" i="25"/>
  <c r="F23" i="25"/>
  <c r="F15" i="25"/>
  <c r="F7" i="25"/>
  <c r="F33" i="23"/>
  <c r="F9" i="23"/>
  <c r="F9" i="25"/>
  <c r="F29" i="23"/>
  <c r="F29" i="25"/>
  <c r="F22" i="23"/>
  <c r="F22" i="25"/>
  <c r="F14" i="23"/>
  <c r="F14" i="25"/>
  <c r="F6" i="23"/>
  <c r="F6" i="25"/>
  <c r="F36" i="23"/>
  <c r="F36" i="25"/>
  <c r="F21" i="23"/>
  <c r="F21" i="25"/>
  <c r="F13" i="23"/>
  <c r="F13" i="25"/>
  <c r="F5" i="23"/>
  <c r="F5" i="25"/>
  <c r="F35" i="23"/>
  <c r="F35" i="25"/>
  <c r="F28" i="23"/>
  <c r="F28" i="25"/>
  <c r="F20" i="23"/>
  <c r="F20" i="25"/>
  <c r="F12" i="23"/>
  <c r="F12" i="25"/>
  <c r="F10" i="23"/>
  <c r="F10" i="25"/>
  <c r="F34" i="23"/>
  <c r="F34" i="25"/>
  <c r="F27" i="23"/>
  <c r="F19" i="25"/>
  <c r="F11" i="23"/>
  <c r="F11" i="25"/>
  <c r="E19" i="23"/>
  <c r="E19" i="25"/>
  <c r="E34" i="23"/>
  <c r="E34" i="25"/>
  <c r="Q37" i="3"/>
  <c r="E33" i="23"/>
  <c r="E2" i="23"/>
  <c r="E2" i="25"/>
  <c r="E41" i="23"/>
  <c r="E9" i="23"/>
  <c r="E9" i="25"/>
  <c r="E35" i="23"/>
  <c r="E35" i="25"/>
  <c r="E28" i="23"/>
  <c r="E28" i="25"/>
  <c r="E21" i="23"/>
  <c r="E21" i="25"/>
  <c r="E13" i="23"/>
  <c r="E13" i="25"/>
  <c r="AJ34" i="3"/>
  <c r="E27" i="23"/>
  <c r="E27" i="25"/>
  <c r="E20" i="23"/>
  <c r="E20" i="25"/>
  <c r="E4" i="23"/>
  <c r="E4" i="25"/>
  <c r="E3" i="23"/>
  <c r="E3" i="25"/>
  <c r="E32" i="25"/>
  <c r="AJ27" i="3"/>
  <c r="E31" i="23"/>
  <c r="E31" i="25"/>
  <c r="E24" i="23"/>
  <c r="E24" i="25"/>
  <c r="E16" i="23"/>
  <c r="E16" i="25"/>
  <c r="E8" i="23"/>
  <c r="E8" i="25"/>
  <c r="E43" i="23"/>
  <c r="E43" i="25"/>
  <c r="E10" i="23"/>
  <c r="E10" i="25"/>
  <c r="E17" i="23"/>
  <c r="E17" i="25"/>
  <c r="E30" i="23"/>
  <c r="E30" i="25"/>
  <c r="E23" i="23"/>
  <c r="E23" i="25"/>
  <c r="E15" i="23"/>
  <c r="E15" i="25"/>
  <c r="E7" i="23"/>
  <c r="E7" i="25"/>
  <c r="E26" i="23"/>
  <c r="E26" i="25"/>
  <c r="E42" i="23"/>
  <c r="E42" i="25"/>
  <c r="E18" i="23"/>
  <c r="V37" i="3"/>
  <c r="AD37" i="3"/>
  <c r="E29" i="23"/>
  <c r="E29" i="25"/>
  <c r="E22" i="25"/>
  <c r="E14" i="23"/>
  <c r="E6" i="23"/>
  <c r="E6" i="25"/>
  <c r="D39" i="23"/>
  <c r="D43" i="23"/>
  <c r="D43" i="25"/>
  <c r="D42" i="23"/>
  <c r="D42" i="25"/>
  <c r="D41" i="23"/>
  <c r="D41" i="25"/>
  <c r="D30" i="23"/>
  <c r="D30" i="25"/>
  <c r="D12" i="23"/>
  <c r="D22" i="23"/>
  <c r="D22" i="25"/>
  <c r="D21" i="23"/>
  <c r="D21" i="25"/>
  <c r="D36" i="23"/>
  <c r="D36" i="25"/>
  <c r="D28" i="23"/>
  <c r="D28" i="25"/>
  <c r="D19" i="23"/>
  <c r="D11" i="23"/>
  <c r="D11" i="25"/>
  <c r="D14" i="23"/>
  <c r="D14" i="25"/>
  <c r="D27" i="23"/>
  <c r="D27" i="25"/>
  <c r="D3" i="23"/>
  <c r="D3" i="25"/>
  <c r="D34" i="23"/>
  <c r="D34" i="25"/>
  <c r="D26" i="23"/>
  <c r="D26" i="25"/>
  <c r="D2" i="23"/>
  <c r="P2" i="23" s="1"/>
  <c r="D10" i="23"/>
  <c r="D10" i="25"/>
  <c r="D33" i="23"/>
  <c r="D33" i="25"/>
  <c r="D16" i="23"/>
  <c r="D8" i="23"/>
  <c r="D8" i="25"/>
  <c r="D6" i="23"/>
  <c r="D6" i="25"/>
  <c r="D24" i="23"/>
  <c r="D15" i="23"/>
  <c r="D15" i="25"/>
  <c r="D7" i="23"/>
  <c r="D7" i="25"/>
  <c r="BE27" i="14"/>
  <c r="J52" i="18"/>
  <c r="M6" i="18" s="1"/>
  <c r="S37" i="7"/>
  <c r="AJ27" i="4"/>
  <c r="AJ22" i="8"/>
  <c r="AJ42" i="6"/>
  <c r="AJ24" i="8"/>
  <c r="AI45" i="9"/>
  <c r="AB27" i="14"/>
  <c r="J50" i="18"/>
  <c r="K6" i="18" s="1"/>
  <c r="J45" i="18"/>
  <c r="F6" i="18" s="1"/>
  <c r="J37" i="18"/>
  <c r="N4" i="18" s="1"/>
  <c r="J29" i="18"/>
  <c r="F4" i="18" s="1"/>
  <c r="J28" i="18"/>
  <c r="E4" i="18"/>
  <c r="J27" i="18"/>
  <c r="D4" i="18" s="1"/>
  <c r="J21" i="18"/>
  <c r="N2" i="18"/>
  <c r="J17" i="18"/>
  <c r="J2" i="18" s="1"/>
  <c r="J16" i="18"/>
  <c r="I2" i="18" s="1"/>
  <c r="J15" i="18"/>
  <c r="H2" i="18" s="1"/>
  <c r="J12" i="18"/>
  <c r="E2" i="18" s="1"/>
  <c r="AY27" i="14"/>
  <c r="AY39" i="14" s="1"/>
  <c r="BC16" i="14"/>
  <c r="BC18" i="14"/>
  <c r="Y37" i="3"/>
  <c r="AJ25" i="9"/>
  <c r="AJ35" i="10"/>
  <c r="AJ39" i="10"/>
  <c r="AJ43" i="10"/>
  <c r="AI4" i="4"/>
  <c r="T37" i="3"/>
  <c r="U23" i="14"/>
  <c r="T37" i="2"/>
  <c r="AJ28" i="2"/>
  <c r="V37" i="4"/>
  <c r="AJ32" i="9"/>
  <c r="AI39" i="13"/>
  <c r="AI37" i="13"/>
  <c r="AJ24" i="2"/>
  <c r="P37" i="3"/>
  <c r="I37" i="6"/>
  <c r="AJ27" i="7"/>
  <c r="AJ42" i="9"/>
  <c r="AJ45" i="11"/>
  <c r="AJ29" i="9"/>
  <c r="AJ5" i="4"/>
  <c r="M37" i="2"/>
  <c r="AJ35" i="12"/>
  <c r="AH45" i="4"/>
  <c r="AI45" i="4"/>
  <c r="AJ35" i="4"/>
  <c r="V39" i="14"/>
  <c r="AJ32" i="3"/>
  <c r="AI18" i="4"/>
  <c r="F18" i="25"/>
  <c r="AJ42" i="7"/>
  <c r="AJ22" i="10"/>
  <c r="AJ43" i="11"/>
  <c r="J8" i="18"/>
  <c r="A2" i="18" s="1"/>
  <c r="BR24" i="14"/>
  <c r="BV35" i="14"/>
  <c r="I13" i="14"/>
  <c r="BB18" i="14"/>
  <c r="BF16" i="14"/>
  <c r="AJ34" i="2"/>
  <c r="S37" i="4"/>
  <c r="AJ5" i="7"/>
  <c r="AI39" i="14"/>
  <c r="AC37" i="2"/>
  <c r="N37" i="4"/>
  <c r="AJ34" i="8"/>
  <c r="AJ34" i="9"/>
  <c r="AJ28" i="9"/>
  <c r="BF27" i="14"/>
  <c r="BF39" i="14" s="1"/>
  <c r="D18" i="23"/>
  <c r="BH24" i="14"/>
  <c r="BH27" i="14" s="1"/>
  <c r="BH39" i="14" s="1"/>
  <c r="BG27" i="14"/>
  <c r="BG39" i="14"/>
  <c r="E25" i="23"/>
  <c r="AJ25" i="3"/>
  <c r="D35" i="23"/>
  <c r="AJ27" i="2"/>
  <c r="AJ33" i="3"/>
  <c r="AI11" i="3"/>
  <c r="AJ32" i="6"/>
  <c r="H32" i="23"/>
  <c r="AJ43" i="7"/>
  <c r="I43" i="23"/>
  <c r="AI37" i="9"/>
  <c r="AJ2" i="9"/>
  <c r="K4" i="23"/>
  <c r="AJ24" i="10"/>
  <c r="L24" i="23"/>
  <c r="AJ32" i="11"/>
  <c r="M32" i="23"/>
  <c r="AJ27" i="13"/>
  <c r="AA17" i="14"/>
  <c r="AB17" i="14"/>
  <c r="AC17" i="14" s="1"/>
  <c r="AD17" i="14" s="1"/>
  <c r="AL27" i="14"/>
  <c r="AP39" i="14"/>
  <c r="AX39" i="14"/>
  <c r="BE39" i="14"/>
  <c r="BP27" i="14"/>
  <c r="BP39" i="14" s="1"/>
  <c r="BS26" i="14"/>
  <c r="M21" i="14"/>
  <c r="AJ32" i="5"/>
  <c r="G32" i="23"/>
  <c r="AJ28" i="5"/>
  <c r="AJ22" i="5"/>
  <c r="G76" i="17"/>
  <c r="I39" i="23"/>
  <c r="I3" i="23"/>
  <c r="AJ42" i="10"/>
  <c r="L42" i="23"/>
  <c r="AJ27" i="10"/>
  <c r="L27" i="23"/>
  <c r="AJ42" i="4"/>
  <c r="AJ32" i="4"/>
  <c r="F32" i="23"/>
  <c r="H23" i="23"/>
  <c r="AJ32" i="7"/>
  <c r="I32" i="23"/>
  <c r="AJ29" i="10"/>
  <c r="L29" i="23"/>
  <c r="AJ42" i="12"/>
  <c r="AJ39" i="12"/>
  <c r="N40" i="23"/>
  <c r="J51" i="18"/>
  <c r="L6" i="18" s="1"/>
  <c r="J47" i="18"/>
  <c r="H6" i="18" s="1"/>
  <c r="J44" i="18"/>
  <c r="E6" i="18" s="1"/>
  <c r="J39" i="18"/>
  <c r="P4" i="18"/>
  <c r="J31" i="18"/>
  <c r="H4" i="18" s="1"/>
  <c r="J24" i="18"/>
  <c r="A4" i="18"/>
  <c r="J13" i="18"/>
  <c r="F2" i="18" s="1"/>
  <c r="J11" i="18"/>
  <c r="D2" i="18" s="1"/>
  <c r="AU39" i="14"/>
  <c r="AT27" i="14"/>
  <c r="AT39" i="14" s="1"/>
  <c r="AW39" i="14"/>
  <c r="BD39" i="14"/>
  <c r="AJ42" i="2"/>
  <c r="AJ33" i="2"/>
  <c r="D31" i="23"/>
  <c r="AI36" i="3"/>
  <c r="AJ24" i="4"/>
  <c r="AJ34" i="5"/>
  <c r="G34" i="23"/>
  <c r="AJ27" i="5"/>
  <c r="AJ24" i="5"/>
  <c r="AJ43" i="6"/>
  <c r="H43" i="23"/>
  <c r="AI36" i="6"/>
  <c r="H10" i="23"/>
  <c r="AJ34" i="7"/>
  <c r="I34" i="23"/>
  <c r="AJ42" i="8"/>
  <c r="J42" i="23"/>
  <c r="AJ35" i="8"/>
  <c r="J35" i="23"/>
  <c r="AJ32" i="8"/>
  <c r="AJ27" i="9"/>
  <c r="K27" i="23"/>
  <c r="AJ24" i="9"/>
  <c r="AJ28" i="10"/>
  <c r="AJ35" i="11"/>
  <c r="AJ5" i="11"/>
  <c r="AJ25" i="11"/>
  <c r="M25" i="23"/>
  <c r="AJ8" i="10"/>
  <c r="AJ34" i="10"/>
  <c r="L34" i="23"/>
  <c r="AJ15" i="9"/>
  <c r="AJ2" i="8"/>
  <c r="AJ33" i="8"/>
  <c r="AJ33" i="6"/>
  <c r="AJ33" i="4"/>
  <c r="AJ8" i="11"/>
  <c r="AJ2" i="11"/>
  <c r="AJ35" i="13"/>
  <c r="O35" i="23"/>
  <c r="AJ25" i="13"/>
  <c r="AJ29" i="13"/>
  <c r="AJ34" i="13"/>
  <c r="AJ27" i="12"/>
  <c r="AJ24" i="12"/>
  <c r="AJ2" i="12"/>
  <c r="N2" i="23"/>
  <c r="AJ33" i="12"/>
  <c r="N33" i="23"/>
  <c r="AJ25" i="12"/>
  <c r="AJ29" i="12"/>
  <c r="AJ28" i="12"/>
  <c r="AJ22" i="12"/>
  <c r="AJ15" i="12"/>
  <c r="N16" i="23"/>
  <c r="AJ39" i="11"/>
  <c r="M39" i="23"/>
  <c r="M45" i="23" s="1"/>
  <c r="AJ33" i="11"/>
  <c r="M33" i="23"/>
  <c r="AF18" i="14"/>
  <c r="BB39" i="14"/>
  <c r="BC39" i="14"/>
  <c r="AQ39" i="14"/>
  <c r="AJ35" i="7"/>
  <c r="Q21" i="14"/>
  <c r="AI12" i="3"/>
  <c r="G37" i="3"/>
  <c r="AI37" i="3" s="1"/>
  <c r="AJ2" i="3"/>
  <c r="AJ29" i="4"/>
  <c r="AJ32" i="10"/>
  <c r="AJ35" i="9"/>
  <c r="AI45" i="11"/>
  <c r="AJ43" i="4"/>
  <c r="AJ45" i="4"/>
  <c r="D76" i="17"/>
  <c r="AJ34" i="4"/>
  <c r="E76" i="17"/>
  <c r="AJ42" i="5"/>
  <c r="AI18" i="5"/>
  <c r="G18" i="23" s="1"/>
  <c r="T37" i="5"/>
  <c r="AI45" i="8"/>
  <c r="AJ28" i="8"/>
  <c r="AJ27" i="11"/>
  <c r="AJ39" i="8"/>
  <c r="AI4" i="2"/>
  <c r="AI23" i="2"/>
  <c r="V37" i="2"/>
  <c r="AJ25" i="4"/>
  <c r="AJ22" i="4"/>
  <c r="AI45" i="10"/>
  <c r="AJ42" i="11"/>
  <c r="K76" i="17"/>
  <c r="AI37" i="11"/>
  <c r="AJ32" i="12"/>
  <c r="AJ5" i="12"/>
  <c r="AN16" i="14"/>
  <c r="AX11" i="14"/>
  <c r="AX13" i="14"/>
  <c r="AW13" i="14"/>
  <c r="AJ42" i="3"/>
  <c r="AI45" i="5"/>
  <c r="AJ33" i="5"/>
  <c r="AJ34" i="6"/>
  <c r="AJ24" i="6"/>
  <c r="AI37" i="8"/>
  <c r="AJ34" i="11"/>
  <c r="AJ22" i="13"/>
  <c r="AM19" i="14"/>
  <c r="AO39" i="14"/>
  <c r="AJ29" i="3"/>
  <c r="AJ2" i="5"/>
  <c r="AJ39" i="9"/>
  <c r="AJ45" i="9"/>
  <c r="AJ33" i="13"/>
  <c r="AZ27" i="14"/>
  <c r="AZ39" i="14" s="1"/>
  <c r="AJ15" i="7"/>
  <c r="AJ2" i="6"/>
  <c r="AJ8" i="4"/>
  <c r="AJ2" i="4"/>
  <c r="AJ24" i="7"/>
  <c r="AJ45" i="8"/>
  <c r="AJ27" i="8"/>
  <c r="AJ43" i="9"/>
  <c r="I76" i="17"/>
  <c r="AJ8" i="12"/>
  <c r="AJ5" i="13"/>
  <c r="BG16" i="14"/>
  <c r="BF18" i="14"/>
  <c r="AE18" i="14"/>
  <c r="AJ8" i="5"/>
  <c r="AJ39" i="6"/>
  <c r="Y39" i="14"/>
  <c r="H76" i="17"/>
  <c r="AI39" i="3"/>
  <c r="E39" i="23" s="1"/>
  <c r="D45" i="3"/>
  <c r="AI45" i="3" s="1"/>
  <c r="AI18" i="6"/>
  <c r="T37" i="6"/>
  <c r="AJ15" i="8"/>
  <c r="AJ28" i="11"/>
  <c r="AJ34" i="12"/>
  <c r="AM39" i="14"/>
  <c r="J55" i="18"/>
  <c r="P6" i="18"/>
  <c r="J48" i="18"/>
  <c r="J40" i="18"/>
  <c r="A6" i="18" s="1"/>
  <c r="J33" i="18"/>
  <c r="J4" i="18"/>
  <c r="J32" i="18"/>
  <c r="I4" i="18" s="1"/>
  <c r="J20" i="18"/>
  <c r="M2" i="18"/>
  <c r="AW16" i="14"/>
  <c r="AV18" i="14"/>
  <c r="BE18" i="14"/>
  <c r="AJ15" i="11"/>
  <c r="AJ25" i="5"/>
  <c r="AJ8" i="9"/>
  <c r="S37" i="2"/>
  <c r="F43" i="17"/>
  <c r="AJ22" i="3"/>
  <c r="AJ15" i="3"/>
  <c r="AJ39" i="5"/>
  <c r="AJ45" i="5"/>
  <c r="AI36" i="5"/>
  <c r="S37" i="5"/>
  <c r="AI37" i="5" s="1"/>
  <c r="AJ29" i="5"/>
  <c r="AJ25" i="8"/>
  <c r="AJ33" i="9"/>
  <c r="AJ45" i="10"/>
  <c r="AJ2" i="10"/>
  <c r="AI45" i="12"/>
  <c r="AJ43" i="13"/>
  <c r="AR15" i="14"/>
  <c r="AS15" i="14" s="1"/>
  <c r="AJ29" i="11"/>
  <c r="J54" i="18"/>
  <c r="O6" i="18" s="1"/>
  <c r="J53" i="18"/>
  <c r="N6" i="18" s="1"/>
  <c r="J49" i="18"/>
  <c r="J6" i="18" s="1"/>
  <c r="J46" i="18"/>
  <c r="G6" i="18"/>
  <c r="J42" i="18"/>
  <c r="C6" i="18"/>
  <c r="J41" i="18"/>
  <c r="B6" i="18"/>
  <c r="J38" i="18"/>
  <c r="O4" i="18"/>
  <c r="J35" i="18"/>
  <c r="L4" i="18"/>
  <c r="J34" i="18"/>
  <c r="K4" i="18"/>
  <c r="J30" i="18"/>
  <c r="G4" i="18"/>
  <c r="J26" i="18"/>
  <c r="C4" i="18"/>
  <c r="J25" i="18"/>
  <c r="B4" i="18"/>
  <c r="J22" i="18"/>
  <c r="O2" i="18"/>
  <c r="J19" i="18"/>
  <c r="L2" i="18"/>
  <c r="J18" i="18"/>
  <c r="K2" i="18"/>
  <c r="J14" i="18"/>
  <c r="G2" i="18"/>
  <c r="J10" i="18"/>
  <c r="C2" i="18"/>
  <c r="J9" i="18"/>
  <c r="B2" i="18"/>
  <c r="BQ39" i="14"/>
  <c r="BW35" i="14"/>
  <c r="H18" i="23"/>
  <c r="H18" i="25"/>
  <c r="G18" i="25"/>
  <c r="F4" i="23"/>
  <c r="F4" i="25"/>
  <c r="E12" i="23"/>
  <c r="E12" i="25"/>
  <c r="E11" i="23"/>
  <c r="E11" i="25"/>
  <c r="D4" i="23"/>
  <c r="D4" i="25"/>
  <c r="D23" i="23"/>
  <c r="D23" i="25"/>
  <c r="AJ8" i="3"/>
  <c r="AJ22" i="2"/>
  <c r="AJ35" i="6"/>
  <c r="F18" i="23"/>
  <c r="AJ15" i="4"/>
  <c r="BI24" i="14"/>
  <c r="BI27" i="14" s="1"/>
  <c r="BI39" i="14" s="1"/>
  <c r="AJ35" i="3"/>
  <c r="BS23" i="14"/>
  <c r="BT26" i="14"/>
  <c r="BT23" i="14" s="1"/>
  <c r="AA18" i="14"/>
  <c r="N37" i="23"/>
  <c r="L3" i="17" s="1"/>
  <c r="I4" i="17"/>
  <c r="I75" i="17"/>
  <c r="L4" i="17"/>
  <c r="L75" i="17"/>
  <c r="F75" i="17"/>
  <c r="F4" i="17"/>
  <c r="C75" i="17"/>
  <c r="C4" i="17"/>
  <c r="G4" i="17"/>
  <c r="G75" i="17"/>
  <c r="BX35" i="14"/>
  <c r="C76" i="17"/>
  <c r="BG18" i="14"/>
  <c r="BH16" i="14"/>
  <c r="BH18" i="14" s="1"/>
  <c r="M76" i="17"/>
  <c r="AJ15" i="5"/>
  <c r="E4" i="17"/>
  <c r="E75" i="17"/>
  <c r="B76" i="17"/>
  <c r="J75" i="17"/>
  <c r="J4" i="17"/>
  <c r="D4" i="17"/>
  <c r="D75" i="17"/>
  <c r="BY35" i="14"/>
  <c r="K75" i="17"/>
  <c r="K4" i="17"/>
  <c r="M75" i="17"/>
  <c r="M4" i="17"/>
  <c r="H4" i="17"/>
  <c r="H75" i="17"/>
  <c r="BZ35" i="14"/>
  <c r="B4" i="17"/>
  <c r="B75" i="17"/>
  <c r="CJ37" i="14"/>
  <c r="CS39" i="14"/>
  <c r="DX23" i="14" l="1"/>
  <c r="DX27" i="14"/>
  <c r="DX39" i="14" s="1"/>
  <c r="P27" i="25"/>
  <c r="Q27" i="25" s="1"/>
  <c r="AK20" i="14"/>
  <c r="AJ21" i="14"/>
  <c r="D35" i="25"/>
  <c r="P2" i="25"/>
  <c r="CX39" i="14"/>
  <c r="K72" i="24"/>
  <c r="K73" i="24" s="1"/>
  <c r="C57" i="24" s="1"/>
  <c r="AJ37" i="4"/>
  <c r="P8" i="25"/>
  <c r="P23" i="25"/>
  <c r="H45" i="23"/>
  <c r="AG39" i="14"/>
  <c r="AF39" i="14"/>
  <c r="T39" i="14"/>
  <c r="CI37" i="14"/>
  <c r="CQ39" i="14"/>
  <c r="CO39" i="14"/>
  <c r="CR39" i="14"/>
  <c r="R37" i="23"/>
  <c r="K83" i="24"/>
  <c r="C85" i="24" s="1"/>
  <c r="G45" i="25"/>
  <c r="AJ39" i="3"/>
  <c r="AL39" i="14"/>
  <c r="F37" i="23"/>
  <c r="D3" i="17" s="1"/>
  <c r="P30" i="25"/>
  <c r="S18" i="14"/>
  <c r="AI37" i="6"/>
  <c r="AJ45" i="7"/>
  <c r="CL39" i="14"/>
  <c r="DT29" i="14"/>
  <c r="AK16" i="14"/>
  <c r="E36" i="25"/>
  <c r="E36" i="23"/>
  <c r="AI45" i="2"/>
  <c r="D40" i="23"/>
  <c r="AJ39" i="2"/>
  <c r="D40" i="25"/>
  <c r="AJ45" i="2"/>
  <c r="AI37" i="2"/>
  <c r="D32" i="23"/>
  <c r="P32" i="23" s="1"/>
  <c r="Q32" i="23" s="1"/>
  <c r="AJ32" i="2"/>
  <c r="AJ25" i="2"/>
  <c r="D25" i="23"/>
  <c r="D25" i="25"/>
  <c r="D17" i="25"/>
  <c r="AJ15" i="2"/>
  <c r="D17" i="23"/>
  <c r="AJ8" i="2"/>
  <c r="D9" i="23"/>
  <c r="I3" i="25"/>
  <c r="AJ2" i="7"/>
  <c r="BI16" i="14"/>
  <c r="AJ2" i="2"/>
  <c r="AN18" i="14"/>
  <c r="AO16" i="14"/>
  <c r="AJ39" i="14"/>
  <c r="AC39" i="14"/>
  <c r="P19" i="25"/>
  <c r="P12" i="25"/>
  <c r="BI17" i="14"/>
  <c r="BJ17" i="14" s="1"/>
  <c r="BK17" i="14" s="1"/>
  <c r="BL17" i="14" s="1"/>
  <c r="BM17" i="14" s="1"/>
  <c r="BN17" i="14" s="1"/>
  <c r="BO17" i="14" s="1"/>
  <c r="BP17" i="14" s="1"/>
  <c r="BQ17" i="14" s="1"/>
  <c r="BR17" i="14" s="1"/>
  <c r="BS17" i="14" s="1"/>
  <c r="BT17" i="14" s="1"/>
  <c r="BJ24" i="14"/>
  <c r="I6" i="18"/>
  <c r="AJ37" i="11"/>
  <c r="P18" i="23"/>
  <c r="O39" i="23"/>
  <c r="AJ45" i="13"/>
  <c r="AJ39" i="13"/>
  <c r="O39" i="25"/>
  <c r="D32" i="25"/>
  <c r="P19" i="23"/>
  <c r="P3" i="23"/>
  <c r="H13" i="23"/>
  <c r="O12" i="23"/>
  <c r="AC16" i="14"/>
  <c r="AB18" i="14"/>
  <c r="F41" i="23"/>
  <c r="F41" i="25"/>
  <c r="F45" i="25" s="1"/>
  <c r="AJ39" i="4"/>
  <c r="D44" i="23"/>
  <c r="D44" i="25"/>
  <c r="AJ43" i="2"/>
  <c r="AJ29" i="2"/>
  <c r="D29" i="23"/>
  <c r="P29" i="23" s="1"/>
  <c r="D20" i="23"/>
  <c r="D20" i="25"/>
  <c r="D13" i="25"/>
  <c r="P13" i="25" s="1"/>
  <c r="D13" i="23"/>
  <c r="P13" i="23" s="1"/>
  <c r="D5" i="23"/>
  <c r="AJ5" i="2"/>
  <c r="AT15" i="14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AN19" i="14"/>
  <c r="BS24" i="14"/>
  <c r="BR27" i="14"/>
  <c r="BR39" i="14" s="1"/>
  <c r="D9" i="25"/>
  <c r="P41" i="25"/>
  <c r="W39" i="14"/>
  <c r="D5" i="25"/>
  <c r="G45" i="23"/>
  <c r="M37" i="25"/>
  <c r="H22" i="25"/>
  <c r="AJ22" i="6"/>
  <c r="H17" i="25"/>
  <c r="H17" i="23"/>
  <c r="AJ8" i="6"/>
  <c r="H9" i="23"/>
  <c r="H5" i="25"/>
  <c r="AJ5" i="6"/>
  <c r="H5" i="23"/>
  <c r="K45" i="23"/>
  <c r="AI45" i="13"/>
  <c r="O42" i="23"/>
  <c r="P42" i="23" s="1"/>
  <c r="Q42" i="23" s="1"/>
  <c r="O42" i="25"/>
  <c r="P42" i="25" s="1"/>
  <c r="Q42" i="25" s="1"/>
  <c r="AJ42" i="13"/>
  <c r="O32" i="25"/>
  <c r="AJ32" i="13"/>
  <c r="O28" i="25"/>
  <c r="P28" i="25" s="1"/>
  <c r="Q28" i="25" s="1"/>
  <c r="O28" i="23"/>
  <c r="AJ28" i="13"/>
  <c r="O24" i="25"/>
  <c r="P24" i="25" s="1"/>
  <c r="Q24" i="25" s="1"/>
  <c r="AJ24" i="13"/>
  <c r="O24" i="23"/>
  <c r="P24" i="23" s="1"/>
  <c r="Q24" i="23" s="1"/>
  <c r="O20" i="23"/>
  <c r="O20" i="25"/>
  <c r="O16" i="25"/>
  <c r="P16" i="25" s="1"/>
  <c r="O16" i="23"/>
  <c r="AJ15" i="13"/>
  <c r="AJ8" i="13"/>
  <c r="O8" i="23"/>
  <c r="O4" i="23"/>
  <c r="O4" i="25"/>
  <c r="AJ2" i="13"/>
  <c r="AI37" i="4"/>
  <c r="AI45" i="6"/>
  <c r="H35" i="25"/>
  <c r="P35" i="25" s="1"/>
  <c r="H35" i="23"/>
  <c r="P35" i="23" s="1"/>
  <c r="H31" i="25"/>
  <c r="P31" i="25" s="1"/>
  <c r="H31" i="23"/>
  <c r="P31" i="23" s="1"/>
  <c r="AJ28" i="6"/>
  <c r="H28" i="23"/>
  <c r="P28" i="23" s="1"/>
  <c r="Q28" i="23" s="1"/>
  <c r="H25" i="25"/>
  <c r="AJ25" i="6"/>
  <c r="AI45" i="7"/>
  <c r="AI37" i="7"/>
  <c r="I33" i="25"/>
  <c r="AJ33" i="7"/>
  <c r="I26" i="25"/>
  <c r="P26" i="25" s="1"/>
  <c r="AJ25" i="7"/>
  <c r="I26" i="23"/>
  <c r="I14" i="25"/>
  <c r="P14" i="25" s="1"/>
  <c r="I14" i="23"/>
  <c r="P14" i="23" s="1"/>
  <c r="I10" i="25"/>
  <c r="I10" i="23"/>
  <c r="P10" i="23" s="1"/>
  <c r="AJ15" i="6"/>
  <c r="G36" i="23"/>
  <c r="P36" i="23" s="1"/>
  <c r="AJ35" i="5"/>
  <c r="G36" i="25"/>
  <c r="AX16" i="14"/>
  <c r="AW18" i="14"/>
  <c r="AJ45" i="3"/>
  <c r="E39" i="25"/>
  <c r="AJ43" i="3"/>
  <c r="AJ37" i="12"/>
  <c r="H36" i="23"/>
  <c r="H36" i="25"/>
  <c r="I45" i="23"/>
  <c r="H43" i="17"/>
  <c r="V23" i="14"/>
  <c r="AB39" i="14"/>
  <c r="P10" i="25"/>
  <c r="P34" i="23"/>
  <c r="Q34" i="23" s="1"/>
  <c r="P12" i="23"/>
  <c r="P39" i="23"/>
  <c r="P4" i="25"/>
  <c r="E44" i="25"/>
  <c r="P34" i="25"/>
  <c r="Q34" i="25" s="1"/>
  <c r="H21" i="25"/>
  <c r="I30" i="23"/>
  <c r="P30" i="23" s="1"/>
  <c r="I6" i="25"/>
  <c r="I45" i="25"/>
  <c r="J29" i="25"/>
  <c r="P29" i="25" s="1"/>
  <c r="L3" i="25"/>
  <c r="P18" i="25"/>
  <c r="E5" i="25"/>
  <c r="E5" i="23"/>
  <c r="E37" i="23" s="1"/>
  <c r="C3" i="17" s="1"/>
  <c r="AJ5" i="3"/>
  <c r="AJ37" i="3" s="1"/>
  <c r="J44" i="25"/>
  <c r="J44" i="23"/>
  <c r="J45" i="23" s="1"/>
  <c r="N43" i="25"/>
  <c r="N45" i="25" s="1"/>
  <c r="AJ43" i="12"/>
  <c r="AJ45" i="12"/>
  <c r="N43" i="23"/>
  <c r="N45" i="23" s="1"/>
  <c r="AI37" i="12"/>
  <c r="CI39" i="14"/>
  <c r="CL16" i="14"/>
  <c r="CK37" i="14"/>
  <c r="AJ29" i="7"/>
  <c r="AJ22" i="7"/>
  <c r="AJ8" i="7"/>
  <c r="AJ29" i="6"/>
  <c r="P6" i="23"/>
  <c r="P27" i="23"/>
  <c r="Q27" i="23" s="1"/>
  <c r="P6" i="25"/>
  <c r="P15" i="23"/>
  <c r="P8" i="23"/>
  <c r="G37" i="23"/>
  <c r="E3" i="17" s="1"/>
  <c r="H25" i="23"/>
  <c r="H16" i="23"/>
  <c r="M37" i="23"/>
  <c r="K3" i="17" s="1"/>
  <c r="M45" i="25"/>
  <c r="L45" i="23"/>
  <c r="AH17" i="14"/>
  <c r="AI17" i="14" s="1"/>
  <c r="AJ17" i="14" s="1"/>
  <c r="AK17" i="14" s="1"/>
  <c r="AG18" i="14"/>
  <c r="X39" i="14"/>
  <c r="S39" i="14"/>
  <c r="E40" i="23"/>
  <c r="E45" i="23" s="1"/>
  <c r="E40" i="25"/>
  <c r="J43" i="25"/>
  <c r="P43" i="25" s="1"/>
  <c r="AJ43" i="8"/>
  <c r="J33" i="25"/>
  <c r="J33" i="23"/>
  <c r="P33" i="23" s="1"/>
  <c r="Q33" i="23" s="1"/>
  <c r="J21" i="25"/>
  <c r="J21" i="23"/>
  <c r="P21" i="23" s="1"/>
  <c r="J9" i="25"/>
  <c r="AJ8" i="8"/>
  <c r="AJ37" i="8" s="1"/>
  <c r="J9" i="23"/>
  <c r="J5" i="25"/>
  <c r="AJ5" i="8"/>
  <c r="AJ25" i="10"/>
  <c r="AJ37" i="10" s="1"/>
  <c r="L26" i="23"/>
  <c r="L15" i="25"/>
  <c r="P15" i="25" s="1"/>
  <c r="AJ15" i="10"/>
  <c r="L11" i="25"/>
  <c r="L11" i="23"/>
  <c r="P11" i="23" s="1"/>
  <c r="L7" i="23"/>
  <c r="P7" i="23" s="1"/>
  <c r="AJ5" i="10"/>
  <c r="L7" i="25"/>
  <c r="P7" i="25" s="1"/>
  <c r="CB17" i="14"/>
  <c r="CA35" i="14"/>
  <c r="H45" i="25"/>
  <c r="AJ39" i="7"/>
  <c r="AJ22" i="9"/>
  <c r="AJ37" i="9" s="1"/>
  <c r="K22" i="23"/>
  <c r="P22" i="23" s="1"/>
  <c r="Q22" i="23" s="1"/>
  <c r="F3" i="25"/>
  <c r="G11" i="25"/>
  <c r="AJ5" i="5"/>
  <c r="AJ37" i="5" s="1"/>
  <c r="K22" i="25"/>
  <c r="K37" i="25" s="1"/>
  <c r="AJ43" i="5"/>
  <c r="J43" i="18"/>
  <c r="D6" i="18" s="1"/>
  <c r="CH39" i="14"/>
  <c r="CE24" i="14"/>
  <c r="CD27" i="14"/>
  <c r="CJ39" i="14"/>
  <c r="CN23" i="14"/>
  <c r="CN27" i="14"/>
  <c r="CN39" i="14" s="1"/>
  <c r="S12" i="22"/>
  <c r="S14" i="22" s="1"/>
  <c r="DT35" i="14"/>
  <c r="DU35" i="14" s="1"/>
  <c r="CP39" i="14"/>
  <c r="K97" i="24"/>
  <c r="C97" i="24" s="1"/>
  <c r="DB27" i="14"/>
  <c r="DB39" i="14" s="1"/>
  <c r="E36" i="24"/>
  <c r="B37" i="24" s="1"/>
  <c r="E37" i="24" s="1"/>
  <c r="B38" i="24" s="1"/>
  <c r="E38" i="24" s="1"/>
  <c r="B39" i="24" s="1"/>
  <c r="E39" i="24" s="1"/>
  <c r="B40" i="24" s="1"/>
  <c r="E40" i="24" s="1"/>
  <c r="B41" i="24" s="1"/>
  <c r="E41" i="24" s="1"/>
  <c r="B42" i="24" s="1"/>
  <c r="E42" i="24" s="1"/>
  <c r="B43" i="24" s="1"/>
  <c r="E43" i="24" s="1"/>
  <c r="B44" i="24" s="1"/>
  <c r="E44" i="24" s="1"/>
  <c r="B45" i="24" s="1"/>
  <c r="E45" i="24" s="1"/>
  <c r="B46" i="24" s="1"/>
  <c r="E46" i="24" s="1"/>
  <c r="B47" i="24" s="1"/>
  <c r="E47" i="24" s="1"/>
  <c r="B48" i="24" s="1"/>
  <c r="E48" i="24" s="1"/>
  <c r="B49" i="24" s="1"/>
  <c r="E49" i="24" s="1"/>
  <c r="B50" i="24" s="1"/>
  <c r="E50" i="24" s="1"/>
  <c r="B51" i="24" s="1"/>
  <c r="E51" i="24" s="1"/>
  <c r="B52" i="24" s="1"/>
  <c r="E52" i="24" s="1"/>
  <c r="B53" i="24" s="1"/>
  <c r="E53" i="24" s="1"/>
  <c r="B54" i="24" s="1"/>
  <c r="E54" i="24" s="1"/>
  <c r="B55" i="24" s="1"/>
  <c r="E55" i="24" s="1"/>
  <c r="B56" i="24" s="1"/>
  <c r="E56" i="24" s="1"/>
  <c r="B57" i="24" s="1"/>
  <c r="DT13" i="14"/>
  <c r="DR13" i="14"/>
  <c r="AH18" i="14" l="1"/>
  <c r="O37" i="25"/>
  <c r="H37" i="25"/>
  <c r="P20" i="25"/>
  <c r="P32" i="25"/>
  <c r="Q32" i="25" s="1"/>
  <c r="P36" i="25"/>
  <c r="Q35" i="25" s="1"/>
  <c r="L37" i="25"/>
  <c r="AJ37" i="6"/>
  <c r="O37" i="23"/>
  <c r="M3" i="17" s="1"/>
  <c r="P9" i="25"/>
  <c r="AI18" i="14"/>
  <c r="O45" i="23"/>
  <c r="P17" i="23"/>
  <c r="AL20" i="14"/>
  <c r="AK21" i="14"/>
  <c r="AK25" i="14" s="1"/>
  <c r="AK27" i="14" s="1"/>
  <c r="AK39" i="14" s="1"/>
  <c r="P26" i="23"/>
  <c r="P33" i="25"/>
  <c r="Q33" i="25" s="1"/>
  <c r="H37" i="23"/>
  <c r="F3" i="17" s="1"/>
  <c r="P22" i="25"/>
  <c r="Q22" i="25" s="1"/>
  <c r="K37" i="23"/>
  <c r="I3" i="17" s="1"/>
  <c r="E57" i="24"/>
  <c r="B58" i="24" s="1"/>
  <c r="E58" i="24" s="1"/>
  <c r="B59" i="24" s="1"/>
  <c r="E59" i="24" s="1"/>
  <c r="B60" i="24" s="1"/>
  <c r="E60" i="24" s="1"/>
  <c r="B61" i="24" s="1"/>
  <c r="E61" i="24" s="1"/>
  <c r="B62" i="24" s="1"/>
  <c r="E62" i="24" s="1"/>
  <c r="B63" i="24" s="1"/>
  <c r="E63" i="24" s="1"/>
  <c r="B64" i="24" s="1"/>
  <c r="E64" i="24" s="1"/>
  <c r="B65" i="24" s="1"/>
  <c r="E65" i="24" s="1"/>
  <c r="B66" i="24" s="1"/>
  <c r="E66" i="24" s="1"/>
  <c r="B67" i="24" s="1"/>
  <c r="E67" i="24" s="1"/>
  <c r="B68" i="24" s="1"/>
  <c r="E68" i="24" s="1"/>
  <c r="B69" i="24" s="1"/>
  <c r="E69" i="24" s="1"/>
  <c r="B70" i="24" s="1"/>
  <c r="E70" i="24" s="1"/>
  <c r="B71" i="24" s="1"/>
  <c r="E71" i="24" s="1"/>
  <c r="B72" i="24" s="1"/>
  <c r="E72" i="24" s="1"/>
  <c r="B73" i="24" s="1"/>
  <c r="E73" i="24" s="1"/>
  <c r="B74" i="24" s="1"/>
  <c r="E74" i="24" s="1"/>
  <c r="B75" i="24" s="1"/>
  <c r="E75" i="24" s="1"/>
  <c r="B76" i="24" s="1"/>
  <c r="E76" i="24" s="1"/>
  <c r="B77" i="24" s="1"/>
  <c r="E77" i="24" s="1"/>
  <c r="B78" i="24" s="1"/>
  <c r="E78" i="24" s="1"/>
  <c r="B79" i="24" s="1"/>
  <c r="E79" i="24" s="1"/>
  <c r="B80" i="24" s="1"/>
  <c r="E80" i="24" s="1"/>
  <c r="B81" i="24" s="1"/>
  <c r="E81" i="24" s="1"/>
  <c r="B82" i="24" s="1"/>
  <c r="E82" i="24" s="1"/>
  <c r="B83" i="24" s="1"/>
  <c r="E83" i="24" s="1"/>
  <c r="B84" i="24" s="1"/>
  <c r="E84" i="24" s="1"/>
  <c r="B85" i="24" s="1"/>
  <c r="E85" i="24" s="1"/>
  <c r="B86" i="24" s="1"/>
  <c r="E86" i="24" s="1"/>
  <c r="B87" i="24" s="1"/>
  <c r="E87" i="24" s="1"/>
  <c r="B88" i="24" s="1"/>
  <c r="E88" i="24" s="1"/>
  <c r="B89" i="24" s="1"/>
  <c r="E89" i="24" s="1"/>
  <c r="B90" i="24" s="1"/>
  <c r="E90" i="24" s="1"/>
  <c r="B91" i="24" s="1"/>
  <c r="E91" i="24" s="1"/>
  <c r="B92" i="24" s="1"/>
  <c r="E92" i="24" s="1"/>
  <c r="B93" i="24" s="1"/>
  <c r="E93" i="24" s="1"/>
  <c r="B94" i="24" s="1"/>
  <c r="E94" i="24" s="1"/>
  <c r="B95" i="24" s="1"/>
  <c r="E95" i="24" s="1"/>
  <c r="B96" i="24" s="1"/>
  <c r="E96" i="24" s="1"/>
  <c r="B97" i="24" s="1"/>
  <c r="E97" i="24" s="1"/>
  <c r="B98" i="24" s="1"/>
  <c r="E98" i="24" s="1"/>
  <c r="B99" i="24" s="1"/>
  <c r="E99" i="24" s="1"/>
  <c r="B100" i="24" s="1"/>
  <c r="E100" i="24" s="1"/>
  <c r="B101" i="24" s="1"/>
  <c r="E101" i="24" s="1"/>
  <c r="B102" i="24" s="1"/>
  <c r="E102" i="24" s="1"/>
  <c r="I14" i="14" s="1"/>
  <c r="C15" i="14"/>
  <c r="I15" i="14" s="1"/>
  <c r="I17" i="14"/>
  <c r="Q2" i="23"/>
  <c r="P11" i="25"/>
  <c r="Q8" i="25" s="1"/>
  <c r="G37" i="25"/>
  <c r="I37" i="25"/>
  <c r="CF24" i="14"/>
  <c r="CF27" i="14" s="1"/>
  <c r="CE27" i="14"/>
  <c r="P3" i="25"/>
  <c r="Q2" i="25" s="1"/>
  <c r="CM16" i="14"/>
  <c r="CL37" i="14"/>
  <c r="E37" i="25"/>
  <c r="P21" i="25"/>
  <c r="E45" i="25"/>
  <c r="P4" i="23"/>
  <c r="J45" i="25"/>
  <c r="AD16" i="14"/>
  <c r="AD18" i="14" s="1"/>
  <c r="AC18" i="14"/>
  <c r="P39" i="25"/>
  <c r="AJ37" i="2"/>
  <c r="P9" i="23"/>
  <c r="Q8" i="23" s="1"/>
  <c r="P17" i="25"/>
  <c r="Q15" i="25" s="1"/>
  <c r="P40" i="25"/>
  <c r="I37" i="23"/>
  <c r="G3" i="17" s="1"/>
  <c r="L37" i="23"/>
  <c r="J3" i="17" s="1"/>
  <c r="J37" i="25"/>
  <c r="P16" i="23"/>
  <c r="W23" i="14"/>
  <c r="I43" i="17"/>
  <c r="AJ37" i="13"/>
  <c r="P5" i="23"/>
  <c r="Q5" i="23" s="1"/>
  <c r="D37" i="23"/>
  <c r="P20" i="23"/>
  <c r="Q15" i="23" s="1"/>
  <c r="O45" i="25"/>
  <c r="BJ27" i="14"/>
  <c r="BJ39" i="14" s="1"/>
  <c r="BK24" i="14"/>
  <c r="D45" i="25"/>
  <c r="AO18" i="14"/>
  <c r="AO23" i="14" s="1"/>
  <c r="AP16" i="14"/>
  <c r="BJ16" i="14"/>
  <c r="BI18" i="14"/>
  <c r="P25" i="25"/>
  <c r="Q25" i="25" s="1"/>
  <c r="AK18" i="14"/>
  <c r="S17" i="22"/>
  <c r="S29" i="22"/>
  <c r="AY16" i="14"/>
  <c r="AX18" i="14"/>
  <c r="D37" i="25"/>
  <c r="P37" i="25" s="1"/>
  <c r="P5" i="25"/>
  <c r="Q5" i="25" s="1"/>
  <c r="P44" i="23"/>
  <c r="J37" i="23"/>
  <c r="H3" i="17" s="1"/>
  <c r="P43" i="23"/>
  <c r="Q43" i="23" s="1"/>
  <c r="CC17" i="14"/>
  <c r="CB35" i="14"/>
  <c r="CB39" i="14" s="1"/>
  <c r="BS27" i="14"/>
  <c r="BS39" i="14" s="1"/>
  <c r="BT24" i="14"/>
  <c r="Q29" i="23"/>
  <c r="P44" i="25"/>
  <c r="Q43" i="25" s="1"/>
  <c r="P41" i="23"/>
  <c r="F45" i="23"/>
  <c r="Q35" i="23"/>
  <c r="AJ37" i="7"/>
  <c r="P25" i="23"/>
  <c r="Q25" i="23" s="1"/>
  <c r="D45" i="23"/>
  <c r="P45" i="23" s="1"/>
  <c r="P40" i="23"/>
  <c r="F37" i="25"/>
  <c r="AJ18" i="14"/>
  <c r="Q29" i="25"/>
  <c r="DU13" i="14"/>
  <c r="DU29" i="14"/>
  <c r="Q39" i="23" l="1"/>
  <c r="AM20" i="14"/>
  <c r="AL21" i="14"/>
  <c r="BT27" i="14"/>
  <c r="BT39" i="14" s="1"/>
  <c r="BU24" i="14"/>
  <c r="BK27" i="14"/>
  <c r="BK39" i="14" s="1"/>
  <c r="BL24" i="14"/>
  <c r="B3" i="17"/>
  <c r="P37" i="23"/>
  <c r="X23" i="14"/>
  <c r="J43" i="17"/>
  <c r="AQ16" i="14"/>
  <c r="AP18" i="14"/>
  <c r="Q45" i="23"/>
  <c r="Q37" i="25"/>
  <c r="Q37" i="23"/>
  <c r="AZ16" i="14"/>
  <c r="AY18" i="14"/>
  <c r="AP23" i="14"/>
  <c r="Q45" i="25"/>
  <c r="Q39" i="25"/>
  <c r="BK16" i="14"/>
  <c r="BJ18" i="14"/>
  <c r="CD17" i="14"/>
  <c r="CC35" i="14"/>
  <c r="CC39" i="14" s="1"/>
  <c r="S32" i="22"/>
  <c r="U20" i="22" s="1"/>
  <c r="U29" i="22"/>
  <c r="P45" i="25"/>
  <c r="CN16" i="14"/>
  <c r="CM37" i="14"/>
  <c r="CM41" i="14" s="1"/>
  <c r="AN20" i="14" l="1"/>
  <c r="AN21" i="14" s="1"/>
  <c r="AM21" i="14"/>
  <c r="J20" i="14"/>
  <c r="CE17" i="14"/>
  <c r="CD35" i="14"/>
  <c r="CD39" i="14" s="1"/>
  <c r="BK18" i="14"/>
  <c r="BL16" i="14"/>
  <c r="BM24" i="14"/>
  <c r="BL27" i="14"/>
  <c r="BL39" i="14" s="1"/>
  <c r="Y23" i="14"/>
  <c r="K43" i="17"/>
  <c r="AZ18" i="14"/>
  <c r="BA16" i="14"/>
  <c r="BA18" i="14" s="1"/>
  <c r="CO16" i="14"/>
  <c r="CN37" i="14"/>
  <c r="AR16" i="14"/>
  <c r="AQ18" i="14"/>
  <c r="AQ23" i="14" s="1"/>
  <c r="BU27" i="14"/>
  <c r="BU39" i="14" s="1"/>
  <c r="BV24" i="14"/>
  <c r="CP16" i="14" l="1"/>
  <c r="CO37" i="14"/>
  <c r="AS16" i="14"/>
  <c r="AR18" i="14"/>
  <c r="AR23" i="14" s="1"/>
  <c r="Z23" i="14"/>
  <c r="L43" i="17"/>
  <c r="BM16" i="14"/>
  <c r="BL18" i="14"/>
  <c r="BV27" i="14"/>
  <c r="BV39" i="14" s="1"/>
  <c r="BW24" i="14"/>
  <c r="BM27" i="14"/>
  <c r="BM39" i="14" s="1"/>
  <c r="BN24" i="14"/>
  <c r="CF17" i="14"/>
  <c r="CE35" i="14"/>
  <c r="CE39" i="14" s="1"/>
  <c r="BM18" i="14" l="1"/>
  <c r="BN16" i="14"/>
  <c r="AS18" i="14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BM23" i="14" s="1"/>
  <c r="AT16" i="14"/>
  <c r="AT18" i="14" s="1"/>
  <c r="CG17" i="14"/>
  <c r="CF35" i="14"/>
  <c r="CF39" i="14" s="1"/>
  <c r="BX24" i="14"/>
  <c r="BW27" i="14"/>
  <c r="BW39" i="14" s="1"/>
  <c r="BN27" i="14"/>
  <c r="BN39" i="14" s="1"/>
  <c r="BO24" i="14"/>
  <c r="BO27" i="14" s="1"/>
  <c r="BO39" i="14" s="1"/>
  <c r="AA23" i="14"/>
  <c r="AB23" i="14" s="1"/>
  <c r="AC23" i="14" s="1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M43" i="17"/>
  <c r="CQ16" i="14"/>
  <c r="CP37" i="14"/>
  <c r="BY24" i="14" l="1"/>
  <c r="BX27" i="14"/>
  <c r="BX39" i="14" s="1"/>
  <c r="CR16" i="14"/>
  <c r="CQ37" i="14"/>
  <c r="CH17" i="14"/>
  <c r="CG18" i="14"/>
  <c r="CG35" i="14"/>
  <c r="CG39" i="14" s="1"/>
  <c r="BN18" i="14"/>
  <c r="BN23" i="14" s="1"/>
  <c r="BO16" i="14"/>
  <c r="CS16" i="14" l="1"/>
  <c r="CR37" i="14"/>
  <c r="BP16" i="14"/>
  <c r="BO18" i="14"/>
  <c r="BO23" i="14" s="1"/>
  <c r="CI17" i="14"/>
  <c r="CH18" i="14"/>
  <c r="BY27" i="14"/>
  <c r="BY39" i="14" s="1"/>
  <c r="BZ24" i="14"/>
  <c r="BP18" i="14" l="1"/>
  <c r="BQ16" i="14"/>
  <c r="CJ17" i="14"/>
  <c r="CI18" i="14"/>
  <c r="CT16" i="14"/>
  <c r="CS37" i="14"/>
  <c r="CA24" i="14"/>
  <c r="CA27" i="14" s="1"/>
  <c r="CA39" i="14" s="1"/>
  <c r="BZ27" i="14"/>
  <c r="BZ39" i="14" s="1"/>
  <c r="CU16" i="14" l="1"/>
  <c r="CT37" i="14"/>
  <c r="CK17" i="14"/>
  <c r="CJ18" i="14"/>
  <c r="BQ18" i="14"/>
  <c r="BR16" i="14"/>
  <c r="CV16" i="14" l="1"/>
  <c r="CU37" i="14"/>
  <c r="CL17" i="14"/>
  <c r="CK18" i="14"/>
  <c r="BS16" i="14"/>
  <c r="BR18" i="14"/>
  <c r="CW16" i="14" l="1"/>
  <c r="CV37" i="14"/>
  <c r="CM17" i="14"/>
  <c r="CL18" i="14"/>
  <c r="BT16" i="14"/>
  <c r="BS18" i="14"/>
  <c r="CX16" i="14" l="1"/>
  <c r="CW37" i="14"/>
  <c r="CN17" i="14"/>
  <c r="CM18" i="14"/>
  <c r="BT18" i="14"/>
  <c r="BU16" i="14"/>
  <c r="CY16" i="14" l="1"/>
  <c r="CX37" i="14"/>
  <c r="CO17" i="14"/>
  <c r="CN18" i="14"/>
  <c r="BU18" i="14"/>
  <c r="BV16" i="14"/>
  <c r="CZ16" i="14" l="1"/>
  <c r="CY37" i="14"/>
  <c r="CY26" i="14"/>
  <c r="CP17" i="14"/>
  <c r="CO18" i="14"/>
  <c r="BV18" i="14"/>
  <c r="BW16" i="14"/>
  <c r="CQ17" i="14" l="1"/>
  <c r="CP18" i="14"/>
  <c r="DA16" i="14"/>
  <c r="CZ37" i="14"/>
  <c r="CZ26" i="14"/>
  <c r="BW18" i="14"/>
  <c r="BX16" i="14"/>
  <c r="CY27" i="14"/>
  <c r="CY39" i="14" s="1"/>
  <c r="CY23" i="14"/>
  <c r="CR17" i="14" l="1"/>
  <c r="CQ18" i="14"/>
  <c r="BX18" i="14"/>
  <c r="BY16" i="14"/>
  <c r="DB16" i="14"/>
  <c r="DA37" i="14"/>
  <c r="CZ27" i="14"/>
  <c r="CZ39" i="14" s="1"/>
  <c r="CZ23" i="14"/>
  <c r="DA26" i="14"/>
  <c r="DC16" i="14" l="1"/>
  <c r="DB37" i="14"/>
  <c r="CS17" i="14"/>
  <c r="CR18" i="14"/>
  <c r="BZ16" i="14"/>
  <c r="BY18" i="14"/>
  <c r="DA23" i="14"/>
  <c r="DA27" i="14"/>
  <c r="DA39" i="14" s="1"/>
  <c r="DD16" i="14" l="1"/>
  <c r="DC26" i="14"/>
  <c r="DC37" i="14"/>
  <c r="CT17" i="14"/>
  <c r="CS18" i="14"/>
  <c r="BZ18" i="14"/>
  <c r="CA16" i="14"/>
  <c r="CU17" i="14" l="1"/>
  <c r="CT18" i="14"/>
  <c r="DE16" i="14"/>
  <c r="DD26" i="14"/>
  <c r="DD37" i="14"/>
  <c r="CB16" i="14"/>
  <c r="CA18" i="14"/>
  <c r="DC23" i="14"/>
  <c r="DC27" i="14"/>
  <c r="DC39" i="14" s="1"/>
  <c r="DD27" i="14" l="1"/>
  <c r="DD39" i="14" s="1"/>
  <c r="DD23" i="14"/>
  <c r="CV17" i="14"/>
  <c r="CU18" i="14"/>
  <c r="CU26" i="14" s="1"/>
  <c r="CC16" i="14"/>
  <c r="CB18" i="14"/>
  <c r="DF16" i="14"/>
  <c r="DE26" i="14"/>
  <c r="DE37" i="14"/>
  <c r="CC18" i="14" l="1"/>
  <c r="CD16" i="14"/>
  <c r="DE23" i="14"/>
  <c r="DE27" i="14"/>
  <c r="DE39" i="14" s="1"/>
  <c r="CU23" i="14"/>
  <c r="CU27" i="14"/>
  <c r="CU39" i="14" s="1"/>
  <c r="DG16" i="14"/>
  <c r="DF26" i="14"/>
  <c r="DF37" i="14"/>
  <c r="CW17" i="14"/>
  <c r="CV18" i="14"/>
  <c r="DF23" i="14" l="1"/>
  <c r="DF27" i="14"/>
  <c r="DF39" i="14" s="1"/>
  <c r="CX17" i="14"/>
  <c r="CW18" i="14"/>
  <c r="CW26" i="14" s="1"/>
  <c r="DH16" i="14"/>
  <c r="DG37" i="14"/>
  <c r="DG26" i="14"/>
  <c r="CE16" i="14"/>
  <c r="CD18" i="14"/>
  <c r="CF16" i="14" l="1"/>
  <c r="CF18" i="14" s="1"/>
  <c r="CE18" i="14"/>
  <c r="DH26" i="14"/>
  <c r="DI16" i="14"/>
  <c r="DH37" i="14"/>
  <c r="DG23" i="14"/>
  <c r="DG27" i="14"/>
  <c r="DG39" i="14" s="1"/>
  <c r="CW27" i="14"/>
  <c r="CW39" i="14" s="1"/>
  <c r="CW23" i="14"/>
  <c r="CY17" i="14"/>
  <c r="CX18" i="14"/>
  <c r="DJ16" i="14" l="1"/>
  <c r="DI37" i="14"/>
  <c r="DI26" i="14"/>
  <c r="CZ17" i="14"/>
  <c r="CY18" i="14"/>
  <c r="DH23" i="14"/>
  <c r="DH27" i="14"/>
  <c r="DH39" i="14" s="1"/>
  <c r="DA17" i="14" l="1"/>
  <c r="CZ18" i="14"/>
  <c r="DK16" i="14"/>
  <c r="DJ37" i="14"/>
  <c r="DJ26" i="14"/>
  <c r="DI23" i="14"/>
  <c r="DI27" i="14"/>
  <c r="DI39" i="14" s="1"/>
  <c r="DJ23" i="14" l="1"/>
  <c r="DJ27" i="14"/>
  <c r="DJ39" i="14" s="1"/>
  <c r="DB17" i="14"/>
  <c r="DA18" i="14"/>
  <c r="DK37" i="14"/>
  <c r="DL16" i="14"/>
  <c r="DK26" i="14"/>
  <c r="DK27" i="14" l="1"/>
  <c r="DK39" i="14" s="1"/>
  <c r="DK23" i="14"/>
  <c r="DC17" i="14"/>
  <c r="DB18" i="14"/>
  <c r="DL37" i="14"/>
  <c r="DL26" i="14"/>
  <c r="DM16" i="14"/>
  <c r="DM26" i="14" l="1"/>
  <c r="DM37" i="14"/>
  <c r="DN16" i="14"/>
  <c r="DD17" i="14"/>
  <c r="DC18" i="14"/>
  <c r="DL23" i="14"/>
  <c r="DL27" i="14"/>
  <c r="DL39" i="14" s="1"/>
  <c r="DE17" i="14" l="1"/>
  <c r="DD18" i="14"/>
  <c r="DM23" i="14"/>
  <c r="DM27" i="14"/>
  <c r="DM39" i="14" s="1"/>
  <c r="DN37" i="14"/>
  <c r="DO16" i="14"/>
  <c r="DN41" i="14"/>
  <c r="DN26" i="14"/>
  <c r="DF17" i="14" l="1"/>
  <c r="DE18" i="14"/>
  <c r="I23" i="14"/>
  <c r="E23" i="14" s="1"/>
  <c r="DN23" i="14"/>
  <c r="DN27" i="14"/>
  <c r="DN39" i="14" s="1"/>
  <c r="DO26" i="14"/>
  <c r="DO37" i="14"/>
  <c r="DP16" i="14"/>
  <c r="DG17" i="14" l="1"/>
  <c r="DF18" i="14"/>
  <c r="DQ16" i="14"/>
  <c r="DP26" i="14"/>
  <c r="DP37" i="14"/>
  <c r="DO23" i="14"/>
  <c r="DO27" i="14"/>
  <c r="DO39" i="14" s="1"/>
  <c r="DH17" i="14" l="1"/>
  <c r="DG18" i="14"/>
  <c r="DP23" i="14"/>
  <c r="DP27" i="14"/>
  <c r="DP39" i="14" s="1"/>
  <c r="DQ26" i="14"/>
  <c r="DR16" i="14"/>
  <c r="DQ37" i="14"/>
  <c r="DQ27" i="14" l="1"/>
  <c r="DQ39" i="14" s="1"/>
  <c r="DQ23" i="14"/>
  <c r="DI17" i="14"/>
  <c r="DH18" i="14"/>
  <c r="DR26" i="14"/>
  <c r="DS16" i="14"/>
  <c r="DS26" i="14" s="1"/>
  <c r="DR37" i="14"/>
  <c r="DR23" i="14" l="1"/>
  <c r="DR27" i="14"/>
  <c r="DR39" i="14" s="1"/>
  <c r="DJ17" i="14"/>
  <c r="DI18" i="14"/>
  <c r="DT16" i="14"/>
  <c r="DS37" i="14"/>
  <c r="DS27" i="14" l="1"/>
  <c r="DS39" i="14" s="1"/>
  <c r="DS23" i="14"/>
  <c r="DK17" i="14"/>
  <c r="DJ18" i="14"/>
  <c r="DU16" i="14"/>
  <c r="DT37" i="14"/>
  <c r="DT23" i="14" l="1"/>
  <c r="DT27" i="14"/>
  <c r="DT39" i="14" s="1"/>
  <c r="DL17" i="14"/>
  <c r="DK18" i="14"/>
  <c r="DU37" i="14"/>
  <c r="DU23" i="14" l="1"/>
  <c r="DU27" i="14"/>
  <c r="DU39" i="14" s="1"/>
  <c r="DM17" i="14"/>
  <c r="DL18" i="14"/>
  <c r="DN17" i="14" l="1"/>
  <c r="DM18" i="14"/>
  <c r="DO17" i="14" l="1"/>
  <c r="DN18" i="14"/>
  <c r="DP17" i="14" l="1"/>
  <c r="DO18" i="14"/>
  <c r="DQ17" i="14" l="1"/>
  <c r="DP18" i="14"/>
  <c r="DR17" i="14" l="1"/>
  <c r="DQ18" i="14"/>
  <c r="DS17" i="14" l="1"/>
  <c r="I16" i="14"/>
  <c r="I22" i="14" s="1"/>
  <c r="I18" i="14" s="1"/>
  <c r="DR18" i="14"/>
  <c r="DT17" i="14" l="1"/>
  <c r="DS18" i="14"/>
  <c r="DU17" i="14" l="1"/>
  <c r="DU18" i="14" s="1"/>
  <c r="DT1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Andrew_CY_Wang</author>
    <author>Andrew Wang</author>
    <author>Wang, Andrew</author>
    <author>Wang, Andrew CY</author>
    <author>huskywang</author>
    <author>EMC</author>
  </authors>
  <commentList>
    <comment ref="F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F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需要有效月年</t>
        </r>
      </text>
    </comment>
    <comment ref="I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
</t>
        </r>
        <r>
          <rPr>
            <sz val="8"/>
            <color indexed="81"/>
            <rFont val="細明體"/>
            <family val="3"/>
            <charset val="136"/>
          </rPr>
          <t>還有</t>
        </r>
        <r>
          <rPr>
            <sz val="8"/>
            <color indexed="81"/>
            <rFont val="Tahoma"/>
            <family val="2"/>
          </rPr>
          <t xml:space="preserve"> 15274</t>
        </r>
        <r>
          <rPr>
            <sz val="8"/>
            <color indexed="81"/>
            <rFont val="細明體"/>
            <family val="3"/>
            <charset val="136"/>
          </rPr>
          <t>沒繳</t>
        </r>
        <r>
          <rPr>
            <sz val="8"/>
            <color indexed="81"/>
            <rFont val="Tahoma"/>
            <family val="2"/>
          </rPr>
          <t xml:space="preserve"> 2/13
</t>
        </r>
      </text>
    </comment>
    <comment ref="F8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熨斗</t>
        </r>
        <r>
          <rPr>
            <sz val="8"/>
            <color indexed="81"/>
            <rFont val="Tahoma"/>
            <family val="2"/>
          </rPr>
          <t xml:space="preserve">  10000 </t>
        </r>
        <r>
          <rPr>
            <sz val="8"/>
            <color indexed="81"/>
            <rFont val="細明體"/>
            <family val="3"/>
            <charset val="136"/>
          </rPr>
          <t>點
計步器</t>
        </r>
        <r>
          <rPr>
            <sz val="8"/>
            <color indexed="81"/>
            <rFont val="Tahoma"/>
            <family val="2"/>
          </rPr>
          <t xml:space="preserve"> 3250 </t>
        </r>
        <r>
          <rPr>
            <sz val="8"/>
            <color indexed="81"/>
            <rFont val="細明體"/>
            <family val="3"/>
            <charset val="136"/>
          </rPr>
          <t>點
烤箱</t>
        </r>
        <r>
          <rPr>
            <sz val="8"/>
            <color indexed="81"/>
            <rFont val="Tahoma"/>
            <family val="2"/>
          </rPr>
          <t xml:space="preserve"> 11650 </t>
        </r>
        <r>
          <rPr>
            <sz val="8"/>
            <color indexed="81"/>
            <rFont val="細明體"/>
            <family val="3"/>
            <charset val="136"/>
          </rPr>
          <t>點
風扇</t>
        </r>
        <r>
          <rPr>
            <sz val="8"/>
            <color indexed="81"/>
            <rFont val="Tahoma"/>
            <family val="2"/>
          </rPr>
          <t xml:space="preserve"> 18000 </t>
        </r>
        <r>
          <rPr>
            <sz val="8"/>
            <color indexed="81"/>
            <rFont val="細明體"/>
            <family val="3"/>
            <charset val="136"/>
          </rPr>
          <t>點
吸塵器 25000 點
咖啡機 47000 點</t>
        </r>
      </text>
    </comment>
    <comment ref="J8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E121971661
TreeMall
PIN: **67****</t>
        </r>
      </text>
    </comment>
    <comment ref="K8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學費進來</t>
        </r>
      </text>
    </comment>
    <comment ref="L8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8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>17565</t>
        </r>
      </text>
    </comment>
    <comment ref="N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最低應繳金額
</t>
        </r>
        <r>
          <rPr>
            <sz val="8"/>
            <color indexed="81"/>
            <rFont val="Tahoma"/>
            <family val="2"/>
          </rPr>
          <t xml:space="preserve">18793
</t>
        </r>
        <r>
          <rPr>
            <sz val="8"/>
            <color indexed="81"/>
            <rFont val="細明體"/>
            <family val="3"/>
            <charset val="136"/>
          </rPr>
          <t>循環利息</t>
        </r>
        <r>
          <rPr>
            <sz val="8"/>
            <color indexed="81"/>
            <rFont val="Tahoma"/>
            <family val="2"/>
          </rPr>
          <t xml:space="preserve"> 4336</t>
        </r>
      </text>
    </comment>
    <comment ref="S8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不會扣款</t>
        </r>
      </text>
    </comment>
    <comment ref="CZ8" authorId="1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8" authorId="1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8" authorId="1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8" authorId="1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8" authorId="1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8" authorId="1" shapeId="0" xr:uid="{00000000-0006-0000-0000-00001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8" authorId="1" shapeId="0" xr:uid="{00000000-0006-0000-0000-00001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8" authorId="1" shapeId="0" xr:uid="{00000000-0006-0000-0000-00001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8" authorId="1" shapeId="0" xr:uid="{00000000-0006-0000-0000-00001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8" authorId="1" shapeId="0" xr:uid="{00000000-0006-0000-0000-00001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8" authorId="1" shapeId="0" xr:uid="{00000000-0006-0000-0000-00001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8" authorId="1" shapeId="0" xr:uid="{00000000-0006-0000-0000-00001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8" authorId="1" shapeId="0" xr:uid="{00000000-0006-0000-0000-00001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8" authorId="1" shapeId="0" xr:uid="{00000000-0006-0000-0000-00001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8" authorId="1" shapeId="0" xr:uid="{00000000-0006-0000-0000-00001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8" authorId="1" shapeId="0" xr:uid="{00000000-0006-0000-0000-00001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8" authorId="1" shapeId="0" xr:uid="{00000000-0006-0000-0000-00001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8" authorId="1" shapeId="0" xr:uid="{00000000-0006-0000-0000-00001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8" authorId="1" shapeId="0" xr:uid="{00000000-0006-0000-0000-00001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8" authorId="1" shapeId="0" xr:uid="{00000000-0006-0000-0000-00001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8" authorId="1" shapeId="0" xr:uid="{00000000-0006-0000-0000-00001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8" authorId="1" shapeId="0" xr:uid="{00000000-0006-0000-0000-00002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8" authorId="1" shapeId="0" xr:uid="{041B35BE-F4E8-4D44-95A8-A9E0D39D76B5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8" authorId="1" shapeId="0" xr:uid="{A55D9F14-18A9-4B08-A306-9986F95A8FAF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8" authorId="1" shapeId="0" xr:uid="{2EAB6F23-9618-4E1C-B400-5A0C1D4B7BA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9" authorId="0" shapeId="0" xr:uid="{00000000-0006-0000-0000-00002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27/35</t>
        </r>
      </text>
    </comment>
    <comment ref="L9" authorId="0" shapeId="0" xr:uid="{00000000-0006-0000-0000-00002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28/35</t>
        </r>
      </text>
    </comment>
    <comment ref="M9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29/35</t>
        </r>
      </text>
    </comment>
    <comment ref="N9" authorId="0" shapeId="0" xr:uid="{00000000-0006-0000-0000-00002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30/35</t>
        </r>
      </text>
    </comment>
    <comment ref="Q9" authorId="0" shapeId="0" xr:uid="{00000000-0006-0000-0000-00002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33/35</t>
        </r>
      </text>
    </comment>
    <comment ref="S9" authorId="0" shapeId="0" xr:uid="{00000000-0006-0000-0000-00002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35/35</t>
        </r>
      </text>
    </comment>
    <comment ref="I10" authorId="0" shapeId="0" xr:uid="{00000000-0006-0000-0000-000027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0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E121…
fb67…
</t>
        </r>
      </text>
    </comment>
    <comment ref="K10" authorId="0" shapeId="0" xr:uid="{00000000-0006-0000-0000-00002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06/24</t>
        </r>
      </text>
    </comment>
    <comment ref="L10" authorId="0" shapeId="0" xr:uid="{00000000-0006-0000-0000-00002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07/24</t>
        </r>
      </text>
    </comment>
    <comment ref="M10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08/24
</t>
        </r>
        <r>
          <rPr>
            <sz val="8"/>
            <color indexed="81"/>
            <rFont val="細明體"/>
            <family val="3"/>
            <charset val="136"/>
          </rPr>
          <t>機車貸款</t>
        </r>
      </text>
    </comment>
    <comment ref="O10" authorId="0" shapeId="0" xr:uid="{00000000-0006-0000-0000-00002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
2/12
</t>
        </r>
      </text>
    </comment>
    <comment ref="P10" authorId="0" shapeId="0" xr:uid="{00000000-0006-0000-0000-00002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11/24
3/12
</t>
        </r>
      </text>
    </comment>
    <comment ref="Q10" authorId="0" shapeId="0" xr:uid="{00000000-0006-0000-0000-00002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12/24
4/12
</t>
        </r>
      </text>
    </comment>
    <comment ref="R10" authorId="0" shapeId="0" xr:uid="{00000000-0006-0000-0000-00002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13/24
5/12
</t>
        </r>
      </text>
    </comment>
    <comment ref="S10" authorId="0" shapeId="0" xr:uid="{00000000-0006-0000-0000-00003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14/24
6/12
</t>
        </r>
      </text>
    </comment>
    <comment ref="T10" authorId="0" shapeId="0" xr:uid="{00000000-0006-0000-0000-00003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15/24
7/12
</t>
        </r>
      </text>
    </comment>
    <comment ref="U10" authorId="0" shapeId="0" xr:uid="{00000000-0006-0000-0000-00003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16/24
8/12
</t>
        </r>
      </text>
    </comment>
    <comment ref="V10" authorId="0" shapeId="0" xr:uid="{00000000-0006-0000-0000-00003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17/24
9/12
</t>
        </r>
      </text>
    </comment>
    <comment ref="W10" authorId="0" shapeId="0" xr:uid="{00000000-0006-0000-0000-00003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18/24
10/12
</t>
        </r>
      </text>
    </comment>
    <comment ref="X10" authorId="0" shapeId="0" xr:uid="{00000000-0006-0000-0000-00003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19/24
11/12
</t>
        </r>
      </text>
    </comment>
    <comment ref="Y10" authorId="0" shapeId="0" xr:uid="{00000000-0006-0000-0000-000036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
12/12
</t>
        </r>
      </text>
    </comment>
    <comment ref="CG10" authorId="2" shapeId="0" xr:uid="{00000000-0006-0000-0000-00003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王昱絜保險費</t>
        </r>
      </text>
    </comment>
    <comment ref="CZ10" authorId="1" shapeId="0" xr:uid="{00000000-0006-0000-0000-00003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A10" authorId="1" shapeId="0" xr:uid="{00000000-0006-0000-0000-00003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B10" authorId="1" shapeId="0" xr:uid="{00000000-0006-0000-0000-00003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C10" authorId="1" shapeId="0" xr:uid="{00000000-0006-0000-0000-00003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D10" authorId="1" shapeId="0" xr:uid="{00000000-0006-0000-0000-00003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E10" authorId="1" shapeId="0" xr:uid="{00000000-0006-0000-0000-00003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F10" authorId="1" shapeId="0" xr:uid="{00000000-0006-0000-0000-00003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G10" authorId="1" shapeId="0" xr:uid="{00000000-0006-0000-0000-00003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H10" authorId="1" shapeId="0" xr:uid="{00000000-0006-0000-0000-00004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I10" authorId="1" shapeId="0" xr:uid="{00000000-0006-0000-0000-00004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J10" authorId="1" shapeId="0" xr:uid="{00000000-0006-0000-0000-00004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K10" authorId="1" shapeId="0" xr:uid="{00000000-0006-0000-0000-00004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L10" authorId="1" shapeId="0" xr:uid="{00000000-0006-0000-0000-00004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M10" authorId="1" shapeId="0" xr:uid="{00000000-0006-0000-0000-00004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N10" authorId="1" shapeId="0" xr:uid="{00000000-0006-0000-0000-00004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O10" authorId="1" shapeId="0" xr:uid="{00000000-0006-0000-0000-00004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P10" authorId="1" shapeId="0" xr:uid="{00000000-0006-0000-0000-00004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Q10" authorId="1" shapeId="0" xr:uid="{00000000-0006-0000-0000-00004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R10" authorId="1" shapeId="0" xr:uid="{00000000-0006-0000-0000-00004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S10" authorId="1" shapeId="0" xr:uid="{00000000-0006-0000-0000-00004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T10" authorId="1" shapeId="0" xr:uid="{00000000-0006-0000-0000-00004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U10" authorId="1" shapeId="0" xr:uid="{00000000-0006-0000-0000-00004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V10" authorId="1" shapeId="0" xr:uid="{3ADAEEBE-C90E-4C57-A329-3CBF16414DC8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W10" authorId="1" shapeId="0" xr:uid="{91A39F52-034E-4DEA-9986-E7A1F9E8FE4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DX10" authorId="1" shapeId="0" xr:uid="{B2A69E4F-55C4-4647-B820-ED4225E2C319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
</t>
        </r>
      </text>
    </comment>
    <comment ref="F11" authorId="0" shapeId="0" xr:uid="{00000000-0006-0000-0000-00004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自行車運動型腰包</t>
        </r>
        <r>
          <rPr>
            <sz val="8"/>
            <color indexed="81"/>
            <rFont val="Tahoma"/>
            <family val="2"/>
          </rPr>
          <t>+</t>
        </r>
        <r>
          <rPr>
            <sz val="8"/>
            <color indexed="81"/>
            <rFont val="細明體"/>
            <family val="3"/>
            <charset val="136"/>
          </rPr>
          <t>太空杯</t>
        </r>
        <r>
          <rPr>
            <sz val="8"/>
            <color indexed="81"/>
            <rFont val="Tahoma"/>
            <family val="2"/>
          </rPr>
          <t xml:space="preserve"> 4500 </t>
        </r>
        <r>
          <rPr>
            <sz val="8"/>
            <color indexed="81"/>
            <rFont val="細明體"/>
            <family val="3"/>
            <charset val="136"/>
          </rPr>
          <t>點
果汁機 大約 30000 點</t>
        </r>
      </text>
    </comment>
    <comment ref="I11" authorId="0" shapeId="0" xr:uid="{00000000-0006-0000-0000-00004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J11" authorId="0" shapeId="0" xr:uid="{00000000-0006-0000-0000-00005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SinaPac
http://www.sinocard.com.tw
huskywang1
**67****
</t>
        </r>
        <r>
          <rPr>
            <sz val="8"/>
            <color indexed="81"/>
            <rFont val="細明體"/>
            <family val="3"/>
            <charset val="136"/>
          </rPr>
          <t>申請線上兌換</t>
        </r>
      </text>
    </comment>
    <comment ref="L11" authorId="0" shapeId="0" xr:uid="{00000000-0006-0000-0000-000051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最低應繳金額</t>
        </r>
      </text>
    </comment>
    <comment ref="M11" authorId="0" shapeId="0" xr:uid="{00000000-0006-0000-0000-00005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最低應繳</t>
        </r>
        <r>
          <rPr>
            <sz val="8"/>
            <color indexed="81"/>
            <rFont val="Tahoma"/>
            <family val="2"/>
          </rPr>
          <t xml:space="preserve"> 40650</t>
        </r>
      </text>
    </comment>
    <comment ref="CZ11" authorId="1" shapeId="0" xr:uid="{00000000-0006-0000-0000-00005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A11" authorId="1" shapeId="0" xr:uid="{00000000-0006-0000-0000-00005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B11" authorId="1" shapeId="0" xr:uid="{00000000-0006-0000-0000-00005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C11" authorId="1" shapeId="0" xr:uid="{00000000-0006-0000-0000-00005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D11" authorId="1" shapeId="0" xr:uid="{00000000-0006-0000-0000-00005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E11" authorId="1" shapeId="0" xr:uid="{00000000-0006-0000-0000-00005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F11" authorId="1" shapeId="0" xr:uid="{00000000-0006-0000-0000-000059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G11" authorId="1" shapeId="0" xr:uid="{00000000-0006-0000-0000-00005A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H11" authorId="1" shapeId="0" xr:uid="{00000000-0006-0000-0000-00005B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I11" authorId="1" shapeId="0" xr:uid="{00000000-0006-0000-0000-00005C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J11" authorId="1" shapeId="0" xr:uid="{00000000-0006-0000-0000-00005D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K11" authorId="1" shapeId="0" xr:uid="{00000000-0006-0000-0000-00005E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L11" authorId="1" shapeId="0" xr:uid="{00000000-0006-0000-0000-00005F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M11" authorId="1" shapeId="0" xr:uid="{00000000-0006-0000-0000-000060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N11" authorId="1" shapeId="0" xr:uid="{00000000-0006-0000-0000-000061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O11" authorId="1" shapeId="0" xr:uid="{00000000-0006-0000-0000-000062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P11" authorId="1" shapeId="0" xr:uid="{00000000-0006-0000-0000-000063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Q11" authorId="1" shapeId="0" xr:uid="{00000000-0006-0000-0000-000064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R11" authorId="1" shapeId="0" xr:uid="{00000000-0006-0000-0000-000065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S11" authorId="1" shapeId="0" xr:uid="{00000000-0006-0000-0000-000066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T11" authorId="1" shapeId="0" xr:uid="{00000000-0006-0000-0000-000067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U11" authorId="1" shapeId="0" xr:uid="{00000000-0006-0000-0000-000068000000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V11" authorId="1" shapeId="0" xr:uid="{D5559B98-5B60-41C5-9541-E9511320932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W11" authorId="1" shapeId="0" xr:uid="{7D24491E-C2A2-43FD-964E-E32B127B21CD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DX11" authorId="1" shapeId="0" xr:uid="{21BEEED6-CD64-4115-A468-8CD7C4D813C6}">
      <text>
        <r>
          <rPr>
            <b/>
            <sz val="9"/>
            <color indexed="81"/>
            <rFont val="宋体"/>
            <family val="3"/>
            <charset val="134"/>
          </rPr>
          <t>Andrew Wang:</t>
        </r>
        <r>
          <rPr>
            <sz val="9"/>
            <color indexed="81"/>
            <rFont val="宋体"/>
            <family val="3"/>
            <charset val="134"/>
          </rPr>
          <t xml:space="preserve">
自动扣缴</t>
        </r>
      </text>
    </comment>
    <comment ref="K12" authorId="0" shapeId="0" xr:uid="{00000000-0006-0000-0000-00006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08/84
</t>
        </r>
      </text>
    </comment>
    <comment ref="L12" authorId="0" shapeId="0" xr:uid="{00000000-0006-0000-0000-00006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09/84</t>
        </r>
      </text>
    </comment>
    <comment ref="M12" authorId="0" shapeId="0" xr:uid="{00000000-0006-0000-0000-00006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10/84</t>
        </r>
      </text>
    </comment>
    <comment ref="N12" authorId="0" shapeId="0" xr:uid="{00000000-0006-0000-0000-00006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又被罰</t>
        </r>
        <r>
          <rPr>
            <sz val="8"/>
            <color indexed="81"/>
            <rFont val="Tahoma"/>
            <family val="2"/>
          </rPr>
          <t>4000</t>
        </r>
      </text>
    </comment>
    <comment ref="W12" authorId="0" shapeId="0" xr:uid="{00000000-0006-0000-0000-00006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20/84</t>
        </r>
      </text>
    </comment>
    <comment ref="X12" authorId="0" shapeId="0" xr:uid="{00000000-0006-0000-0000-00006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21/84</t>
        </r>
      </text>
    </comment>
    <comment ref="AG12" authorId="0" shapeId="0" xr:uid="{00000000-0006-0000-0000-00006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30/84</t>
        </r>
      </text>
    </comment>
    <comment ref="AH12" authorId="0" shapeId="0" xr:uid="{00000000-0006-0000-0000-00007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31/84</t>
        </r>
      </text>
    </comment>
    <comment ref="CH12" authorId="2" shapeId="0" xr:uid="{00000000-0006-0000-0000-00007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存了</t>
        </r>
        <r>
          <rPr>
            <sz val="9"/>
            <color indexed="81"/>
            <rFont val="Tahoma"/>
            <family val="2"/>
          </rPr>
          <t>10000</t>
        </r>
        <r>
          <rPr>
            <sz val="9"/>
            <color indexed="81"/>
            <rFont val="細明體"/>
            <family val="3"/>
            <charset val="136"/>
          </rPr>
          <t>進去
應該餘 10000-1902=8098</t>
        </r>
      </text>
    </comment>
    <comment ref="CI12" authorId="2" shapeId="0" xr:uid="{00000000-0006-0000-0000-00007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還剩</t>
        </r>
        <r>
          <rPr>
            <sz val="9"/>
            <color indexed="81"/>
            <rFont val="Tahoma"/>
            <family val="2"/>
          </rPr>
          <t xml:space="preserve"> 6190</t>
        </r>
      </text>
    </comment>
    <comment ref="CJ12" authorId="2" shapeId="0" xr:uid="{00000000-0006-0000-0000-00007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-4294</t>
        </r>
      </text>
    </comment>
    <comment ref="CK12" authorId="2" shapeId="0" xr:uid="{00000000-0006-0000-0000-00007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-2392</t>
        </r>
      </text>
    </comment>
    <comment ref="CL12" authorId="2" shapeId="0" xr:uid="{00000000-0006-0000-0000-00007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上月</t>
        </r>
        <r>
          <rPr>
            <sz val="9"/>
            <color indexed="81"/>
            <rFont val="Tahoma"/>
            <family val="2"/>
          </rPr>
          <t xml:space="preserve"> -490
</t>
        </r>
        <r>
          <rPr>
            <sz val="9"/>
            <color indexed="81"/>
            <rFont val="細明體"/>
            <family val="3"/>
            <charset val="136"/>
          </rPr>
          <t>本月還不用繳款</t>
        </r>
      </text>
    </comment>
    <comment ref="CM12" authorId="2" shapeId="0" xr:uid="{00000000-0006-0000-0000-00007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N12" authorId="2" shapeId="0" xr:uid="{00000000-0006-0000-0000-00007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O12" authorId="2" shapeId="0" xr:uid="{00000000-0006-0000-0000-00007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P12" authorId="2" shapeId="0" xr:uid="{00000000-0006-0000-0000-00007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Q12" authorId="2" shapeId="0" xr:uid="{00000000-0006-0000-0000-00007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R12" authorId="2" shapeId="0" xr:uid="{00000000-0006-0000-0000-00007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S12" authorId="2" shapeId="0" xr:uid="{00000000-0006-0000-0000-00007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T12" authorId="2" shapeId="0" xr:uid="{00000000-0006-0000-0000-00007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U12" authorId="2" shapeId="0" xr:uid="{00000000-0006-0000-0000-00007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V12" authorId="2" shapeId="0" xr:uid="{00000000-0006-0000-0000-00007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W12" authorId="2" shapeId="0" xr:uid="{00000000-0006-0000-0000-00008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X12" authorId="2" shapeId="0" xr:uid="{00000000-0006-0000-0000-00008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本月要繳款</t>
        </r>
      </text>
    </comment>
    <comment ref="CY12" authorId="2" shapeId="0" xr:uid="{00000000-0006-0000-0000-00008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CZ12" authorId="2" shapeId="0" xr:uid="{00000000-0006-0000-0000-00008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A12" authorId="2" shapeId="0" xr:uid="{00000000-0006-0000-0000-00008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B12" authorId="2" shapeId="0" xr:uid="{00000000-0006-0000-0000-00008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C12" authorId="2" shapeId="0" xr:uid="{00000000-0006-0000-0000-00008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D12" authorId="2" shapeId="0" xr:uid="{00000000-0006-0000-0000-00008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E12" authorId="2" shapeId="0" xr:uid="{00000000-0006-0000-0000-00008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F12" authorId="2" shapeId="0" xr:uid="{00000000-0006-0000-0000-000089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G12" authorId="2" shapeId="0" xr:uid="{00000000-0006-0000-0000-00008A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H12" authorId="2" shapeId="0" xr:uid="{00000000-0006-0000-0000-00008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I12" authorId="2" shapeId="0" xr:uid="{00000000-0006-0000-0000-00008C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J12" authorId="2" shapeId="0" xr:uid="{00000000-0006-0000-0000-00008D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K12" authorId="2" shapeId="0" xr:uid="{00000000-0006-0000-0000-00008E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L12" authorId="2" shapeId="0" xr:uid="{00000000-0006-0000-0000-00008F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M12" authorId="2" shapeId="0" xr:uid="{00000000-0006-0000-0000-000090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N12" authorId="2" shapeId="0" xr:uid="{00000000-0006-0000-0000-00009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O12" authorId="2" shapeId="0" xr:uid="{00000000-0006-0000-0000-000092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P12" authorId="2" shapeId="0" xr:uid="{00000000-0006-0000-0000-000093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Q12" authorId="2" shapeId="0" xr:uid="{00000000-0006-0000-0000-000094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R12" authorId="2" shapeId="0" xr:uid="{00000000-0006-0000-0000-000095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S12" authorId="2" shapeId="0" xr:uid="{00000000-0006-0000-0000-000096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T12" authorId="2" shapeId="0" xr:uid="{00000000-0006-0000-0000-000097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U12" authorId="2" shapeId="0" xr:uid="{00000000-0006-0000-0000-000098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V12" authorId="2" shapeId="0" xr:uid="{1D6CE2D8-4FD7-4DD1-8063-2C1BF8F02A0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W12" authorId="2" shapeId="0" xr:uid="{B7C6161F-B2FC-487C-8A7F-AB2035C36F9E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DX12" authorId="2" shapeId="0" xr:uid="{B061AF51-7539-47C8-90CB-A242661BF579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每月五号缴费
</t>
        </r>
        <r>
          <rPr>
            <sz val="9"/>
            <color indexed="81"/>
            <rFont val="Tahoma"/>
            <family val="2"/>
          </rPr>
          <t xml:space="preserve">Great-Fortune </t>
        </r>
        <r>
          <rPr>
            <sz val="9"/>
            <color indexed="81"/>
            <rFont val="細明體"/>
            <family val="3"/>
            <charset val="136"/>
          </rPr>
          <t>收电子账单</t>
        </r>
      </text>
    </comment>
    <comment ref="I14" authorId="0" shapeId="0" xr:uid="{00000000-0006-0000-0000-000099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小孩健保費</t>
        </r>
        <r>
          <rPr>
            <sz val="8"/>
            <color indexed="81"/>
            <rFont val="Tahoma"/>
            <family val="2"/>
          </rPr>
          <t xml:space="preserve"> 30366</t>
        </r>
        <r>
          <rPr>
            <sz val="8"/>
            <color indexed="81"/>
            <rFont val="細明體"/>
            <family val="3"/>
            <charset val="136"/>
          </rPr>
          <t xml:space="preserve">
二月份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二月買電腦扣</t>
        </r>
        <r>
          <rPr>
            <sz val="8"/>
            <color indexed="81"/>
            <rFont val="Tahoma"/>
            <family val="2"/>
          </rPr>
          <t xml:space="preserve"> 10000
</t>
        </r>
        <r>
          <rPr>
            <sz val="8"/>
            <color indexed="81"/>
            <rFont val="細明體"/>
            <family val="3"/>
            <charset val="136"/>
          </rPr>
          <t>三月份</t>
        </r>
        <r>
          <rPr>
            <sz val="8"/>
            <color indexed="81"/>
            <rFont val="Tahoma"/>
            <family val="2"/>
          </rPr>
          <t xml:space="preserve"> 15000
</t>
        </r>
        <r>
          <rPr>
            <sz val="8"/>
            <color indexed="81"/>
            <rFont val="細明體"/>
            <family val="3"/>
            <charset val="136"/>
          </rPr>
          <t>三月份科學營</t>
        </r>
        <r>
          <rPr>
            <sz val="8"/>
            <color indexed="81"/>
            <rFont val="Tahoma"/>
            <family val="2"/>
          </rPr>
          <t xml:space="preserve"> 3000
</t>
        </r>
        <r>
          <rPr>
            <sz val="8"/>
            <color indexed="81"/>
            <rFont val="細明體"/>
            <family val="3"/>
            <charset val="136"/>
          </rPr>
          <t>四月份</t>
        </r>
        <r>
          <rPr>
            <sz val="8"/>
            <color indexed="81"/>
            <rFont val="Tahoma"/>
            <family val="2"/>
          </rPr>
          <t xml:space="preserve"> 11000
</t>
        </r>
        <r>
          <rPr>
            <sz val="8"/>
            <color indexed="81"/>
            <rFont val="細明體"/>
            <family val="3"/>
            <charset val="136"/>
          </rPr>
          <t>八月份</t>
        </r>
        <r>
          <rPr>
            <sz val="8"/>
            <color indexed="81"/>
            <rFont val="Tahoma"/>
            <family val="2"/>
          </rPr>
          <t xml:space="preserve"> 11000
十月份 5100
201102-201207 多 283679
</t>
        </r>
      </text>
    </comment>
    <comment ref="BR14" authorId="3" shapeId="0" xr:uid="{00000000-0006-0000-0000-00009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X14" authorId="2" shapeId="0" xr:uid="{00000000-0006-0000-0000-00009B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二月份未付
三月一次付20000</t>
        </r>
      </text>
    </comment>
    <comment ref="DU14" authorId="4" shapeId="0" xr:uid="{3E37FC9D-9B18-4761-A189-BE26790F1C0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1/30</t>
        </r>
      </text>
    </comment>
    <comment ref="DV14" authorId="4" shapeId="0" xr:uid="{BE0D8E87-DBCC-410F-8909-347F74F6136D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2/30</t>
        </r>
      </text>
    </comment>
    <comment ref="DW14" authorId="4" shapeId="0" xr:uid="{EAAE34A4-8EE2-4E6F-9764-730DD9BA5474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3/30</t>
        </r>
      </text>
    </comment>
    <comment ref="DX14" authorId="4" shapeId="0" xr:uid="{54A58C28-9C6A-42F3-8753-4480A84456EF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4/30</t>
        </r>
      </text>
    </comment>
    <comment ref="AK15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10000-1900=8100
第一期</t>
        </r>
      </text>
    </comment>
    <comment ref="AL15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
第二期</t>
        </r>
      </text>
    </comment>
    <comment ref="AM15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第三期
累計30000</t>
        </r>
      </text>
    </comment>
    <comment ref="AY15" authorId="3" shapeId="0" xr:uid="{00000000-0006-0000-0000-00009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29500
停車費</t>
        </r>
      </text>
    </comment>
    <comment ref="BR15" authorId="3" shapeId="0" xr:uid="{00000000-0006-0000-0000-0000A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no pay</t>
        </r>
      </text>
    </comment>
    <comment ref="BS15" authorId="2" shapeId="0" xr:uid="{00000000-0006-0000-0000-0000A100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扣 1900 民宿</t>
        </r>
      </text>
    </comment>
    <comment ref="S16" authorId="0" shapeId="0" xr:uid="{00000000-0006-0000-0000-0000A2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240/1</t>
        </r>
      </text>
    </comment>
    <comment ref="T16" authorId="0" shapeId="0" xr:uid="{00000000-0006-0000-0000-0000A3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240/2</t>
        </r>
      </text>
    </comment>
    <comment ref="AL16" authorId="0" shapeId="0" xr:uid="{00000000-0006-0000-0000-0000A4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V16" authorId="0" shapeId="0" xr:uid="{00000000-0006-0000-0000-0000A5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30/240</t>
        </r>
      </text>
    </comment>
    <comment ref="BF16" authorId="3" shapeId="0" xr:uid="{00000000-0006-0000-0000-0000A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40/240</t>
        </r>
      </text>
    </comment>
    <comment ref="BG16" authorId="3" shapeId="0" xr:uid="{00000000-0006-0000-0000-0000A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41/240</t>
        </r>
      </text>
    </comment>
    <comment ref="BH16" authorId="3" shapeId="0" xr:uid="{00000000-0006-0000-0000-0000A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42/240</t>
        </r>
      </text>
    </comment>
    <comment ref="BI16" authorId="3" shapeId="0" xr:uid="{00000000-0006-0000-0000-0000A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43/240</t>
        </r>
      </text>
    </comment>
    <comment ref="BJ16" authorId="3" shapeId="0" xr:uid="{00000000-0006-0000-0000-0000A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44/240</t>
        </r>
      </text>
    </comment>
    <comment ref="BK16" authorId="3" shapeId="0" xr:uid="{00000000-0006-0000-0000-0000A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45/240</t>
        </r>
      </text>
    </comment>
    <comment ref="BL16" authorId="3" shapeId="0" xr:uid="{00000000-0006-0000-0000-0000A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46/240</t>
        </r>
      </text>
    </comment>
    <comment ref="BM16" authorId="3" shapeId="0" xr:uid="{00000000-0006-0000-0000-0000A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47/240</t>
        </r>
      </text>
    </comment>
    <comment ref="BN16" authorId="3" shapeId="0" xr:uid="{00000000-0006-0000-0000-0000A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48/240</t>
        </r>
      </text>
    </comment>
    <comment ref="BO16" authorId="3" shapeId="0" xr:uid="{00000000-0006-0000-0000-0000A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49/240</t>
        </r>
      </text>
    </comment>
    <comment ref="BP16" authorId="3" shapeId="0" xr:uid="{00000000-0006-0000-0000-0000B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50/240</t>
        </r>
      </text>
    </comment>
    <comment ref="BQ16" authorId="3" shapeId="0" xr:uid="{00000000-0006-0000-0000-0000B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51/240</t>
        </r>
      </text>
    </comment>
    <comment ref="BR16" authorId="3" shapeId="0" xr:uid="{00000000-0006-0000-0000-0000B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52/240</t>
        </r>
      </text>
    </comment>
    <comment ref="BS16" authorId="3" shapeId="0" xr:uid="{00000000-0006-0000-0000-0000B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53/240</t>
        </r>
      </text>
    </comment>
    <comment ref="BT16" authorId="3" shapeId="0" xr:uid="{00000000-0006-0000-0000-0000B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54/240</t>
        </r>
      </text>
    </comment>
    <comment ref="BU16" authorId="3" shapeId="0" xr:uid="{00000000-0006-0000-0000-0000B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55/240</t>
        </r>
      </text>
    </comment>
    <comment ref="BV16" authorId="3" shapeId="0" xr:uid="{00000000-0006-0000-0000-0000B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56/240</t>
        </r>
      </text>
    </comment>
    <comment ref="BW16" authorId="3" shapeId="0" xr:uid="{00000000-0006-0000-0000-0000B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57/240</t>
        </r>
      </text>
    </comment>
    <comment ref="BX16" authorId="3" shapeId="0" xr:uid="{00000000-0006-0000-0000-0000B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58/240</t>
        </r>
      </text>
    </comment>
    <comment ref="BY16" authorId="3" shapeId="0" xr:uid="{00000000-0006-0000-0000-0000B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59/240</t>
        </r>
      </text>
    </comment>
    <comment ref="BZ16" authorId="3" shapeId="0" xr:uid="{00000000-0006-0000-0000-0000B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60/240</t>
        </r>
      </text>
    </comment>
    <comment ref="CA16" authorId="3" shapeId="0" xr:uid="{00000000-0006-0000-0000-0000B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61/240</t>
        </r>
      </text>
    </comment>
    <comment ref="CB16" authorId="3" shapeId="0" xr:uid="{00000000-0006-0000-0000-0000B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62/240</t>
        </r>
      </text>
    </comment>
    <comment ref="CC16" authorId="3" shapeId="0" xr:uid="{00000000-0006-0000-0000-0000B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63/240</t>
        </r>
      </text>
    </comment>
    <comment ref="CD16" authorId="3" shapeId="0" xr:uid="{00000000-0006-0000-0000-0000B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64/240</t>
        </r>
      </text>
    </comment>
    <comment ref="CE16" authorId="3" shapeId="0" xr:uid="{00000000-0006-0000-0000-0000B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65/240</t>
        </r>
      </text>
    </comment>
    <comment ref="CF16" authorId="3" shapeId="0" xr:uid="{00000000-0006-0000-0000-0000C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66/240</t>
        </r>
      </text>
    </comment>
    <comment ref="CG16" authorId="3" shapeId="0" xr:uid="{00000000-0006-0000-0000-0000C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67/240</t>
        </r>
      </text>
    </comment>
    <comment ref="CH16" authorId="3" shapeId="0" xr:uid="{00000000-0006-0000-0000-0000C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68/240</t>
        </r>
      </text>
    </comment>
    <comment ref="CI16" authorId="3" shapeId="0" xr:uid="{00000000-0006-0000-0000-0000C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69/240</t>
        </r>
      </text>
    </comment>
    <comment ref="CJ16" authorId="3" shapeId="0" xr:uid="{00000000-0006-0000-0000-0000C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70/240</t>
        </r>
      </text>
    </comment>
    <comment ref="CK16" authorId="3" shapeId="0" xr:uid="{00000000-0006-0000-0000-0000C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71/240</t>
        </r>
      </text>
    </comment>
    <comment ref="CL16" authorId="3" shapeId="0" xr:uid="{00000000-0006-0000-0000-0000C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72/240</t>
        </r>
      </text>
    </comment>
    <comment ref="CM16" authorId="3" shapeId="0" xr:uid="{00000000-0006-0000-0000-0000C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73/240</t>
        </r>
      </text>
    </comment>
    <comment ref="CN16" authorId="3" shapeId="0" xr:uid="{00000000-0006-0000-0000-0000C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74/240</t>
        </r>
      </text>
    </comment>
    <comment ref="CO16" authorId="3" shapeId="0" xr:uid="{00000000-0006-0000-0000-0000C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75/240</t>
        </r>
      </text>
    </comment>
    <comment ref="CP16" authorId="3" shapeId="0" xr:uid="{00000000-0006-0000-0000-0000C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76/240</t>
        </r>
      </text>
    </comment>
    <comment ref="CQ16" authorId="3" shapeId="0" xr:uid="{00000000-0006-0000-0000-0000C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77/240</t>
        </r>
      </text>
    </comment>
    <comment ref="CR16" authorId="3" shapeId="0" xr:uid="{00000000-0006-0000-0000-0000C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78/240</t>
        </r>
      </text>
    </comment>
    <comment ref="CS16" authorId="3" shapeId="0" xr:uid="{00000000-0006-0000-0000-0000C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79/240</t>
        </r>
      </text>
    </comment>
    <comment ref="CT16" authorId="3" shapeId="0" xr:uid="{00000000-0006-0000-0000-0000C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80/240</t>
        </r>
      </text>
    </comment>
    <comment ref="CU16" authorId="3" shapeId="0" xr:uid="{00000000-0006-0000-0000-0000C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81/240</t>
        </r>
      </text>
    </comment>
    <comment ref="CV16" authorId="3" shapeId="0" xr:uid="{00000000-0006-0000-0000-0000D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82/240</t>
        </r>
      </text>
    </comment>
    <comment ref="CW16" authorId="3" shapeId="0" xr:uid="{00000000-0006-0000-0000-0000D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83/240</t>
        </r>
      </text>
    </comment>
    <comment ref="CX16" authorId="3" shapeId="0" xr:uid="{00000000-0006-0000-0000-0000D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84/240</t>
        </r>
      </text>
    </comment>
    <comment ref="CY16" authorId="3" shapeId="0" xr:uid="{00000000-0006-0000-0000-0000D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85/240</t>
        </r>
      </text>
    </comment>
    <comment ref="CZ16" authorId="3" shapeId="0" xr:uid="{00000000-0006-0000-0000-0000D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86/240</t>
        </r>
      </text>
    </comment>
    <comment ref="DA16" authorId="3" shapeId="0" xr:uid="{00000000-0006-0000-0000-0000D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87/240</t>
        </r>
      </text>
    </comment>
    <comment ref="DB16" authorId="3" shapeId="0" xr:uid="{00000000-0006-0000-0000-0000D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88/240</t>
        </r>
      </text>
    </comment>
    <comment ref="DC16" authorId="3" shapeId="0" xr:uid="{00000000-0006-0000-0000-0000D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89/240</t>
        </r>
      </text>
    </comment>
    <comment ref="DD16" authorId="3" shapeId="0" xr:uid="{00000000-0006-0000-0000-0000D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90/240</t>
        </r>
      </text>
    </comment>
    <comment ref="DE16" authorId="3" shapeId="0" xr:uid="{00000000-0006-0000-0000-0000D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91/240</t>
        </r>
      </text>
    </comment>
    <comment ref="DF16" authorId="3" shapeId="0" xr:uid="{00000000-0006-0000-0000-0000DA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92/240</t>
        </r>
      </text>
    </comment>
    <comment ref="DG16" authorId="3" shapeId="0" xr:uid="{00000000-0006-0000-0000-0000DB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93/240</t>
        </r>
      </text>
    </comment>
    <comment ref="DH16" authorId="3" shapeId="0" xr:uid="{00000000-0006-0000-0000-0000DC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94/240</t>
        </r>
      </text>
    </comment>
    <comment ref="DI16" authorId="3" shapeId="0" xr:uid="{00000000-0006-0000-0000-0000DD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95/240</t>
        </r>
      </text>
    </comment>
    <comment ref="DJ16" authorId="3" shapeId="0" xr:uid="{00000000-0006-0000-0000-0000DE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96/240</t>
        </r>
      </text>
    </comment>
    <comment ref="DK16" authorId="3" shapeId="0" xr:uid="{00000000-0006-0000-0000-0000DF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97/240</t>
        </r>
      </text>
    </comment>
    <comment ref="DL16" authorId="3" shapeId="0" xr:uid="{00000000-0006-0000-0000-0000E0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98/240</t>
        </r>
      </text>
    </comment>
    <comment ref="DM16" authorId="3" shapeId="0" xr:uid="{00000000-0006-0000-0000-0000E1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99/240</t>
        </r>
      </text>
    </comment>
    <comment ref="DN16" authorId="3" shapeId="0" xr:uid="{00000000-0006-0000-0000-0000E2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100/240</t>
        </r>
      </text>
    </comment>
    <comment ref="DO16" authorId="3" shapeId="0" xr:uid="{00000000-0006-0000-0000-0000E3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101/240</t>
        </r>
      </text>
    </comment>
    <comment ref="DP16" authorId="3" shapeId="0" xr:uid="{00000000-0006-0000-0000-0000E4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102/240</t>
        </r>
      </text>
    </comment>
    <comment ref="DQ16" authorId="3" shapeId="0" xr:uid="{00000000-0006-0000-0000-0000E5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103/240</t>
        </r>
      </text>
    </comment>
    <comment ref="DR16" authorId="3" shapeId="0" xr:uid="{00000000-0006-0000-0000-0000E6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104/240</t>
        </r>
      </text>
    </comment>
    <comment ref="DS16" authorId="3" shapeId="0" xr:uid="{00000000-0006-0000-0000-0000E7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105/240</t>
        </r>
      </text>
    </comment>
    <comment ref="DT16" authorId="3" shapeId="0" xr:uid="{00000000-0006-0000-0000-0000E8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106/240</t>
        </r>
      </text>
    </comment>
    <comment ref="DU16" authorId="3" shapeId="0" xr:uid="{00000000-0006-0000-0000-0000E9000000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107/240</t>
        </r>
      </text>
    </comment>
    <comment ref="DV16" authorId="3" shapeId="0" xr:uid="{9883AC33-9EBA-45CD-A66C-EC2F2AC2E7FA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108/240</t>
        </r>
      </text>
    </comment>
    <comment ref="DW16" authorId="3" shapeId="0" xr:uid="{C5A34E23-16CF-4DAA-9EC4-321337BE9254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109/240</t>
        </r>
      </text>
    </comment>
    <comment ref="DX16" authorId="3" shapeId="0" xr:uid="{5558B7C7-0B18-49A0-B9B4-2C33D1F24406}">
      <text>
        <r>
          <rPr>
            <b/>
            <sz val="9"/>
            <color indexed="81"/>
            <rFont val="Tahoma"/>
            <family val="2"/>
          </rPr>
          <t>Wang, Andrew CY:</t>
        </r>
        <r>
          <rPr>
            <sz val="9"/>
            <color indexed="81"/>
            <rFont val="Tahoma"/>
            <family val="2"/>
          </rPr>
          <t xml:space="preserve">
110/240</t>
        </r>
      </text>
    </comment>
    <comment ref="EH16" authorId="0" shapeId="0" xr:uid="{00000000-0006-0000-0000-0000EA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120/240</t>
        </r>
      </text>
    </comment>
    <comment ref="FB16" authorId="0" shapeId="0" xr:uid="{00000000-0006-0000-0000-0000EB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140/240</t>
        </r>
      </text>
    </comment>
    <comment ref="FV16" authorId="0" shapeId="0" xr:uid="{00000000-0006-0000-0000-0000EC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GF16" authorId="0" shapeId="0" xr:uid="{00000000-0006-0000-0000-0000ED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170/240</t>
        </r>
      </text>
    </comment>
    <comment ref="HJ16" authorId="0" shapeId="0" xr:uid="{00000000-0006-0000-0000-0000EE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200/240</t>
        </r>
      </text>
    </comment>
    <comment ref="ID16" authorId="0" shapeId="0" xr:uid="{00000000-0006-0000-0000-0000EF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220/240</t>
        </r>
      </text>
    </comment>
    <comment ref="IN16" authorId="0" shapeId="0" xr:uid="{00000000-0006-0000-0000-0000F000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230/240</t>
        </r>
      </text>
    </comment>
    <comment ref="BF17" authorId="5" shapeId="0" xr:uid="{00000000-0006-0000-0000-0000F1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1/240</t>
        </r>
      </text>
    </comment>
    <comment ref="BG17" authorId="5" shapeId="0" xr:uid="{00000000-0006-0000-0000-0000F2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2/240</t>
        </r>
      </text>
    </comment>
    <comment ref="BH17" authorId="5" shapeId="0" xr:uid="{00000000-0006-0000-0000-0000F3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3/240</t>
        </r>
      </text>
    </comment>
    <comment ref="BI17" authorId="5" shapeId="0" xr:uid="{00000000-0006-0000-0000-0000F4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4/240</t>
        </r>
      </text>
    </comment>
    <comment ref="BJ17" authorId="5" shapeId="0" xr:uid="{00000000-0006-0000-0000-0000F5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5/240</t>
        </r>
      </text>
    </comment>
    <comment ref="BK17" authorId="5" shapeId="0" xr:uid="{00000000-0006-0000-0000-0000F6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6/240</t>
        </r>
      </text>
    </comment>
    <comment ref="BL17" authorId="5" shapeId="0" xr:uid="{00000000-0006-0000-0000-0000F7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7/240</t>
        </r>
      </text>
    </comment>
    <comment ref="BM17" authorId="5" shapeId="0" xr:uid="{00000000-0006-0000-0000-0000F8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8/240</t>
        </r>
      </text>
    </comment>
    <comment ref="BN17" authorId="5" shapeId="0" xr:uid="{00000000-0006-0000-0000-0000F9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9/240</t>
        </r>
      </text>
    </comment>
    <comment ref="BO17" authorId="5" shapeId="0" xr:uid="{00000000-0006-0000-0000-0000FA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10/240</t>
        </r>
      </text>
    </comment>
    <comment ref="BP17" authorId="5" shapeId="0" xr:uid="{00000000-0006-0000-0000-0000FB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11/240</t>
        </r>
      </text>
    </comment>
    <comment ref="BQ17" authorId="5" shapeId="0" xr:uid="{00000000-0006-0000-0000-0000FC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12/240</t>
        </r>
      </text>
    </comment>
    <comment ref="BR17" authorId="5" shapeId="0" xr:uid="{00000000-0006-0000-0000-0000FD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13/240</t>
        </r>
      </text>
    </comment>
    <comment ref="BS17" authorId="5" shapeId="0" xr:uid="{00000000-0006-0000-0000-0000FE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14/240</t>
        </r>
      </text>
    </comment>
    <comment ref="BT17" authorId="5" shapeId="0" xr:uid="{00000000-0006-0000-0000-0000FF00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15/240</t>
        </r>
      </text>
    </comment>
    <comment ref="BU17" authorId="5" shapeId="0" xr:uid="{00000000-0006-0000-0000-00000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16/240</t>
        </r>
      </text>
    </comment>
    <comment ref="BV17" authorId="5" shapeId="0" xr:uid="{00000000-0006-0000-0000-00000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17/240</t>
        </r>
      </text>
    </comment>
    <comment ref="BW17" authorId="5" shapeId="0" xr:uid="{00000000-0006-0000-0000-00000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18/240</t>
        </r>
      </text>
    </comment>
    <comment ref="BX17" authorId="5" shapeId="0" xr:uid="{00000000-0006-0000-0000-00000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19/240</t>
        </r>
      </text>
    </comment>
    <comment ref="BY17" authorId="5" shapeId="0" xr:uid="{00000000-0006-0000-0000-00000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BZ17" authorId="5" shapeId="0" xr:uid="{00000000-0006-0000-0000-00000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21/240</t>
        </r>
      </text>
    </comment>
    <comment ref="CA17" authorId="5" shapeId="0" xr:uid="{00000000-0006-0000-0000-00000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22/240</t>
        </r>
      </text>
    </comment>
    <comment ref="CB17" authorId="5" shapeId="0" xr:uid="{00000000-0006-0000-0000-00000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CC17" authorId="5" shapeId="0" xr:uid="{00000000-0006-0000-0000-00000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24/240</t>
        </r>
      </text>
    </comment>
    <comment ref="CD17" authorId="5" shapeId="0" xr:uid="{00000000-0006-0000-0000-00000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25/240</t>
        </r>
      </text>
    </comment>
    <comment ref="CE17" authorId="5" shapeId="0" xr:uid="{00000000-0006-0000-0000-00000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26/240</t>
        </r>
      </text>
    </comment>
    <comment ref="CF17" authorId="5" shapeId="0" xr:uid="{00000000-0006-0000-0000-00000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27/240</t>
        </r>
      </text>
    </comment>
    <comment ref="CG17" authorId="5" shapeId="0" xr:uid="{00000000-0006-0000-0000-00000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28/240</t>
        </r>
      </text>
    </comment>
    <comment ref="CH17" authorId="5" shapeId="0" xr:uid="{00000000-0006-0000-0000-00000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I17" authorId="5" shapeId="0" xr:uid="{00000000-0006-0000-0000-00000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J17" authorId="5" shapeId="0" xr:uid="{00000000-0006-0000-0000-00000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K17" authorId="5" shapeId="0" xr:uid="{00000000-0006-0000-0000-00001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L17" authorId="5" shapeId="0" xr:uid="{00000000-0006-0000-0000-00001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M17" authorId="5" shapeId="0" xr:uid="{00000000-0006-0000-0000-00001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N17" authorId="5" shapeId="0" xr:uid="{00000000-0006-0000-0000-00001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O17" authorId="5" shapeId="0" xr:uid="{00000000-0006-0000-0000-00001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P17" authorId="5" shapeId="0" xr:uid="{00000000-0006-0000-0000-00001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Q17" authorId="5" shapeId="0" xr:uid="{00000000-0006-0000-0000-00001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R17" authorId="5" shapeId="0" xr:uid="{00000000-0006-0000-0000-00001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S17" authorId="5" shapeId="0" xr:uid="{00000000-0006-0000-0000-00001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T17" authorId="5" shapeId="0" xr:uid="{00000000-0006-0000-0000-00001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U17" authorId="5" shapeId="0" xr:uid="{00000000-0006-0000-0000-00001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V17" authorId="5" shapeId="0" xr:uid="{00000000-0006-0000-0000-00001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W17" authorId="5" shapeId="0" xr:uid="{00000000-0006-0000-0000-00001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X17" authorId="5" shapeId="0" xr:uid="{00000000-0006-0000-0000-00001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Y17" authorId="5" shapeId="0" xr:uid="{00000000-0006-0000-0000-00001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CZ17" authorId="5" shapeId="0" xr:uid="{00000000-0006-0000-0000-00001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A17" authorId="5" shapeId="0" xr:uid="{00000000-0006-0000-0000-00002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B17" authorId="5" shapeId="0" xr:uid="{00000000-0006-0000-0000-00002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C17" authorId="5" shapeId="0" xr:uid="{00000000-0006-0000-0000-00002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D17" authorId="5" shapeId="0" xr:uid="{00000000-0006-0000-0000-00002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E17" authorId="5" shapeId="0" xr:uid="{00000000-0006-0000-0000-00002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F17" authorId="5" shapeId="0" xr:uid="{00000000-0006-0000-0000-000025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G17" authorId="5" shapeId="0" xr:uid="{00000000-0006-0000-0000-000026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H17" authorId="5" shapeId="0" xr:uid="{00000000-0006-0000-0000-000027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I17" authorId="5" shapeId="0" xr:uid="{00000000-0006-0000-0000-000028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J17" authorId="5" shapeId="0" xr:uid="{00000000-0006-0000-0000-000029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K17" authorId="5" shapeId="0" xr:uid="{00000000-0006-0000-0000-00002A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L17" authorId="5" shapeId="0" xr:uid="{00000000-0006-0000-0000-00002B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M17" authorId="5" shapeId="0" xr:uid="{00000000-0006-0000-0000-00002C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N17" authorId="5" shapeId="0" xr:uid="{00000000-0006-0000-0000-00002D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O17" authorId="5" shapeId="0" xr:uid="{00000000-0006-0000-0000-00002E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P17" authorId="5" shapeId="0" xr:uid="{00000000-0006-0000-0000-00002F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Q17" authorId="5" shapeId="0" xr:uid="{00000000-0006-0000-0000-000030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R17" authorId="5" shapeId="0" xr:uid="{00000000-0006-0000-0000-000031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S17" authorId="5" shapeId="0" xr:uid="{00000000-0006-0000-0000-000032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T17" authorId="5" shapeId="0" xr:uid="{00000000-0006-0000-0000-000033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U17" authorId="5" shapeId="0" xr:uid="{00000000-0006-0000-0000-000034010000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V17" authorId="5" shapeId="0" xr:uid="{2EF73982-B7E6-4333-9AEB-49F4FDFFD1E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W17" authorId="5" shapeId="0" xr:uid="{ACF19F25-9E55-43D1-887F-40B66C695F68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DX17" authorId="5" shapeId="0" xr:uid="{60414ACE-F650-4DAC-AE18-14DBBB6B3C8E}">
      <text>
        <r>
          <rPr>
            <b/>
            <sz val="9"/>
            <color indexed="81"/>
            <rFont val="Tahoma"/>
            <family val="2"/>
          </rPr>
          <t>EMC:</t>
        </r>
        <r>
          <rPr>
            <sz val="9"/>
            <color indexed="81"/>
            <rFont val="Tahoma"/>
            <family val="2"/>
          </rPr>
          <t xml:space="preserve">
29/240</t>
        </r>
      </text>
    </comment>
    <comment ref="O18" authorId="0" shapeId="0" xr:uid="{00000000-0006-0000-0000-00003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AL18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AO18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23/240</t>
        </r>
      </text>
    </comment>
    <comment ref="AV18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30/240</t>
        </r>
      </text>
    </comment>
    <comment ref="L19" authorId="0" shapeId="0" xr:uid="{00000000-0006-0000-0000-00003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1/240
</t>
        </r>
        <r>
          <rPr>
            <sz val="8"/>
            <color indexed="81"/>
            <rFont val="細明體"/>
            <family val="3"/>
            <charset val="136"/>
          </rPr>
          <t>本金</t>
        </r>
        <r>
          <rPr>
            <sz val="8"/>
            <color indexed="81"/>
            <rFont val="Tahoma"/>
            <family val="2"/>
          </rPr>
          <t xml:space="preserve"> 4203 </t>
        </r>
        <r>
          <rPr>
            <sz val="8"/>
            <color indexed="81"/>
            <rFont val="細明體"/>
            <family val="3"/>
            <charset val="136"/>
          </rPr>
          <t>利息</t>
        </r>
        <r>
          <rPr>
            <sz val="8"/>
            <color indexed="81"/>
            <rFont val="Tahoma"/>
            <family val="2"/>
          </rPr>
          <t xml:space="preserve"> 4178</t>
        </r>
      </text>
    </comment>
    <comment ref="M19" authorId="0" shapeId="0" xr:uid="{00000000-0006-0000-0000-00003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N19" authorId="0" shapeId="0" xr:uid="{00000000-0006-0000-0000-00003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O19" authorId="0" shapeId="0" xr:uid="{00000000-0006-0000-0000-00003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4/240</t>
        </r>
      </text>
    </comment>
    <comment ref="P19" authorId="0" shapeId="0" xr:uid="{00000000-0006-0000-0000-00003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Q19" authorId="0" shapeId="0" xr:uid="{00000000-0006-0000-0000-00003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6/240</t>
        </r>
      </text>
    </comment>
    <comment ref="R19" authorId="0" shapeId="0" xr:uid="{00000000-0006-0000-0000-00003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>每月五日繳款
第一期繳款日：97年10月5日
7/240</t>
        </r>
      </text>
    </comment>
    <comment ref="S19" authorId="0" shapeId="0" xr:uid="{00000000-0006-0000-0000-00004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T19" authorId="0" shapeId="0" xr:uid="{00000000-0006-0000-0000-00004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U19" authorId="0" shapeId="0" xr:uid="{00000000-0006-0000-0000-00004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V19" authorId="0" shapeId="0" xr:uid="{00000000-0006-0000-0000-00004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10/240</t>
        </r>
      </text>
    </comment>
    <comment ref="W19" authorId="0" shapeId="0" xr:uid="{00000000-0006-0000-0000-00004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X19" authorId="0" shapeId="0" xr:uid="{00000000-0006-0000-0000-00004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Y19" authorId="0" shapeId="0" xr:uid="{00000000-0006-0000-0000-00004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Z19" authorId="0" shapeId="0" xr:uid="{00000000-0006-0000-0000-00004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A19" authorId="0" shapeId="0" xr:uid="{00000000-0006-0000-0000-00004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B19" authorId="0" shapeId="0" xr:uid="{00000000-0006-0000-0000-00004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C19" authorId="0" shapeId="0" xr:uid="{00000000-0006-0000-0000-00004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D19" authorId="0" shapeId="0" xr:uid="{00000000-0006-0000-0000-00004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E19" authorId="0" shapeId="0" xr:uid="{00000000-0006-0000-0000-00004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20/240</t>
        </r>
      </text>
    </comment>
    <comment ref="AF19" authorId="0" shapeId="0" xr:uid="{00000000-0006-0000-0000-00004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G19" authorId="0" shapeId="0" xr:uid="{00000000-0006-0000-0000-00004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H19" authorId="0" shapeId="0" xr:uid="{00000000-0006-0000-0000-00004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I19" authorId="0" shapeId="0" xr:uid="{00000000-0006-0000-0000-00005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J19" authorId="0" shapeId="0" xr:uid="{00000000-0006-0000-0000-00005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K19" authorId="0" shapeId="0" xr:uid="{00000000-0006-0000-0000-00005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L19" authorId="0" shapeId="0" xr:uid="{00000000-0006-0000-0000-00005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M19" authorId="0" shapeId="0" xr:uid="{00000000-0006-0000-0000-00005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N19" authorId="0" shapeId="0" xr:uid="{00000000-0006-0000-0000-00005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O19" authorId="0" shapeId="0" xr:uid="{00000000-0006-0000-0000-00005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P19" authorId="0" shapeId="0" xr:uid="{00000000-0006-0000-0000-00005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Q19" authorId="0" shapeId="0" xr:uid="{00000000-0006-0000-0000-00005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R19" authorId="0" shapeId="0" xr:uid="{00000000-0006-0000-0000-00005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S19" authorId="0" shapeId="0" xr:uid="{00000000-0006-0000-0000-00005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T19" authorId="0" shapeId="0" xr:uid="{00000000-0006-0000-0000-00005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U19" authorId="0" shapeId="0" xr:uid="{00000000-0006-0000-0000-00005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V19" authorId="0" shapeId="0" xr:uid="{00000000-0006-0000-0000-00005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W19" authorId="0" shapeId="0" xr:uid="{00000000-0006-0000-0000-00005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X19" authorId="0" shapeId="0" xr:uid="{00000000-0006-0000-0000-00005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AY19" authorId="0" shapeId="0" xr:uid="{00000000-0006-0000-0000-00006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40/240</t>
        </r>
      </text>
    </comment>
    <comment ref="AZ19" authorId="0" shapeId="0" xr:uid="{00000000-0006-0000-0000-00006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A19" authorId="0" shapeId="0" xr:uid="{00000000-0006-0000-0000-00006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B19" authorId="0" shapeId="0" xr:uid="{00000000-0006-0000-0000-00006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C19" authorId="0" shapeId="0" xr:uid="{00000000-0006-0000-0000-00006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D19" authorId="0" shapeId="0" xr:uid="{00000000-0006-0000-0000-00006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E19" authorId="0" shapeId="0" xr:uid="{00000000-0006-0000-0000-00006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F19" authorId="0" shapeId="0" xr:uid="{00000000-0006-0000-0000-00006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G19" authorId="0" shapeId="0" xr:uid="{00000000-0006-0000-0000-00006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H19" authorId="0" shapeId="0" xr:uid="{00000000-0006-0000-0000-00006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I19" authorId="0" shapeId="0" xr:uid="{00000000-0006-0000-0000-00006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J19" authorId="0" shapeId="0" xr:uid="{00000000-0006-0000-0000-00006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K19" authorId="0" shapeId="0" xr:uid="{00000000-0006-0000-0000-00006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L19" authorId="0" shapeId="0" xr:uid="{00000000-0006-0000-0000-00006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M19" authorId="0" shapeId="0" xr:uid="{00000000-0006-0000-0000-00006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N19" authorId="0" shapeId="0" xr:uid="{00000000-0006-0000-0000-00006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O19" authorId="0" shapeId="0" xr:uid="{00000000-0006-0000-0000-00007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P19" authorId="0" shapeId="0" xr:uid="{00000000-0006-0000-0000-00007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Q19" authorId="0" shapeId="0" xr:uid="{00000000-0006-0000-0000-00007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R19" authorId="0" shapeId="0" xr:uid="{00000000-0006-0000-0000-00007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S19" authorId="0" shapeId="0" xr:uid="{00000000-0006-0000-0000-00007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T19" authorId="0" shapeId="0" xr:uid="{00000000-0006-0000-0000-00007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U19" authorId="0" shapeId="0" xr:uid="{00000000-0006-0000-0000-00007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V19" authorId="0" shapeId="0" xr:uid="{00000000-0006-0000-0000-00007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W19" authorId="0" shapeId="0" xr:uid="{00000000-0006-0000-0000-00007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X19" authorId="0" shapeId="0" xr:uid="{00000000-0006-0000-0000-00007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Y19" authorId="0" shapeId="0" xr:uid="{00000000-0006-0000-0000-00007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BZ19" authorId="0" shapeId="0" xr:uid="{00000000-0006-0000-0000-00007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A19" authorId="0" shapeId="0" xr:uid="{00000000-0006-0000-0000-00007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B19" authorId="0" shapeId="0" xr:uid="{00000000-0006-0000-0000-00007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C19" authorId="0" shapeId="0" xr:uid="{00000000-0006-0000-0000-00007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D19" authorId="0" shapeId="0" xr:uid="{00000000-0006-0000-0000-00007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E19" authorId="0" shapeId="0" xr:uid="{00000000-0006-0000-0000-00008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F19" authorId="0" shapeId="0" xr:uid="{00000000-0006-0000-0000-00008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G19" authorId="0" shapeId="0" xr:uid="{00000000-0006-0000-0000-00008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H19" authorId="0" shapeId="0" xr:uid="{00000000-0006-0000-0000-00008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I19" authorId="0" shapeId="0" xr:uid="{00000000-0006-0000-0000-00008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J19" authorId="0" shapeId="0" xr:uid="{00000000-0006-0000-0000-00008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K19" authorId="0" shapeId="0" xr:uid="{00000000-0006-0000-0000-00008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L19" authorId="0" shapeId="0" xr:uid="{00000000-0006-0000-0000-00008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M19" authorId="0" shapeId="0" xr:uid="{00000000-0006-0000-0000-00008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N19" authorId="0" shapeId="0" xr:uid="{00000000-0006-0000-0000-00008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O19" authorId="0" shapeId="0" xr:uid="{00000000-0006-0000-0000-00008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P19" authorId="0" shapeId="0" xr:uid="{00000000-0006-0000-0000-00008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Q19" authorId="0" shapeId="0" xr:uid="{00000000-0006-0000-0000-00008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R19" authorId="0" shapeId="0" xr:uid="{00000000-0006-0000-0000-00008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S19" authorId="0" shapeId="0" xr:uid="{00000000-0006-0000-0000-00008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T19" authorId="0" shapeId="0" xr:uid="{00000000-0006-0000-0000-00008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U19" authorId="0" shapeId="0" xr:uid="{00000000-0006-0000-0000-00009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V19" authorId="0" shapeId="0" xr:uid="{00000000-0006-0000-0000-00009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W19" authorId="0" shapeId="0" xr:uid="{00000000-0006-0000-0000-00009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X19" authorId="0" shapeId="0" xr:uid="{00000000-0006-0000-0000-00009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Y19" authorId="0" shapeId="0" xr:uid="{00000000-0006-0000-0000-00009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CZ19" authorId="0" shapeId="0" xr:uid="{00000000-0006-0000-0000-00009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A19" authorId="0" shapeId="0" xr:uid="{00000000-0006-0000-0000-00009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B19" authorId="0" shapeId="0" xr:uid="{00000000-0006-0000-0000-00009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C19" authorId="0" shapeId="0" xr:uid="{00000000-0006-0000-0000-00009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D19" authorId="0" shapeId="0" xr:uid="{00000000-0006-0000-0000-00009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E19" authorId="0" shapeId="0" xr:uid="{00000000-0006-0000-0000-00009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F19" authorId="0" shapeId="0" xr:uid="{00000000-0006-0000-0000-00009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G19" authorId="0" shapeId="0" xr:uid="{00000000-0006-0000-0000-00009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H19" authorId="0" shapeId="0" xr:uid="{00000000-0006-0000-0000-00009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I19" authorId="0" shapeId="0" xr:uid="{00000000-0006-0000-0000-00009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J19" authorId="0" shapeId="0" xr:uid="{00000000-0006-0000-0000-00009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K19" authorId="0" shapeId="0" xr:uid="{00000000-0006-0000-0000-0000A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L19" authorId="0" shapeId="0" xr:uid="{00000000-0006-0000-0000-0000A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M19" authorId="0" shapeId="0" xr:uid="{00000000-0006-0000-0000-0000A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N19" authorId="0" shapeId="0" xr:uid="{00000000-0006-0000-0000-0000A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O19" authorId="0" shapeId="0" xr:uid="{00000000-0006-0000-0000-0000A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P19" authorId="0" shapeId="0" xr:uid="{00000000-0006-0000-0000-0000A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Q19" authorId="0" shapeId="0" xr:uid="{00000000-0006-0000-0000-0000A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R19" authorId="0" shapeId="0" xr:uid="{00000000-0006-0000-0000-0000A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S19" authorId="0" shapeId="0" xr:uid="{00000000-0006-0000-0000-0000A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T19" authorId="0" shapeId="0" xr:uid="{00000000-0006-0000-0000-0000A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U19" authorId="0" shapeId="0" xr:uid="{00000000-0006-0000-0000-0000A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V19" authorId="0" shapeId="0" xr:uid="{1BA898FE-3295-4499-99F6-4270E3BFBB4A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W19" authorId="0" shapeId="0" xr:uid="{A2E0C78E-E3FF-4F2C-86D0-5EC58AF81D7F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X19" authorId="0" shapeId="0" xr:uid="{86A4DC08-5DC0-4A7D-B698-A0A2B9D9A9D9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Y19" authorId="0" shapeId="0" xr:uid="{00000000-0006-0000-0000-0000A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DZ19" authorId="0" shapeId="0" xr:uid="{00000000-0006-0000-0000-0000A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119/240</t>
        </r>
      </text>
    </comment>
    <comment ref="EA19" authorId="0" shapeId="0" xr:uid="{00000000-0006-0000-0000-0000B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B19" authorId="0" shapeId="0" xr:uid="{00000000-0006-0000-0000-0000B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121/240</t>
        </r>
      </text>
    </comment>
    <comment ref="EC19" authorId="0" shapeId="0" xr:uid="{00000000-0006-0000-0000-0000B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D19" authorId="0" shapeId="0" xr:uid="{00000000-0006-0000-0000-0000B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123/240</t>
        </r>
      </text>
    </comment>
    <comment ref="EE19" authorId="0" shapeId="0" xr:uid="{00000000-0006-0000-0000-0000B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F19" authorId="0" shapeId="0" xr:uid="{00000000-0006-0000-0000-0000B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125/240</t>
        </r>
      </text>
    </comment>
    <comment ref="EG19" authorId="0" shapeId="0" xr:uid="{00000000-0006-0000-0000-0000B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H19" authorId="0" shapeId="0" xr:uid="{00000000-0006-0000-0000-0000B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127/240</t>
        </r>
      </text>
    </comment>
    <comment ref="EI19" authorId="0" shapeId="0" xr:uid="{00000000-0006-0000-0000-0000B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J19" authorId="0" shapeId="0" xr:uid="{00000000-0006-0000-0000-0000B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129/240</t>
        </r>
      </text>
    </comment>
    <comment ref="EK19" authorId="0" shapeId="0" xr:uid="{00000000-0006-0000-0000-0000B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L19" authorId="0" shapeId="0" xr:uid="{00000000-0006-0000-0000-0000B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131/240</t>
        </r>
      </text>
    </comment>
    <comment ref="EM19" authorId="0" shapeId="0" xr:uid="{00000000-0006-0000-0000-0000B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N19" authorId="0" shapeId="0" xr:uid="{00000000-0006-0000-0000-0000B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133/240</t>
        </r>
      </text>
    </comment>
    <comment ref="EO19" authorId="0" shapeId="0" xr:uid="{00000000-0006-0000-0000-0000B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P19" authorId="0" shapeId="0" xr:uid="{00000000-0006-0000-0000-0000B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135/240</t>
        </r>
      </text>
    </comment>
    <comment ref="EQ19" authorId="0" shapeId="0" xr:uid="{00000000-0006-0000-0000-0000C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R19" authorId="0" shapeId="0" xr:uid="{00000000-0006-0000-0000-0000C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137/240</t>
        </r>
      </text>
    </comment>
    <comment ref="ES19" authorId="0" shapeId="0" xr:uid="{00000000-0006-0000-0000-0000C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T19" authorId="0" shapeId="0" xr:uid="{00000000-0006-0000-0000-0000C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139/240</t>
        </r>
      </text>
    </comment>
    <comment ref="EU19" authorId="0" shapeId="0" xr:uid="{00000000-0006-0000-0000-0000C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V19" authorId="0" shapeId="0" xr:uid="{00000000-0006-0000-0000-0000C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141/240</t>
        </r>
      </text>
    </comment>
    <comment ref="EW19" authorId="0" shapeId="0" xr:uid="{00000000-0006-0000-0000-0000C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X19" authorId="0" shapeId="0" xr:uid="{00000000-0006-0000-0000-0000C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143/240</t>
        </r>
      </text>
    </comment>
    <comment ref="EY19" authorId="0" shapeId="0" xr:uid="{00000000-0006-0000-0000-0000C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EZ19" authorId="0" shapeId="0" xr:uid="{00000000-0006-0000-0000-0000C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145/240</t>
        </r>
      </text>
    </comment>
    <comment ref="FA19" authorId="0" shapeId="0" xr:uid="{00000000-0006-0000-0000-0000C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B19" authorId="0" shapeId="0" xr:uid="{00000000-0006-0000-0000-0000CB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147/240</t>
        </r>
      </text>
    </comment>
    <comment ref="FC19" authorId="0" shapeId="0" xr:uid="{00000000-0006-0000-0000-0000C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D19" authorId="0" shapeId="0" xr:uid="{00000000-0006-0000-0000-0000CD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149/240</t>
        </r>
      </text>
    </comment>
    <comment ref="FE19" authorId="0" shapeId="0" xr:uid="{00000000-0006-0000-0000-0000C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F19" authorId="0" shapeId="0" xr:uid="{00000000-0006-0000-0000-0000CF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151/240</t>
        </r>
      </text>
    </comment>
    <comment ref="FG19" authorId="0" shapeId="0" xr:uid="{00000000-0006-0000-0000-0000D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H19" authorId="0" shapeId="0" xr:uid="{00000000-0006-0000-0000-0000D1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153/240</t>
        </r>
      </text>
    </comment>
    <comment ref="FI19" authorId="0" shapeId="0" xr:uid="{00000000-0006-0000-0000-0000D2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J19" authorId="0" shapeId="0" xr:uid="{00000000-0006-0000-0000-0000D3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155/240</t>
        </r>
      </text>
    </comment>
    <comment ref="FK19" authorId="0" shapeId="0" xr:uid="{00000000-0006-0000-0000-0000D4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L19" authorId="0" shapeId="0" xr:uid="{00000000-0006-0000-0000-0000D5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157/240</t>
        </r>
      </text>
    </comment>
    <comment ref="FM19" authorId="0" shapeId="0" xr:uid="{00000000-0006-0000-0000-0000D6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放款帳號：</t>
        </r>
        <r>
          <rPr>
            <sz val="8"/>
            <color indexed="81"/>
            <rFont val="Tahoma"/>
            <family val="2"/>
          </rPr>
          <t xml:space="preserve">04467000002312
</t>
        </r>
        <r>
          <rPr>
            <sz val="8"/>
            <color indexed="81"/>
            <rFont val="細明體"/>
            <family val="3"/>
            <charset val="136"/>
          </rPr>
          <t>放款金額：</t>
        </r>
        <r>
          <rPr>
            <sz val="8"/>
            <color indexed="81"/>
            <rFont val="Tahoma"/>
            <family val="2"/>
          </rPr>
          <t>144</t>
        </r>
        <r>
          <rPr>
            <sz val="8"/>
            <color indexed="81"/>
            <rFont val="細明體"/>
            <family val="3"/>
            <charset val="136"/>
          </rPr>
          <t>萬元整
貸款期間：</t>
        </r>
        <r>
          <rPr>
            <sz val="8"/>
            <color indexed="81"/>
            <rFont val="Tahoma"/>
            <family val="2"/>
          </rPr>
          <t xml:space="preserve">20 </t>
        </r>
        <r>
          <rPr>
            <sz val="8"/>
            <color indexed="81"/>
            <rFont val="細明體"/>
            <family val="3"/>
            <charset val="136"/>
          </rPr>
          <t>年
目前利率：</t>
        </r>
        <r>
          <rPr>
            <sz val="8"/>
            <color indexed="81"/>
            <rFont val="Tahoma"/>
            <family val="2"/>
          </rPr>
          <t xml:space="preserve">3.54% </t>
        </r>
        <r>
          <rPr>
            <sz val="8"/>
            <color indexed="81"/>
            <rFont val="細明體"/>
            <family val="3"/>
            <charset val="136"/>
          </rPr>
          <t xml:space="preserve">每月五日繳款
第一期繳款日：97年10月5日
</t>
        </r>
      </text>
    </comment>
    <comment ref="FN19" authorId="0" shapeId="0" xr:uid="{00000000-0006-0000-0000-0000D7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159/240</t>
        </r>
      </text>
    </comment>
    <comment ref="FO19" authorId="0" shapeId="0" xr:uid="{00000000-0006-0000-0000-0000D8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160/240</t>
        </r>
      </text>
    </comment>
    <comment ref="O21" authorId="0" shapeId="0" xr:uid="{00000000-0006-0000-0000-0000D9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餘額</t>
        </r>
        <r>
          <rPr>
            <sz val="8"/>
            <color indexed="81"/>
            <rFont val="Tahoma"/>
            <family val="2"/>
          </rPr>
          <t xml:space="preserve"> 29</t>
        </r>
      </text>
    </comment>
    <comment ref="V21" authorId="0" shapeId="0" xr:uid="{00000000-0006-0000-0000-0000DA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國泰世華轉</t>
        </r>
        <r>
          <rPr>
            <sz val="8"/>
            <color indexed="81"/>
            <rFont val="Tahoma"/>
            <family val="2"/>
          </rPr>
          <t xml:space="preserve"> 8800</t>
        </r>
      </text>
    </comment>
    <comment ref="AE21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20/240</t>
        </r>
      </text>
    </comment>
    <comment ref="N22" authorId="0" shapeId="0" xr:uid="{00000000-0006-0000-0000-0000DC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22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4" authorId="0" shapeId="0" xr:uid="{00000000-0006-0000-0000-0000DE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 xml:space="preserve">本月開始上海轉國泰
</t>
        </r>
      </text>
    </comment>
    <comment ref="CV24" authorId="4" shapeId="0" xr:uid="{00000000-0006-0000-0000-0000DF010000}">
      <text>
        <r>
          <rPr>
            <b/>
            <sz val="9"/>
            <color indexed="81"/>
            <rFont val="Tahoma"/>
            <family val="2"/>
          </rPr>
          <t>huskywang: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本月開始改為
富邦薪資
</t>
        </r>
      </text>
    </comment>
    <comment ref="V25" authorId="0" shapeId="0" xr:uid="{00000000-0006-0000-0000-0000E001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上海轉了</t>
        </r>
        <r>
          <rPr>
            <sz val="8"/>
            <color indexed="81"/>
            <rFont val="Tahoma"/>
            <family val="2"/>
          </rPr>
          <t xml:space="preserve"> 28000 </t>
        </r>
        <r>
          <rPr>
            <sz val="8"/>
            <color indexed="81"/>
            <rFont val="細明體"/>
            <family val="3"/>
            <charset val="136"/>
          </rPr>
          <t>過來</t>
        </r>
      </text>
    </comment>
    <comment ref="W3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X3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Y3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Z3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A3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B3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Yellow: 30000 / mth</t>
        </r>
      </text>
    </comment>
    <comment ref="AC3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D3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E3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F3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White: 暫停
</t>
        </r>
      </text>
    </comment>
    <comment ref="AG3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H3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I3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J3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K3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L3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M3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N3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O3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Blue: 20000 / mth
</t>
        </r>
      </text>
    </comment>
    <comment ref="AP3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Q3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R3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20萬賣車的錢先還房貸</t>
        </r>
      </text>
    </comment>
    <comment ref="AS3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T3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U3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AV3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10000 信用卡費</t>
        </r>
      </text>
    </comment>
    <comment ref="CI35" authorId="2" shapeId="0" xr:uid="{00000000-0006-0000-0000-0000FB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1/60</t>
        </r>
      </text>
    </comment>
    <comment ref="CJ35" authorId="2" shapeId="0" xr:uid="{00000000-0006-0000-0000-0000FC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2/60
30000</t>
        </r>
        <r>
          <rPr>
            <sz val="9"/>
            <color indexed="81"/>
            <rFont val="細明體"/>
            <family val="3"/>
            <charset val="136"/>
          </rPr>
          <t>已匯
今晚再匯</t>
        </r>
        <r>
          <rPr>
            <sz val="9"/>
            <color indexed="81"/>
            <rFont val="Tahoma"/>
            <family val="2"/>
          </rPr>
          <t>6161</t>
        </r>
      </text>
    </comment>
    <comment ref="CK35" authorId="2" shapeId="0" xr:uid="{00000000-0006-0000-0000-0000FD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3/60
810-</t>
        </r>
        <r>
          <rPr>
            <sz val="9"/>
            <color indexed="81"/>
            <rFont val="細明體"/>
            <family val="3"/>
            <charset val="136"/>
          </rPr>
          <t>星展銀行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L35" authorId="2" shapeId="0" xr:uid="{00000000-0006-0000-0000-0000FE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4/60
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M35" authorId="2" shapeId="0" xr:uid="{00000000-0006-0000-0000-0000FF01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N35" authorId="2" shapeId="0" xr:uid="{00000000-0006-0000-0000-00000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O35" authorId="2" shapeId="0" xr:uid="{00000000-0006-0000-0000-00000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P35" authorId="2" shapeId="0" xr:uid="{00000000-0006-0000-0000-00000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Q35" authorId="2" shapeId="0" xr:uid="{00000000-0006-0000-0000-00000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R35" authorId="2" shapeId="0" xr:uid="{00000000-0006-0000-0000-00000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S35" authorId="2" shapeId="0" xr:uid="{00000000-0006-0000-0000-00000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T35" authorId="2" shapeId="0" xr:uid="{00000000-0006-0000-0000-00000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U35" authorId="2" shapeId="0" xr:uid="{00000000-0006-0000-0000-00000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V35" authorId="2" shapeId="0" xr:uid="{00000000-0006-0000-0000-00000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W35" authorId="2" shapeId="0" xr:uid="{00000000-0006-0000-0000-00000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X35" authorId="2" shapeId="0" xr:uid="{00000000-0006-0000-0000-00000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Y35" authorId="2" shapeId="0" xr:uid="{00000000-0006-0000-0000-00000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CZ35" authorId="2" shapeId="0" xr:uid="{00000000-0006-0000-0000-00000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A35" authorId="2" shapeId="0" xr:uid="{00000000-0006-0000-0000-00000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19/60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B35" authorId="2" shapeId="0" xr:uid="{00000000-0006-0000-0000-00000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20/60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C35" authorId="2" shapeId="0" xr:uid="{00000000-0006-0000-0000-00000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21/60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D35" authorId="2" shapeId="0" xr:uid="{00000000-0006-0000-0000-00001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22/60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E35" authorId="2" shapeId="0" xr:uid="{00000000-0006-0000-0000-00001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23/60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F35" authorId="2" shapeId="0" xr:uid="{00000000-0006-0000-0000-00001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24/60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G35" authorId="2" shapeId="0" xr:uid="{00000000-0006-0000-0000-00001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25/60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H35" authorId="2" shapeId="0" xr:uid="{00000000-0006-0000-0000-00001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26/60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I35" authorId="2" shapeId="0" xr:uid="{00000000-0006-0000-0000-00001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27/60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J35" authorId="2" shapeId="0" xr:uid="{00000000-0006-0000-0000-00001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28/60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DK35" authorId="2" shapeId="0" xr:uid="{00000000-0006-0000-0000-00001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29/60
</t>
        </r>
        <r>
          <rPr>
            <sz val="9"/>
            <color indexed="81"/>
            <rFont val="細明體"/>
            <family val="3"/>
            <charset val="136"/>
          </rPr>
          <t>每月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細明體"/>
            <family val="3"/>
            <charset val="136"/>
          </rPr>
          <t>號</t>
        </r>
        <r>
          <rPr>
            <sz val="9"/>
            <color indexed="81"/>
            <rFont val="Tahoma"/>
            <family val="2"/>
          </rPr>
          <t xml:space="preserve">
810-</t>
        </r>
        <r>
          <rPr>
            <sz val="9"/>
            <color indexed="81"/>
            <rFont val="細明體"/>
            <family val="3"/>
            <charset val="136"/>
          </rPr>
          <t>星展銀行(南京東路分行)　</t>
        </r>
        <r>
          <rPr>
            <sz val="9"/>
            <color indexed="81"/>
            <rFont val="Tahoma"/>
            <family val="2"/>
          </rPr>
          <t>0000080085067488</t>
        </r>
      </text>
    </comment>
    <comment ref="AK37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第一個月 10000
妹還 1900 匯 8100
累計 10000</t>
        </r>
      </text>
    </comment>
    <comment ref="AL37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第二個月 10000
匯 10000
累計 20000</t>
        </r>
      </text>
    </comment>
    <comment ref="AM37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第3個月 10000
匯 10000+4750停車費
累計 30000</t>
        </r>
      </text>
    </comment>
    <comment ref="AN37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第4個月 10000
匯 10000
累計 40000</t>
        </r>
      </text>
    </comment>
    <comment ref="AO37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第5個月 10000
匯 10000
累計 50000</t>
        </r>
      </text>
    </comment>
    <comment ref="AP37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第6個月 20000
匯 20000
累計 70000</t>
        </r>
      </text>
    </comment>
    <comment ref="AQ37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第7個月 20000
匯 14000+6000
累計 90000</t>
        </r>
      </text>
    </comment>
    <comment ref="AR37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第8個月 20000
匯 20000
累計 110000</t>
        </r>
      </text>
    </comment>
    <comment ref="AS37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第9個月 20000
匯 20000
累計 130000</t>
        </r>
      </text>
    </comment>
    <comment ref="AT37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第10個月 20000
匯 20000
累計 150000</t>
        </r>
      </text>
    </comment>
    <comment ref="AU37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第11個月 20000
匯 20000
累計 170000
羅傑結婚 16000-8000</t>
        </r>
      </text>
    </comment>
    <comment ref="AV37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第12個月 20000
匯 20000
累計 190000</t>
        </r>
      </text>
    </comment>
    <comment ref="AW37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第13個月 20000
匯 20000
累計 210000</t>
        </r>
      </text>
    </comment>
    <comment ref="AX37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第14個月 20000
匯 20000
累計 230000</t>
        </r>
      </text>
    </comment>
    <comment ref="AY37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第15個月 20000
匯 29500 含停車費
累計 250000</t>
        </r>
      </text>
    </comment>
    <comment ref="AZ37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第16個月 20000
匯 20000
累計 270000</t>
        </r>
      </text>
    </comment>
    <comment ref="BA37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第17個月 20000
匯 20000
累計 290000</t>
        </r>
      </text>
    </comment>
    <comment ref="BB37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第18個月 20000
匯 20000
累計 310000</t>
        </r>
      </text>
    </comment>
    <comment ref="BC37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第19個月 20000
匯 20000+停車費9500
累計 330000</t>
        </r>
      </text>
    </comment>
    <comment ref="BD37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第20個月 20000
匯 20000-1500(房屋稅)
累計 350000</t>
        </r>
      </text>
    </comment>
    <comment ref="BE37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第21個月 20000
匯 20000
累計 370000</t>
        </r>
      </text>
    </comment>
    <comment ref="BF37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第22個月 20000
匯 20000
累計 390000</t>
        </r>
      </text>
    </comment>
    <comment ref="BG37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第23個月 20000
匯 20000
累計 410000</t>
        </r>
      </text>
    </comment>
    <comment ref="BH37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第24個月 20000
匯 20000
累計 430000</t>
        </r>
      </text>
    </comment>
    <comment ref="BI37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第25個月 10000
匯 19500 (9500 停車費)
累計 440000</t>
        </r>
      </text>
    </comment>
    <comment ref="BJ37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第26個月 10000
匯 10000
累計 450000</t>
        </r>
      </text>
    </comment>
    <comment ref="BK37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第27個月 10000
匯 10000
累計 460000</t>
        </r>
      </text>
    </comment>
    <comment ref="BL37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第28個月 10000
匯 10000
累計 470000</t>
        </r>
      </text>
    </comment>
    <comment ref="BM37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第29個月 10000
匯 10000
累計 480000</t>
        </r>
      </text>
    </comment>
    <comment ref="BN37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第30個月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490000</t>
        </r>
      </text>
    </comment>
    <comment ref="BO37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第31個月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19500</t>
        </r>
        <r>
          <rPr>
            <sz val="9"/>
            <color indexed="81"/>
            <rFont val="新細明體"/>
            <family val="1"/>
            <charset val="136"/>
          </rPr>
          <t>含停車費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500000</t>
        </r>
      </text>
    </comment>
    <comment ref="BP37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第32個月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510000</t>
        </r>
      </text>
    </comment>
    <comment ref="BQ37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第33個月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520000</t>
        </r>
      </text>
    </comment>
    <comment ref="BR37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未付</t>
        </r>
      </text>
    </comment>
    <comment ref="BS37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第34個月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10000-1900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530000</t>
        </r>
      </text>
    </comment>
    <comment ref="BT37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第35個月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540000</t>
        </r>
      </text>
    </comment>
    <comment ref="BU37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第36個月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10000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550000</t>
        </r>
      </text>
    </comment>
    <comment ref="BV37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第37個月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570000</t>
        </r>
      </text>
    </comment>
    <comment ref="BW37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第38個月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590000</t>
        </r>
      </text>
    </comment>
    <comment ref="BX37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第39個月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610000</t>
        </r>
      </text>
    </comment>
    <comment ref="BY37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第40個月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630000</t>
        </r>
      </text>
    </comment>
    <comment ref="BZ37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第41個月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650000</t>
        </r>
      </text>
    </comment>
    <comment ref="CA37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第42個月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670000</t>
        </r>
      </text>
    </comment>
    <comment ref="CB37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第43個月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690000</t>
        </r>
      </text>
    </comment>
    <comment ref="CC37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第44個月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710000</t>
        </r>
      </text>
    </comment>
    <comment ref="CD37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Andrew_CY_Wang: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新細明體"/>
            <family val="1"/>
            <charset val="136"/>
          </rPr>
          <t>第45個月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匯</t>
        </r>
        <r>
          <rPr>
            <sz val="9"/>
            <color indexed="81"/>
            <rFont val="Tahoma"/>
            <family val="2"/>
          </rPr>
          <t xml:space="preserve"> 20000
</t>
        </r>
        <r>
          <rPr>
            <sz val="9"/>
            <color indexed="81"/>
            <rFont val="新細明體"/>
            <family val="1"/>
            <charset val="136"/>
          </rPr>
          <t>累計</t>
        </r>
        <r>
          <rPr>
            <sz val="9"/>
            <color indexed="81"/>
            <rFont val="Tahoma"/>
            <family val="2"/>
          </rPr>
          <t xml:space="preserve"> 730000</t>
        </r>
      </text>
    </comment>
    <comment ref="CJ37" authorId="2" shapeId="0" xr:uid="{00000000-0006-0000-0000-00004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K37" authorId="2" shapeId="0" xr:uid="{00000000-0006-0000-0000-00004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L37" authorId="2" shapeId="0" xr:uid="{00000000-0006-0000-0000-00004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127,744</t>
        </r>
      </text>
    </comment>
    <comment ref="CM37" authorId="2" shapeId="0" xr:uid="{00000000-0006-0000-0000-00004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N37" authorId="2" shapeId="0" xr:uid="{00000000-0006-0000-0000-00004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O37" authorId="2" shapeId="0" xr:uid="{00000000-0006-0000-0000-00004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P37" authorId="2" shapeId="0" xr:uid="{00000000-0006-0000-0000-00004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Q37" authorId="2" shapeId="0" xr:uid="{00000000-0006-0000-0000-00004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R37" authorId="2" shapeId="0" xr:uid="{00000000-0006-0000-0000-00004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S37" authorId="2" shapeId="0" xr:uid="{00000000-0006-0000-0000-00004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T37" authorId="2" shapeId="0" xr:uid="{00000000-0006-0000-0000-00005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U37" authorId="2" shapeId="0" xr:uid="{00000000-0006-0000-0000-00005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V37" authorId="2" shapeId="0" xr:uid="{00000000-0006-0000-0000-00005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W37" authorId="2" shapeId="0" xr:uid="{00000000-0006-0000-0000-00005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X37" authorId="2" shapeId="0" xr:uid="{00000000-0006-0000-0000-00005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Y37" authorId="2" shapeId="0" xr:uid="{00000000-0006-0000-0000-00005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CZ37" authorId="2" shapeId="0" xr:uid="{00000000-0006-0000-0000-00005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A37" authorId="2" shapeId="0" xr:uid="{00000000-0006-0000-0000-00005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B37" authorId="2" shapeId="0" xr:uid="{00000000-0006-0000-0000-00005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C37" authorId="2" shapeId="0" xr:uid="{00000000-0006-0000-0000-00005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D37" authorId="2" shapeId="0" xr:uid="{00000000-0006-0000-0000-00005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E37" authorId="2" shapeId="0" xr:uid="{00000000-0006-0000-0000-00005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F37" authorId="2" shapeId="0" xr:uid="{00000000-0006-0000-0000-00005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G37" authorId="2" shapeId="0" xr:uid="{00000000-0006-0000-0000-00005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H37" authorId="2" shapeId="0" xr:uid="{00000000-0006-0000-0000-00005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I37" authorId="2" shapeId="0" xr:uid="{00000000-0006-0000-0000-00005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J37" authorId="2" shapeId="0" xr:uid="{00000000-0006-0000-0000-00006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K37" authorId="2" shapeId="0" xr:uid="{00000000-0006-0000-0000-00006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L37" authorId="2" shapeId="0" xr:uid="{00000000-0006-0000-0000-00006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M37" authorId="2" shapeId="0" xr:uid="{00000000-0006-0000-0000-00006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130,167</t>
        </r>
      </text>
    </comment>
    <comment ref="DN37" authorId="2" shapeId="0" xr:uid="{00000000-0006-0000-0000-00006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37" authorId="2" shapeId="0" xr:uid="{00000000-0006-0000-0000-00006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P37" authorId="2" shapeId="0" xr:uid="{00000000-0006-0000-0000-00006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Q37" authorId="2" shapeId="0" xr:uid="{00000000-0006-0000-0000-00006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R37" authorId="2" shapeId="0" xr:uid="{00000000-0006-0000-0000-00006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S37" authorId="2" shapeId="0" xr:uid="{00000000-0006-0000-0000-00006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T37" authorId="2" shapeId="0" xr:uid="{00000000-0006-0000-0000-00006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U37" authorId="2" shapeId="0" xr:uid="{00000000-0006-0000-0000-00006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V37" authorId="2" shapeId="0" xr:uid="{C927E037-4DAB-4CC6-AB28-1FE65C98D19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W37" authorId="2" shapeId="0" xr:uid="{C24C3FD4-AF6A-42A9-9D21-EDAEE37DEA93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X37" authorId="2" shapeId="0" xr:uid="{B5561CBB-9C78-47B7-8275-77001B21174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CH41" authorId="2" shapeId="0" xr:uid="{00000000-0006-0000-0000-00006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J41" authorId="2" shapeId="0" xr:uid="{00000000-0006-0000-0000-00006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K41" authorId="2" shapeId="0" xr:uid="{00000000-0006-0000-0000-00006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>127,743</t>
        </r>
      </text>
    </comment>
    <comment ref="CL41" authorId="2" shapeId="0" xr:uid="{00000000-0006-0000-0000-00006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M41" authorId="2" shapeId="0" xr:uid="{00000000-0006-0000-0000-00007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N41" authorId="2" shapeId="0" xr:uid="{00000000-0006-0000-0000-00007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O41" authorId="2" shapeId="0" xr:uid="{00000000-0006-0000-0000-00007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P41" authorId="2" shapeId="0" xr:uid="{00000000-0006-0000-0000-00007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Q41" authorId="2" shapeId="0" xr:uid="{00000000-0006-0000-0000-00007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R41" authorId="2" shapeId="0" xr:uid="{00000000-0006-0000-0000-00007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S41" authorId="2" shapeId="0" xr:uid="{00000000-0006-0000-0000-00007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T41" authorId="2" shapeId="0" xr:uid="{00000000-0006-0000-0000-00007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U41" authorId="2" shapeId="0" xr:uid="{00000000-0006-0000-0000-00007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V41" authorId="2" shapeId="0" xr:uid="{00000000-0006-0000-0000-00007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W41" authorId="2" shapeId="0" xr:uid="{00000000-0006-0000-0000-00007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X41" authorId="2" shapeId="0" xr:uid="{00000000-0006-0000-0000-00007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Y41" authorId="2" shapeId="0" xr:uid="{00000000-0006-0000-0000-00007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Z41" authorId="2" shapeId="0" xr:uid="{00000000-0006-0000-0000-00007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A41" authorId="2" shapeId="0" xr:uid="{00000000-0006-0000-0000-00007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B41" authorId="2" shapeId="0" xr:uid="{00000000-0006-0000-0000-00007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C41" authorId="2" shapeId="0" xr:uid="{00000000-0006-0000-0000-00008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D41" authorId="2" shapeId="0" xr:uid="{00000000-0006-0000-0000-00008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E41" authorId="2" shapeId="0" xr:uid="{00000000-0006-0000-0000-00008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F41" authorId="2" shapeId="0" xr:uid="{00000000-0006-0000-0000-00008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G41" authorId="2" shapeId="0" xr:uid="{00000000-0006-0000-0000-00008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H41" authorId="2" shapeId="0" xr:uid="{00000000-0006-0000-0000-00008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I41" authorId="2" shapeId="0" xr:uid="{00000000-0006-0000-0000-00008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J41" authorId="2" shapeId="0" xr:uid="{00000000-0006-0000-0000-00008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K41" authorId="2" shapeId="0" xr:uid="{00000000-0006-0000-0000-00008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L41" authorId="2" shapeId="0" xr:uid="{00000000-0006-0000-0000-00008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M41" authorId="2" shapeId="0" xr:uid="{00000000-0006-0000-0000-00008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N41" authorId="2" shapeId="0" xr:uid="{00000000-0006-0000-0000-00008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100,000
</t>
        </r>
      </text>
    </comment>
    <comment ref="DO41" authorId="2" shapeId="0" xr:uid="{00000000-0006-0000-0000-00008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P41" authorId="2" shapeId="0" xr:uid="{00000000-0006-0000-0000-00008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Q41" authorId="2" shapeId="0" xr:uid="{00000000-0006-0000-0000-00008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R41" authorId="2" shapeId="0" xr:uid="{00000000-0006-0000-0000-00008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S41" authorId="2" shapeId="0" xr:uid="{00000000-0006-0000-0000-00009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T41" authorId="2" shapeId="0" xr:uid="{00000000-0006-0000-0000-00009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U41" authorId="2" shapeId="0" xr:uid="{00000000-0006-0000-0000-00009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V41" authorId="2" shapeId="0" xr:uid="{CBDEF11E-C062-4A61-8011-98A2A8511BD7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W41" authorId="2" shapeId="0" xr:uid="{19DE70BC-CB31-446A-A3CB-6349951D9C9F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DX41" authorId="2" shapeId="0" xr:uid="{BAB80D31-C8FC-49F5-A9A2-C61053A7E9A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預估新高點
</t>
        </r>
        <r>
          <rPr>
            <sz val="9"/>
            <color indexed="81"/>
            <rFont val="Tahoma"/>
            <family val="2"/>
          </rPr>
          <t xml:space="preserve">130,167
</t>
        </r>
      </text>
    </comment>
    <comment ref="CH42" authorId="2" shapeId="0" xr:uid="{00000000-0006-0000-0000-00009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I42" authorId="2" shapeId="0" xr:uid="{00000000-0006-0000-0000-00009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J42" authorId="2" shapeId="0" xr:uid="{00000000-0006-0000-0000-00009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七成底薪
加報帳</t>
        </r>
      </text>
    </comment>
    <comment ref="CK42" authorId="2" shapeId="0" xr:uid="{00000000-0006-0000-0000-00009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L42" authorId="2" shapeId="0" xr:uid="{00000000-0006-0000-0000-00009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 xml:space="preserve">+ </t>
        </r>
        <r>
          <rPr>
            <sz val="9"/>
            <color indexed="81"/>
            <rFont val="細明體"/>
            <family val="3"/>
            <charset val="136"/>
          </rPr>
          <t>去年四季底薪</t>
        </r>
      </text>
    </comment>
    <comment ref="CM42" authorId="2" shapeId="0" xr:uid="{00000000-0006-0000-0000-00009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N42" authorId="2" shapeId="0" xr:uid="{00000000-0006-0000-0000-00009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細明體"/>
            <family val="3"/>
            <charset val="136"/>
          </rPr>
          <t>報帳</t>
        </r>
      </text>
    </comment>
    <comment ref="CO42" authorId="2" shapeId="0" xr:uid="{00000000-0006-0000-0000-00009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P42" authorId="2" shapeId="0" xr:uid="{00000000-0006-0000-0000-00009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Q42" authorId="2" shapeId="0" xr:uid="{00000000-0006-0000-0000-00009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R42" authorId="2" shapeId="0" xr:uid="{00000000-0006-0000-0000-00009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S42" authorId="2" shapeId="0" xr:uid="{00000000-0006-0000-0000-00009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T42" authorId="2" shapeId="0" xr:uid="{00000000-0006-0000-0000-00009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U42" authorId="2" shapeId="0" xr:uid="{00000000-0006-0000-0000-0000A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V42" authorId="2" shapeId="0" xr:uid="{00000000-0006-0000-0000-0000A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W42" authorId="2" shapeId="0" xr:uid="{00000000-0006-0000-0000-0000A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X42" authorId="2" shapeId="0" xr:uid="{00000000-0006-0000-0000-0000A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Y42" authorId="2" shapeId="0" xr:uid="{00000000-0006-0000-0000-0000A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CZ42" authorId="2" shapeId="0" xr:uid="{00000000-0006-0000-0000-0000A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A42" authorId="2" shapeId="0" xr:uid="{00000000-0006-0000-0000-0000A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B42" authorId="2" shapeId="0" xr:uid="{00000000-0006-0000-0000-0000A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C42" authorId="2" shapeId="0" xr:uid="{00000000-0006-0000-0000-0000A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D42" authorId="2" shapeId="0" xr:uid="{00000000-0006-0000-0000-0000A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E42" authorId="2" shapeId="0" xr:uid="{00000000-0006-0000-0000-0000A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F42" authorId="2" shapeId="0" xr:uid="{00000000-0006-0000-0000-0000AB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G42" authorId="2" shapeId="0" xr:uid="{00000000-0006-0000-0000-0000AC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H42" authorId="2" shapeId="0" xr:uid="{00000000-0006-0000-0000-0000AD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I42" authorId="2" shapeId="0" xr:uid="{00000000-0006-0000-0000-0000AE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J42" authorId="2" shapeId="0" xr:uid="{00000000-0006-0000-0000-0000AF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K42" authorId="2" shapeId="0" xr:uid="{00000000-0006-0000-0000-0000B0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L42" authorId="2" shapeId="0" xr:uid="{00000000-0006-0000-0000-0000B1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M42" authorId="2" shapeId="0" xr:uid="{00000000-0006-0000-0000-0000B2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N42" authorId="2" shapeId="0" xr:uid="{00000000-0006-0000-0000-0000B3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O42" authorId="2" shapeId="0" xr:uid="{00000000-0006-0000-0000-0000B4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P42" authorId="2" shapeId="0" xr:uid="{00000000-0006-0000-0000-0000B5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Q42" authorId="2" shapeId="0" xr:uid="{00000000-0006-0000-0000-0000B6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R42" authorId="2" shapeId="0" xr:uid="{00000000-0006-0000-0000-0000B7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S42" authorId="2" shapeId="0" xr:uid="{00000000-0006-0000-0000-0000B8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T42" authorId="2" shapeId="0" xr:uid="{00000000-0006-0000-0000-0000B9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U42" authorId="2" shapeId="0" xr:uid="{00000000-0006-0000-0000-0000BA020000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V42" authorId="2" shapeId="0" xr:uid="{93889A87-7561-4808-B1E8-1EAC499182F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W42" authorId="2" shapeId="0" xr:uid="{5BEBF23F-E4F5-430E-9853-145CD009593A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DX42" authorId="2" shapeId="0" xr:uid="{44139967-FFCA-4653-9C0E-C6D01BCFB09C}">
      <text>
        <r>
          <rPr>
            <b/>
            <sz val="9"/>
            <color indexed="81"/>
            <rFont val="Tahoma"/>
            <family val="2"/>
          </rPr>
          <t>Wang, Andrew: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七成底薪
</t>
        </r>
      </text>
    </comment>
    <comment ref="O43" authorId="0" shapeId="0" xr:uid="{00000000-0006-0000-0000-0000BB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3" authorId="0" shapeId="0" xr:uid="{00000000-0006-0000-0000-0000BC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3" authorId="0" shapeId="0" xr:uid="{00000000-0006-0000-0000-0000BD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3" authorId="0" shapeId="0" xr:uid="{00000000-0006-0000-0000-0000BE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3" authorId="0" shapeId="0" xr:uid="{00000000-0006-0000-0000-0000BF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O44" authorId="0" shapeId="0" xr:uid="{00000000-0006-0000-0000-0000C0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P44" authorId="0" shapeId="0" xr:uid="{00000000-0006-0000-0000-0000C1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Q44" authorId="0" shapeId="0" xr:uid="{00000000-0006-0000-0000-0000C2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R44" authorId="0" shapeId="0" xr:uid="{00000000-0006-0000-0000-0000C3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  <comment ref="S44" authorId="0" shapeId="0" xr:uid="{00000000-0006-0000-0000-0000C4020000}">
      <text>
        <r>
          <rPr>
            <b/>
            <sz val="8"/>
            <color indexed="81"/>
            <rFont val="Tahoma"/>
            <family val="2"/>
          </rPr>
          <t>Andrew_CY_Wang: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細明體"/>
            <family val="3"/>
            <charset val="136"/>
          </rPr>
          <t>先繳</t>
        </r>
        <r>
          <rPr>
            <sz val="8"/>
            <color indexed="81"/>
            <rFont val="Tahoma"/>
            <family val="2"/>
          </rPr>
          <t xml:space="preserve"> 30000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E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中國信託繳清</t>
        </r>
      </text>
    </comment>
    <comment ref="J1" authorId="0" shapeId="0" xr:uid="{00000000-0006-0000-0E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25426 已繳最低</t>
        </r>
      </text>
    </comment>
    <comment ref="N1" authorId="0" shapeId="0" xr:uid="{00000000-0006-0000-0E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沒刷卡</t>
        </r>
      </text>
    </comment>
    <comment ref="W1" authorId="0" shapeId="0" xr:uid="{00000000-0006-0000-0E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第一銀行以腳最低</t>
        </r>
      </text>
    </comment>
    <comment ref="AE1" authorId="0" shapeId="0" xr:uid="{00000000-0006-0000-0E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 已繳最低
荷蘭 已繳最低</t>
        </r>
      </text>
    </comment>
    <comment ref="AG1" authorId="0" shapeId="0" xr:uid="{00000000-0006-0000-0E00-000006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 已繳最低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0F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中國信託已繳</t>
        </r>
      </text>
    </comment>
    <comment ref="J1" authorId="0" shapeId="0" xr:uid="{00000000-0006-0000-0F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已繳最低</t>
        </r>
      </text>
    </comment>
    <comment ref="P1" authorId="0" shapeId="0" xr:uid="{00000000-0006-0000-0F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繳清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E1" authorId="0" shapeId="0" xr:uid="{00000000-0006-0000-10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fb 繳清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H1" authorId="0" shapeId="0" xr:uid="{00000000-0006-0000-11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paid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Wang</author>
  </authors>
  <commentList>
    <comment ref="AG42" authorId="0" shapeId="0" xr:uid="{00000000-0006-0000-1300-000001000000}">
      <text>
        <r>
          <rPr>
            <b/>
            <sz val="9"/>
            <color indexed="81"/>
            <rFont val="新細明體"/>
            <family val="1"/>
            <charset val="136"/>
          </rPr>
          <t>Andrew Wang:</t>
        </r>
        <r>
          <rPr>
            <sz val="9"/>
            <color indexed="81"/>
            <rFont val="新細明體"/>
            <family val="1"/>
            <charset val="136"/>
          </rPr>
          <t xml:space="preserve">
盟立報帳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AG1" authorId="0" shapeId="0" xr:uid="{00000000-0006-0000-15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匯豐信用卡已繳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N1" authorId="0" shapeId="0" xr:uid="{00000000-0006-0000-16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安信信用卡已繳</t>
        </r>
      </text>
    </comment>
    <comment ref="P1" authorId="0" shapeId="0" xr:uid="{00000000-0006-0000-1600-000002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聯邦銀行用卡已繳</t>
        </r>
      </text>
    </comment>
    <comment ref="W1" authorId="0" shapeId="0" xr:uid="{00000000-0006-0000-16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繳最低
第一銀行</t>
        </r>
      </text>
    </comment>
    <comment ref="AE1" authorId="0" shapeId="0" xr:uid="{00000000-0006-0000-16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富邦信用卡已付最低
荷蘭信用卡已付最低</t>
        </r>
      </text>
    </comment>
    <comment ref="AG1" authorId="0" shapeId="0" xr:uid="{00000000-0006-0000-1600-000005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匯豐銀行只付6000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IBM_USER</author>
  </authors>
  <commentList>
    <comment ref="H1" authorId="0" shapeId="0" xr:uid="{00000000-0006-0000-1700-000001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中信已繳清</t>
        </r>
      </text>
    </comment>
    <comment ref="P1" authorId="0" shapeId="0" xr:uid="{00000000-0006-0000-1700-000002000000}">
      <text>
        <r>
          <rPr>
            <b/>
            <sz val="9"/>
            <color indexed="81"/>
            <rFont val="新細明體"/>
            <family val="1"/>
            <charset val="136"/>
          </rPr>
          <t>IBM_USER:
9588 
已繳最低額度 1000</t>
        </r>
      </text>
    </comment>
    <comment ref="AE1" authorId="0" shapeId="0" xr:uid="{00000000-0006-0000-1700-000003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荷蘭銀行信用卡已繳
富邦銀行已繳3000</t>
        </r>
      </text>
    </comment>
    <comment ref="AG1" authorId="0" shapeId="0" xr:uid="{00000000-0006-0000-1700-000004000000}">
      <text>
        <r>
          <rPr>
            <b/>
            <sz val="9"/>
            <color indexed="81"/>
            <rFont val="新細明體"/>
            <family val="1"/>
            <charset val="136"/>
          </rPr>
          <t>IBM_USER:</t>
        </r>
        <r>
          <rPr>
            <sz val="9"/>
            <color indexed="81"/>
            <rFont val="新細明體"/>
            <family val="1"/>
            <charset val="136"/>
          </rPr>
          <t xml:space="preserve">
匯豐銀行繳4500</t>
        </r>
      </text>
    </comment>
  </commentList>
</comments>
</file>

<file path=xl/sharedStrings.xml><?xml version="1.0" encoding="utf-8"?>
<sst xmlns="http://schemas.openxmlformats.org/spreadsheetml/2006/main" count="1902" uniqueCount="424">
  <si>
    <t xml:space="preserve"> 年</t>
  </si>
  <si>
    <t xml:space="preserve"> 項目</t>
  </si>
  <si>
    <t>月份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</si>
  <si>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</si>
  <si>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</si>
  <si>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</si>
  <si>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</si>
  <si>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</si>
  <si>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</si>
  <si>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</si>
  <si>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</si>
  <si>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</si>
  <si>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</si>
  <si>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</si>
  <si>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</si>
  <si>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總計</t>
  </si>
  <si>
    <t>項目總計</t>
  </si>
  <si>
    <t>預算金額</t>
  </si>
  <si>
    <t>支出</t>
  </si>
  <si>
    <t>食</t>
  </si>
  <si>
    <t>外食</t>
  </si>
  <si>
    <t>菸酒</t>
  </si>
  <si>
    <t>食品採購</t>
  </si>
  <si>
    <t>衣</t>
  </si>
  <si>
    <t>服裝</t>
  </si>
  <si>
    <t>住</t>
  </si>
  <si>
    <t>房貸</t>
  </si>
  <si>
    <t>租金</t>
  </si>
  <si>
    <t>電話通訊</t>
  </si>
  <si>
    <t>水電瓦斯</t>
  </si>
  <si>
    <t>家用維修</t>
  </si>
  <si>
    <t>土地及房屋稅</t>
  </si>
  <si>
    <t>住屋保險</t>
  </si>
  <si>
    <t>行</t>
  </si>
  <si>
    <t>汽車貸款</t>
  </si>
  <si>
    <t>汽車維修</t>
  </si>
  <si>
    <t>汽油費</t>
  </si>
  <si>
    <t>停車費</t>
  </si>
  <si>
    <t>交通費用</t>
  </si>
  <si>
    <t>汽車保險</t>
  </si>
  <si>
    <t>撫育</t>
  </si>
  <si>
    <t>子女教育費</t>
  </si>
  <si>
    <t>子女保險費</t>
  </si>
  <si>
    <t>育</t>
  </si>
  <si>
    <t>成長教育費</t>
  </si>
  <si>
    <t>樂</t>
  </si>
  <si>
    <t>度假旅遊費</t>
  </si>
  <si>
    <t>娛樂交際費</t>
  </si>
  <si>
    <t>保險</t>
  </si>
  <si>
    <t>人壽保費</t>
  </si>
  <si>
    <t>稅</t>
  </si>
  <si>
    <t>所得稅</t>
  </si>
  <si>
    <t>投資</t>
  </si>
  <si>
    <t>投資儲蓄</t>
  </si>
  <si>
    <t>健康</t>
  </si>
  <si>
    <t>健康保健</t>
  </si>
  <si>
    <t>奉養</t>
  </si>
  <si>
    <t>奉獻</t>
  </si>
  <si>
    <t>借貸</t>
  </si>
  <si>
    <t>借別人錢</t>
  </si>
  <si>
    <t>還別人錢</t>
  </si>
  <si>
    <t>當月支出總計</t>
  </si>
  <si>
    <t>收入</t>
  </si>
  <si>
    <t>本業</t>
  </si>
  <si>
    <t>公司薪資</t>
  </si>
  <si>
    <t>差旅費</t>
  </si>
  <si>
    <t>投資收入</t>
  </si>
  <si>
    <t>別人還錢</t>
  </si>
  <si>
    <t>當月收入總計</t>
  </si>
  <si>
    <t>日期</t>
  </si>
  <si>
    <t>公司帳號結餘</t>
  </si>
  <si>
    <t>公司差旅費</t>
  </si>
  <si>
    <t>租金(其他)</t>
    <phoneticPr fontId="18" type="noConversion"/>
  </si>
  <si>
    <t>獎金收入</t>
    <phoneticPr fontId="18" type="noConversion"/>
  </si>
  <si>
    <t>IBM ESPP</t>
    <phoneticPr fontId="18" type="noConversion"/>
  </si>
  <si>
    <t>新制退休金</t>
    <phoneticPr fontId="18" type="noConversion"/>
  </si>
  <si>
    <t>配件</t>
    <phoneticPr fontId="18" type="noConversion"/>
  </si>
  <si>
    <t>保養化妝品</t>
    <phoneticPr fontId="18" type="noConversion"/>
  </si>
  <si>
    <t>銀行</t>
    <phoneticPr fontId="28" type="noConversion"/>
  </si>
  <si>
    <t>卡別</t>
    <phoneticPr fontId="28" type="noConversion"/>
  </si>
  <si>
    <t>繳款方式</t>
    <phoneticPr fontId="28" type="noConversion"/>
  </si>
  <si>
    <t>繳款日期</t>
    <phoneticPr fontId="28" type="noConversion"/>
  </si>
  <si>
    <t>信用額度</t>
    <phoneticPr fontId="28" type="noConversion"/>
  </si>
  <si>
    <t>紅利點數</t>
    <phoneticPr fontId="28" type="noConversion"/>
  </si>
  <si>
    <t>有效期限</t>
    <phoneticPr fontId="28" type="noConversion"/>
  </si>
  <si>
    <t>網頁</t>
    <phoneticPr fontId="28" type="noConversion"/>
  </si>
  <si>
    <t>匯豐銀行</t>
    <phoneticPr fontId="28" type="noConversion"/>
  </si>
  <si>
    <t>(081)4511855754397231</t>
    <phoneticPr fontId="28" type="noConversion"/>
  </si>
  <si>
    <t>http:/www.hsbc.com.tw</t>
    <phoneticPr fontId="28" type="noConversion"/>
  </si>
  <si>
    <t>台新銀行</t>
    <phoneticPr fontId="28" type="noConversion"/>
  </si>
  <si>
    <t>新光三越</t>
    <phoneticPr fontId="28" type="noConversion"/>
  </si>
  <si>
    <t>http://my.taishinbank.com.tw</t>
    <phoneticPr fontId="28" type="noConversion"/>
  </si>
  <si>
    <t>國泰世華銀行</t>
    <phoneticPr fontId="28" type="noConversion"/>
  </si>
  <si>
    <t>萬泰銀行</t>
    <phoneticPr fontId="28" type="noConversion"/>
  </si>
  <si>
    <t>京華城</t>
    <phoneticPr fontId="28" type="noConversion"/>
  </si>
  <si>
    <t>http://www.cpcity.com.tw</t>
    <phoneticPr fontId="28" type="noConversion"/>
  </si>
  <si>
    <t>聯邦銀行</t>
    <phoneticPr fontId="28" type="noConversion"/>
  </si>
  <si>
    <r>
      <t>F1</t>
    </r>
    <r>
      <rPr>
        <sz val="9"/>
        <color indexed="10"/>
        <rFont val="新細明體"/>
        <family val="1"/>
        <charset val="136"/>
      </rPr>
      <t>加油卡</t>
    </r>
    <phoneticPr fontId="28" type="noConversion"/>
  </si>
  <si>
    <t>(803)1234505121971661</t>
    <phoneticPr fontId="28" type="noConversion"/>
  </si>
  <si>
    <t>http://bonus.ubot.com.tw</t>
    <phoneticPr fontId="28" type="noConversion"/>
  </si>
  <si>
    <t>第一銀行</t>
    <phoneticPr fontId="28" type="noConversion"/>
  </si>
  <si>
    <t>亞力山大</t>
    <phoneticPr fontId="28" type="noConversion"/>
  </si>
  <si>
    <t>(007)4682141701157900</t>
    <phoneticPr fontId="28" type="noConversion"/>
  </si>
  <si>
    <t>http://www.firstcard.com.tw</t>
    <phoneticPr fontId="28" type="noConversion"/>
  </si>
  <si>
    <t>http://www.abnamro.com.tw</t>
    <phoneticPr fontId="28" type="noConversion"/>
  </si>
  <si>
    <t>富邦銀行</t>
    <phoneticPr fontId="28" type="noConversion"/>
  </si>
  <si>
    <t>http://www.taipeifubon.com.tw</t>
    <phoneticPr fontId="28" type="noConversion"/>
  </si>
  <si>
    <t>(807)5520540203351403</t>
    <phoneticPr fontId="28" type="noConversion"/>
  </si>
  <si>
    <t>中國信託</t>
    <phoneticPr fontId="28" type="noConversion"/>
  </si>
  <si>
    <t>(809)88805121971661</t>
    <phoneticPr fontId="28" type="noConversion"/>
  </si>
  <si>
    <t>餘額</t>
    <phoneticPr fontId="18" type="noConversion"/>
  </si>
  <si>
    <t>終身有效</t>
    <phoneticPr fontId="18" type="noConversion"/>
  </si>
  <si>
    <t>循環利息</t>
    <phoneticPr fontId="28" type="noConversion"/>
  </si>
  <si>
    <t>http://www.sinocard.com.tw</t>
    <phoneticPr fontId="28" type="noConversion"/>
  </si>
  <si>
    <t>(812)90105121971661</t>
    <phoneticPr fontId="28" type="noConversion"/>
  </si>
  <si>
    <t>剪卡</t>
    <phoneticPr fontId="28" type="noConversion"/>
  </si>
  <si>
    <t>停用</t>
    <phoneticPr fontId="28" type="noConversion"/>
  </si>
  <si>
    <t>淑琪</t>
    <phoneticPr fontId="28" type="noConversion"/>
  </si>
  <si>
    <t>借款</t>
    <phoneticPr fontId="28" type="noConversion"/>
  </si>
  <si>
    <t>信用卡</t>
    <phoneticPr fontId="28" type="noConversion"/>
  </si>
  <si>
    <t>貸款</t>
    <phoneticPr fontId="28" type="noConversion"/>
  </si>
  <si>
    <t>月欠</t>
    <phoneticPr fontId="28" type="noConversion"/>
  </si>
  <si>
    <t>等卡</t>
    <phoneticPr fontId="28" type="noConversion"/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</si>
  <si>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</si>
  <si>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</si>
  <si>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</si>
  <si>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</si>
  <si>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</si>
  <si>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</si>
  <si>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</si>
  <si>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</si>
  <si>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</si>
  <si>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</si>
  <si>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</si>
  <si>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</si>
  <si>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房貸(車庫)</t>
    <phoneticPr fontId="28" type="noConversion"/>
  </si>
  <si>
    <t>貸款</t>
    <phoneticPr fontId="28" type="noConversion"/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</si>
  <si>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</si>
  <si>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</si>
  <si>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</si>
  <si>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</si>
  <si>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</si>
  <si>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</si>
  <si>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</si>
  <si>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</si>
  <si>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</si>
  <si>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</si>
  <si>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</si>
  <si>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永豐 / ING</t>
    <phoneticPr fontId="28" type="noConversion"/>
  </si>
  <si>
    <t>本金</t>
    <phoneticPr fontId="28" type="noConversion"/>
  </si>
  <si>
    <t>利息</t>
    <phoneticPr fontId="28" type="noConversion"/>
  </si>
  <si>
    <t>合計</t>
    <phoneticPr fontId="28" type="noConversion"/>
  </si>
  <si>
    <t>車庫貸款</t>
    <phoneticPr fontId="28" type="noConversion"/>
  </si>
  <si>
    <t>20 年貸款 144 萬 (240期)</t>
    <phoneticPr fontId="28" type="noConversion"/>
  </si>
  <si>
    <t>帳號: (822)716540002289</t>
    <phoneticPr fontId="28" type="noConversion"/>
  </si>
  <si>
    <t>國泰世華銀行</t>
  </si>
  <si>
    <t>荷蘭銀行</t>
  </si>
  <si>
    <t>富邦銀行</t>
  </si>
  <si>
    <t>建華銀行</t>
  </si>
  <si>
    <t>中國信託</t>
  </si>
  <si>
    <t>淑琪</t>
  </si>
  <si>
    <t>房貸(車庫)</t>
  </si>
  <si>
    <t>ESPP</t>
    <phoneticPr fontId="18" type="noConversion"/>
  </si>
  <si>
    <t>上海商銀</t>
    <phoneticPr fontId="28" type="noConversion"/>
  </si>
  <si>
    <t>國泰世華</t>
    <phoneticPr fontId="28" type="noConversion"/>
  </si>
  <si>
    <r>
      <t xml:space="preserve">2008 vs 2009 </t>
    </r>
    <r>
      <rPr>
        <b/>
        <sz val="10"/>
        <rFont val="細明體"/>
        <family val="3"/>
        <charset val="136"/>
      </rPr>
      <t>支出比較表</t>
    </r>
    <phoneticPr fontId="18" type="noConversion"/>
  </si>
  <si>
    <t>自行車</t>
    <phoneticPr fontId="18" type="noConversion"/>
  </si>
  <si>
    <t>扶養</t>
    <phoneticPr fontId="28" type="noConversion"/>
  </si>
  <si>
    <t>(882)071532633097</t>
    <phoneticPr fontId="28" type="noConversion"/>
  </si>
  <si>
    <r>
      <t xml:space="preserve">2009 </t>
    </r>
    <r>
      <rPr>
        <b/>
        <sz val="10"/>
        <rFont val="細明體"/>
        <family val="3"/>
        <charset val="136"/>
      </rPr>
      <t>總負債</t>
    </r>
    <r>
      <rPr>
        <b/>
        <sz val="10"/>
        <rFont val="微軟細明"/>
        <family val="2"/>
      </rPr>
      <t xml:space="preserve"> vs </t>
    </r>
    <r>
      <rPr>
        <b/>
        <sz val="10"/>
        <rFont val="細明體"/>
        <family val="3"/>
        <charset val="136"/>
      </rPr>
      <t>信用卡負債比較表</t>
    </r>
    <phoneticPr fontId="18" type="noConversion"/>
  </si>
  <si>
    <t>信用卡</t>
    <phoneticPr fontId="18" type="noConversion"/>
  </si>
  <si>
    <t>淑琪</t>
    <phoneticPr fontId="18" type="noConversion"/>
  </si>
  <si>
    <t>永豐銀行</t>
    <phoneticPr fontId="28" type="noConversion"/>
  </si>
  <si>
    <t>房貸(五樓)</t>
    <phoneticPr fontId="28" type="noConversion"/>
  </si>
  <si>
    <t>車庫</t>
    <phoneticPr fontId="18" type="noConversion"/>
  </si>
  <si>
    <t>房貸</t>
    <phoneticPr fontId="18" type="noConversion"/>
  </si>
  <si>
    <t>存款</t>
    <phoneticPr fontId="18" type="noConversion"/>
  </si>
  <si>
    <r>
      <t xml:space="preserve">2009 </t>
    </r>
    <r>
      <rPr>
        <b/>
        <sz val="10"/>
        <rFont val="細明體"/>
        <family val="3"/>
        <charset val="136"/>
      </rPr>
      <t>收入支出比較表</t>
    </r>
    <phoneticPr fontId="18" type="noConversion"/>
  </si>
  <si>
    <t>收入</t>
    <phoneticPr fontId="18" type="noConversion"/>
  </si>
  <si>
    <t>支出</t>
    <phoneticPr fontId="18" type="noConversion"/>
  </si>
  <si>
    <t>差距</t>
    <phoneticPr fontId="28" type="noConversion"/>
  </si>
  <si>
    <t>20 年貸款 488 萬 (240期)</t>
    <phoneticPr fontId="28" type="noConversion"/>
  </si>
  <si>
    <t>總負債</t>
    <phoneticPr fontId="28" type="noConversion"/>
  </si>
  <si>
    <t>總存款</t>
    <phoneticPr fontId="28" type="noConversion"/>
  </si>
  <si>
    <t>平衡</t>
    <phoneticPr fontId="28" type="noConversion"/>
  </si>
  <si>
    <t>國泰薪資</t>
    <phoneticPr fontId="28" type="noConversion"/>
  </si>
  <si>
    <t>小孩生活費</t>
    <phoneticPr fontId="28" type="noConversion"/>
  </si>
  <si>
    <t>Linda 房貸</t>
  </si>
  <si>
    <t>Linda 房貸</t>
    <phoneticPr fontId="28" type="noConversion"/>
  </si>
  <si>
    <t>https://www.treemall.com.tw</t>
  </si>
  <si>
    <t>(013)2666005121971661</t>
  </si>
  <si>
    <t>昌宇</t>
  </si>
  <si>
    <t>還款</t>
  </si>
  <si>
    <t>帳號: (108)29020042061</t>
  </si>
  <si>
    <t>帳號: (118)04465000004548</t>
  </si>
  <si>
    <t>利息支付</t>
  </si>
  <si>
    <t>選號</t>
  </si>
  <si>
    <t>累計1</t>
  </si>
  <si>
    <t>累計2</t>
  </si>
  <si>
    <t>累計3</t>
  </si>
  <si>
    <t>累計4</t>
  </si>
  <si>
    <t>累計5</t>
  </si>
  <si>
    <t>累計6</t>
  </si>
  <si>
    <t>期別</t>
  </si>
  <si>
    <t>第 1 組</t>
  </si>
  <si>
    <t>第 2 組</t>
  </si>
  <si>
    <t>第 3 組</t>
  </si>
  <si>
    <t>第 4 組</t>
  </si>
  <si>
    <t>第 5 組</t>
  </si>
  <si>
    <t>第 6 組</t>
  </si>
  <si>
    <t>特別號</t>
  </si>
  <si>
    <t>累計7</t>
  </si>
  <si>
    <t>100000001</t>
  </si>
  <si>
    <t>開獎日</t>
  </si>
  <si>
    <t>100000002</t>
  </si>
  <si>
    <t>100000003</t>
  </si>
  <si>
    <t>100000004</t>
  </si>
  <si>
    <t>100000005</t>
  </si>
  <si>
    <t>100000006</t>
  </si>
  <si>
    <t>100000007</t>
  </si>
  <si>
    <t>100000008</t>
  </si>
  <si>
    <t>100000009</t>
  </si>
  <si>
    <t>100000010</t>
  </si>
  <si>
    <t>100000011</t>
  </si>
  <si>
    <t>總累計</t>
  </si>
  <si>
    <t>投資金額</t>
  </si>
  <si>
    <t>中獎金額</t>
  </si>
  <si>
    <t>投資報酬率</t>
  </si>
  <si>
    <t>中獎機率</t>
  </si>
  <si>
    <t>中獎獎金</t>
  </si>
  <si>
    <t>對中號碼數</t>
  </si>
  <si>
    <t>中碼平均值</t>
  </si>
  <si>
    <t>100000012</t>
  </si>
  <si>
    <t>100000013</t>
  </si>
  <si>
    <t>100000014</t>
  </si>
  <si>
    <t>100000015</t>
  </si>
  <si>
    <t>Linda</t>
  </si>
  <si>
    <t xml:space="preserve">Linda Total </t>
  </si>
  <si>
    <t>昌宇Total</t>
  </si>
  <si>
    <t>永豐銀行</t>
  </si>
  <si>
    <t>房屋貸款1</t>
  </si>
  <si>
    <t>房屋貸款2</t>
  </si>
  <si>
    <t>五樓</t>
  </si>
  <si>
    <t>中壽</t>
  </si>
  <si>
    <t>富邦</t>
  </si>
  <si>
    <t>每月固定還10000</t>
  </si>
  <si>
    <t>房貸(新五樓)</t>
  </si>
  <si>
    <t>放款本息</t>
  </si>
  <si>
    <t>交易日</t>
  </si>
  <si>
    <t>帳務日</t>
  </si>
  <si>
    <t>摘要</t>
  </si>
  <si>
    <t>存入</t>
  </si>
  <si>
    <t>餘額</t>
  </si>
  <si>
    <t>備註</t>
  </si>
  <si>
    <t>資金用途</t>
  </si>
  <si>
    <t>045055000288554200001</t>
  </si>
  <si>
    <t>045055000288553600001</t>
  </si>
  <si>
    <t>045055000288554700001</t>
  </si>
  <si>
    <t>045055000288554200002</t>
  </si>
  <si>
    <t>045055000288553600002</t>
  </si>
  <si>
    <t>信用貸款</t>
  </si>
  <si>
    <t>房屋貸款</t>
  </si>
  <si>
    <t>回複性房貸</t>
  </si>
  <si>
    <t>金額</t>
  </si>
  <si>
    <t>還</t>
  </si>
  <si>
    <t>帳面補到</t>
  </si>
  <si>
    <t>匯</t>
  </si>
  <si>
    <t>本來要惠</t>
  </si>
  <si>
    <t>現金</t>
  </si>
  <si>
    <t>永豐每月存款結餘(180萬彈性信貸)</t>
    <phoneticPr fontId="28" type="noConversion"/>
  </si>
  <si>
    <t>每月支出</t>
    <phoneticPr fontId="28" type="noConversion"/>
  </si>
  <si>
    <t>每月收入</t>
    <phoneticPr fontId="28" type="noConversion"/>
  </si>
  <si>
    <t>王昱絜保險</t>
    <phoneticPr fontId="28" type="noConversion"/>
  </si>
  <si>
    <t>(012)741722673271</t>
    <phoneticPr fontId="28" type="noConversion"/>
  </si>
  <si>
    <t>王子齊保險</t>
    <phoneticPr fontId="28" type="noConversion"/>
  </si>
  <si>
    <t>王子齊五年</t>
    <phoneticPr fontId="28" type="noConversion"/>
  </si>
  <si>
    <t>璀璨管理費</t>
    <phoneticPr fontId="28" type="noConversion"/>
  </si>
  <si>
    <t>報帳</t>
    <phoneticPr fontId="28" type="noConversion"/>
  </si>
  <si>
    <t>璀璨全年</t>
    <phoneticPr fontId="28" type="noConversion"/>
  </si>
  <si>
    <t>報所得稅</t>
    <phoneticPr fontId="28" type="noConversion"/>
  </si>
  <si>
    <t>車貸</t>
    <phoneticPr fontId="18" type="noConversion"/>
  </si>
  <si>
    <t>子齊費用</t>
    <phoneticPr fontId="18" type="noConversion"/>
  </si>
  <si>
    <t>昱絜薪水</t>
    <phoneticPr fontId="18" type="noConversion"/>
  </si>
  <si>
    <t>TOTAL</t>
    <phoneticPr fontId="18" type="noConversion"/>
  </si>
  <si>
    <t>本人保費</t>
    <phoneticPr fontId="28" type="noConversion"/>
  </si>
  <si>
    <t>Start Date</t>
    <phoneticPr fontId="18" type="noConversion"/>
  </si>
  <si>
    <t>Change to 3,600 here</t>
    <phoneticPr fontId="18" type="noConversion"/>
  </si>
  <si>
    <t>Subtotal</t>
    <phoneticPr fontId="18" type="noConversion"/>
  </si>
  <si>
    <t>Withdraw</t>
    <phoneticPr fontId="18" type="noConversion"/>
  </si>
  <si>
    <t>Total</t>
    <phoneticPr fontId="18" type="noConversion"/>
  </si>
  <si>
    <t>Value</t>
    <phoneticPr fontId="18" type="noConversion"/>
  </si>
  <si>
    <t>Lost</t>
    <phoneticPr fontId="18" type="noConversion"/>
  </si>
  <si>
    <t>香港基金</t>
    <phoneticPr fontId="18" type="noConversion"/>
  </si>
  <si>
    <t>富邦薪資</t>
    <phoneticPr fontId="28" type="noConversion"/>
  </si>
  <si>
    <t>台新银行</t>
    <phoneticPr fontId="28" type="noConversion"/>
  </si>
  <si>
    <t>灿坤</t>
    <phoneticPr fontId="28" type="noConversion"/>
  </si>
  <si>
    <t>尚欠</t>
  </si>
  <si>
    <t>汽車貸款當作還款金額</t>
    <phoneticPr fontId="28" type="noConversion"/>
  </si>
  <si>
    <t>未付每月 11000 元 (汽車貸款最後一期)</t>
    <phoneticPr fontId="28" type="noConversion"/>
  </si>
  <si>
    <t>十月分未付，多欠費用 5100</t>
  </si>
  <si>
    <t>匯 10000 抵費用 5100，還 4900</t>
  </si>
  <si>
    <t>矯正3600+8000出一半=5800, +4900=10700</t>
  </si>
  <si>
    <t>匯 10000 抵費用 2900，還 7100</t>
  </si>
  <si>
    <t>一年可還</t>
  </si>
  <si>
    <t>加上2010增加的費用 81960 + 14300</t>
  </si>
  <si>
    <t>加上2010四月後增加的健保費差價</t>
  </si>
  <si>
    <t>匯 10000 抵費用 3200，還 6800</t>
  </si>
  <si>
    <t>匯 15000 抵住宿5000抵費用 3200，還 6800</t>
  </si>
  <si>
    <t>2012八月開始，每月匯10000還10000，增加部分再加入</t>
  </si>
  <si>
    <t>日期</t>
    <phoneticPr fontId="28" type="noConversion"/>
  </si>
  <si>
    <t>總金額</t>
    <phoneticPr fontId="28" type="noConversion"/>
  </si>
  <si>
    <t>新增金額</t>
    <phoneticPr fontId="28" type="noConversion"/>
  </si>
  <si>
    <t>還款</t>
    <phoneticPr fontId="28" type="noConversion"/>
  </si>
  <si>
    <t>備註</t>
    <phoneticPr fontId="28" type="noConversion"/>
  </si>
  <si>
    <t>汽車貸款當作還款金額</t>
    <phoneticPr fontId="28" type="noConversion"/>
  </si>
  <si>
    <t>汽車貸款當作還款金額</t>
    <phoneticPr fontId="28" type="noConversion"/>
  </si>
  <si>
    <t>加入小孩健保費</t>
    <phoneticPr fontId="28" type="noConversion"/>
  </si>
  <si>
    <t>未付每月 15000 元 - 電腦費用 10000</t>
    <phoneticPr fontId="28" type="noConversion"/>
  </si>
  <si>
    <t>未付每月 15000 元 + 科學營 3000</t>
    <phoneticPr fontId="28" type="noConversion"/>
  </si>
  <si>
    <t>支付 15000, 包含 4000 還款金額</t>
    <phoneticPr fontId="28" type="noConversion"/>
  </si>
  <si>
    <t>這個月繳學費，多欠你 11000</t>
    <phoneticPr fontId="28" type="noConversion"/>
  </si>
  <si>
    <t>九月開始匯 10000 給你 (費用 5100)</t>
    <phoneticPr fontId="28" type="noConversion"/>
  </si>
  <si>
    <t>2012/8/1~2013/12/31</t>
    <phoneticPr fontId="28" type="noConversion"/>
  </si>
  <si>
    <t>2012/8/1~2012/8/30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</si>
  <si>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暑期安親班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</si>
  <si>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phoneticPr fontId="28" type="noConversion"/>
  </si>
  <si>
    <t>2012/9/1~2013/1/31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</si>
  <si>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六年級上學期安親班費用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</si>
  <si>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畢旅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畢業冊</t>
    </r>
    <phoneticPr fontId="28" type="noConversion"/>
  </si>
  <si>
    <t>2013/2/1~2013/6/30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</si>
  <si>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六年級下學期安親班費用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教材</t>
    </r>
    <r>
      <rPr>
        <sz val="10"/>
        <rFont val="Arial"/>
        <family val="2"/>
      </rPr>
      <t>&amp;</t>
    </r>
    <r>
      <rPr>
        <sz val="10"/>
        <rFont val="新細明體"/>
        <family val="1"/>
        <charset val="136"/>
      </rPr>
      <t>雜費</t>
    </r>
    <r>
      <rPr>
        <sz val="10"/>
        <rFont val="Arial"/>
        <family val="2"/>
      </rPr>
      <t xml:space="preserve"> 3200 + </t>
    </r>
    <r>
      <rPr>
        <sz val="10"/>
        <rFont val="新細明體"/>
        <family val="1"/>
        <charset val="136"/>
      </rPr>
      <t>每月月費</t>
    </r>
    <r>
      <rPr>
        <sz val="10"/>
        <rFont val="Arial"/>
        <family val="2"/>
      </rPr>
      <t>/</t>
    </r>
    <r>
      <rPr>
        <sz val="10"/>
        <rFont val="新細明體"/>
        <family val="1"/>
        <charset val="136"/>
      </rPr>
      <t>餐費</t>
    </r>
    <r>
      <rPr>
        <sz val="10"/>
        <rFont val="Arial"/>
        <family val="2"/>
      </rPr>
      <t xml:space="preserve"> 4500)</t>
    </r>
    <phoneticPr fontId="28" type="noConversion"/>
  </si>
  <si>
    <t>2012/12/1~2013/6/30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</si>
  <si>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六年級英文基礎班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文法班</t>
    </r>
    <r>
      <rPr>
        <sz val="10"/>
        <rFont val="Arial"/>
        <family val="2"/>
      </rPr>
      <t xml:space="preserve"> ($4000/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</si>
  <si>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t>2013/7/1~2013/8/30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</si>
  <si>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國一先修班</t>
    </r>
    <r>
      <rPr>
        <sz val="10"/>
        <rFont val="Arial"/>
        <family val="2"/>
      </rPr>
      <t xml:space="preserve"> ($5500/</t>
    </r>
    <r>
      <rPr>
        <sz val="10"/>
        <rFont val="新細明體"/>
        <family val="1"/>
        <charset val="136"/>
      </rPr>
      <t>月</t>
    </r>
    <r>
      <rPr>
        <sz val="10"/>
        <rFont val="Arial"/>
        <family val="2"/>
      </rPr>
      <t>)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</si>
  <si>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</si>
  <si>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國中制服</t>
    </r>
    <phoneticPr fontId="28" type="noConversion"/>
  </si>
  <si>
    <t>2013/9/1~2013/12/31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</si>
  <si>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</si>
  <si>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Sub-Total</t>
    <phoneticPr fontId="28" type="noConversion"/>
  </si>
  <si>
    <t>2012/8/1~2013/9/30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</si>
  <si>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</si>
  <si>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2013/10/1~2013/12/31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</si>
  <si>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新細明體"/>
        <family val="1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</si>
  <si>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2013/1/1~12/31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</si>
  <si>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</si>
  <si>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Sub-Total</t>
    <phoneticPr fontId="28" type="noConversion"/>
  </si>
  <si>
    <t>Total</t>
    <phoneticPr fontId="28" type="noConversion"/>
  </si>
  <si>
    <t>2014/1/1~2014/12/31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</si>
  <si>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國一下學期註冊費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</si>
  <si>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2014/1/1~2014/6/30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</si>
  <si>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</si>
  <si>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國二上學期註冊費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學校午餐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班費</t>
    </r>
    <r>
      <rPr>
        <sz val="10"/>
        <rFont val="Arial"/>
        <family val="2"/>
      </rPr>
      <t>+</t>
    </r>
    <r>
      <rPr>
        <sz val="10"/>
        <rFont val="新細明體"/>
        <family val="1"/>
        <charset val="136"/>
      </rPr>
      <t>校外教學</t>
    </r>
    <phoneticPr fontId="28" type="noConversion"/>
  </si>
  <si>
    <t>2014/7/1~2014/8/31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</si>
  <si>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國二暑期英文班</t>
    </r>
    <r>
      <rPr>
        <sz val="10"/>
        <rFont val="Arial"/>
        <family val="2"/>
      </rPr>
      <t xml:space="preserve"> $2800, </t>
    </r>
    <r>
      <rPr>
        <sz val="10"/>
        <rFont val="新細明體"/>
        <family val="1"/>
        <charset val="136"/>
      </rPr>
      <t>數學</t>
    </r>
    <r>
      <rPr>
        <sz val="10"/>
        <rFont val="Arial"/>
        <family val="2"/>
      </rPr>
      <t xml:space="preserve"> $2200</t>
    </r>
    <phoneticPr fontId="28" type="noConversion"/>
  </si>
  <si>
    <t>2014/9/1~2014/12/31</t>
    <phoneticPr fontId="28" type="noConversion"/>
  </si>
  <si>
    <t>Elvis 英文/數學/理化 $6800/月</t>
  </si>
  <si>
    <t>2014/7/1~2014/12/31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</si>
  <si>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吉他課</t>
    </r>
    <r>
      <rPr>
        <sz val="10"/>
        <rFont val="Arial"/>
        <family val="2"/>
      </rPr>
      <t xml:space="preserve"> (550/</t>
    </r>
    <r>
      <rPr>
        <sz val="10"/>
        <rFont val="新細明體"/>
        <family val="1"/>
        <charset val="136"/>
      </rPr>
      <t>節</t>
    </r>
    <r>
      <rPr>
        <sz val="10"/>
        <rFont val="Arial"/>
        <family val="2"/>
      </rPr>
      <t>)</t>
    </r>
    <phoneticPr fontId="28" type="noConversion"/>
  </si>
  <si>
    <t>2014/1/1~2014/12/31</t>
    <phoneticPr fontId="28" type="noConversion"/>
  </si>
  <si>
    <r>
      <t xml:space="preserve">Elvis &amp; Chelsea </t>
    </r>
    <r>
      <rPr>
        <sz val="10"/>
        <rFont val="新細明體"/>
        <family val="1"/>
        <charset val="136"/>
      </rPr>
      <t>健保費用</t>
    </r>
    <phoneticPr fontId="28" type="noConversion"/>
  </si>
  <si>
    <t>2014/1/1~12/31</t>
    <phoneticPr fontId="28" type="noConversion"/>
  </si>
  <si>
    <r>
      <t xml:space="preserve">Elvis </t>
    </r>
    <r>
      <rPr>
        <sz val="10"/>
        <rFont val="新細明體"/>
        <family val="1"/>
        <charset val="136"/>
      </rPr>
      <t>保險費</t>
    </r>
    <phoneticPr fontId="28" type="noConversion"/>
  </si>
  <si>
    <t>Total</t>
    <phoneticPr fontId="28" type="noConversion"/>
  </si>
  <si>
    <t>2015/1/1~2015/12/31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</si>
  <si>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國二下學期註冊費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phoneticPr fontId="28" type="noConversion"/>
  </si>
  <si>
    <t>Elvis 校外教學 (隔宿露營)</t>
  </si>
  <si>
    <t>2015/1/1~2015/2/28</t>
  </si>
  <si>
    <t>Elvis 吉他課 (550/節)</t>
  </si>
  <si>
    <t>2015/1/1~2015/6/30</t>
    <phoneticPr fontId="28" type="noConversion"/>
  </si>
  <si>
    <t>畢旅</t>
  </si>
  <si>
    <t>2015/7/1~2015/8/31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</si>
  <si>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英文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數學</t>
    </r>
    <r>
      <rPr>
        <sz val="10"/>
        <rFont val="Arial"/>
        <family val="2"/>
      </rPr>
      <t>/</t>
    </r>
    <r>
      <rPr>
        <sz val="10"/>
        <rFont val="細明體"/>
        <family val="3"/>
        <charset val="136"/>
      </rPr>
      <t>理化</t>
    </r>
    <r>
      <rPr>
        <sz val="10"/>
        <rFont val="Arial"/>
        <family val="2"/>
      </rPr>
      <t xml:space="preserve"> </t>
    </r>
    <r>
      <rPr>
        <sz val="10"/>
        <rFont val="細明體"/>
        <family val="3"/>
        <charset val="136"/>
      </rPr>
      <t>暑期複習班</t>
    </r>
    <r>
      <rPr>
        <sz val="10"/>
        <rFont val="Arial"/>
        <family val="2"/>
      </rPr>
      <t xml:space="preserve"> $12000/</t>
    </r>
    <r>
      <rPr>
        <sz val="10"/>
        <rFont val="細明體"/>
        <family val="3"/>
        <charset val="136"/>
      </rPr>
      <t>月</t>
    </r>
    <phoneticPr fontId="28" type="noConversion"/>
  </si>
  <si>
    <t>2015/8/23~2015/8/27</t>
    <phoneticPr fontId="28" type="noConversion"/>
  </si>
  <si>
    <t>日本旅遊</t>
    <phoneticPr fontId="28" type="noConversion"/>
  </si>
  <si>
    <r>
      <t xml:space="preserve">Elvis </t>
    </r>
    <r>
      <rPr>
        <sz val="10"/>
        <rFont val="細明體"/>
        <family val="3"/>
        <charset val="136"/>
      </rPr>
      <t>國三上學期註冊費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學校午餐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第八節課輔</t>
    </r>
    <r>
      <rPr>
        <sz val="10"/>
        <rFont val="Arial"/>
        <family val="2"/>
      </rPr>
      <t>+</t>
    </r>
    <r>
      <rPr>
        <sz val="10"/>
        <rFont val="細明體"/>
        <family val="3"/>
        <charset val="136"/>
      </rPr>
      <t>班費</t>
    </r>
    <r>
      <rPr>
        <sz val="10"/>
        <rFont val="Arial"/>
        <family val="2"/>
      </rPr>
      <t/>
    </r>
    <phoneticPr fontId="28" type="noConversion"/>
  </si>
  <si>
    <t>2015/9/1~2015/12/31</t>
    <phoneticPr fontId="28" type="noConversion"/>
  </si>
  <si>
    <t>2015/1/1~2015/8/31</t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</si>
  <si>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</t>
    </r>
    <phoneticPr fontId="28" type="noConversion"/>
  </si>
  <si>
    <r>
      <t xml:space="preserve">Elvis &amp; Chelsea </t>
    </r>
    <r>
      <rPr>
        <sz val="10"/>
        <rFont val="細明體"/>
        <family val="3"/>
        <charset val="136"/>
      </rPr>
      <t>健保費用</t>
    </r>
    <r>
      <rPr>
        <sz val="10"/>
        <rFont val="Arial"/>
        <family val="2"/>
      </rPr>
      <t xml:space="preserve"> (</t>
    </r>
    <r>
      <rPr>
        <sz val="10"/>
        <rFont val="細明體"/>
        <family val="3"/>
        <charset val="136"/>
      </rPr>
      <t>保費調整</t>
    </r>
    <r>
      <rPr>
        <sz val="10"/>
        <rFont val="Arial"/>
        <family val="2"/>
      </rPr>
      <t>)</t>
    </r>
    <phoneticPr fontId="28" type="noConversion"/>
  </si>
  <si>
    <t>2015/1/1~12/31</t>
  </si>
  <si>
    <t>Elvis 保險費</t>
  </si>
  <si>
    <t>子齊保險</t>
    <phoneticPr fontId="28" type="noConversion"/>
  </si>
  <si>
    <t>子齊3/6年</t>
    <phoneticPr fontId="28" type="noConversion"/>
  </si>
  <si>
    <t>台新银行</t>
    <phoneticPr fontId="28" type="noConversion"/>
  </si>
  <si>
    <t>资产</t>
    <phoneticPr fontId="28" type="noConversion"/>
  </si>
  <si>
    <t>标记</t>
    <phoneticPr fontId="28" type="noConversion"/>
  </si>
  <si>
    <t>六年短期储蓄险</t>
    <phoneticPr fontId="28" type="noConversion"/>
  </si>
  <si>
    <t>AA基金</t>
    <phoneticPr fontId="28" type="noConversion"/>
  </si>
  <si>
    <t>玉山銀行</t>
    <phoneticPr fontId="28" type="noConversion"/>
  </si>
  <si>
    <t>家樂福</t>
    <phoneticPr fontId="28" type="noConversion"/>
  </si>
  <si>
    <r>
      <t>(808</t>
    </r>
    <r>
      <rPr>
        <sz val="9"/>
        <rFont val="新細明體"/>
        <family val="1"/>
        <charset val="136"/>
      </rPr>
      <t>)9977705121971661</t>
    </r>
    <phoneticPr fontId="28" type="noConversion"/>
  </si>
  <si>
    <t>玉山銀行</t>
    <phoneticPr fontId="28" type="noConversion"/>
  </si>
  <si>
    <t>準備提領個人短期六年</t>
    <phoneticPr fontId="28" type="noConversion"/>
  </si>
  <si>
    <t>畫出新的圖</t>
    <phoneticPr fontId="28" type="noConversion"/>
  </si>
  <si>
    <t>誤差</t>
    <phoneticPr fontId="18" type="noConversion"/>
  </si>
  <si>
    <t>十年7.5%</t>
    <phoneticPr fontId="18" type="noConversion"/>
  </si>
  <si>
    <t>減少損失</t>
    <phoneticPr fontId="18" type="noConversion"/>
  </si>
  <si>
    <t>找富邦信用卡</t>
    <phoneticPr fontId="28" type="noConversion"/>
  </si>
  <si>
    <t>T25A023116</t>
    <phoneticPr fontId="18" type="noConversion"/>
  </si>
  <si>
    <t>It</t>
    <phoneticPr fontId="18" type="noConversion"/>
  </si>
  <si>
    <t>預估刷卡(永丰台新玉山)</t>
    <phoneticPr fontId="18" type="noConversion"/>
  </si>
  <si>
    <t>第一银行复兴分行 16310062721</t>
    <phoneticPr fontId="28" type="noConversion"/>
  </si>
  <si>
    <t>https://ita.secureaccountaccess.com/Account/Login</t>
    <phoneticPr fontId="18" type="noConversion"/>
  </si>
  <si>
    <t>计划降低</t>
    <phoneticPr fontId="28" type="noConversion"/>
  </si>
  <si>
    <t>缴清</t>
    <phoneticPr fontId="28" type="noConversion"/>
  </si>
  <si>
    <t>昱絜零用</t>
    <phoneticPr fontId="28" type="noConversion"/>
  </si>
  <si>
    <t>子齊4/6年</t>
    <phoneticPr fontId="28" type="noConversion"/>
  </si>
  <si>
    <t>子齊5/6年</t>
    <phoneticPr fontId="28" type="noConversion"/>
  </si>
  <si>
    <t>單月总金额</t>
    <phoneticPr fontId="28" type="noConversion"/>
  </si>
  <si>
    <t>王子齊六年</t>
    <phoneticPr fontId="28" type="noConversion"/>
  </si>
  <si>
    <t>昱絜17/20</t>
    <phoneticPr fontId="28" type="noConversion"/>
  </si>
  <si>
    <t>昱絜18/20</t>
    <phoneticPr fontId="28" type="noConversion"/>
  </si>
  <si>
    <t>昱絜19/20</t>
    <phoneticPr fontId="28" type="noConversion"/>
  </si>
  <si>
    <t>昱絜20/20</t>
    <phoneticPr fontId="28" type="noConversion"/>
  </si>
  <si>
    <t>子齊6/6年</t>
    <phoneticPr fontId="28" type="noConversion"/>
  </si>
  <si>
    <t>子齊18/20</t>
    <phoneticPr fontId="28" type="noConversion"/>
  </si>
  <si>
    <t>支出</t>
    <phoneticPr fontId="28" type="noConversion"/>
  </si>
  <si>
    <t>收入</t>
    <phoneticPr fontId="28" type="noConversion"/>
  </si>
  <si>
    <t>存款余额</t>
    <phoneticPr fontId="28" type="noConversion"/>
  </si>
  <si>
    <t>尚未降低</t>
    <phoneticPr fontId="28" type="noConversion"/>
  </si>
  <si>
    <t>昱絜</t>
    <phoneticPr fontId="28" type="noConversion"/>
  </si>
  <si>
    <t>http://www.taishinbank.com.tw</t>
    <phoneticPr fontId="28" type="noConversion"/>
  </si>
  <si>
    <t>最高點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</si>
</sst>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76" formatCode="_-&quot;NT$&quot;* #,##0.00_-;\-&quot;NT$&quot;* #,##0.00_-;_-&quot;NT$&quot;* &quot;-&quot;??_-;_-@_-"/>
    <numFmt numFmtId="177" formatCode="_(* #,##0_);_(* \(#,##0\);_(* &quot;-&quot;??_);_(@_)"/>
    <numFmt numFmtId="178" formatCode="_-&quot;NT$&quot;* #,##0_-;\-&quot;NT$&quot;* #,##0_-;_-&quot;NT$&quot;* &quot;-&quot;??_-;_-@_-"/>
    <numFmt numFmtId="179" formatCode="_-* #,##0_-;\-* #,##0_-;_-* &quot;-&quot;??_-;_-@_-"/>
    <numFmt numFmtId="180" formatCode="&quot;每月&quot;\ General\ &quot;日&quot;"/>
    <numFmt numFmtId="181" formatCode="_(&quot;NT$&quot;* #,##0_);_(&quot;NT$&quot;* \(#,##0\);_(&quot;NT$&quot;* &quot;-&quot;??_);_(@_)"/>
    <numFmt numFmtId="182" formatCode="yyyy&quot;年&quot;m&quot;月&quot;d&quot;日&quot;;@"/>
    <numFmt numFmtId="183" formatCode="m&quot;月&quot;d&quot;日&quot;;@"/>
    <numFmt numFmtId="184" formatCode="&quot;每月20,000. 累計= &quot;#,##0"/>
    <numFmt numFmtId="185" formatCode="_-&quot;$&quot;* #,##0_-;\-&quot;$&quot;* #,##0_-;_-&quot;$&quot;* &quot;-&quot;??_-;_-@_-"/>
    <numFmt numFmtId="186" formatCode="yyyy\/mm\/dd"/>
  </numFmts>
  <fonts count="73">
    <font>
      <sz val="10"/>
      <name val="微軟細明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8"/>
      <color indexed="8"/>
      <name val="細明體"/>
      <family val="3"/>
      <charset val="136"/>
    </font>
    <font>
      <sz val="8"/>
      <color indexed="8"/>
      <name val="新細明體"/>
      <family val="1"/>
      <charset val="136"/>
    </font>
    <font>
      <sz val="8"/>
      <color indexed="10"/>
      <name val="新細明體"/>
      <family val="1"/>
      <charset val="136"/>
    </font>
    <font>
      <sz val="8"/>
      <color indexed="10"/>
      <name val="Arial"/>
      <family val="2"/>
    </font>
    <font>
      <sz val="8"/>
      <color indexed="48"/>
      <name val="新細明體"/>
      <family val="1"/>
      <charset val="136"/>
    </font>
    <font>
      <sz val="8"/>
      <color indexed="48"/>
      <name val="Arial"/>
      <family val="2"/>
    </font>
    <font>
      <sz val="8"/>
      <color indexed="57"/>
      <name val="新細明體"/>
      <family val="1"/>
      <charset val="136"/>
    </font>
    <font>
      <sz val="8"/>
      <color indexed="57"/>
      <name val="Arial"/>
      <family val="2"/>
    </font>
    <font>
      <sz val="8"/>
      <color indexed="61"/>
      <name val="新細明體"/>
      <family val="1"/>
      <charset val="136"/>
    </font>
    <font>
      <sz val="8"/>
      <color indexed="61"/>
      <name val="Arial"/>
      <family val="2"/>
    </font>
    <font>
      <sz val="8"/>
      <color indexed="10"/>
      <name val="細明體"/>
      <family val="3"/>
      <charset val="136"/>
    </font>
    <font>
      <sz val="8"/>
      <color indexed="8"/>
      <name val="微軟細明"/>
      <family val="2"/>
      <charset val="134"/>
    </font>
    <font>
      <b/>
      <sz val="8"/>
      <color indexed="8"/>
      <name val="Arial"/>
      <family val="2"/>
    </font>
    <font>
      <sz val="8"/>
      <color indexed="17"/>
      <name val="Arial"/>
      <family val="2"/>
    </font>
    <font>
      <sz val="8"/>
      <color indexed="18"/>
      <name val="Arial"/>
      <family val="2"/>
    </font>
    <font>
      <sz val="9"/>
      <name val="細明體"/>
      <family val="3"/>
      <charset val="136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8"/>
      <color indexed="8"/>
      <name val="Times New Roman"/>
      <family val="1"/>
    </font>
    <font>
      <b/>
      <sz val="8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20"/>
      <name val="Arial"/>
      <family val="2"/>
    </font>
    <font>
      <b/>
      <sz val="8"/>
      <color indexed="17"/>
      <name val="Arial"/>
      <family val="2"/>
    </font>
    <font>
      <b/>
      <sz val="8"/>
      <color indexed="61"/>
      <name val="Arial"/>
      <family val="2"/>
    </font>
    <font>
      <b/>
      <sz val="9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9"/>
      <name val="Times New Roman"/>
      <family val="1"/>
    </font>
    <font>
      <u/>
      <sz val="9"/>
      <color indexed="1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9"/>
      <color indexed="10"/>
      <name val="新細明體"/>
      <family val="1"/>
      <charset val="136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細明體"/>
      <family val="3"/>
      <charset val="136"/>
    </font>
    <font>
      <b/>
      <sz val="9"/>
      <color indexed="10"/>
      <name val="新細明體"/>
      <family val="1"/>
      <charset val="136"/>
    </font>
    <font>
      <b/>
      <sz val="9"/>
      <name val="新細明體"/>
      <family val="1"/>
      <charset val="136"/>
    </font>
    <font>
      <b/>
      <sz val="10"/>
      <name val="微軟細明"/>
      <family val="2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微軟細明"/>
    </font>
    <font>
      <b/>
      <sz val="10"/>
      <color rgb="FF002060"/>
      <name val="微軟細明"/>
    </font>
    <font>
      <b/>
      <sz val="10"/>
      <color rgb="FF00B050"/>
      <name val="微軟細明"/>
    </font>
    <font>
      <sz val="10"/>
      <color rgb="FFFF0000"/>
      <name val="微軟細明"/>
      <family val="2"/>
    </font>
    <font>
      <b/>
      <sz val="9"/>
      <color rgb="FFFF0000"/>
      <name val="新細明體"/>
      <family val="1"/>
      <charset val="136"/>
    </font>
    <font>
      <sz val="9"/>
      <color rgb="FFFF0000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indexed="12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color rgb="FFFF0000"/>
      <name val="新細明體"/>
      <family val="1"/>
      <charset val="136"/>
    </font>
    <font>
      <u/>
      <sz val="10"/>
      <color theme="11"/>
      <name val="微軟細明"/>
      <family val="2"/>
    </font>
    <font>
      <b/>
      <sz val="9"/>
      <color rgb="FFFFFF00"/>
      <name val="新細明體"/>
      <family val="1"/>
      <charset val="136"/>
    </font>
    <font>
      <b/>
      <sz val="9"/>
      <color theme="4"/>
      <name val="新細明體"/>
      <family val="1"/>
      <charset val="136"/>
    </font>
    <font>
      <sz val="10"/>
      <color rgb="FF222222"/>
      <name val="Arial"/>
      <family val="2"/>
    </font>
    <font>
      <sz val="10"/>
      <color rgb="FF333333"/>
      <name val="Arial"/>
      <family val="2"/>
    </font>
    <font>
      <b/>
      <strike/>
      <sz val="9"/>
      <name val="新細明體"/>
      <family val="1"/>
      <charset val="136"/>
    </font>
    <font>
      <sz val="9"/>
      <color indexed="81"/>
      <name val="細明體"/>
      <family val="3"/>
      <charset val="136"/>
    </font>
    <font>
      <b/>
      <sz val="10"/>
      <name val="微軟細明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新細明體"/>
      <family val="1"/>
      <charset val="136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lightDown">
        <bgColor indexed="45"/>
      </patternFill>
    </fill>
    <fill>
      <patternFill patternType="lightDown"/>
    </fill>
    <fill>
      <patternFill patternType="solid">
        <fgColor indexed="2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lightUp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668">
    <xf numFmtId="0" fontId="0" fillId="0" borderId="0" xfId="0"/>
    <xf numFmtId="0" fontId="3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1" xfId="0" applyFont="1" applyBorder="1"/>
    <xf numFmtId="0" fontId="2" fillId="0" borderId="2" xfId="0" applyFont="1" applyBorder="1"/>
    <xf numFmtId="0" fontId="2" fillId="0" borderId="5" xfId="0" applyFont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" xfId="0" applyFont="1" applyBorder="1"/>
    <xf numFmtId="0" fontId="2" fillId="2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2" fillId="0" borderId="7" xfId="0" applyFont="1" applyBorder="1"/>
    <xf numFmtId="0" fontId="2" fillId="0" borderId="6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/>
    <xf numFmtId="0" fontId="4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7" fillId="0" borderId="1" xfId="0" applyFont="1" applyBorder="1"/>
    <xf numFmtId="0" fontId="2" fillId="5" borderId="7" xfId="0" applyFont="1" applyFill="1" applyBorder="1" applyAlignment="1">
      <alignment horizontal="center" vertical="center"/>
    </xf>
    <xf numFmtId="0" fontId="9" fillId="0" borderId="7" xfId="0" applyFont="1" applyBorder="1"/>
    <xf numFmtId="0" fontId="9" fillId="0" borderId="2" xfId="0" applyFont="1" applyBorder="1"/>
    <xf numFmtId="0" fontId="4" fillId="6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/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0" fontId="4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4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11" fillId="0" borderId="7" xfId="0" applyFont="1" applyBorder="1"/>
    <xf numFmtId="0" fontId="4" fillId="9" borderId="4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right" vertical="center"/>
    </xf>
    <xf numFmtId="0" fontId="4" fillId="2" borderId="7" xfId="0" applyFont="1" applyFill="1" applyBorder="1"/>
    <xf numFmtId="0" fontId="2" fillId="2" borderId="6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4" fillId="2" borderId="2" xfId="0" applyFont="1" applyFill="1" applyBorder="1"/>
    <xf numFmtId="0" fontId="2" fillId="5" borderId="7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2" fillId="7" borderId="7" xfId="0" applyFont="1" applyFill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0" borderId="6" xfId="0" applyFont="1" applyBorder="1"/>
    <xf numFmtId="0" fontId="2" fillId="3" borderId="7" xfId="0" applyFont="1" applyFill="1" applyBorder="1" applyAlignment="1">
      <alignment horizontal="right" vertical="center"/>
    </xf>
    <xf numFmtId="0" fontId="2" fillId="0" borderId="10" xfId="0" applyFont="1" applyBorder="1"/>
    <xf numFmtId="0" fontId="2" fillId="2" borderId="2" xfId="0" applyFont="1" applyFill="1" applyBorder="1" applyAlignment="1">
      <alignment horizontal="right" vertical="center"/>
    </xf>
    <xf numFmtId="0" fontId="2" fillId="0" borderId="4" xfId="0" applyFont="1" applyBorder="1"/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8" borderId="4" xfId="0" applyFont="1" applyFill="1" applyBorder="1" applyAlignment="1">
      <alignment horizontal="right" vertical="center"/>
    </xf>
    <xf numFmtId="0" fontId="2" fillId="8" borderId="6" xfId="0" applyFon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9" borderId="4" xfId="0" applyFont="1" applyFill="1" applyBorder="1" applyAlignment="1">
      <alignment horizontal="right" vertical="center"/>
    </xf>
    <xf numFmtId="0" fontId="2" fillId="9" borderId="7" xfId="0" applyFont="1" applyFill="1" applyBorder="1" applyAlignment="1">
      <alignment horizontal="right" vertical="center"/>
    </xf>
    <xf numFmtId="0" fontId="2" fillId="8" borderId="2" xfId="0" applyFont="1" applyFill="1" applyBorder="1" applyAlignment="1">
      <alignment horizontal="right" vertical="center"/>
    </xf>
    <xf numFmtId="0" fontId="3" fillId="0" borderId="0" xfId="0" applyFont="1"/>
    <xf numFmtId="0" fontId="13" fillId="0" borderId="0" xfId="0" applyFont="1"/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6" xfId="0" applyFont="1" applyBorder="1" applyAlignment="1">
      <alignment vertical="center"/>
    </xf>
    <xf numFmtId="0" fontId="17" fillId="0" borderId="7" xfId="0" applyFont="1" applyBorder="1"/>
    <xf numFmtId="0" fontId="2" fillId="11" borderId="2" xfId="0" applyFont="1" applyFill="1" applyBorder="1" applyAlignment="1">
      <alignment horizontal="center"/>
    </xf>
    <xf numFmtId="0" fontId="2" fillId="12" borderId="7" xfId="0" applyFont="1" applyFill="1" applyBorder="1"/>
    <xf numFmtId="0" fontId="2" fillId="12" borderId="2" xfId="0" applyFont="1" applyFill="1" applyBorder="1"/>
    <xf numFmtId="0" fontId="2" fillId="12" borderId="10" xfId="0" applyFont="1" applyFill="1" applyBorder="1"/>
    <xf numFmtId="177" fontId="10" fillId="0" borderId="2" xfId="1" applyNumberFormat="1" applyFont="1" applyBorder="1"/>
    <xf numFmtId="177" fontId="4" fillId="0" borderId="2" xfId="1" applyNumberFormat="1" applyFont="1" applyBorder="1" applyAlignment="1">
      <alignment horizontal="center" vertical="center"/>
    </xf>
    <xf numFmtId="177" fontId="14" fillId="0" borderId="3" xfId="1" applyNumberFormat="1" applyFont="1" applyBorder="1" applyAlignment="1">
      <alignment horizontal="left" vertical="center"/>
    </xf>
    <xf numFmtId="177" fontId="3" fillId="0" borderId="1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center"/>
    </xf>
    <xf numFmtId="177" fontId="2" fillId="10" borderId="2" xfId="1" applyNumberFormat="1" applyFont="1" applyFill="1" applyBorder="1" applyAlignment="1">
      <alignment horizontal="center"/>
    </xf>
    <xf numFmtId="177" fontId="2" fillId="7" borderId="2" xfId="1" applyNumberFormat="1" applyFont="1" applyFill="1" applyBorder="1" applyAlignment="1">
      <alignment horizontal="center"/>
    </xf>
    <xf numFmtId="177" fontId="3" fillId="0" borderId="2" xfId="1" applyNumberFormat="1" applyFont="1" applyBorder="1" applyAlignment="1">
      <alignment horizontal="center"/>
    </xf>
    <xf numFmtId="177" fontId="2" fillId="0" borderId="0" xfId="1" applyNumberFormat="1" applyFont="1"/>
    <xf numFmtId="177" fontId="4" fillId="0" borderId="4" xfId="1" applyNumberFormat="1" applyFont="1" applyBorder="1" applyAlignment="1">
      <alignment horizontal="center" vertical="center"/>
    </xf>
    <xf numFmtId="177" fontId="4" fillId="2" borderId="4" xfId="1" applyNumberFormat="1" applyFont="1" applyFill="1" applyBorder="1" applyAlignment="1">
      <alignment horizontal="center" vertical="center"/>
    </xf>
    <xf numFmtId="177" fontId="4" fillId="0" borderId="2" xfId="1" applyNumberFormat="1" applyFont="1" applyBorder="1"/>
    <xf numFmtId="177" fontId="2" fillId="0" borderId="7" xfId="1" applyNumberFormat="1" applyFont="1" applyBorder="1"/>
    <xf numFmtId="177" fontId="2" fillId="0" borderId="2" xfId="1" applyNumberFormat="1" applyFont="1" applyBorder="1"/>
    <xf numFmtId="177" fontId="2" fillId="2" borderId="4" xfId="1" applyNumberFormat="1" applyFont="1" applyFill="1" applyBorder="1" applyAlignment="1">
      <alignment horizontal="right" vertical="center"/>
    </xf>
    <xf numFmtId="177" fontId="2" fillId="0" borderId="6" xfId="1" applyNumberFormat="1" applyFont="1" applyBorder="1" applyAlignment="1">
      <alignment vertical="center"/>
    </xf>
    <xf numFmtId="177" fontId="2" fillId="2" borderId="6" xfId="1" applyNumberFormat="1" applyFont="1" applyFill="1" applyBorder="1" applyAlignment="1">
      <alignment horizontal="center" vertical="center"/>
    </xf>
    <xf numFmtId="177" fontId="4" fillId="2" borderId="7" xfId="1" applyNumberFormat="1" applyFont="1" applyFill="1" applyBorder="1"/>
    <xf numFmtId="177" fontId="2" fillId="2" borderId="6" xfId="1" applyNumberFormat="1" applyFont="1" applyFill="1" applyBorder="1" applyAlignment="1">
      <alignment horizontal="right" vertical="center"/>
    </xf>
    <xf numFmtId="177" fontId="2" fillId="2" borderId="7" xfId="1" applyNumberFormat="1" applyFont="1" applyFill="1" applyBorder="1" applyAlignment="1">
      <alignment horizontal="center" vertical="center"/>
    </xf>
    <xf numFmtId="177" fontId="2" fillId="2" borderId="7" xfId="1" applyNumberFormat="1" applyFont="1" applyFill="1" applyBorder="1" applyAlignment="1">
      <alignment horizontal="right" vertical="center"/>
    </xf>
    <xf numFmtId="177" fontId="4" fillId="3" borderId="6" xfId="1" applyNumberFormat="1" applyFont="1" applyFill="1" applyBorder="1" applyAlignment="1">
      <alignment horizontal="center" vertical="center"/>
    </xf>
    <xf numFmtId="177" fontId="2" fillId="3" borderId="6" xfId="1" applyNumberFormat="1" applyFont="1" applyFill="1" applyBorder="1" applyAlignment="1">
      <alignment horizontal="right" vertical="center"/>
    </xf>
    <xf numFmtId="177" fontId="4" fillId="4" borderId="4" xfId="1" applyNumberFormat="1" applyFont="1" applyFill="1" applyBorder="1" applyAlignment="1">
      <alignment horizontal="center" vertical="center"/>
    </xf>
    <xf numFmtId="177" fontId="2" fillId="4" borderId="4" xfId="1" applyNumberFormat="1" applyFont="1" applyFill="1" applyBorder="1" applyAlignment="1">
      <alignment horizontal="right" vertical="center"/>
    </xf>
    <xf numFmtId="177" fontId="2" fillId="4" borderId="6" xfId="1" applyNumberFormat="1" applyFont="1" applyFill="1" applyBorder="1" applyAlignment="1">
      <alignment horizontal="center" vertical="center"/>
    </xf>
    <xf numFmtId="177" fontId="2" fillId="4" borderId="6" xfId="1" applyNumberFormat="1" applyFont="1" applyFill="1" applyBorder="1" applyAlignment="1">
      <alignment horizontal="right" vertical="center"/>
    </xf>
    <xf numFmtId="177" fontId="6" fillId="0" borderId="2" xfId="1" applyNumberFormat="1" applyFont="1" applyBorder="1"/>
    <xf numFmtId="177" fontId="14" fillId="0" borderId="6" xfId="1" applyNumberFormat="1" applyFont="1" applyBorder="1" applyAlignment="1">
      <alignment vertical="center"/>
    </xf>
    <xf numFmtId="177" fontId="4" fillId="5" borderId="4" xfId="1" applyNumberFormat="1" applyFont="1" applyFill="1" applyBorder="1" applyAlignment="1">
      <alignment horizontal="center" vertical="center"/>
    </xf>
    <xf numFmtId="177" fontId="2" fillId="5" borderId="4" xfId="1" applyNumberFormat="1" applyFont="1" applyFill="1" applyBorder="1" applyAlignment="1">
      <alignment horizontal="right" vertical="center"/>
    </xf>
    <xf numFmtId="177" fontId="2" fillId="5" borderId="6" xfId="1" applyNumberFormat="1" applyFont="1" applyFill="1" applyBorder="1" applyAlignment="1">
      <alignment horizontal="center" vertical="center"/>
    </xf>
    <xf numFmtId="177" fontId="2" fillId="5" borderId="6" xfId="1" applyNumberFormat="1" applyFont="1" applyFill="1" applyBorder="1" applyAlignment="1">
      <alignment horizontal="right" vertical="center"/>
    </xf>
    <xf numFmtId="177" fontId="4" fillId="2" borderId="2" xfId="1" applyNumberFormat="1" applyFont="1" applyFill="1" applyBorder="1"/>
    <xf numFmtId="177" fontId="2" fillId="5" borderId="7" xfId="1" applyNumberFormat="1" applyFont="1" applyFill="1" applyBorder="1" applyAlignment="1">
      <alignment horizontal="center" vertical="center"/>
    </xf>
    <xf numFmtId="177" fontId="2" fillId="5" borderId="7" xfId="1" applyNumberFormat="1" applyFont="1" applyFill="1" applyBorder="1" applyAlignment="1">
      <alignment horizontal="right" vertical="center"/>
    </xf>
    <xf numFmtId="177" fontId="4" fillId="6" borderId="4" xfId="1" applyNumberFormat="1" applyFont="1" applyFill="1" applyBorder="1" applyAlignment="1">
      <alignment horizontal="center" vertical="center"/>
    </xf>
    <xf numFmtId="177" fontId="2" fillId="6" borderId="4" xfId="1" applyNumberFormat="1" applyFont="1" applyFill="1" applyBorder="1" applyAlignment="1">
      <alignment horizontal="right" vertical="center"/>
    </xf>
    <xf numFmtId="177" fontId="4" fillId="7" borderId="4" xfId="1" applyNumberFormat="1" applyFont="1" applyFill="1" applyBorder="1" applyAlignment="1">
      <alignment horizontal="center" vertical="center"/>
    </xf>
    <xf numFmtId="177" fontId="2" fillId="7" borderId="4" xfId="1" applyNumberFormat="1" applyFont="1" applyFill="1" applyBorder="1" applyAlignment="1">
      <alignment horizontal="right" vertical="center"/>
    </xf>
    <xf numFmtId="177" fontId="2" fillId="7" borderId="7" xfId="1" applyNumberFormat="1" applyFont="1" applyFill="1" applyBorder="1" applyAlignment="1">
      <alignment horizontal="center" vertical="center"/>
    </xf>
    <xf numFmtId="177" fontId="2" fillId="7" borderId="7" xfId="1" applyNumberFormat="1" applyFont="1" applyFill="1" applyBorder="1" applyAlignment="1">
      <alignment horizontal="right" vertical="center"/>
    </xf>
    <xf numFmtId="177" fontId="4" fillId="0" borderId="7" xfId="1" applyNumberFormat="1" applyFont="1" applyBorder="1" applyAlignment="1">
      <alignment horizontal="center" vertical="center"/>
    </xf>
    <xf numFmtId="177" fontId="2" fillId="0" borderId="7" xfId="1" applyNumberFormat="1" applyFont="1" applyBorder="1" applyAlignment="1">
      <alignment horizontal="right" vertical="center"/>
    </xf>
    <xf numFmtId="177" fontId="2" fillId="0" borderId="2" xfId="1" applyNumberFormat="1" applyFont="1" applyBorder="1" applyAlignment="1">
      <alignment horizontal="right" vertical="center"/>
    </xf>
    <xf numFmtId="177" fontId="2" fillId="0" borderId="4" xfId="1" applyNumberFormat="1" applyFont="1" applyBorder="1" applyAlignment="1">
      <alignment horizontal="right" vertical="center"/>
    </xf>
    <xf numFmtId="177" fontId="4" fillId="3" borderId="4" xfId="1" applyNumberFormat="1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center"/>
    </xf>
    <xf numFmtId="177" fontId="2" fillId="3" borderId="7" xfId="1" applyNumberFormat="1" applyFont="1" applyFill="1" applyBorder="1" applyAlignment="1">
      <alignment horizontal="center" vertical="center"/>
    </xf>
    <xf numFmtId="177" fontId="2" fillId="3" borderId="7" xfId="1" applyNumberFormat="1" applyFont="1" applyFill="1" applyBorder="1" applyAlignment="1">
      <alignment horizontal="right" vertical="center"/>
    </xf>
    <xf numFmtId="177" fontId="2" fillId="0" borderId="7" xfId="1" applyNumberFormat="1" applyFont="1" applyBorder="1" applyAlignment="1">
      <alignment vertical="center"/>
    </xf>
    <xf numFmtId="177" fontId="4" fillId="0" borderId="7" xfId="1" applyNumberFormat="1" applyFont="1" applyBorder="1" applyAlignment="1">
      <alignment horizontal="left" vertical="center"/>
    </xf>
    <xf numFmtId="177" fontId="2" fillId="0" borderId="7" xfId="1" applyNumberFormat="1" applyFont="1" applyBorder="1" applyAlignment="1">
      <alignment horizontal="center" vertical="center"/>
    </xf>
    <xf numFmtId="177" fontId="2" fillId="0" borderId="10" xfId="1" applyNumberFormat="1" applyFont="1" applyBorder="1"/>
    <xf numFmtId="177" fontId="2" fillId="2" borderId="2" xfId="1" applyNumberFormat="1" applyFont="1" applyFill="1" applyBorder="1" applyAlignment="1">
      <alignment horizontal="right" vertical="center"/>
    </xf>
    <xf numFmtId="177" fontId="2" fillId="0" borderId="0" xfId="1" applyNumberFormat="1" applyFont="1" applyAlignment="1">
      <alignment horizontal="center" vertical="center"/>
    </xf>
    <xf numFmtId="177" fontId="2" fillId="0" borderId="0" xfId="1" applyNumberFormat="1" applyFont="1" applyAlignment="1">
      <alignment horizontal="right"/>
    </xf>
    <xf numFmtId="177" fontId="4" fillId="8" borderId="4" xfId="1" applyNumberFormat="1" applyFont="1" applyFill="1" applyBorder="1" applyAlignment="1">
      <alignment horizontal="center" vertical="center"/>
    </xf>
    <xf numFmtId="177" fontId="2" fillId="8" borderId="4" xfId="1" applyNumberFormat="1" applyFont="1" applyFill="1" applyBorder="1" applyAlignment="1">
      <alignment horizontal="right" vertical="center"/>
    </xf>
    <xf numFmtId="177" fontId="2" fillId="8" borderId="4" xfId="1" applyNumberFormat="1" applyFont="1" applyFill="1" applyBorder="1" applyAlignment="1">
      <alignment horizontal="center" vertical="center"/>
    </xf>
    <xf numFmtId="177" fontId="3" fillId="8" borderId="6" xfId="1" applyNumberFormat="1" applyFont="1" applyFill="1" applyBorder="1" applyAlignment="1">
      <alignment horizontal="center" vertical="center"/>
    </xf>
    <xf numFmtId="177" fontId="4" fillId="0" borderId="7" xfId="1" applyNumberFormat="1" applyFont="1" applyBorder="1"/>
    <xf numFmtId="177" fontId="2" fillId="8" borderId="6" xfId="1" applyNumberFormat="1" applyFont="1" applyFill="1" applyBorder="1" applyAlignment="1">
      <alignment horizontal="right" vertical="center"/>
    </xf>
    <xf numFmtId="177" fontId="2" fillId="8" borderId="6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center" vertical="center"/>
    </xf>
    <xf numFmtId="177" fontId="2" fillId="8" borderId="7" xfId="1" applyNumberFormat="1" applyFont="1" applyFill="1" applyBorder="1" applyAlignment="1">
      <alignment horizontal="right" vertical="center"/>
    </xf>
    <xf numFmtId="177" fontId="2" fillId="0" borderId="9" xfId="1" applyNumberFormat="1" applyFont="1" applyBorder="1" applyAlignment="1">
      <alignment horizontal="center"/>
    </xf>
    <xf numFmtId="177" fontId="2" fillId="0" borderId="9" xfId="1" applyNumberFormat="1" applyFont="1" applyBorder="1" applyAlignment="1">
      <alignment horizontal="right"/>
    </xf>
    <xf numFmtId="177" fontId="4" fillId="9" borderId="4" xfId="1" applyNumberFormat="1" applyFont="1" applyFill="1" applyBorder="1" applyAlignment="1">
      <alignment horizontal="center" vertical="center"/>
    </xf>
    <xf numFmtId="177" fontId="2" fillId="9" borderId="4" xfId="1" applyNumberFormat="1" applyFont="1" applyFill="1" applyBorder="1" applyAlignment="1">
      <alignment horizontal="right" vertical="center"/>
    </xf>
    <xf numFmtId="177" fontId="2" fillId="9" borderId="4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center" vertical="center"/>
    </xf>
    <xf numFmtId="177" fontId="2" fillId="9" borderId="7" xfId="1" applyNumberFormat="1" applyFont="1" applyFill="1" applyBorder="1" applyAlignment="1">
      <alignment horizontal="right" vertical="center"/>
    </xf>
    <xf numFmtId="177" fontId="4" fillId="0" borderId="8" xfId="1" applyNumberFormat="1" applyFont="1" applyBorder="1" applyAlignment="1">
      <alignment horizontal="left" vertical="center"/>
    </xf>
    <xf numFmtId="177" fontId="2" fillId="8" borderId="2" xfId="1" applyNumberFormat="1" applyFont="1" applyFill="1" applyBorder="1" applyAlignment="1">
      <alignment horizontal="right" vertical="center"/>
    </xf>
    <xf numFmtId="177" fontId="2" fillId="8" borderId="2" xfId="1" applyNumberFormat="1" applyFont="1" applyFill="1" applyBorder="1" applyAlignment="1">
      <alignment horizontal="center" vertical="center"/>
    </xf>
    <xf numFmtId="177" fontId="2" fillId="0" borderId="1" xfId="1" applyNumberFormat="1" applyFont="1" applyBorder="1"/>
    <xf numFmtId="177" fontId="2" fillId="0" borderId="11" xfId="1" applyNumberFormat="1" applyFont="1" applyBorder="1" applyAlignment="1">
      <alignment horizontal="right"/>
    </xf>
    <xf numFmtId="177" fontId="6" fillId="0" borderId="1" xfId="1" applyNumberFormat="1" applyFont="1" applyBorder="1"/>
    <xf numFmtId="177" fontId="10" fillId="0" borderId="1" xfId="1" applyNumberFormat="1" applyFont="1" applyBorder="1"/>
    <xf numFmtId="177" fontId="8" fillId="0" borderId="1" xfId="1" applyNumberFormat="1" applyFont="1" applyBorder="1"/>
    <xf numFmtId="177" fontId="8" fillId="0" borderId="2" xfId="1" applyNumberFormat="1" applyFont="1" applyBorder="1"/>
    <xf numFmtId="177" fontId="2" fillId="2" borderId="2" xfId="1" applyNumberFormat="1" applyFont="1" applyFill="1" applyBorder="1"/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77" fontId="2" fillId="0" borderId="8" xfId="1" applyNumberFormat="1" applyFont="1" applyBorder="1"/>
    <xf numFmtId="177" fontId="2" fillId="2" borderId="4" xfId="1" applyNumberFormat="1" applyFont="1" applyFill="1" applyBorder="1" applyAlignment="1">
      <alignment horizontal="right"/>
    </xf>
    <xf numFmtId="177" fontId="2" fillId="2" borderId="6" xfId="1" applyNumberFormat="1" applyFont="1" applyFill="1" applyBorder="1" applyAlignment="1">
      <alignment horizontal="right"/>
    </xf>
    <xf numFmtId="177" fontId="2" fillId="2" borderId="7" xfId="1" applyNumberFormat="1" applyFont="1" applyFill="1" applyBorder="1" applyAlignment="1">
      <alignment horizontal="right"/>
    </xf>
    <xf numFmtId="177" fontId="2" fillId="5" borderId="4" xfId="1" applyNumberFormat="1" applyFont="1" applyFill="1" applyBorder="1" applyAlignment="1">
      <alignment horizontal="right"/>
    </xf>
    <xf numFmtId="177" fontId="2" fillId="5" borderId="6" xfId="1" applyNumberFormat="1" applyFont="1" applyFill="1" applyBorder="1" applyAlignment="1">
      <alignment horizontal="right"/>
    </xf>
    <xf numFmtId="177" fontId="8" fillId="0" borderId="7" xfId="1" applyNumberFormat="1" applyFont="1" applyBorder="1"/>
    <xf numFmtId="177" fontId="8" fillId="0" borderId="8" xfId="1" applyNumberFormat="1" applyFont="1" applyBorder="1"/>
    <xf numFmtId="177" fontId="2" fillId="5" borderId="7" xfId="1" applyNumberFormat="1" applyFont="1" applyFill="1" applyBorder="1" applyAlignment="1">
      <alignment horizontal="right"/>
    </xf>
    <xf numFmtId="177" fontId="10" fillId="0" borderId="7" xfId="1" applyNumberFormat="1" applyFont="1" applyBorder="1"/>
    <xf numFmtId="177" fontId="10" fillId="0" borderId="8" xfId="1" applyNumberFormat="1" applyFont="1" applyBorder="1"/>
    <xf numFmtId="177" fontId="2" fillId="6" borderId="2" xfId="1" applyNumberFormat="1" applyFont="1" applyFill="1" applyBorder="1" applyAlignment="1">
      <alignment horizontal="right"/>
    </xf>
    <xf numFmtId="177" fontId="2" fillId="7" borderId="4" xfId="1" applyNumberFormat="1" applyFont="1" applyFill="1" applyBorder="1" applyAlignment="1">
      <alignment horizontal="right"/>
    </xf>
    <xf numFmtId="177" fontId="2" fillId="7" borderId="7" xfId="1" applyNumberFormat="1" applyFont="1" applyFill="1" applyBorder="1" applyAlignment="1">
      <alignment horizontal="right"/>
    </xf>
    <xf numFmtId="177" fontId="2" fillId="0" borderId="7" xfId="1" applyNumberFormat="1" applyFont="1" applyBorder="1" applyAlignment="1">
      <alignment horizontal="right"/>
    </xf>
    <xf numFmtId="177" fontId="2" fillId="0" borderId="2" xfId="1" applyNumberFormat="1" applyFont="1" applyBorder="1" applyAlignment="1">
      <alignment horizontal="right"/>
    </xf>
    <xf numFmtId="177" fontId="2" fillId="3" borderId="6" xfId="1" applyNumberFormat="1" applyFont="1" applyFill="1" applyBorder="1" applyAlignment="1">
      <alignment horizontal="right"/>
    </xf>
    <xf numFmtId="177" fontId="2" fillId="0" borderId="9" xfId="1" applyNumberFormat="1" applyFont="1" applyBorder="1"/>
    <xf numFmtId="177" fontId="2" fillId="2" borderId="7" xfId="1" applyNumberFormat="1" applyFont="1" applyFill="1" applyBorder="1"/>
    <xf numFmtId="177" fontId="2" fillId="2" borderId="1" xfId="1" applyNumberFormat="1" applyFont="1" applyFill="1" applyBorder="1"/>
    <xf numFmtId="177" fontId="2" fillId="2" borderId="2" xfId="1" applyNumberFormat="1" applyFont="1" applyFill="1" applyBorder="1" applyAlignment="1">
      <alignment horizontal="right"/>
    </xf>
    <xf numFmtId="177" fontId="2" fillId="0" borderId="12" xfId="1" applyNumberFormat="1" applyFont="1" applyBorder="1"/>
    <xf numFmtId="177" fontId="2" fillId="8" borderId="4" xfId="1" applyNumberFormat="1" applyFont="1" applyFill="1" applyBorder="1" applyAlignment="1">
      <alignment horizontal="right"/>
    </xf>
    <xf numFmtId="177" fontId="2" fillId="8" borderId="4" xfId="1" applyNumberFormat="1" applyFont="1" applyFill="1" applyBorder="1" applyAlignment="1">
      <alignment horizontal="center"/>
    </xf>
    <xf numFmtId="177" fontId="2" fillId="8" borderId="6" xfId="1" applyNumberFormat="1" applyFont="1" applyFill="1" applyBorder="1" applyAlignment="1">
      <alignment horizontal="right"/>
    </xf>
    <xf numFmtId="177" fontId="2" fillId="8" borderId="6" xfId="1" applyNumberFormat="1" applyFont="1" applyFill="1" applyBorder="1" applyAlignment="1">
      <alignment horizontal="center"/>
    </xf>
    <xf numFmtId="177" fontId="2" fillId="8" borderId="7" xfId="1" applyNumberFormat="1" applyFont="1" applyFill="1" applyBorder="1" applyAlignment="1">
      <alignment horizontal="right"/>
    </xf>
    <xf numFmtId="177" fontId="2" fillId="8" borderId="7" xfId="1" applyNumberFormat="1" applyFont="1" applyFill="1" applyBorder="1" applyAlignment="1">
      <alignment horizontal="center"/>
    </xf>
    <xf numFmtId="177" fontId="12" fillId="0" borderId="7" xfId="1" applyNumberFormat="1" applyFont="1" applyBorder="1"/>
    <xf numFmtId="177" fontId="12" fillId="0" borderId="8" xfId="1" applyNumberFormat="1" applyFont="1" applyBorder="1"/>
    <xf numFmtId="177" fontId="2" fillId="9" borderId="4" xfId="1" applyNumberFormat="1" applyFont="1" applyFill="1" applyBorder="1" applyAlignment="1">
      <alignment horizontal="right"/>
    </xf>
    <xf numFmtId="177" fontId="2" fillId="9" borderId="6" xfId="1" applyNumberFormat="1" applyFont="1" applyFill="1" applyBorder="1" applyAlignment="1">
      <alignment horizontal="right"/>
    </xf>
    <xf numFmtId="0" fontId="21" fillId="0" borderId="2" xfId="0" applyFont="1" applyBorder="1"/>
    <xf numFmtId="0" fontId="4" fillId="3" borderId="2" xfId="0" applyFont="1" applyFill="1" applyBorder="1"/>
    <xf numFmtId="177" fontId="2" fillId="3" borderId="7" xfId="1" applyNumberFormat="1" applyFont="1" applyFill="1" applyBorder="1"/>
    <xf numFmtId="177" fontId="2" fillId="3" borderId="8" xfId="1" applyNumberFormat="1" applyFont="1" applyFill="1" applyBorder="1"/>
    <xf numFmtId="0" fontId="21" fillId="3" borderId="2" xfId="0" applyFont="1" applyFill="1" applyBorder="1"/>
    <xf numFmtId="177" fontId="2" fillId="0" borderId="2" xfId="1" applyNumberFormat="1" applyFont="1" applyFill="1" applyBorder="1" applyAlignment="1">
      <alignment horizontal="center"/>
    </xf>
    <xf numFmtId="177" fontId="24" fillId="0" borderId="2" xfId="1" applyNumberFormat="1" applyFont="1" applyBorder="1"/>
    <xf numFmtId="177" fontId="22" fillId="0" borderId="2" xfId="1" applyNumberFormat="1" applyFont="1" applyBorder="1"/>
    <xf numFmtId="177" fontId="25" fillId="0" borderId="2" xfId="1" applyNumberFormat="1" applyFont="1" applyBorder="1"/>
    <xf numFmtId="177" fontId="15" fillId="0" borderId="7" xfId="1" applyNumberFormat="1" applyFont="1" applyBorder="1"/>
    <xf numFmtId="177" fontId="22" fillId="0" borderId="7" xfId="1" applyNumberFormat="1" applyFont="1" applyBorder="1"/>
    <xf numFmtId="177" fontId="23" fillId="0" borderId="7" xfId="1" applyNumberFormat="1" applyFont="1" applyBorder="1"/>
    <xf numFmtId="177" fontId="15" fillId="0" borderId="2" xfId="1" applyNumberFormat="1" applyFont="1" applyBorder="1"/>
    <xf numFmtId="177" fontId="23" fillId="0" borderId="2" xfId="1" applyNumberFormat="1" applyFont="1" applyBorder="1"/>
    <xf numFmtId="177" fontId="26" fillId="0" borderId="2" xfId="1" applyNumberFormat="1" applyFont="1" applyBorder="1"/>
    <xf numFmtId="177" fontId="3" fillId="0" borderId="0" xfId="1" applyNumberFormat="1" applyFont="1"/>
    <xf numFmtId="177" fontId="25" fillId="0" borderId="0" xfId="1" applyNumberFormat="1" applyFont="1"/>
    <xf numFmtId="177" fontId="16" fillId="0" borderId="0" xfId="1" applyNumberFormat="1" applyFont="1"/>
    <xf numFmtId="0" fontId="2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2" fillId="0" borderId="0" xfId="0" applyFont="1" applyFill="1"/>
    <xf numFmtId="0" fontId="15" fillId="0" borderId="7" xfId="0" applyFont="1" applyBorder="1"/>
    <xf numFmtId="0" fontId="15" fillId="0" borderId="2" xfId="0" applyFont="1" applyBorder="1"/>
    <xf numFmtId="0" fontId="25" fillId="0" borderId="2" xfId="0" applyFont="1" applyBorder="1"/>
    <xf numFmtId="177" fontId="25" fillId="0" borderId="7" xfId="1" applyNumberFormat="1" applyFont="1" applyBorder="1"/>
    <xf numFmtId="177" fontId="6" fillId="0" borderId="7" xfId="1" applyNumberFormat="1" applyFont="1" applyBorder="1"/>
    <xf numFmtId="177" fontId="6" fillId="0" borderId="8" xfId="1" applyNumberFormat="1" applyFont="1" applyBorder="1"/>
    <xf numFmtId="177" fontId="2" fillId="3" borderId="4" xfId="1" applyNumberFormat="1" applyFont="1" applyFill="1" applyBorder="1"/>
    <xf numFmtId="177" fontId="2" fillId="0" borderId="13" xfId="1" applyNumberFormat="1" applyFont="1" applyBorder="1"/>
    <xf numFmtId="177" fontId="2" fillId="3" borderId="6" xfId="1" applyNumberFormat="1" applyFont="1" applyFill="1" applyBorder="1"/>
    <xf numFmtId="177" fontId="2" fillId="3" borderId="3" xfId="1" applyNumberFormat="1" applyFont="1" applyFill="1" applyBorder="1"/>
    <xf numFmtId="177" fontId="2" fillId="3" borderId="5" xfId="1" applyNumberFormat="1" applyFont="1" applyFill="1" applyBorder="1"/>
    <xf numFmtId="177" fontId="2" fillId="3" borderId="10" xfId="1" applyNumberFormat="1" applyFont="1" applyFill="1" applyBorder="1"/>
    <xf numFmtId="0" fontId="27" fillId="13" borderId="0" xfId="0" applyFont="1" applyFill="1"/>
    <xf numFmtId="178" fontId="27" fillId="13" borderId="0" xfId="2" applyNumberFormat="1" applyFont="1" applyFill="1"/>
    <xf numFmtId="179" fontId="27" fillId="13" borderId="0" xfId="1" applyNumberFormat="1" applyFont="1" applyFill="1"/>
    <xf numFmtId="14" fontId="27" fillId="13" borderId="0" xfId="1" applyNumberFormat="1" applyFont="1" applyFill="1"/>
    <xf numFmtId="0" fontId="28" fillId="0" borderId="0" xfId="0" applyFont="1"/>
    <xf numFmtId="178" fontId="28" fillId="0" borderId="0" xfId="2" applyNumberFormat="1" applyFont="1"/>
    <xf numFmtId="179" fontId="28" fillId="0" borderId="0" xfId="1" applyNumberFormat="1" applyFont="1"/>
    <xf numFmtId="14" fontId="28" fillId="0" borderId="0" xfId="1" applyNumberFormat="1" applyFont="1"/>
    <xf numFmtId="177" fontId="2" fillId="0" borderId="6" xfId="1" applyNumberFormat="1" applyFont="1" applyBorder="1"/>
    <xf numFmtId="0" fontId="28" fillId="2" borderId="0" xfId="0" applyFont="1" applyFill="1"/>
    <xf numFmtId="0" fontId="29" fillId="2" borderId="0" xfId="0" applyFont="1" applyFill="1"/>
    <xf numFmtId="180" fontId="28" fillId="2" borderId="0" xfId="0" applyNumberFormat="1" applyFont="1" applyFill="1"/>
    <xf numFmtId="178" fontId="28" fillId="2" borderId="0" xfId="2" applyNumberFormat="1" applyFont="1" applyFill="1"/>
    <xf numFmtId="179" fontId="28" fillId="2" borderId="0" xfId="1" applyNumberFormat="1" applyFont="1" applyFill="1"/>
    <xf numFmtId="14" fontId="28" fillId="2" borderId="0" xfId="1" applyNumberFormat="1" applyFont="1" applyFill="1"/>
    <xf numFmtId="0" fontId="30" fillId="2" borderId="0" xfId="3" applyFont="1" applyFill="1" applyAlignment="1" applyProtection="1"/>
    <xf numFmtId="0" fontId="28" fillId="3" borderId="0" xfId="0" applyFont="1" applyFill="1"/>
    <xf numFmtId="0" fontId="29" fillId="3" borderId="0" xfId="0" applyFont="1" applyFill="1"/>
    <xf numFmtId="180" fontId="28" fillId="3" borderId="0" xfId="0" applyNumberFormat="1" applyFont="1" applyFill="1"/>
    <xf numFmtId="178" fontId="28" fillId="3" borderId="0" xfId="2" applyNumberFormat="1" applyFont="1" applyFill="1"/>
    <xf numFmtId="179" fontId="28" fillId="3" borderId="0" xfId="1" applyNumberFormat="1" applyFont="1" applyFill="1"/>
    <xf numFmtId="14" fontId="28" fillId="3" borderId="0" xfId="1" applyNumberFormat="1" applyFont="1" applyFill="1"/>
    <xf numFmtId="0" fontId="30" fillId="3" borderId="0" xfId="3" applyFont="1" applyFill="1" applyAlignment="1" applyProtection="1"/>
    <xf numFmtId="10" fontId="28" fillId="3" borderId="0" xfId="4" applyNumberFormat="1" applyFont="1" applyFill="1"/>
    <xf numFmtId="10" fontId="28" fillId="2" borderId="0" xfId="4" applyNumberFormat="1" applyFont="1" applyFill="1"/>
    <xf numFmtId="0" fontId="28" fillId="0" borderId="0" xfId="0" applyFont="1" applyAlignment="1">
      <alignment horizontal="center"/>
    </xf>
    <xf numFmtId="180" fontId="28" fillId="7" borderId="0" xfId="0" applyNumberFormat="1" applyFont="1" applyFill="1"/>
    <xf numFmtId="178" fontId="28" fillId="7" borderId="0" xfId="2" applyNumberFormat="1" applyFont="1" applyFill="1"/>
    <xf numFmtId="179" fontId="28" fillId="7" borderId="0" xfId="1" applyNumberFormat="1" applyFont="1" applyFill="1"/>
    <xf numFmtId="0" fontId="28" fillId="7" borderId="0" xfId="0" applyFont="1" applyFill="1"/>
    <xf numFmtId="0" fontId="29" fillId="7" borderId="0" xfId="0" applyFont="1" applyFill="1"/>
    <xf numFmtId="14" fontId="28" fillId="7" borderId="0" xfId="1" applyNumberFormat="1" applyFont="1" applyFill="1"/>
    <xf numFmtId="0" fontId="30" fillId="7" borderId="0" xfId="3" applyFont="1" applyFill="1" applyAlignment="1" applyProtection="1"/>
    <xf numFmtId="10" fontId="28" fillId="7" borderId="0" xfId="4" applyNumberFormat="1" applyFont="1" applyFill="1"/>
    <xf numFmtId="177" fontId="28" fillId="14" borderId="0" xfId="1" applyNumberFormat="1" applyFont="1" applyFill="1" applyAlignment="1">
      <alignment horizontal="center"/>
    </xf>
    <xf numFmtId="177" fontId="28" fillId="0" borderId="0" xfId="1" applyNumberFormat="1" applyFont="1" applyAlignment="1">
      <alignment horizontal="center"/>
    </xf>
    <xf numFmtId="0" fontId="28" fillId="9" borderId="0" xfId="0" applyFont="1" applyFill="1"/>
    <xf numFmtId="0" fontId="29" fillId="9" borderId="0" xfId="0" applyFont="1" applyFill="1"/>
    <xf numFmtId="180" fontId="28" fillId="9" borderId="0" xfId="0" applyNumberFormat="1" applyFont="1" applyFill="1"/>
    <xf numFmtId="178" fontId="28" fillId="9" borderId="0" xfId="2" applyNumberFormat="1" applyFont="1" applyFill="1"/>
    <xf numFmtId="179" fontId="28" fillId="9" borderId="0" xfId="1" applyNumberFormat="1" applyFont="1" applyFill="1"/>
    <xf numFmtId="177" fontId="28" fillId="0" borderId="14" xfId="1" applyNumberFormat="1" applyFont="1" applyBorder="1" applyAlignment="1">
      <alignment horizontal="center"/>
    </xf>
    <xf numFmtId="10" fontId="28" fillId="9" borderId="0" xfId="4" applyNumberFormat="1" applyFont="1" applyFill="1"/>
    <xf numFmtId="14" fontId="28" fillId="9" borderId="0" xfId="1" applyNumberFormat="1" applyFont="1" applyFill="1"/>
    <xf numFmtId="0" fontId="30" fillId="9" borderId="0" xfId="3" applyFont="1" applyFill="1" applyAlignment="1" applyProtection="1"/>
    <xf numFmtId="0" fontId="28" fillId="9" borderId="15" xfId="0" applyFont="1" applyFill="1" applyBorder="1"/>
    <xf numFmtId="0" fontId="29" fillId="9" borderId="15" xfId="0" applyFont="1" applyFill="1" applyBorder="1"/>
    <xf numFmtId="178" fontId="28" fillId="9" borderId="15" xfId="2" applyNumberFormat="1" applyFont="1" applyFill="1" applyBorder="1"/>
    <xf numFmtId="179" fontId="28" fillId="9" borderId="15" xfId="1" applyNumberFormat="1" applyFont="1" applyFill="1" applyBorder="1"/>
    <xf numFmtId="10" fontId="28" fillId="9" borderId="15" xfId="4" applyNumberFormat="1" applyFont="1" applyFill="1" applyBorder="1"/>
    <xf numFmtId="14" fontId="28" fillId="9" borderId="15" xfId="1" applyNumberFormat="1" applyFont="1" applyFill="1" applyBorder="1"/>
    <xf numFmtId="0" fontId="28" fillId="15" borderId="0" xfId="0" applyFont="1" applyFill="1"/>
    <xf numFmtId="178" fontId="28" fillId="15" borderId="0" xfId="2" applyNumberFormat="1" applyFont="1" applyFill="1"/>
    <xf numFmtId="179" fontId="28" fillId="15" borderId="0" xfId="1" applyNumberFormat="1" applyFont="1" applyFill="1"/>
    <xf numFmtId="14" fontId="28" fillId="15" borderId="0" xfId="1" applyNumberFormat="1" applyFont="1" applyFill="1"/>
    <xf numFmtId="181" fontId="27" fillId="13" borderId="0" xfId="2" applyNumberFormat="1" applyFont="1" applyFill="1"/>
    <xf numFmtId="181" fontId="28" fillId="0" borderId="0" xfId="2" applyNumberFormat="1" applyFont="1"/>
    <xf numFmtId="177" fontId="28" fillId="0" borderId="16" xfId="1" applyNumberFormat="1" applyFont="1" applyBorder="1" applyAlignment="1">
      <alignment horizontal="center"/>
    </xf>
    <xf numFmtId="177" fontId="28" fillId="16" borderId="0" xfId="1" applyNumberFormat="1" applyFont="1" applyFill="1" applyAlignment="1">
      <alignment horizontal="center"/>
    </xf>
    <xf numFmtId="177" fontId="28" fillId="5" borderId="0" xfId="1" applyNumberFormat="1" applyFont="1" applyFill="1" applyAlignment="1">
      <alignment horizontal="center"/>
    </xf>
    <xf numFmtId="0" fontId="28" fillId="8" borderId="0" xfId="0" applyFont="1" applyFill="1" applyAlignment="1">
      <alignment horizontal="center"/>
    </xf>
    <xf numFmtId="182" fontId="27" fillId="13" borderId="0" xfId="1" applyNumberFormat="1" applyFont="1" applyFill="1" applyAlignment="1">
      <alignment horizontal="center"/>
    </xf>
    <xf numFmtId="0" fontId="36" fillId="0" borderId="0" xfId="0" applyFont="1" applyAlignment="1">
      <alignment horizontal="center"/>
    </xf>
    <xf numFmtId="177" fontId="28" fillId="7" borderId="0" xfId="1" applyNumberFormat="1" applyFont="1" applyFill="1" applyAlignment="1">
      <alignment horizontal="center"/>
    </xf>
    <xf numFmtId="181" fontId="37" fillId="7" borderId="0" xfId="2" applyNumberFormat="1" applyFont="1" applyFill="1"/>
    <xf numFmtId="181" fontId="37" fillId="2" borderId="0" xfId="2" applyNumberFormat="1" applyFont="1" applyFill="1"/>
    <xf numFmtId="181" fontId="37" fillId="3" borderId="0" xfId="2" applyNumberFormat="1" applyFont="1" applyFill="1"/>
    <xf numFmtId="181" fontId="37" fillId="9" borderId="0" xfId="2" applyNumberFormat="1" applyFont="1" applyFill="1"/>
    <xf numFmtId="181" fontId="37" fillId="9" borderId="15" xfId="2" applyNumberFormat="1" applyFont="1" applyFill="1" applyBorder="1"/>
    <xf numFmtId="181" fontId="37" fillId="0" borderId="0" xfId="2" applyNumberFormat="1" applyFont="1"/>
    <xf numFmtId="181" fontId="37" fillId="15" borderId="0" xfId="2" applyNumberFormat="1" applyFont="1" applyFill="1"/>
    <xf numFmtId="177" fontId="28" fillId="17" borderId="15" xfId="1" applyNumberFormat="1" applyFont="1" applyFill="1" applyBorder="1" applyAlignment="1">
      <alignment horizontal="center"/>
    </xf>
    <xf numFmtId="177" fontId="28" fillId="10" borderId="0" xfId="1" applyNumberFormat="1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28" fillId="17" borderId="0" xfId="0" applyFont="1" applyFill="1"/>
    <xf numFmtId="177" fontId="28" fillId="0" borderId="15" xfId="1" applyNumberFormat="1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28" fillId="18" borderId="0" xfId="0" applyFont="1" applyFill="1" applyAlignment="1">
      <alignment horizontal="center"/>
    </xf>
    <xf numFmtId="181" fontId="37" fillId="0" borderId="0" xfId="2" applyNumberFormat="1" applyFont="1" applyAlignment="1">
      <alignment horizontal="center"/>
    </xf>
    <xf numFmtId="180" fontId="36" fillId="3" borderId="0" xfId="0" applyNumberFormat="1" applyFont="1" applyFill="1"/>
    <xf numFmtId="180" fontId="36" fillId="9" borderId="15" xfId="0" applyNumberFormat="1" applyFont="1" applyFill="1" applyBorder="1"/>
    <xf numFmtId="181" fontId="28" fillId="0" borderId="14" xfId="2" applyNumberFormat="1" applyFont="1" applyBorder="1"/>
    <xf numFmtId="176" fontId="28" fillId="0" borderId="0" xfId="2" applyFont="1" applyAlignment="1">
      <alignment horizontal="center"/>
    </xf>
    <xf numFmtId="177" fontId="37" fillId="5" borderId="0" xfId="1" applyNumberFormat="1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37" fillId="18" borderId="0" xfId="0" applyFont="1" applyFill="1" applyAlignment="1">
      <alignment horizontal="center"/>
    </xf>
    <xf numFmtId="177" fontId="37" fillId="0" borderId="16" xfId="1" applyNumberFormat="1" applyFont="1" applyBorder="1" applyAlignment="1">
      <alignment horizontal="center"/>
    </xf>
    <xf numFmtId="177" fontId="37" fillId="16" borderId="0" xfId="1" applyNumberFormat="1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181" fontId="28" fillId="0" borderId="0" xfId="2" applyNumberFormat="1" applyFont="1" applyBorder="1"/>
    <xf numFmtId="0" fontId="38" fillId="0" borderId="0" xfId="0" applyFont="1"/>
    <xf numFmtId="177" fontId="37" fillId="17" borderId="15" xfId="1" applyNumberFormat="1" applyFont="1" applyFill="1" applyBorder="1" applyAlignment="1">
      <alignment horizontal="center"/>
    </xf>
    <xf numFmtId="177" fontId="37" fillId="7" borderId="0" xfId="1" applyNumberFormat="1" applyFont="1" applyFill="1" applyAlignment="1">
      <alignment horizontal="center"/>
    </xf>
    <xf numFmtId="177" fontId="37" fillId="10" borderId="0" xfId="1" applyNumberFormat="1" applyFont="1" applyFill="1" applyAlignment="1">
      <alignment horizontal="center"/>
    </xf>
    <xf numFmtId="177" fontId="4" fillId="0" borderId="8" xfId="1" applyNumberFormat="1" applyFont="1" applyBorder="1"/>
    <xf numFmtId="177" fontId="21" fillId="0" borderId="2" xfId="1" applyNumberFormat="1" applyFont="1" applyBorder="1"/>
    <xf numFmtId="177" fontId="0" fillId="0" borderId="0" xfId="0" applyNumberFormat="1"/>
    <xf numFmtId="0" fontId="40" fillId="0" borderId="0" xfId="0" applyFont="1"/>
    <xf numFmtId="177" fontId="2" fillId="19" borderId="2" xfId="1" applyNumberFormat="1" applyFont="1" applyFill="1" applyBorder="1"/>
    <xf numFmtId="181" fontId="28" fillId="0" borderId="0" xfId="2" applyNumberFormat="1" applyFont="1" applyAlignment="1">
      <alignment horizontal="right"/>
    </xf>
    <xf numFmtId="181" fontId="28" fillId="0" borderId="0" xfId="2" applyNumberFormat="1" applyFont="1" applyBorder="1" applyAlignment="1">
      <alignment horizontal="right"/>
    </xf>
    <xf numFmtId="181" fontId="28" fillId="0" borderId="14" xfId="2" applyNumberFormat="1" applyFont="1" applyBorder="1" applyAlignment="1">
      <alignment horizontal="right"/>
    </xf>
    <xf numFmtId="0" fontId="28" fillId="0" borderId="0" xfId="0" applyFont="1" applyAlignment="1">
      <alignment horizontal="right"/>
    </xf>
    <xf numFmtId="0" fontId="37" fillId="17" borderId="0" xfId="0" applyFont="1" applyFill="1" applyAlignment="1">
      <alignment horizontal="center"/>
    </xf>
    <xf numFmtId="177" fontId="28" fillId="0" borderId="0" xfId="1" applyNumberFormat="1" applyFont="1"/>
    <xf numFmtId="177" fontId="37" fillId="0" borderId="0" xfId="1" applyNumberFormat="1" applyFont="1"/>
    <xf numFmtId="177" fontId="28" fillId="14" borderId="0" xfId="1" applyNumberFormat="1" applyFont="1" applyFill="1" applyAlignment="1">
      <alignment horizontal="right"/>
    </xf>
    <xf numFmtId="177" fontId="28" fillId="0" borderId="0" xfId="1" applyNumberFormat="1" applyFont="1" applyAlignment="1">
      <alignment horizontal="right"/>
    </xf>
    <xf numFmtId="177" fontId="28" fillId="0" borderId="14" xfId="1" applyNumberFormat="1" applyFont="1" applyBorder="1" applyAlignment="1">
      <alignment horizontal="right"/>
    </xf>
    <xf numFmtId="177" fontId="36" fillId="0" borderId="0" xfId="1" applyNumberFormat="1" applyFont="1" applyAlignment="1">
      <alignment horizontal="right"/>
    </xf>
    <xf numFmtId="177" fontId="27" fillId="13" borderId="0" xfId="1" applyNumberFormat="1" applyFont="1" applyFill="1" applyAlignment="1">
      <alignment horizontal="right"/>
    </xf>
    <xf numFmtId="181" fontId="37" fillId="2" borderId="18" xfId="2" applyNumberFormat="1" applyFont="1" applyFill="1" applyBorder="1"/>
    <xf numFmtId="177" fontId="37" fillId="0" borderId="15" xfId="1" applyNumberFormat="1" applyFont="1" applyFill="1" applyBorder="1" applyAlignment="1">
      <alignment horizontal="center"/>
    </xf>
    <xf numFmtId="181" fontId="28" fillId="2" borderId="18" xfId="2" applyNumberFormat="1" applyFont="1" applyFill="1" applyBorder="1"/>
    <xf numFmtId="0" fontId="28" fillId="2" borderId="0" xfId="0" applyFont="1" applyFill="1" applyAlignment="1">
      <alignment horizontal="right"/>
    </xf>
    <xf numFmtId="177" fontId="28" fillId="2" borderId="18" xfId="1" applyNumberFormat="1" applyFont="1" applyFill="1" applyBorder="1" applyAlignment="1">
      <alignment horizontal="right"/>
    </xf>
    <xf numFmtId="181" fontId="37" fillId="0" borderId="15" xfId="2" applyNumberFormat="1" applyFont="1" applyBorder="1"/>
    <xf numFmtId="181" fontId="37" fillId="7" borderId="14" xfId="2" applyNumberFormat="1" applyFont="1" applyFill="1" applyBorder="1"/>
    <xf numFmtId="177" fontId="37" fillId="0" borderId="15" xfId="1" applyNumberFormat="1" applyFont="1" applyFill="1" applyBorder="1" applyAlignment="1">
      <alignment horizontal="right"/>
    </xf>
    <xf numFmtId="177" fontId="37" fillId="16" borderId="0" xfId="1" applyNumberFormat="1" applyFont="1" applyFill="1" applyAlignment="1">
      <alignment horizontal="right"/>
    </xf>
    <xf numFmtId="177" fontId="37" fillId="2" borderId="0" xfId="1" applyNumberFormat="1" applyFont="1" applyFill="1" applyAlignment="1">
      <alignment horizontal="right"/>
    </xf>
    <xf numFmtId="177" fontId="37" fillId="0" borderId="0" xfId="1" applyNumberFormat="1" applyFont="1" applyAlignment="1">
      <alignment horizontal="right"/>
    </xf>
    <xf numFmtId="177" fontId="37" fillId="18" borderId="0" xfId="1" applyNumberFormat="1" applyFont="1" applyFill="1" applyAlignment="1">
      <alignment horizontal="right"/>
    </xf>
    <xf numFmtId="177" fontId="37" fillId="5" borderId="0" xfId="1" applyNumberFormat="1" applyFont="1" applyFill="1" applyAlignment="1">
      <alignment horizontal="right"/>
    </xf>
    <xf numFmtId="177" fontId="37" fillId="17" borderId="0" xfId="1" applyNumberFormat="1" applyFont="1" applyFill="1" applyAlignment="1">
      <alignment horizontal="right"/>
    </xf>
    <xf numFmtId="177" fontId="28" fillId="18" borderId="0" xfId="1" applyNumberFormat="1" applyFont="1" applyFill="1" applyAlignment="1">
      <alignment horizontal="center"/>
    </xf>
    <xf numFmtId="177" fontId="28" fillId="17" borderId="0" xfId="1" applyNumberFormat="1" applyFont="1" applyFill="1" applyAlignment="1">
      <alignment horizontal="center"/>
    </xf>
    <xf numFmtId="177" fontId="37" fillId="2" borderId="0" xfId="1" applyNumberFormat="1" applyFont="1" applyFill="1"/>
    <xf numFmtId="177" fontId="37" fillId="7" borderId="0" xfId="1" applyNumberFormat="1" applyFont="1" applyFill="1" applyAlignment="1">
      <alignment horizontal="right"/>
    </xf>
    <xf numFmtId="177" fontId="37" fillId="10" borderId="0" xfId="1" applyNumberFormat="1" applyFont="1" applyFill="1" applyAlignment="1">
      <alignment horizontal="right"/>
    </xf>
    <xf numFmtId="177" fontId="37" fillId="18" borderId="0" xfId="1" applyNumberFormat="1" applyFont="1" applyFill="1" applyAlignment="1">
      <alignment horizontal="center"/>
    </xf>
    <xf numFmtId="177" fontId="37" fillId="17" borderId="0" xfId="1" applyNumberFormat="1" applyFont="1" applyFill="1" applyAlignment="1">
      <alignment horizontal="center"/>
    </xf>
    <xf numFmtId="177" fontId="37" fillId="0" borderId="0" xfId="1" applyNumberFormat="1" applyFont="1" applyAlignment="1">
      <alignment horizontal="center"/>
    </xf>
    <xf numFmtId="177" fontId="37" fillId="7" borderId="0" xfId="1" applyNumberFormat="1" applyFont="1" applyFill="1"/>
    <xf numFmtId="0" fontId="28" fillId="2" borderId="16" xfId="0" applyFont="1" applyFill="1" applyBorder="1"/>
    <xf numFmtId="0" fontId="28" fillId="17" borderId="16" xfId="0" applyFont="1" applyFill="1" applyBorder="1"/>
    <xf numFmtId="14" fontId="28" fillId="0" borderId="0" xfId="1" applyNumberFormat="1" applyFont="1" applyAlignment="1">
      <alignment horizontal="right"/>
    </xf>
    <xf numFmtId="177" fontId="37" fillId="18" borderId="2" xfId="1" applyNumberFormat="1" applyFont="1" applyFill="1" applyBorder="1" applyAlignment="1">
      <alignment horizontal="center"/>
    </xf>
    <xf numFmtId="177" fontId="37" fillId="21" borderId="0" xfId="1" applyNumberFormat="1" applyFont="1" applyFill="1"/>
    <xf numFmtId="0" fontId="0" fillId="0" borderId="0" xfId="0" quotePrefix="1"/>
    <xf numFmtId="0" fontId="43" fillId="0" borderId="0" xfId="0" applyFont="1"/>
    <xf numFmtId="0" fontId="44" fillId="0" borderId="0" xfId="0" applyFont="1"/>
    <xf numFmtId="183" fontId="0" fillId="0" borderId="0" xfId="0" applyNumberFormat="1"/>
    <xf numFmtId="0" fontId="45" fillId="0" borderId="0" xfId="0" applyFont="1"/>
    <xf numFmtId="10" fontId="0" fillId="0" borderId="0" xfId="4" applyNumberFormat="1" applyFont="1"/>
    <xf numFmtId="2" fontId="0" fillId="0" borderId="0" xfId="0" applyNumberFormat="1"/>
    <xf numFmtId="181" fontId="43" fillId="0" borderId="0" xfId="2" applyNumberFormat="1" applyFont="1"/>
    <xf numFmtId="181" fontId="0" fillId="0" borderId="0" xfId="2" applyNumberFormat="1" applyFont="1"/>
    <xf numFmtId="0" fontId="46" fillId="0" borderId="0" xfId="0" applyFont="1"/>
    <xf numFmtId="0" fontId="43" fillId="23" borderId="0" xfId="0" applyFont="1" applyFill="1"/>
    <xf numFmtId="0" fontId="44" fillId="23" borderId="0" xfId="0" applyFont="1" applyFill="1"/>
    <xf numFmtId="184" fontId="28" fillId="15" borderId="0" xfId="1" applyNumberFormat="1" applyFont="1" applyFill="1" applyAlignment="1">
      <alignment horizontal="left"/>
    </xf>
    <xf numFmtId="177" fontId="47" fillId="0" borderId="0" xfId="1" applyNumberFormat="1" applyFont="1"/>
    <xf numFmtId="177" fontId="48" fillId="0" borderId="0" xfId="0" applyNumberFormat="1" applyFont="1"/>
    <xf numFmtId="181" fontId="37" fillId="3" borderId="16" xfId="2" applyNumberFormat="1" applyFont="1" applyFill="1" applyBorder="1" applyAlignment="1">
      <alignment horizontal="right"/>
    </xf>
    <xf numFmtId="177" fontId="49" fillId="0" borderId="0" xfId="1" applyNumberFormat="1" applyFont="1"/>
    <xf numFmtId="177" fontId="50" fillId="0" borderId="0" xfId="1" applyNumberFormat="1" applyFont="1"/>
    <xf numFmtId="177" fontId="49" fillId="0" borderId="15" xfId="1" applyNumberFormat="1" applyFont="1" applyFill="1" applyBorder="1" applyAlignment="1">
      <alignment horizontal="center"/>
    </xf>
    <xf numFmtId="177" fontId="49" fillId="2" borderId="0" xfId="1" applyNumberFormat="1" applyFont="1" applyFill="1"/>
    <xf numFmtId="177" fontId="49" fillId="0" borderId="0" xfId="1" applyNumberFormat="1" applyFont="1" applyAlignment="1">
      <alignment horizontal="center"/>
    </xf>
    <xf numFmtId="177" fontId="49" fillId="18" borderId="0" xfId="1" applyNumberFormat="1" applyFont="1" applyFill="1" applyAlignment="1">
      <alignment horizontal="center"/>
    </xf>
    <xf numFmtId="177" fontId="49" fillId="5" borderId="0" xfId="1" applyNumberFormat="1" applyFont="1" applyFill="1" applyAlignment="1">
      <alignment horizontal="center"/>
    </xf>
    <xf numFmtId="177" fontId="49" fillId="21" borderId="0" xfId="1" applyNumberFormat="1" applyFont="1" applyFill="1"/>
    <xf numFmtId="177" fontId="50" fillId="0" borderId="0" xfId="0" applyNumberFormat="1" applyFont="1"/>
    <xf numFmtId="0" fontId="51" fillId="3" borderId="0" xfId="3" applyFont="1" applyFill="1" applyAlignment="1" applyProtection="1"/>
    <xf numFmtId="177" fontId="52" fillId="0" borderId="0" xfId="1" applyNumberFormat="1" applyFont="1" applyAlignment="1">
      <alignment horizontal="center"/>
    </xf>
    <xf numFmtId="4" fontId="28" fillId="0" borderId="0" xfId="0" applyNumberFormat="1" applyFont="1"/>
    <xf numFmtId="4" fontId="37" fillId="9" borderId="0" xfId="2" applyNumberFormat="1" applyFont="1" applyFill="1"/>
    <xf numFmtId="41" fontId="28" fillId="0" borderId="0" xfId="2" applyNumberFormat="1" applyFont="1"/>
    <xf numFmtId="41" fontId="28" fillId="24" borderId="2" xfId="2" applyNumberFormat="1" applyFont="1" applyFill="1" applyBorder="1"/>
    <xf numFmtId="41" fontId="28" fillId="0" borderId="0" xfId="0" applyNumberFormat="1" applyFont="1"/>
    <xf numFmtId="41" fontId="28" fillId="0" borderId="2" xfId="2" applyNumberFormat="1" applyFont="1" applyBorder="1"/>
    <xf numFmtId="41" fontId="28" fillId="0" borderId="0" xfId="2" applyNumberFormat="1" applyFont="1" applyAlignment="1">
      <alignment horizontal="right"/>
    </xf>
    <xf numFmtId="41" fontId="28" fillId="0" borderId="0" xfId="2" applyNumberFormat="1" applyFont="1" applyBorder="1"/>
    <xf numFmtId="41" fontId="28" fillId="0" borderId="0" xfId="2" applyNumberFormat="1" applyFont="1" applyBorder="1" applyAlignment="1">
      <alignment horizontal="right"/>
    </xf>
    <xf numFmtId="41" fontId="28" fillId="0" borderId="14" xfId="2" applyNumberFormat="1" applyFont="1" applyBorder="1"/>
    <xf numFmtId="41" fontId="28" fillId="0" borderId="14" xfId="2" applyNumberFormat="1" applyFont="1" applyBorder="1" applyAlignment="1">
      <alignment horizontal="right"/>
    </xf>
    <xf numFmtId="41" fontId="28" fillId="20" borderId="19" xfId="2" applyNumberFormat="1" applyFont="1" applyFill="1" applyBorder="1"/>
    <xf numFmtId="41" fontId="28" fillId="20" borderId="2" xfId="2" applyNumberFormat="1" applyFont="1" applyFill="1" applyBorder="1"/>
    <xf numFmtId="41" fontId="28" fillId="21" borderId="2" xfId="2" applyNumberFormat="1" applyFont="1" applyFill="1" applyBorder="1"/>
    <xf numFmtId="41" fontId="28" fillId="22" borderId="2" xfId="2" applyNumberFormat="1" applyFont="1" applyFill="1" applyBorder="1"/>
    <xf numFmtId="41" fontId="28" fillId="25" borderId="2" xfId="2" applyNumberFormat="1" applyFont="1" applyFill="1" applyBorder="1"/>
    <xf numFmtId="41" fontId="28" fillId="0" borderId="17" xfId="2" applyNumberFormat="1" applyFont="1" applyBorder="1"/>
    <xf numFmtId="41" fontId="28" fillId="0" borderId="17" xfId="2" applyNumberFormat="1" applyFont="1" applyBorder="1" applyAlignment="1">
      <alignment horizontal="right"/>
    </xf>
    <xf numFmtId="3" fontId="37" fillId="9" borderId="0" xfId="2" applyNumberFormat="1" applyFont="1" applyFill="1"/>
    <xf numFmtId="3" fontId="37" fillId="3" borderId="0" xfId="2" applyNumberFormat="1" applyFont="1" applyFill="1"/>
    <xf numFmtId="3" fontId="37" fillId="9" borderId="15" xfId="2" applyNumberFormat="1" applyFont="1" applyFill="1" applyBorder="1"/>
    <xf numFmtId="3" fontId="37" fillId="0" borderId="0" xfId="2" applyNumberFormat="1" applyFont="1"/>
    <xf numFmtId="177" fontId="53" fillId="0" borderId="0" xfId="1" applyNumberFormat="1" applyFont="1"/>
    <xf numFmtId="177" fontId="54" fillId="0" borderId="0" xfId="0" applyNumberFormat="1" applyFont="1"/>
    <xf numFmtId="177" fontId="53" fillId="5" borderId="0" xfId="1" applyNumberFormat="1" applyFont="1" applyFill="1" applyAlignment="1">
      <alignment horizontal="center"/>
    </xf>
    <xf numFmtId="177" fontId="53" fillId="21" borderId="0" xfId="1" applyNumberFormat="1" applyFont="1" applyFill="1"/>
    <xf numFmtId="177" fontId="53" fillId="2" borderId="0" xfId="1" applyNumberFormat="1" applyFont="1" applyFill="1"/>
    <xf numFmtId="177" fontId="53" fillId="0" borderId="0" xfId="1" applyNumberFormat="1" applyFont="1" applyAlignment="1">
      <alignment horizontal="center"/>
    </xf>
    <xf numFmtId="177" fontId="53" fillId="18" borderId="0" xfId="1" applyNumberFormat="1" applyFont="1" applyFill="1" applyAlignment="1">
      <alignment horizontal="center"/>
    </xf>
    <xf numFmtId="177" fontId="53" fillId="0" borderId="15" xfId="1" applyNumberFormat="1" applyFont="1" applyFill="1" applyBorder="1" applyAlignment="1">
      <alignment horizontal="center"/>
    </xf>
    <xf numFmtId="177" fontId="47" fillId="0" borderId="0" xfId="0" applyNumberFormat="1" applyFont="1"/>
    <xf numFmtId="178" fontId="28" fillId="0" borderId="0" xfId="2" applyNumberFormat="1" applyFont="1" applyAlignment="1">
      <alignment horizontal="center"/>
    </xf>
    <xf numFmtId="177" fontId="47" fillId="0" borderId="0" xfId="1" applyNumberFormat="1" applyFont="1" applyAlignment="1">
      <alignment horizontal="center"/>
    </xf>
    <xf numFmtId="177" fontId="28" fillId="21" borderId="0" xfId="1" applyNumberFormat="1" applyFont="1" applyFill="1"/>
    <xf numFmtId="177" fontId="28" fillId="2" borderId="0" xfId="1" applyNumberFormat="1" applyFont="1" applyFill="1"/>
    <xf numFmtId="182" fontId="56" fillId="13" borderId="0" xfId="1" applyNumberFormat="1" applyFont="1" applyFill="1" applyAlignment="1">
      <alignment horizontal="center"/>
    </xf>
    <xf numFmtId="41" fontId="37" fillId="0" borderId="0" xfId="2" applyNumberFormat="1" applyFont="1"/>
    <xf numFmtId="177" fontId="57" fillId="0" borderId="0" xfId="1" applyNumberFormat="1" applyFont="1"/>
    <xf numFmtId="177" fontId="57" fillId="0" borderId="0" xfId="0" applyNumberFormat="1" applyFont="1"/>
    <xf numFmtId="22" fontId="58" fillId="26" borderId="0" xfId="0" applyNumberFormat="1" applyFont="1" applyFill="1" applyAlignment="1">
      <alignment horizontal="center" vertical="center" wrapText="1"/>
    </xf>
    <xf numFmtId="14" fontId="58" fillId="26" borderId="0" xfId="0" applyNumberFormat="1" applyFont="1" applyFill="1" applyAlignment="1">
      <alignment horizontal="center" vertical="center" wrapText="1"/>
    </xf>
    <xf numFmtId="0" fontId="58" fillId="26" borderId="0" xfId="0" applyFont="1" applyFill="1" applyAlignment="1">
      <alignment horizontal="center" vertical="center" wrapText="1"/>
    </xf>
    <xf numFmtId="3" fontId="58" fillId="26" borderId="0" xfId="0" applyNumberFormat="1" applyFont="1" applyFill="1" applyAlignment="1">
      <alignment horizontal="right" vertical="center" wrapText="1"/>
    </xf>
    <xf numFmtId="0" fontId="58" fillId="26" borderId="0" xfId="0" applyFont="1" applyFill="1" applyAlignment="1">
      <alignment horizontal="right" vertical="center" wrapText="1"/>
    </xf>
    <xf numFmtId="22" fontId="58" fillId="27" borderId="0" xfId="0" applyNumberFormat="1" applyFont="1" applyFill="1" applyAlignment="1">
      <alignment horizontal="center" vertical="center" wrapText="1"/>
    </xf>
    <xf numFmtId="14" fontId="58" fillId="27" borderId="0" xfId="0" applyNumberFormat="1" applyFont="1" applyFill="1" applyAlignment="1">
      <alignment horizontal="center" vertical="center" wrapText="1"/>
    </xf>
    <xf numFmtId="0" fontId="58" fillId="27" borderId="0" xfId="0" applyFont="1" applyFill="1" applyAlignment="1">
      <alignment horizontal="center" vertical="center" wrapText="1"/>
    </xf>
    <xf numFmtId="3" fontId="58" fillId="27" borderId="0" xfId="0" applyNumberFormat="1" applyFont="1" applyFill="1" applyAlignment="1">
      <alignment horizontal="right" vertical="center" wrapText="1"/>
    </xf>
    <xf numFmtId="0" fontId="58" fillId="27" borderId="0" xfId="0" applyFont="1" applyFill="1" applyAlignment="1">
      <alignment horizontal="right" vertical="center" wrapText="1"/>
    </xf>
    <xf numFmtId="0" fontId="59" fillId="28" borderId="0" xfId="0" applyFont="1" applyFill="1" applyAlignment="1">
      <alignment horizontal="center" vertical="center" wrapText="1"/>
    </xf>
    <xf numFmtId="1" fontId="58" fillId="26" borderId="0" xfId="0" quotePrefix="1" applyNumberFormat="1" applyFont="1" applyFill="1" applyAlignment="1">
      <alignment horizontal="left" vertical="center" wrapText="1"/>
    </xf>
    <xf numFmtId="1" fontId="58" fillId="27" borderId="0" xfId="0" quotePrefix="1" applyNumberFormat="1" applyFont="1" applyFill="1" applyAlignment="1">
      <alignment horizontal="left" vertical="center" wrapText="1"/>
    </xf>
    <xf numFmtId="3" fontId="58" fillId="26" borderId="17" xfId="0" applyNumberFormat="1" applyFont="1" applyFill="1" applyBorder="1" applyAlignment="1">
      <alignment horizontal="right" vertical="center" wrapText="1"/>
    </xf>
    <xf numFmtId="43" fontId="0" fillId="0" borderId="0" xfId="1" applyFont="1"/>
    <xf numFmtId="43" fontId="0" fillId="0" borderId="17" xfId="1" applyFont="1" applyBorder="1"/>
    <xf numFmtId="181" fontId="60" fillId="20" borderId="0" xfId="2" applyNumberFormat="1" applyFont="1" applyFill="1"/>
    <xf numFmtId="14" fontId="0" fillId="0" borderId="0" xfId="0" applyNumberFormat="1"/>
    <xf numFmtId="179" fontId="0" fillId="0" borderId="0" xfId="1" applyNumberFormat="1" applyFont="1"/>
    <xf numFmtId="14" fontId="0" fillId="0" borderId="15" xfId="0" applyNumberFormat="1" applyBorder="1"/>
    <xf numFmtId="179" fontId="0" fillId="0" borderId="15" xfId="1" applyNumberFormat="1" applyFont="1" applyBorder="1"/>
    <xf numFmtId="179" fontId="0" fillId="0" borderId="0" xfId="0" applyNumberFormat="1"/>
    <xf numFmtId="41" fontId="37" fillId="29" borderId="0" xfId="2" applyNumberFormat="1" applyFont="1" applyFill="1"/>
    <xf numFmtId="41" fontId="37" fillId="29" borderId="0" xfId="2" applyNumberFormat="1" applyFont="1" applyFill="1" applyBorder="1"/>
    <xf numFmtId="177" fontId="37" fillId="23" borderId="0" xfId="1" applyNumberFormat="1" applyFont="1" applyFill="1"/>
    <xf numFmtId="41" fontId="28" fillId="23" borderId="0" xfId="2" applyNumberFormat="1" applyFont="1" applyFill="1"/>
    <xf numFmtId="41" fontId="28" fillId="21" borderId="0" xfId="0" applyNumberFormat="1" applyFont="1" applyFill="1"/>
    <xf numFmtId="3" fontId="37" fillId="30" borderId="0" xfId="2" applyNumberFormat="1" applyFont="1" applyFill="1"/>
    <xf numFmtId="177" fontId="37" fillId="20" borderId="15" xfId="1" applyNumberFormat="1" applyFont="1" applyFill="1" applyBorder="1" applyAlignment="1">
      <alignment horizontal="center"/>
    </xf>
    <xf numFmtId="0" fontId="28" fillId="23" borderId="0" xfId="0" applyFont="1" applyFill="1"/>
    <xf numFmtId="3" fontId="37" fillId="20" borderId="0" xfId="2" applyNumberFormat="1" applyFont="1" applyFill="1"/>
    <xf numFmtId="3" fontId="28" fillId="0" borderId="0" xfId="0" applyNumberFormat="1" applyFont="1"/>
    <xf numFmtId="0" fontId="28" fillId="0" borderId="0" xfId="0" quotePrefix="1" applyFont="1" applyAlignment="1">
      <alignment horizontal="right"/>
    </xf>
    <xf numFmtId="3" fontId="58" fillId="26" borderId="0" xfId="0" applyNumberFormat="1" applyFont="1" applyFill="1" applyBorder="1" applyAlignment="1">
      <alignment horizontal="right" vertical="center" wrapText="1"/>
    </xf>
    <xf numFmtId="3" fontId="0" fillId="0" borderId="17" xfId="0" applyNumberFormat="1" applyBorder="1"/>
    <xf numFmtId="0" fontId="39" fillId="20" borderId="0" xfId="0" applyFont="1" applyFill="1"/>
    <xf numFmtId="41" fontId="28" fillId="20" borderId="0" xfId="2" applyNumberFormat="1" applyFont="1" applyFill="1"/>
    <xf numFmtId="0" fontId="28" fillId="20" borderId="0" xfId="0" applyFont="1" applyFill="1"/>
    <xf numFmtId="177" fontId="37" fillId="20" borderId="0" xfId="1" applyNumberFormat="1" applyFont="1" applyFill="1"/>
    <xf numFmtId="43" fontId="0" fillId="0" borderId="0" xfId="0" applyNumberFormat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2" fillId="0" borderId="14" xfId="0" applyFont="1" applyBorder="1"/>
    <xf numFmtId="43" fontId="38" fillId="0" borderId="14" xfId="0" applyNumberFormat="1" applyFont="1" applyBorder="1"/>
    <xf numFmtId="0" fontId="0" fillId="20" borderId="0" xfId="0" applyFill="1"/>
    <xf numFmtId="0" fontId="3" fillId="0" borderId="2" xfId="0" applyFont="1" applyBorder="1"/>
    <xf numFmtId="41" fontId="2" fillId="0" borderId="2" xfId="0" applyNumberFormat="1" applyFont="1" applyBorder="1"/>
    <xf numFmtId="179" fontId="2" fillId="2" borderId="4" xfId="1" applyNumberFormat="1" applyFont="1" applyFill="1" applyBorder="1" applyAlignment="1">
      <alignment horizontal="right" vertical="center"/>
    </xf>
    <xf numFmtId="179" fontId="2" fillId="2" borderId="6" xfId="1" applyNumberFormat="1" applyFont="1" applyFill="1" applyBorder="1" applyAlignment="1">
      <alignment horizontal="right" vertical="center"/>
    </xf>
    <xf numFmtId="179" fontId="2" fillId="2" borderId="7" xfId="1" applyNumberFormat="1" applyFont="1" applyFill="1" applyBorder="1" applyAlignment="1">
      <alignment horizontal="right" vertical="center"/>
    </xf>
    <xf numFmtId="179" fontId="2" fillId="3" borderId="6" xfId="1" applyNumberFormat="1" applyFont="1" applyFill="1" applyBorder="1" applyAlignment="1">
      <alignment horizontal="right" vertical="center"/>
    </xf>
    <xf numFmtId="179" fontId="2" fillId="4" borderId="4" xfId="1" applyNumberFormat="1" applyFont="1" applyFill="1" applyBorder="1" applyAlignment="1">
      <alignment horizontal="right" vertical="center"/>
    </xf>
    <xf numFmtId="179" fontId="2" fillId="4" borderId="6" xfId="1" applyNumberFormat="1" applyFont="1" applyFill="1" applyBorder="1" applyAlignment="1">
      <alignment horizontal="right" vertical="center"/>
    </xf>
    <xf numFmtId="179" fontId="2" fillId="5" borderId="4" xfId="1" applyNumberFormat="1" applyFont="1" applyFill="1" applyBorder="1" applyAlignment="1">
      <alignment horizontal="right" vertical="center"/>
    </xf>
    <xf numFmtId="179" fontId="2" fillId="5" borderId="6" xfId="1" applyNumberFormat="1" applyFont="1" applyFill="1" applyBorder="1" applyAlignment="1">
      <alignment horizontal="right" vertical="center"/>
    </xf>
    <xf numFmtId="179" fontId="2" fillId="5" borderId="7" xfId="1" applyNumberFormat="1" applyFont="1" applyFill="1" applyBorder="1" applyAlignment="1">
      <alignment horizontal="right" vertical="center"/>
    </xf>
    <xf numFmtId="179" fontId="2" fillId="6" borderId="4" xfId="1" applyNumberFormat="1" applyFont="1" applyFill="1" applyBorder="1" applyAlignment="1">
      <alignment horizontal="right" vertical="center"/>
    </xf>
    <xf numFmtId="179" fontId="2" fillId="7" borderId="4" xfId="1" applyNumberFormat="1" applyFont="1" applyFill="1" applyBorder="1" applyAlignment="1">
      <alignment horizontal="right" vertical="center"/>
    </xf>
    <xf numFmtId="179" fontId="2" fillId="7" borderId="7" xfId="1" applyNumberFormat="1" applyFont="1" applyFill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  <xf numFmtId="179" fontId="2" fillId="0" borderId="2" xfId="1" applyNumberFormat="1" applyFont="1" applyBorder="1" applyAlignment="1">
      <alignment horizontal="right" vertical="center"/>
    </xf>
    <xf numFmtId="179" fontId="2" fillId="0" borderId="4" xfId="1" applyNumberFormat="1" applyFont="1" applyBorder="1" applyAlignment="1">
      <alignment horizontal="right" vertical="center"/>
    </xf>
    <xf numFmtId="179" fontId="2" fillId="3" borderId="4" xfId="1" applyNumberFormat="1" applyFont="1" applyFill="1" applyBorder="1" applyAlignment="1">
      <alignment horizontal="right" vertical="center"/>
    </xf>
    <xf numFmtId="179" fontId="2" fillId="3" borderId="7" xfId="1" applyNumberFormat="1" applyFont="1" applyFill="1" applyBorder="1" applyAlignment="1">
      <alignment horizontal="right" vertical="center"/>
    </xf>
    <xf numFmtId="179" fontId="2" fillId="2" borderId="2" xfId="1" applyNumberFormat="1" applyFont="1" applyFill="1" applyBorder="1" applyAlignment="1">
      <alignment horizontal="right" vertical="center"/>
    </xf>
    <xf numFmtId="179" fontId="2" fillId="0" borderId="0" xfId="1" applyNumberFormat="1" applyFont="1" applyAlignment="1">
      <alignment horizontal="right"/>
    </xf>
    <xf numFmtId="179" fontId="2" fillId="0" borderId="0" xfId="1" applyNumberFormat="1" applyFont="1"/>
    <xf numFmtId="179" fontId="2" fillId="8" borderId="4" xfId="1" applyNumberFormat="1" applyFont="1" applyFill="1" applyBorder="1" applyAlignment="1">
      <alignment horizontal="right" vertical="center"/>
    </xf>
    <xf numFmtId="179" fontId="2" fillId="8" borderId="4" xfId="1" applyNumberFormat="1" applyFont="1" applyFill="1" applyBorder="1" applyAlignment="1">
      <alignment horizontal="center" vertical="center"/>
    </xf>
    <xf numFmtId="179" fontId="2" fillId="8" borderId="6" xfId="1" applyNumberFormat="1" applyFont="1" applyFill="1" applyBorder="1" applyAlignment="1">
      <alignment horizontal="right" vertical="center"/>
    </xf>
    <xf numFmtId="179" fontId="2" fillId="8" borderId="6" xfId="1" applyNumberFormat="1" applyFont="1" applyFill="1" applyBorder="1" applyAlignment="1">
      <alignment horizontal="center" vertical="center"/>
    </xf>
    <xf numFmtId="179" fontId="2" fillId="8" borderId="7" xfId="1" applyNumberFormat="1" applyFont="1" applyFill="1" applyBorder="1" applyAlignment="1">
      <alignment horizontal="right" vertical="center"/>
    </xf>
    <xf numFmtId="179" fontId="2" fillId="8" borderId="7" xfId="1" applyNumberFormat="1" applyFont="1" applyFill="1" applyBorder="1" applyAlignment="1">
      <alignment horizontal="center" vertical="center"/>
    </xf>
    <xf numFmtId="179" fontId="2" fillId="0" borderId="9" xfId="1" applyNumberFormat="1" applyFont="1" applyBorder="1" applyAlignment="1">
      <alignment horizontal="right"/>
    </xf>
    <xf numFmtId="179" fontId="2" fillId="0" borderId="9" xfId="1" applyNumberFormat="1" applyFont="1" applyBorder="1" applyAlignment="1">
      <alignment horizontal="center"/>
    </xf>
    <xf numFmtId="179" fontId="2" fillId="9" borderId="4" xfId="1" applyNumberFormat="1" applyFont="1" applyFill="1" applyBorder="1" applyAlignment="1">
      <alignment horizontal="right" vertical="center"/>
    </xf>
    <xf numFmtId="179" fontId="2" fillId="9" borderId="4" xfId="1" applyNumberFormat="1" applyFont="1" applyFill="1" applyBorder="1" applyAlignment="1">
      <alignment horizontal="center" vertical="center"/>
    </xf>
    <xf numFmtId="179" fontId="2" fillId="9" borderId="7" xfId="1" applyNumberFormat="1" applyFont="1" applyFill="1" applyBorder="1" applyAlignment="1">
      <alignment horizontal="right" vertical="center"/>
    </xf>
    <xf numFmtId="179" fontId="2" fillId="9" borderId="7" xfId="1" applyNumberFormat="1" applyFont="1" applyFill="1" applyBorder="1" applyAlignment="1">
      <alignment horizontal="center" vertical="center"/>
    </xf>
    <xf numFmtId="179" fontId="2" fillId="8" borderId="2" xfId="1" applyNumberFormat="1" applyFont="1" applyFill="1" applyBorder="1" applyAlignment="1">
      <alignment horizontal="right" vertical="center"/>
    </xf>
    <xf numFmtId="179" fontId="2" fillId="8" borderId="2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 applyAlignment="1">
      <alignment horizontal="center" vertical="center"/>
    </xf>
    <xf numFmtId="179" fontId="14" fillId="0" borderId="3" xfId="1" applyNumberFormat="1" applyFont="1" applyBorder="1" applyAlignment="1">
      <alignment horizontal="left" vertical="center"/>
    </xf>
    <xf numFmtId="179" fontId="3" fillId="0" borderId="1" xfId="1" applyNumberFormat="1" applyFont="1" applyBorder="1" applyAlignment="1">
      <alignment horizontal="right" vertical="center"/>
    </xf>
    <xf numFmtId="179" fontId="2" fillId="7" borderId="2" xfId="1" applyNumberFormat="1" applyFont="1" applyFill="1" applyBorder="1" applyAlignment="1">
      <alignment horizontal="center"/>
    </xf>
    <xf numFmtId="179" fontId="2" fillId="0" borderId="2" xfId="1" applyNumberFormat="1" applyFont="1" applyBorder="1" applyAlignment="1">
      <alignment horizontal="center"/>
    </xf>
    <xf numFmtId="179" fontId="2" fillId="10" borderId="2" xfId="1" applyNumberFormat="1" applyFont="1" applyFill="1" applyBorder="1" applyAlignment="1">
      <alignment horizontal="center"/>
    </xf>
    <xf numFmtId="179" fontId="3" fillId="0" borderId="2" xfId="1" applyNumberFormat="1" applyFont="1" applyBorder="1" applyAlignment="1">
      <alignment horizontal="center"/>
    </xf>
    <xf numFmtId="179" fontId="4" fillId="0" borderId="4" xfId="1" applyNumberFormat="1" applyFont="1" applyBorder="1" applyAlignment="1">
      <alignment horizontal="center" vertical="center"/>
    </xf>
    <xf numFmtId="179" fontId="4" fillId="2" borderId="4" xfId="1" applyNumberFormat="1" applyFont="1" applyFill="1" applyBorder="1" applyAlignment="1">
      <alignment horizontal="center" vertical="center"/>
    </xf>
    <xf numFmtId="179" fontId="4" fillId="0" borderId="2" xfId="1" applyNumberFormat="1" applyFont="1" applyBorder="1"/>
    <xf numFmtId="179" fontId="2" fillId="0" borderId="7" xfId="1" applyNumberFormat="1" applyFont="1" applyBorder="1"/>
    <xf numFmtId="179" fontId="25" fillId="0" borderId="2" xfId="1" applyNumberFormat="1" applyFont="1" applyBorder="1"/>
    <xf numFmtId="179" fontId="22" fillId="0" borderId="2" xfId="1" applyNumberFormat="1" applyFont="1" applyBorder="1"/>
    <xf numFmtId="179" fontId="2" fillId="12" borderId="7" xfId="1" applyNumberFormat="1" applyFont="1" applyFill="1" applyBorder="1"/>
    <xf numFmtId="179" fontId="2" fillId="0" borderId="6" xfId="1" applyNumberFormat="1" applyFont="1" applyBorder="1" applyAlignment="1">
      <alignment vertical="center"/>
    </xf>
    <xf numFmtId="179" fontId="2" fillId="2" borderId="6" xfId="1" applyNumberFormat="1" applyFont="1" applyFill="1" applyBorder="1" applyAlignment="1">
      <alignment horizontal="center" vertical="center"/>
    </xf>
    <xf numFmtId="179" fontId="4" fillId="2" borderId="7" xfId="1" applyNumberFormat="1" applyFont="1" applyFill="1" applyBorder="1"/>
    <xf numFmtId="179" fontId="2" fillId="2" borderId="7" xfId="1" applyNumberFormat="1" applyFont="1" applyFill="1" applyBorder="1" applyAlignment="1">
      <alignment horizontal="center" vertical="center"/>
    </xf>
    <xf numFmtId="179" fontId="2" fillId="0" borderId="2" xfId="1" applyNumberFormat="1" applyFont="1" applyBorder="1"/>
    <xf numFmtId="179" fontId="24" fillId="0" borderId="2" xfId="1" applyNumberFormat="1" applyFont="1" applyBorder="1"/>
    <xf numFmtId="179" fontId="2" fillId="12" borderId="2" xfId="1" applyNumberFormat="1" applyFont="1" applyFill="1" applyBorder="1"/>
    <xf numFmtId="179" fontId="4" fillId="3" borderId="6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/>
    <xf numFmtId="179" fontId="4" fillId="4" borderId="4" xfId="1" applyNumberFormat="1" applyFont="1" applyFill="1" applyBorder="1" applyAlignment="1">
      <alignment horizontal="center" vertical="center"/>
    </xf>
    <xf numFmtId="179" fontId="2" fillId="4" borderId="6" xfId="1" applyNumberFormat="1" applyFont="1" applyFill="1" applyBorder="1" applyAlignment="1">
      <alignment horizontal="center" vertical="center"/>
    </xf>
    <xf numFmtId="179" fontId="14" fillId="0" borderId="6" xfId="1" applyNumberFormat="1" applyFont="1" applyBorder="1" applyAlignment="1">
      <alignment vertical="center"/>
    </xf>
    <xf numFmtId="179" fontId="4" fillId="5" borderId="4" xfId="1" applyNumberFormat="1" applyFont="1" applyFill="1" applyBorder="1" applyAlignment="1">
      <alignment horizontal="center" vertical="center"/>
    </xf>
    <xf numFmtId="179" fontId="2" fillId="5" borderId="6" xfId="1" applyNumberFormat="1" applyFont="1" applyFill="1" applyBorder="1" applyAlignment="1">
      <alignment horizontal="center" vertical="center"/>
    </xf>
    <xf numFmtId="179" fontId="4" fillId="2" borderId="2" xfId="1" applyNumberFormat="1" applyFont="1" applyFill="1" applyBorder="1"/>
    <xf numFmtId="179" fontId="2" fillId="5" borderId="7" xfId="1" applyNumberFormat="1" applyFont="1" applyFill="1" applyBorder="1" applyAlignment="1">
      <alignment horizontal="center" vertical="center"/>
    </xf>
    <xf numFmtId="179" fontId="4" fillId="6" borderId="4" xfId="1" applyNumberFormat="1" applyFont="1" applyFill="1" applyBorder="1" applyAlignment="1">
      <alignment horizontal="center" vertical="center"/>
    </xf>
    <xf numFmtId="179" fontId="4" fillId="7" borderId="4" xfId="1" applyNumberFormat="1" applyFont="1" applyFill="1" applyBorder="1" applyAlignment="1">
      <alignment horizontal="center" vertical="center"/>
    </xf>
    <xf numFmtId="179" fontId="2" fillId="7" borderId="7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1" fillId="0" borderId="2" xfId="1" applyNumberFormat="1" applyFont="1" applyBorder="1"/>
    <xf numFmtId="179" fontId="4" fillId="3" borderId="4" xfId="1" applyNumberFormat="1" applyFont="1" applyFill="1" applyBorder="1" applyAlignment="1">
      <alignment horizontal="center" vertical="center"/>
    </xf>
    <xf numFmtId="179" fontId="2" fillId="3" borderId="7" xfId="1" applyNumberFormat="1" applyFont="1" applyFill="1" applyBorder="1" applyAlignment="1">
      <alignment horizontal="center" vertical="center"/>
    </xf>
    <xf numFmtId="179" fontId="2" fillId="0" borderId="7" xfId="1" applyNumberFormat="1" applyFont="1" applyBorder="1" applyAlignment="1">
      <alignment vertical="center"/>
    </xf>
    <xf numFmtId="179" fontId="4" fillId="0" borderId="7" xfId="1" applyNumberFormat="1" applyFont="1" applyBorder="1" applyAlignment="1">
      <alignment horizontal="left" vertical="center"/>
    </xf>
    <xf numFmtId="179" fontId="2" fillId="0" borderId="7" xfId="1" applyNumberFormat="1" applyFont="1" applyBorder="1" applyAlignment="1">
      <alignment horizontal="center" vertical="center"/>
    </xf>
    <xf numFmtId="179" fontId="2" fillId="0" borderId="0" xfId="1" applyNumberFormat="1" applyFont="1" applyAlignment="1">
      <alignment horizontal="center" vertical="center"/>
    </xf>
    <xf numFmtId="179" fontId="4" fillId="8" borderId="4" xfId="1" applyNumberFormat="1" applyFont="1" applyFill="1" applyBorder="1" applyAlignment="1">
      <alignment horizontal="center" vertical="center"/>
    </xf>
    <xf numFmtId="179" fontId="3" fillId="8" borderId="6" xfId="1" applyNumberFormat="1" applyFont="1" applyFill="1" applyBorder="1" applyAlignment="1">
      <alignment horizontal="center" vertical="center"/>
    </xf>
    <xf numFmtId="179" fontId="4" fillId="0" borderId="7" xfId="1" applyNumberFormat="1" applyFont="1" applyBorder="1"/>
    <xf numFmtId="179" fontId="4" fillId="9" borderId="4" xfId="1" applyNumberFormat="1" applyFont="1" applyFill="1" applyBorder="1" applyAlignment="1">
      <alignment horizontal="center" vertical="center"/>
    </xf>
    <xf numFmtId="179" fontId="4" fillId="0" borderId="8" xfId="1" applyNumberFormat="1" applyFont="1" applyBorder="1" applyAlignment="1">
      <alignment horizontal="left" vertical="center"/>
    </xf>
    <xf numFmtId="179" fontId="3" fillId="0" borderId="0" xfId="1" applyNumberFormat="1" applyFont="1"/>
    <xf numFmtId="41" fontId="48" fillId="0" borderId="0" xfId="2" applyNumberFormat="1" applyFont="1"/>
    <xf numFmtId="185" fontId="0" fillId="0" borderId="0" xfId="2" applyNumberFormat="1" applyFont="1"/>
    <xf numFmtId="185" fontId="66" fillId="0" borderId="0" xfId="2" applyNumberFormat="1" applyFont="1"/>
    <xf numFmtId="185" fontId="66" fillId="0" borderId="2" xfId="2" applyNumberFormat="1" applyFont="1" applyBorder="1"/>
    <xf numFmtId="185" fontId="66" fillId="20" borderId="2" xfId="2" applyNumberFormat="1" applyFont="1" applyFill="1" applyBorder="1"/>
    <xf numFmtId="185" fontId="0" fillId="0" borderId="0" xfId="0" applyNumberFormat="1"/>
    <xf numFmtId="0" fontId="0" fillId="25" borderId="0" xfId="0" applyFill="1"/>
    <xf numFmtId="185" fontId="66" fillId="20" borderId="0" xfId="2" applyNumberFormat="1" applyFont="1" applyFill="1"/>
    <xf numFmtId="185" fontId="0" fillId="0" borderId="15" xfId="2" applyNumberFormat="1" applyFont="1" applyBorder="1"/>
    <xf numFmtId="185" fontId="66" fillId="20" borderId="15" xfId="2" applyNumberFormat="1" applyFont="1" applyFill="1" applyBorder="1"/>
    <xf numFmtId="0" fontId="0" fillId="0" borderId="15" xfId="0" applyBorder="1"/>
    <xf numFmtId="185" fontId="67" fillId="20" borderId="0" xfId="2" applyNumberFormat="1" applyFont="1" applyFill="1"/>
    <xf numFmtId="14" fontId="69" fillId="0" borderId="2" xfId="0" applyNumberFormat="1" applyFont="1" applyBorder="1" applyAlignment="1">
      <alignment horizontal="left"/>
    </xf>
    <xf numFmtId="179" fontId="69" fillId="0" borderId="2" xfId="1" applyNumberFormat="1" applyFont="1" applyBorder="1" applyAlignment="1">
      <alignment horizontal="right"/>
    </xf>
    <xf numFmtId="0" fontId="69" fillId="0" borderId="2" xfId="0" applyFont="1" applyBorder="1"/>
    <xf numFmtId="186" fontId="69" fillId="0" borderId="2" xfId="0" applyNumberFormat="1" applyFont="1" applyBorder="1" applyAlignment="1">
      <alignment horizontal="left"/>
    </xf>
    <xf numFmtId="0" fontId="69" fillId="0" borderId="2" xfId="0" applyFont="1" applyFill="1" applyBorder="1"/>
    <xf numFmtId="0" fontId="71" fillId="0" borderId="2" xfId="0" applyFont="1" applyBorder="1" applyAlignment="1">
      <alignment horizontal="left"/>
    </xf>
    <xf numFmtId="179" fontId="71" fillId="0" borderId="2" xfId="1" applyNumberFormat="1" applyFont="1" applyBorder="1" applyAlignment="1">
      <alignment horizontal="right"/>
    </xf>
    <xf numFmtId="0" fontId="69" fillId="0" borderId="2" xfId="0" applyFont="1" applyBorder="1" applyAlignment="1">
      <alignment horizontal="left"/>
    </xf>
    <xf numFmtId="0" fontId="72" fillId="20" borderId="20" xfId="0" applyFont="1" applyFill="1" applyBorder="1" applyAlignment="1">
      <alignment horizontal="left"/>
    </xf>
    <xf numFmtId="179" fontId="72" fillId="20" borderId="20" xfId="0" applyNumberFormat="1" applyFont="1" applyFill="1" applyBorder="1"/>
    <xf numFmtId="0" fontId="69" fillId="20" borderId="20" xfId="0" applyFont="1" applyFill="1" applyBorder="1"/>
    <xf numFmtId="179" fontId="69" fillId="0" borderId="2" xfId="1" applyNumberFormat="1" applyFont="1" applyBorder="1"/>
    <xf numFmtId="0" fontId="71" fillId="20" borderId="20" xfId="0" applyFont="1" applyFill="1" applyBorder="1" applyAlignment="1">
      <alignment horizontal="left"/>
    </xf>
    <xf numFmtId="179" fontId="71" fillId="20" borderId="20" xfId="1" applyNumberFormat="1" applyFont="1" applyFill="1" applyBorder="1"/>
    <xf numFmtId="185" fontId="67" fillId="20" borderId="15" xfId="2" applyNumberFormat="1" applyFont="1" applyFill="1" applyBorder="1"/>
    <xf numFmtId="179" fontId="69" fillId="0" borderId="2" xfId="1" applyNumberFormat="1" applyFont="1" applyFill="1" applyBorder="1"/>
    <xf numFmtId="181" fontId="37" fillId="31" borderId="0" xfId="2" applyNumberFormat="1" applyFont="1" applyFill="1"/>
    <xf numFmtId="181" fontId="47" fillId="20" borderId="0" xfId="2" applyNumberFormat="1" applyFont="1" applyFill="1"/>
    <xf numFmtId="43" fontId="43" fillId="0" borderId="0" xfId="0" applyNumberFormat="1" applyFont="1"/>
    <xf numFmtId="0" fontId="31" fillId="0" borderId="0" xfId="3" applyAlignment="1" applyProtection="1"/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28" fillId="32" borderId="0" xfId="0" applyNumberFormat="1" applyFont="1" applyFill="1"/>
    <xf numFmtId="0" fontId="28" fillId="23" borderId="16" xfId="0" applyFont="1" applyFill="1" applyBorder="1"/>
    <xf numFmtId="41" fontId="28" fillId="23" borderId="16" xfId="2" applyNumberFormat="1" applyFont="1" applyFill="1" applyBorder="1"/>
    <xf numFmtId="177" fontId="37" fillId="2" borderId="16" xfId="1" applyNumberFormat="1" applyFont="1" applyFill="1" applyBorder="1"/>
    <xf numFmtId="0" fontId="37" fillId="0" borderId="0" xfId="0" applyFont="1"/>
    <xf numFmtId="0" fontId="31" fillId="9" borderId="15" xfId="3" applyFill="1" applyBorder="1" applyAlignment="1" applyProtection="1"/>
    <xf numFmtId="0" fontId="68" fillId="0" borderId="11" xfId="0" applyFont="1" applyBorder="1" applyAlignment="1">
      <alignment horizontal="left"/>
    </xf>
    <xf numFmtId="0" fontId="68" fillId="0" borderId="13" xfId="0" applyFont="1" applyBorder="1" applyAlignment="1">
      <alignment horizontal="left"/>
    </xf>
    <xf numFmtId="0" fontId="68" fillId="0" borderId="1" xfId="0" applyFont="1" applyBorder="1" applyAlignment="1">
      <alignment horizontal="left"/>
    </xf>
    <xf numFmtId="0" fontId="68" fillId="0" borderId="10" xfId="0" applyFont="1" applyBorder="1" applyAlignment="1">
      <alignment horizontal="left"/>
    </xf>
    <xf numFmtId="0" fontId="68" fillId="0" borderId="21" xfId="0" applyFont="1" applyBorder="1" applyAlignment="1">
      <alignment horizontal="left"/>
    </xf>
    <xf numFmtId="0" fontId="68" fillId="0" borderId="8" xfId="0" applyFont="1" applyBorder="1" applyAlignment="1">
      <alignment horizontal="left"/>
    </xf>
    <xf numFmtId="0" fontId="59" fillId="28" borderId="0" xfId="0" applyFont="1" applyFill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77" fontId="2" fillId="3" borderId="4" xfId="1" applyNumberFormat="1" applyFont="1" applyFill="1" applyBorder="1" applyAlignment="1">
      <alignment horizontal="right" vertical="top"/>
    </xf>
    <xf numFmtId="177" fontId="2" fillId="3" borderId="6" xfId="1" applyNumberFormat="1" applyFont="1" applyFill="1" applyBorder="1" applyAlignment="1">
      <alignment horizontal="right" vertical="top"/>
    </xf>
    <xf numFmtId="177" fontId="2" fillId="3" borderId="7" xfId="1" applyNumberFormat="1" applyFont="1" applyFill="1" applyBorder="1" applyAlignment="1">
      <alignment horizontal="right" vertical="top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7" fontId="2" fillId="0" borderId="4" xfId="1" applyNumberFormat="1" applyFont="1" applyBorder="1" applyAlignment="1">
      <alignment horizontal="right" vertical="top"/>
    </xf>
    <xf numFmtId="177" fontId="2" fillId="0" borderId="6" xfId="1" applyNumberFormat="1" applyFont="1" applyBorder="1" applyAlignment="1">
      <alignment horizontal="right" vertical="top"/>
    </xf>
    <xf numFmtId="177" fontId="2" fillId="0" borderId="7" xfId="1" applyNumberFormat="1" applyFont="1" applyBorder="1" applyAlignment="1">
      <alignment horizontal="right" vertical="top"/>
    </xf>
    <xf numFmtId="177" fontId="2" fillId="0" borderId="4" xfId="1" applyNumberFormat="1" applyFont="1" applyBorder="1" applyAlignment="1">
      <alignment horizontal="right" vertical="center"/>
    </xf>
    <xf numFmtId="177" fontId="2" fillId="0" borderId="6" xfId="1" applyNumberFormat="1" applyFont="1" applyBorder="1" applyAlignment="1">
      <alignment horizontal="right" vertical="center"/>
    </xf>
    <xf numFmtId="177" fontId="2" fillId="0" borderId="7" xfId="1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177" fontId="4" fillId="0" borderId="4" xfId="1" applyNumberFormat="1" applyFont="1" applyBorder="1" applyAlignment="1">
      <alignment horizontal="center" vertical="center"/>
    </xf>
    <xf numFmtId="177" fontId="4" fillId="0" borderId="6" xfId="1" applyNumberFormat="1" applyFont="1" applyBorder="1" applyAlignment="1">
      <alignment horizontal="center" vertical="center"/>
    </xf>
    <xf numFmtId="177" fontId="4" fillId="0" borderId="7" xfId="1" applyNumberFormat="1" applyFont="1" applyBorder="1" applyAlignment="1">
      <alignment horizontal="center" vertical="center"/>
    </xf>
    <xf numFmtId="179" fontId="4" fillId="0" borderId="4" xfId="1" applyNumberFormat="1" applyFont="1" applyBorder="1" applyAlignment="1">
      <alignment horizontal="center" vertical="center"/>
    </xf>
    <xf numFmtId="179" fontId="4" fillId="0" borderId="6" xfId="1" applyNumberFormat="1" applyFont="1" applyBorder="1" applyAlignment="1">
      <alignment horizontal="center" vertical="center"/>
    </xf>
    <xf numFmtId="179" fontId="4" fillId="0" borderId="7" xfId="1" applyNumberFormat="1" applyFont="1" applyBorder="1" applyAlignment="1">
      <alignment horizontal="center" vertical="center"/>
    </xf>
    <xf numFmtId="179" fontId="2" fillId="0" borderId="4" xfId="1" applyNumberFormat="1" applyFont="1" applyBorder="1" applyAlignment="1">
      <alignment horizontal="right" vertical="top"/>
    </xf>
    <xf numFmtId="179" fontId="2" fillId="0" borderId="6" xfId="1" applyNumberFormat="1" applyFont="1" applyBorder="1" applyAlignment="1">
      <alignment horizontal="right" vertical="top"/>
    </xf>
    <xf numFmtId="179" fontId="2" fillId="0" borderId="7" xfId="1" applyNumberFormat="1" applyFont="1" applyBorder="1" applyAlignment="1">
      <alignment horizontal="right" vertical="top"/>
    </xf>
    <xf numFmtId="179" fontId="2" fillId="0" borderId="4" xfId="1" applyNumberFormat="1" applyFont="1" applyBorder="1" applyAlignment="1">
      <alignment horizontal="right" vertical="center"/>
    </xf>
    <xf numFmtId="179" fontId="2" fillId="0" borderId="6" xfId="1" applyNumberFormat="1" applyFont="1" applyBorder="1" applyAlignment="1">
      <alignment horizontal="right" vertical="center"/>
    </xf>
    <xf numFmtId="179" fontId="2" fillId="0" borderId="7" xfId="1" applyNumberFormat="1" applyFont="1" applyBorder="1" applyAlignment="1">
      <alignment horizontal="right" vertical="center"/>
    </xf>
  </cellXfs>
  <cellStyles count="11">
    <cellStyle name="一般" xfId="0" builtinId="0"/>
    <cellStyle name="千分位" xfId="1" builtinId="3"/>
    <cellStyle name="已瀏覽過的超連結" xfId="5" builtinId="9" hidden="1"/>
    <cellStyle name="已瀏覽過的超連結" xfId="6" builtinId="9" hidden="1"/>
    <cellStyle name="已瀏覽過的超連結" xfId="7" builtinId="9" hidden="1"/>
    <cellStyle name="已瀏覽過的超連結" xfId="8" builtinId="9" hidden="1"/>
    <cellStyle name="已瀏覽過的超連結" xfId="9" builtinId="9" hidden="1"/>
    <cellStyle name="已瀏覽過的超連結" xfId="10" builtinId="9" hidden="1"/>
    <cellStyle name="百分比" xfId="4" builtinId="5"/>
    <cellStyle name="貨幣" xfId="2" builtinId="4"/>
    <cellStyle name="超連結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597521336323"/>
          <c:y val="3.1016618475422465E-2"/>
          <c:w val="0.84976415968999697"/>
          <c:h val="0.93796676304915505"/>
        </c:manualLayout>
      </c:layout>
      <c:area3DChart>
        <c:grouping val="standard"/>
        <c:varyColors val="0"/>
        <c:ser>
          <c:idx val="0"/>
          <c:order val="0"/>
          <c:cat>
            <c:strRef>
              <c:f>信用卡!$R$2:$DU$2</c:f>
              <c:strCache>
                <c:ptCount val="100"/>
                <c:pt idx="0">
                  <c:v>Dec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January</c:v>
                </c:pt>
                <c:pt idx="14">
                  <c:v>February</c:v>
                </c:pt>
                <c:pt idx="15">
                  <c:v>March</c:v>
                </c:pt>
                <c:pt idx="16">
                  <c:v>April</c:v>
                </c:pt>
                <c:pt idx="17">
                  <c:v>May</c:v>
                </c:pt>
                <c:pt idx="18">
                  <c:v>June</c:v>
                </c:pt>
                <c:pt idx="19">
                  <c:v>July</c:v>
                </c:pt>
                <c:pt idx="20">
                  <c:v>August</c:v>
                </c:pt>
                <c:pt idx="21">
                  <c:v>September</c:v>
                </c:pt>
                <c:pt idx="22">
                  <c:v>October</c:v>
                </c:pt>
                <c:pt idx="23">
                  <c:v>November</c:v>
                </c:pt>
                <c:pt idx="24">
                  <c:v>December</c:v>
                </c:pt>
                <c:pt idx="25">
                  <c:v>January</c:v>
                </c:pt>
                <c:pt idx="26">
                  <c:v>February</c:v>
                </c:pt>
                <c:pt idx="27">
                  <c:v>March</c:v>
                </c:pt>
                <c:pt idx="28">
                  <c:v>April</c:v>
                </c:pt>
                <c:pt idx="29">
                  <c:v>May</c:v>
                </c:pt>
                <c:pt idx="30">
                  <c:v>June</c:v>
                </c:pt>
                <c:pt idx="31">
                  <c:v>July</c:v>
                </c:pt>
                <c:pt idx="32">
                  <c:v>August</c:v>
                </c:pt>
                <c:pt idx="33">
                  <c:v>September</c:v>
                </c:pt>
                <c:pt idx="34">
                  <c:v>October</c:v>
                </c:pt>
                <c:pt idx="35">
                  <c:v>November</c:v>
                </c:pt>
                <c:pt idx="36">
                  <c:v>December</c:v>
                </c:pt>
                <c:pt idx="37">
                  <c:v>January</c:v>
                </c:pt>
                <c:pt idx="38">
                  <c:v>February</c:v>
                </c:pt>
                <c:pt idx="39">
                  <c:v>March</c:v>
                </c:pt>
                <c:pt idx="40">
                  <c:v>April</c:v>
                </c:pt>
                <c:pt idx="41">
                  <c:v>May</c:v>
                </c:pt>
                <c:pt idx="42">
                  <c:v>June</c:v>
                </c:pt>
                <c:pt idx="43">
                  <c:v>July</c:v>
                </c:pt>
                <c:pt idx="44">
                  <c:v>August</c:v>
                </c:pt>
                <c:pt idx="45">
                  <c:v>September</c:v>
                </c:pt>
                <c:pt idx="46">
                  <c:v>October</c:v>
                </c:pt>
                <c:pt idx="47">
                  <c:v>November</c:v>
                </c:pt>
                <c:pt idx="48">
                  <c:v>December</c:v>
                </c:pt>
                <c:pt idx="49">
                  <c:v>January</c:v>
                </c:pt>
                <c:pt idx="50">
                  <c:v>February</c:v>
                </c:pt>
                <c:pt idx="51">
                  <c:v>March</c:v>
                </c:pt>
                <c:pt idx="52">
                  <c:v>April</c:v>
                </c:pt>
                <c:pt idx="53">
                  <c:v>May</c:v>
                </c:pt>
                <c:pt idx="54">
                  <c:v>June</c:v>
                </c:pt>
                <c:pt idx="55">
                  <c:v>July</c:v>
                </c:pt>
                <c:pt idx="56">
                  <c:v>August</c:v>
                </c:pt>
                <c:pt idx="57">
                  <c:v>September</c:v>
                </c:pt>
                <c:pt idx="58">
                  <c:v>October</c:v>
                </c:pt>
                <c:pt idx="59">
                  <c:v>November</c:v>
                </c:pt>
                <c:pt idx="60">
                  <c:v>December</c:v>
                </c:pt>
                <c:pt idx="61">
                  <c:v>January</c:v>
                </c:pt>
                <c:pt idx="62">
                  <c:v>February</c:v>
                </c:pt>
                <c:pt idx="63">
                  <c:v>March</c:v>
                </c:pt>
                <c:pt idx="64">
                  <c:v>April</c:v>
                </c:pt>
                <c:pt idx="65">
                  <c:v>May</c:v>
                </c:pt>
                <c:pt idx="66">
                  <c:v>June</c:v>
                </c:pt>
                <c:pt idx="67">
                  <c:v>July</c:v>
                </c:pt>
                <c:pt idx="68">
                  <c:v>August</c:v>
                </c:pt>
                <c:pt idx="69">
                  <c:v>September</c:v>
                </c:pt>
                <c:pt idx="70">
                  <c:v>October</c:v>
                </c:pt>
                <c:pt idx="71">
                  <c:v>November</c:v>
                </c:pt>
                <c:pt idx="72">
                  <c:v>December</c:v>
                </c:pt>
                <c:pt idx="73">
                  <c:v>January</c:v>
                </c:pt>
                <c:pt idx="74">
                  <c:v>February</c:v>
                </c:pt>
                <c:pt idx="75">
                  <c:v>March</c:v>
                </c:pt>
                <c:pt idx="76">
                  <c:v>April</c:v>
                </c:pt>
                <c:pt idx="77">
                  <c:v>May</c:v>
                </c:pt>
                <c:pt idx="78">
                  <c:v>June</c:v>
                </c:pt>
                <c:pt idx="79">
                  <c:v>July</c:v>
                </c:pt>
                <c:pt idx="80">
                  <c:v>August</c:v>
                </c:pt>
                <c:pt idx="81">
                  <c:v>September</c:v>
                </c:pt>
                <c:pt idx="82">
                  <c:v>October</c:v>
                </c:pt>
                <c:pt idx="83">
                  <c:v>November</c:v>
                </c:pt>
                <c:pt idx="84">
                  <c:v>December</c:v>
                </c:pt>
                <c:pt idx="85">
                  <c:v>January</c:v>
                </c:pt>
                <c:pt idx="86">
                  <c:v>February</c:v>
                </c:pt>
                <c:pt idx="87">
                  <c:v>March</c:v>
                </c:pt>
                <c:pt idx="88">
                  <c:v>April</c:v>
                </c:pt>
                <c:pt idx="89">
                  <c:v>May</c:v>
                </c:pt>
                <c:pt idx="90">
                  <c:v>June</c:v>
                </c:pt>
                <c:pt idx="91">
                  <c:v>July</c:v>
                </c:pt>
                <c:pt idx="92">
                  <c:v>August</c:v>
                </c:pt>
                <c:pt idx="93">
                  <c:v>September</c:v>
                </c:pt>
                <c:pt idx="94">
                  <c:v>October</c:v>
                </c:pt>
                <c:pt idx="95">
                  <c:v>November</c:v>
                </c:pt>
                <c:pt idx="96">
                  <c:v>December</c:v>
                </c:pt>
                <c:pt idx="97">
                  <c:v>January</c:v>
                </c:pt>
                <c:pt idx="98">
                  <c:v>February</c:v>
                </c:pt>
                <c:pt idx="99">
                  <c:v>March</c:v>
                </c:pt>
              </c:strCache>
            </c:strRef>
          </c:cat>
          <c:val>
            <c:numRef>
              <c:f>信用卡!$R$27:$DU$27</c:f>
              <c:numCache>
                <c:formatCode>_(* #,##0_);_(* \(#,##0\);_(* "-"_);_(@_)</c:formatCode>
                <c:ptCount val="100"/>
                <c:pt idx="0">
                  <c:v>302491</c:v>
                </c:pt>
                <c:pt idx="1">
                  <c:v>569537</c:v>
                </c:pt>
                <c:pt idx="2">
                  <c:v>542501</c:v>
                </c:pt>
                <c:pt idx="3">
                  <c:v>610725</c:v>
                </c:pt>
                <c:pt idx="4">
                  <c:v>605195</c:v>
                </c:pt>
                <c:pt idx="5">
                  <c:v>672696</c:v>
                </c:pt>
                <c:pt idx="6">
                  <c:v>807032</c:v>
                </c:pt>
                <c:pt idx="7">
                  <c:v>707207</c:v>
                </c:pt>
                <c:pt idx="8">
                  <c:v>516320</c:v>
                </c:pt>
                <c:pt idx="9">
                  <c:v>899083</c:v>
                </c:pt>
                <c:pt idx="10">
                  <c:v>877766</c:v>
                </c:pt>
                <c:pt idx="11">
                  <c:v>920639</c:v>
                </c:pt>
                <c:pt idx="12">
                  <c:v>917131</c:v>
                </c:pt>
                <c:pt idx="13">
                  <c:v>1200300</c:v>
                </c:pt>
                <c:pt idx="14">
                  <c:v>1349945</c:v>
                </c:pt>
                <c:pt idx="15">
                  <c:v>675122</c:v>
                </c:pt>
                <c:pt idx="16">
                  <c:v>482882</c:v>
                </c:pt>
                <c:pt idx="17">
                  <c:v>502879</c:v>
                </c:pt>
                <c:pt idx="18">
                  <c:v>638142</c:v>
                </c:pt>
                <c:pt idx="19">
                  <c:v>639321</c:v>
                </c:pt>
                <c:pt idx="20">
                  <c:v>686439</c:v>
                </c:pt>
                <c:pt idx="21">
                  <c:v>856755</c:v>
                </c:pt>
                <c:pt idx="22">
                  <c:v>855017</c:v>
                </c:pt>
                <c:pt idx="23">
                  <c:v>861911</c:v>
                </c:pt>
                <c:pt idx="24">
                  <c:v>895467</c:v>
                </c:pt>
                <c:pt idx="25">
                  <c:v>1125821</c:v>
                </c:pt>
                <c:pt idx="26">
                  <c:v>1452739</c:v>
                </c:pt>
                <c:pt idx="27">
                  <c:v>224989</c:v>
                </c:pt>
                <c:pt idx="28">
                  <c:v>193123</c:v>
                </c:pt>
                <c:pt idx="29">
                  <c:v>257863</c:v>
                </c:pt>
                <c:pt idx="30">
                  <c:v>705572</c:v>
                </c:pt>
                <c:pt idx="31">
                  <c:v>324245</c:v>
                </c:pt>
                <c:pt idx="32">
                  <c:v>-580664</c:v>
                </c:pt>
                <c:pt idx="33">
                  <c:v>-851321</c:v>
                </c:pt>
                <c:pt idx="34">
                  <c:v>-851052</c:v>
                </c:pt>
                <c:pt idx="35">
                  <c:v>-980063</c:v>
                </c:pt>
                <c:pt idx="36">
                  <c:v>-1017072</c:v>
                </c:pt>
                <c:pt idx="37">
                  <c:v>-775243</c:v>
                </c:pt>
                <c:pt idx="38">
                  <c:v>-738859</c:v>
                </c:pt>
                <c:pt idx="39">
                  <c:v>-738859</c:v>
                </c:pt>
                <c:pt idx="40">
                  <c:v>-738859</c:v>
                </c:pt>
                <c:pt idx="41">
                  <c:v>-738859</c:v>
                </c:pt>
                <c:pt idx="42">
                  <c:v>-739191</c:v>
                </c:pt>
                <c:pt idx="43">
                  <c:v>-914842</c:v>
                </c:pt>
                <c:pt idx="44">
                  <c:v>-1047596</c:v>
                </c:pt>
                <c:pt idx="45">
                  <c:v>-1047596</c:v>
                </c:pt>
                <c:pt idx="46">
                  <c:v>-1047596</c:v>
                </c:pt>
                <c:pt idx="47">
                  <c:v>-1270000</c:v>
                </c:pt>
                <c:pt idx="48">
                  <c:v>-700000</c:v>
                </c:pt>
                <c:pt idx="49">
                  <c:v>-660000</c:v>
                </c:pt>
                <c:pt idx="50">
                  <c:v>-740000</c:v>
                </c:pt>
                <c:pt idx="51">
                  <c:v>-860000</c:v>
                </c:pt>
                <c:pt idx="52">
                  <c:v>-599426</c:v>
                </c:pt>
                <c:pt idx="53">
                  <c:v>-804118</c:v>
                </c:pt>
                <c:pt idx="54">
                  <c:v>120115</c:v>
                </c:pt>
                <c:pt idx="55">
                  <c:v>-63667</c:v>
                </c:pt>
                <c:pt idx="56">
                  <c:v>842427</c:v>
                </c:pt>
                <c:pt idx="57">
                  <c:v>1349707</c:v>
                </c:pt>
                <c:pt idx="58">
                  <c:v>1699707</c:v>
                </c:pt>
                <c:pt idx="59">
                  <c:v>2446761</c:v>
                </c:pt>
                <c:pt idx="60">
                  <c:v>2054011</c:v>
                </c:pt>
                <c:pt idx="61">
                  <c:v>2053015</c:v>
                </c:pt>
                <c:pt idx="62">
                  <c:v>1290654</c:v>
                </c:pt>
                <c:pt idx="63">
                  <c:v>1266453</c:v>
                </c:pt>
                <c:pt idx="64">
                  <c:v>1384891</c:v>
                </c:pt>
                <c:pt idx="65">
                  <c:v>1247483</c:v>
                </c:pt>
                <c:pt idx="66">
                  <c:v>1335206</c:v>
                </c:pt>
                <c:pt idx="67">
                  <c:v>980090</c:v>
                </c:pt>
                <c:pt idx="68">
                  <c:v>861819</c:v>
                </c:pt>
                <c:pt idx="69">
                  <c:v>863030</c:v>
                </c:pt>
                <c:pt idx="70">
                  <c:v>636084</c:v>
                </c:pt>
                <c:pt idx="71">
                  <c:v>636084</c:v>
                </c:pt>
                <c:pt idx="72">
                  <c:v>636084</c:v>
                </c:pt>
                <c:pt idx="73">
                  <c:v>40282</c:v>
                </c:pt>
                <c:pt idx="74">
                  <c:v>11223</c:v>
                </c:pt>
                <c:pt idx="75">
                  <c:v>617414</c:v>
                </c:pt>
                <c:pt idx="76">
                  <c:v>714035</c:v>
                </c:pt>
                <c:pt idx="77">
                  <c:v>633866</c:v>
                </c:pt>
                <c:pt idx="78">
                  <c:v>638040</c:v>
                </c:pt>
                <c:pt idx="79">
                  <c:v>638040</c:v>
                </c:pt>
                <c:pt idx="80">
                  <c:v>420222</c:v>
                </c:pt>
                <c:pt idx="81">
                  <c:v>490854</c:v>
                </c:pt>
                <c:pt idx="82">
                  <c:v>494378</c:v>
                </c:pt>
                <c:pt idx="83">
                  <c:v>506519</c:v>
                </c:pt>
                <c:pt idx="84">
                  <c:v>470527</c:v>
                </c:pt>
                <c:pt idx="85">
                  <c:v>762734</c:v>
                </c:pt>
                <c:pt idx="86">
                  <c:v>352936</c:v>
                </c:pt>
                <c:pt idx="87">
                  <c:v>364237</c:v>
                </c:pt>
                <c:pt idx="88">
                  <c:v>381840</c:v>
                </c:pt>
                <c:pt idx="89">
                  <c:v>376980</c:v>
                </c:pt>
                <c:pt idx="90">
                  <c:v>1000158</c:v>
                </c:pt>
                <c:pt idx="91">
                  <c:v>959935</c:v>
                </c:pt>
                <c:pt idx="92">
                  <c:v>933178</c:v>
                </c:pt>
                <c:pt idx="93">
                  <c:v>672284</c:v>
                </c:pt>
                <c:pt idx="94">
                  <c:v>679191</c:v>
                </c:pt>
                <c:pt idx="95">
                  <c:v>673709</c:v>
                </c:pt>
                <c:pt idx="96">
                  <c:v>614797</c:v>
                </c:pt>
                <c:pt idx="97">
                  <c:v>683755</c:v>
                </c:pt>
                <c:pt idx="98">
                  <c:v>565461</c:v>
                </c:pt>
                <c:pt idx="99">
                  <c:v>598972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3-419E-9DB6-0D2577B91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71474320"/>
        <c:axId val="-1371473776"/>
        <c:axId val="-1370591360"/>
      </c:area3DChart>
      <c:catAx>
        <c:axId val="-1371474320"/>
        <c:scaling>
          <c:orientation val="minMax"/>
        </c:scaling>
        <c:delete val="0"/>
        <c:axPos val="b"/>
        <c:numFmt formatCode="[$-409]mmmmm;@" sourceLinked="0"/>
        <c:majorTickMark val="out"/>
        <c:minorTickMark val="none"/>
        <c:tickLblPos val="nextTo"/>
        <c:txPr>
          <a:bodyPr rot="-2280000"/>
          <a:lstStyle/>
          <a:p>
            <a:pPr>
              <a:defRPr sz="900"/>
            </a:pPr>
            <a:endParaRPr lang="zh-TW"/>
          </a:p>
        </c:txPr>
        <c:crossAx val="-1371473776"/>
        <c:crosses val="autoZero"/>
        <c:auto val="1"/>
        <c:lblAlgn val="ctr"/>
        <c:lblOffset val="100"/>
        <c:noMultiLvlLbl val="0"/>
      </c:catAx>
      <c:valAx>
        <c:axId val="-1371473776"/>
        <c:scaling>
          <c:orientation val="minMax"/>
        </c:scaling>
        <c:delete val="0"/>
        <c:axPos val="l"/>
        <c:majorGridlines/>
        <c:numFmt formatCode="_(* #,##0_);_(* \(#,##0\);_(* &quot;-&quot;_);_(@_)" sourceLinked="1"/>
        <c:majorTickMark val="out"/>
        <c:minorTickMark val="none"/>
        <c:tickLblPos val="nextTo"/>
        <c:crossAx val="-1371474320"/>
        <c:crosses val="autoZero"/>
        <c:crossBetween val="midCat"/>
      </c:valAx>
      <c:serAx>
        <c:axId val="-1370591360"/>
        <c:scaling>
          <c:orientation val="minMax"/>
        </c:scaling>
        <c:delete val="1"/>
        <c:axPos val="b"/>
        <c:majorTickMark val="out"/>
        <c:minorTickMark val="none"/>
        <c:tickLblPos val="none"/>
        <c:crossAx val="-1371473776"/>
        <c:crosses val="autoZero"/>
      </c:serAx>
    </c:plotArea>
    <c:plotVisOnly val="1"/>
    <c:dispBlanksAs val="zero"/>
    <c:showDLblsOverMax val="0"/>
  </c:chart>
  <c:printSettings>
    <c:headerFooter/>
    <c:pageMargins b="0.75000000000001399" l="0.70000000000000095" r="0.70000000000000095" t="0.750000000000013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8968074594170596E-2"/>
          <c:y val="8.0160399079801693E-3"/>
          <c:w val="0.86595592604993499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比較表!$B$3:$M$3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9-4FF9-9099-0D18FB2FE148}"/>
            </c:ext>
          </c:extLst>
        </c:ser>
        <c:ser>
          <c:idx val="1"/>
          <c:order val="1"/>
          <c:tx>
            <c:strRef>
              <c:f>比較表!$A$4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比較表!$B$4:$M$4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9-4FF9-9099-0D18FB2FE148}"/>
            </c:ext>
          </c:extLst>
        </c:ser>
        <c:ser>
          <c:idx val="2"/>
          <c:order val="2"/>
          <c:tx>
            <c:strRef>
              <c:f>比較表!$A$5</c:f>
              <c:strCache>
                <c:ptCount val="1"/>
                <c:pt idx="0">
                  <c:v>2008</c:v>
                </c:pt>
              </c:strCache>
            </c:strRef>
          </c:tx>
          <c:invertIfNegative val="0"/>
          <c:cat>
            <c:strRef>
              <c:f>比較表!$B$2:$M$2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比較表!$B$5:$M$5</c:f>
              <c:numCache>
                <c:formatCode>_(* #,##0_);_(* \(#,##0\);_(* "-"??_);_(@_)</c:formatCode>
                <c:ptCount val="12"/>
                <c:pt idx="0">
                  <c:v>293338</c:v>
                </c:pt>
                <c:pt idx="1">
                  <c:v>260969</c:v>
                </c:pt>
                <c:pt idx="2">
                  <c:v>304302</c:v>
                </c:pt>
                <c:pt idx="3">
                  <c:v>230546</c:v>
                </c:pt>
                <c:pt idx="4">
                  <c:v>212932</c:v>
                </c:pt>
                <c:pt idx="5">
                  <c:v>255406</c:v>
                </c:pt>
                <c:pt idx="6">
                  <c:v>573190</c:v>
                </c:pt>
                <c:pt idx="7">
                  <c:v>420722</c:v>
                </c:pt>
                <c:pt idx="8">
                  <c:v>364793</c:v>
                </c:pt>
                <c:pt idx="9">
                  <c:v>296213</c:v>
                </c:pt>
                <c:pt idx="10">
                  <c:v>425606</c:v>
                </c:pt>
                <c:pt idx="11">
                  <c:v>235419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D9-4FF9-9099-0D18FB2FE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70512"/>
        <c:axId val="-1371479760"/>
        <c:axId val="-1369379120"/>
      </c:bar3DChart>
      <c:catAx>
        <c:axId val="-1371470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760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70512"/>
        <c:crosses val="autoZero"/>
        <c:crossBetween val="between"/>
      </c:valAx>
      <c:serAx>
        <c:axId val="-13693791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760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6288066304895"/>
          <c:y val="1.0020040080160299E-2"/>
          <c:w val="7.8586794297771601E-2"/>
          <c:h val="0.168324049674151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9644243545474895E-2"/>
          <c:y val="8.5653104925053694E-3"/>
          <c:w val="0.83985862416896595"/>
          <c:h val="0.85438972162740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比較表!$A$40</c:f>
              <c:strCache>
                <c:ptCount val="1"/>
                <c:pt idx="0">
                  <c:v>淑琪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比較表!$B$40:$M$40</c:f>
              <c:numCache>
                <c:formatCode>_(* #,##0_);_(* \(#,##0\);_(* "-"??_);_(@_)</c:formatCode>
                <c:ptCount val="12"/>
                <c:pt idx="0">
                  <c:v>230366</c:v>
                </c:pt>
                <c:pt idx="1">
                  <c:v>217866</c:v>
                </c:pt>
                <c:pt idx="2">
                  <c:v>205366</c:v>
                </c:pt>
                <c:pt idx="3">
                  <c:v>222866</c:v>
                </c:pt>
                <c:pt idx="4">
                  <c:v>218866</c:v>
                </c:pt>
                <c:pt idx="5">
                  <c:v>214866</c:v>
                </c:pt>
                <c:pt idx="6">
                  <c:v>210866</c:v>
                </c:pt>
                <c:pt idx="7">
                  <c:v>206866</c:v>
                </c:pt>
                <c:pt idx="8">
                  <c:v>202866</c:v>
                </c:pt>
                <c:pt idx="9">
                  <c:v>198866</c:v>
                </c:pt>
                <c:pt idx="10">
                  <c:v>194866</c:v>
                </c:pt>
                <c:pt idx="11">
                  <c:v>190866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B-43B2-BCAA-27F3807A8BF4}"/>
            </c:ext>
          </c:extLst>
        </c:ser>
        <c:ser>
          <c:idx val="1"/>
          <c:order val="1"/>
          <c:tx>
            <c:strRef>
              <c:f>比較表!$A$41</c:f>
              <c:strCache>
                <c:ptCount val="1"/>
                <c:pt idx="0">
                  <c:v>信用卡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比較表!$B$41:$M$41</c:f>
              <c:numCache>
                <c:formatCode>_(* #,##0_);_(* \(#,##0\);_(* "-"??_);_(@_)</c:formatCode>
                <c:ptCount val="12"/>
                <c:pt idx="0">
                  <c:v>422699</c:v>
                </c:pt>
                <c:pt idx="1">
                  <c:v>543481</c:v>
                </c:pt>
                <c:pt idx="2">
                  <c:v>572767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B-43B2-BCAA-27F3807A8BF4}"/>
            </c:ext>
          </c:extLst>
        </c:ser>
        <c:ser>
          <c:idx val="2"/>
          <c:order val="2"/>
          <c:tx>
            <c:strRef>
              <c:f>比較表!$A$42</c:f>
              <c:strCache>
                <c:ptCount val="1"/>
                <c:pt idx="0">
                  <c:v>車庫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比較表!$B$42:$M$42</c:f>
              <c:numCache>
                <c:formatCode>_(* #,##0_);_(* \(#,##0\);_(* "-"??_);_(@_)</c:formatCode>
                <c:ptCount val="12"/>
                <c:pt idx="0">
                  <c:v>1423188</c:v>
                </c:pt>
                <c:pt idx="1">
                  <c:v>1418985</c:v>
                </c:pt>
                <c:pt idx="2">
                  <c:v>1414782</c:v>
                </c:pt>
                <c:pt idx="3">
                  <c:v>1410579</c:v>
                </c:pt>
                <c:pt idx="4">
                  <c:v>1406376</c:v>
                </c:pt>
                <c:pt idx="5">
                  <c:v>1402173</c:v>
                </c:pt>
                <c:pt idx="6">
                  <c:v>1397970</c:v>
                </c:pt>
                <c:pt idx="7">
                  <c:v>1393767</c:v>
                </c:pt>
                <c:pt idx="8">
                  <c:v>1389564</c:v>
                </c:pt>
                <c:pt idx="9">
                  <c:v>1385361</c:v>
                </c:pt>
                <c:pt idx="10">
                  <c:v>1381158</c:v>
                </c:pt>
                <c:pt idx="11">
                  <c:v>1376955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1B-43B2-BCAA-27F3807A8BF4}"/>
            </c:ext>
          </c:extLst>
        </c:ser>
        <c:ser>
          <c:idx val="3"/>
          <c:order val="3"/>
          <c:tx>
            <c:strRef>
              <c:f>比較表!$A$43</c:f>
              <c:strCache>
                <c:ptCount val="1"/>
                <c:pt idx="0">
                  <c:v>存款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比較表!$B$43:$M$43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2416133</c:v>
                </c:pt>
                <c:pt idx="4">
                  <c:v>2104600</c:v>
                </c:pt>
                <c:pt idx="5">
                  <c:v>1955375</c:v>
                </c:pt>
                <c:pt idx="6">
                  <c:v>1962739</c:v>
                </c:pt>
                <c:pt idx="7">
                  <c:v>2012798</c:v>
                </c:pt>
                <c:pt idx="8">
                  <c:v>2060057</c:v>
                </c:pt>
                <c:pt idx="9">
                  <c:v>2061408</c:v>
                </c:pt>
                <c:pt idx="10">
                  <c:v>2133690</c:v>
                </c:pt>
                <c:pt idx="11">
                  <c:v>2102509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5D1B-43B2-BCAA-27F3807A8BF4}"/>
            </c:ext>
          </c:extLst>
        </c:ser>
        <c:ser>
          <c:idx val="4"/>
          <c:order val="4"/>
          <c:tx>
            <c:strRef>
              <c:f>比較表!$A$44</c:f>
              <c:strCache>
                <c:ptCount val="1"/>
                <c:pt idx="0">
                  <c:v>房貸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比較表!$B$39:$M$39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比較表!$B$44:$M$44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4885998</c:v>
                </c:pt>
                <c:pt idx="4">
                  <c:v>4873198</c:v>
                </c:pt>
                <c:pt idx="5">
                  <c:v>4860398</c:v>
                </c:pt>
                <c:pt idx="6">
                  <c:v>4847598</c:v>
                </c:pt>
                <c:pt idx="7">
                  <c:v>4834798</c:v>
                </c:pt>
                <c:pt idx="8">
                  <c:v>4821998</c:v>
                </c:pt>
                <c:pt idx="9">
                  <c:v>4809198</c:v>
                </c:pt>
                <c:pt idx="10">
                  <c:v>4796398</c:v>
                </c:pt>
                <c:pt idx="11">
                  <c:v>4783598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1B-43B2-BCAA-27F3807A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4656"/>
        <c:axId val="-1371479216"/>
        <c:axId val="-1370312384"/>
      </c:bar3DChart>
      <c:catAx>
        <c:axId val="-1371484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9216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4656"/>
        <c:crosses val="autoZero"/>
        <c:crossBetween val="between"/>
      </c:valAx>
      <c:serAx>
        <c:axId val="-1370312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9216"/>
        <c:crosses val="autoZero"/>
        <c:tickLblSkip val="2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612199275802295"/>
          <c:y val="1.07066381156317E-2"/>
          <c:w val="0.109134169616699"/>
          <c:h val="0.323340471092093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9"/>
      <c:hPercent val="100"/>
      <c:rotY val="24"/>
      <c:depthPercent val="100"/>
      <c:rAngAx val="0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781833599581097E-2"/>
          <c:y val="8.0160399079801693E-3"/>
          <c:w val="0.86951464903368902"/>
          <c:h val="0.86172429010785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比較表!$A$75</c:f>
              <c:strCache>
                <c:ptCount val="1"/>
                <c:pt idx="0">
                  <c:v>支出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比較表!$B$75:$M$75</c:f>
              <c:numCache>
                <c:formatCode>_(* #,##0_);_(* \(#,##0\);_(* "-"??_);_(@_)</c:formatCode>
                <c:ptCount val="12"/>
                <c:pt idx="0">
                  <c:v>273027</c:v>
                </c:pt>
                <c:pt idx="1">
                  <c:v>274728</c:v>
                </c:pt>
                <c:pt idx="2">
                  <c:v>160169</c:v>
                </c:pt>
                <c:pt idx="3">
                  <c:v>114423</c:v>
                </c:pt>
                <c:pt idx="4">
                  <c:v>246385</c:v>
                </c:pt>
                <c:pt idx="5">
                  <c:v>232669</c:v>
                </c:pt>
                <c:pt idx="6">
                  <c:v>442669</c:v>
                </c:pt>
                <c:pt idx="7">
                  <c:v>153583</c:v>
                </c:pt>
                <c:pt idx="8">
                  <c:v>138583</c:v>
                </c:pt>
                <c:pt idx="9">
                  <c:v>123583</c:v>
                </c:pt>
                <c:pt idx="10">
                  <c:v>143583</c:v>
                </c:pt>
                <c:pt idx="11">
                  <c:v>191418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7-43A2-877F-12E130C91323}"/>
            </c:ext>
          </c:extLst>
        </c:ser>
        <c:ser>
          <c:idx val="1"/>
          <c:order val="1"/>
          <c:tx>
            <c:strRef>
              <c:f>比較表!$A$76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比較表!$B$74:$M$74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比較表!$B$76:$M$76</c:f>
              <c:numCache>
                <c:formatCode>_(* #,##0_);_(* \(#,##0\);_(* "-"??_);_(@_)</c:formatCode>
                <c:ptCount val="12"/>
                <c:pt idx="0">
                  <c:v>463670</c:v>
                </c:pt>
                <c:pt idx="1">
                  <c:v>125864</c:v>
                </c:pt>
                <c:pt idx="2">
                  <c:v>174155</c:v>
                </c:pt>
                <c:pt idx="3">
                  <c:v>148018</c:v>
                </c:pt>
                <c:pt idx="4">
                  <c:v>132890</c:v>
                </c:pt>
                <c:pt idx="5">
                  <c:v>124847</c:v>
                </c:pt>
                <c:pt idx="6">
                  <c:v>124847</c:v>
                </c:pt>
                <c:pt idx="7">
                  <c:v>124847</c:v>
                </c:pt>
                <c:pt idx="8">
                  <c:v>124847</c:v>
                </c:pt>
                <c:pt idx="9">
                  <c:v>124847</c:v>
                </c:pt>
                <c:pt idx="10">
                  <c:v>124847</c:v>
                </c:pt>
                <c:pt idx="11">
                  <c:v>374541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7-43A2-877F-12E130C91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71483024"/>
        <c:axId val="-1371478672"/>
        <c:axId val="-1368507920"/>
      </c:bar3DChart>
      <c:catAx>
        <c:axId val="-1371483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6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Lucida Console"/>
                <a:ea typeface="Lucida Console"/>
                <a:cs typeface="Lucida Console"/>
              </a:defRPr>
            </a:pPr>
            <a:endParaRPr lang="zh-TW"/>
          </a:p>
        </c:txPr>
        <c:crossAx val="-1371478672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-1371478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unga"/>
                <a:ea typeface="Tunga"/>
                <a:cs typeface="Tunga"/>
              </a:defRPr>
            </a:pPr>
            <a:endParaRPr lang="zh-TW"/>
          </a:p>
        </c:txPr>
        <c:crossAx val="-1371483024"/>
        <c:crosses val="autoZero"/>
        <c:crossBetween val="between"/>
      </c:valAx>
      <c:serAx>
        <c:axId val="-1368507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114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Gungsuh"/>
                <a:ea typeface="Gungsuh"/>
                <a:cs typeface="Gungsuh"/>
              </a:defRPr>
            </a:pPr>
            <a:endParaRPr lang="zh-TW"/>
          </a:p>
        </c:txPr>
        <c:crossAx val="-1371478672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2934744366995"/>
          <c:y val="1.0020040080160299E-2"/>
          <c:w val="9.2526814931051707E-2"/>
          <c:h val="0.130260731436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000000000001399" r="0.7500000000000139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23</xdr:row>
      <xdr:rowOff>19049</xdr:rowOff>
    </xdr:from>
    <xdr:to>
      <xdr:col>9</xdr:col>
      <xdr:colOff>1123950</xdr:colOff>
      <xdr:row>42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455924</xdr:colOff>
      <xdr:row>21</xdr:row>
      <xdr:rowOff>75755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09524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133350</xdr:rowOff>
    </xdr:from>
    <xdr:to>
      <xdr:col>16</xdr:col>
      <xdr:colOff>457200</xdr:colOff>
      <xdr:row>42</xdr:row>
      <xdr:rowOff>141816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2C195B5-69C8-4DA2-8CD3-3A56B93A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714750"/>
          <a:ext cx="10210800" cy="335280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32</xdr:row>
      <xdr:rowOff>152400</xdr:rowOff>
    </xdr:from>
    <xdr:to>
      <xdr:col>35</xdr:col>
      <xdr:colOff>292726</xdr:colOff>
      <xdr:row>48</xdr:row>
      <xdr:rowOff>75886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FD34C519-6054-4CC3-8800-45AAFBFA2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72725" y="5086350"/>
          <a:ext cx="11923809" cy="25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600075</xdr:colOff>
      <xdr:row>48</xdr:row>
      <xdr:rowOff>133350</xdr:rowOff>
    </xdr:from>
    <xdr:to>
      <xdr:col>30</xdr:col>
      <xdr:colOff>188343</xdr:colOff>
      <xdr:row>67</xdr:row>
      <xdr:rowOff>152013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B9A4D83C-6C4A-4C2D-81E4-18F43F556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53675" y="7658100"/>
          <a:ext cx="8790476" cy="30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16</xdr:col>
      <xdr:colOff>523875</xdr:colOff>
      <xdr:row>67</xdr:row>
      <xdr:rowOff>113862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5D83D68C-E822-4F06-A1BB-9F87AD57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7200900"/>
          <a:ext cx="10277475" cy="35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68</xdr:row>
      <xdr:rowOff>1</xdr:rowOff>
    </xdr:from>
    <xdr:to>
      <xdr:col>16</xdr:col>
      <xdr:colOff>582084</xdr:colOff>
      <xdr:row>102</xdr:row>
      <xdr:rowOff>80109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C175D9B0-243B-44E1-A08A-4CF652DC2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948460"/>
          <a:ext cx="10911416" cy="5657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</xdr:row>
      <xdr:rowOff>66675</xdr:rowOff>
    </xdr:from>
    <xdr:to>
      <xdr:col>13</xdr:col>
      <xdr:colOff>19050</xdr:colOff>
      <xdr:row>34</xdr:row>
      <xdr:rowOff>123825</xdr:rowOff>
    </xdr:to>
    <xdr:graphicFrame macro="">
      <xdr:nvGraphicFramePr>
        <xdr:cNvPr id="15523" name="Chart 1">
          <a:extLst>
            <a:ext uri="{FF2B5EF4-FFF2-40B4-BE49-F238E27FC236}">
              <a16:creationId xmlns:a16="http://schemas.microsoft.com/office/drawing/2014/main" id="{00000000-0008-0000-0700-0000A3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44</xdr:row>
      <xdr:rowOff>38100</xdr:rowOff>
    </xdr:from>
    <xdr:to>
      <xdr:col>12</xdr:col>
      <xdr:colOff>600075</xdr:colOff>
      <xdr:row>71</xdr:row>
      <xdr:rowOff>114300</xdr:rowOff>
    </xdr:to>
    <xdr:graphicFrame macro="">
      <xdr:nvGraphicFramePr>
        <xdr:cNvPr id="15524" name="Chart 2">
          <a:extLst>
            <a:ext uri="{FF2B5EF4-FFF2-40B4-BE49-F238E27FC236}">
              <a16:creationId xmlns:a16="http://schemas.microsoft.com/office/drawing/2014/main" id="{00000000-0008-0000-0700-0000A4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76</xdr:row>
      <xdr:rowOff>66675</xdr:rowOff>
    </xdr:from>
    <xdr:to>
      <xdr:col>13</xdr:col>
      <xdr:colOff>19050</xdr:colOff>
      <xdr:row>105</xdr:row>
      <xdr:rowOff>123825</xdr:rowOff>
    </xdr:to>
    <xdr:graphicFrame macro="">
      <xdr:nvGraphicFramePr>
        <xdr:cNvPr id="15525" name="Chart 3">
          <a:extLst>
            <a:ext uri="{FF2B5EF4-FFF2-40B4-BE49-F238E27FC236}">
              <a16:creationId xmlns:a16="http://schemas.microsoft.com/office/drawing/2014/main" id="{00000000-0008-0000-0700-0000A53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skywang\Documents\My%20Personal\Finance\Andrew%20&#27599;&#26376;&#25903;&#20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U"/>
      <sheetName val="20140101~20140630"/>
      <sheetName val="20120801~20131231"/>
      <sheetName val="2011 更新"/>
      <sheetName val="2010"/>
      <sheetName val="2009興南"/>
      <sheetName val="2009"/>
      <sheetName val="月結更新"/>
      <sheetName val="月結"/>
      <sheetName val="20150101~20151231"/>
    </sheetNames>
    <sheetDataSet>
      <sheetData sheetId="0"/>
      <sheetData sheetId="1"/>
      <sheetData sheetId="2"/>
      <sheetData sheetId="3">
        <row r="11">
          <cell r="C11">
            <v>81960</v>
          </cell>
        </row>
        <row r="16">
          <cell r="C16">
            <v>14300</v>
          </cell>
        </row>
      </sheetData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inocard.com.tw/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www.istore.com.tw/cathaybk" TargetMode="External"/><Relationship Id="rId7" Type="http://schemas.openxmlformats.org/officeDocument/2006/relationships/hyperlink" Target="http://www.hsbc.com.tw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y.taishinbank.com.tw/" TargetMode="External"/><Relationship Id="rId1" Type="http://schemas.openxmlformats.org/officeDocument/2006/relationships/hyperlink" Target="http://bonus.ubot.com.tw/" TargetMode="External"/><Relationship Id="rId6" Type="http://schemas.openxmlformats.org/officeDocument/2006/relationships/hyperlink" Target="http://www.taishinbank.com.tw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firstcard.com.tw/" TargetMode="External"/><Relationship Id="rId10" Type="http://schemas.openxmlformats.org/officeDocument/2006/relationships/hyperlink" Target="https://www.treemall.com.tw/" TargetMode="External"/><Relationship Id="rId4" Type="http://schemas.openxmlformats.org/officeDocument/2006/relationships/hyperlink" Target="http://bonus.ubot.com.tw/" TargetMode="External"/><Relationship Id="rId9" Type="http://schemas.openxmlformats.org/officeDocument/2006/relationships/hyperlink" Target="http://www.taipeifubon.com.tw/" TargetMode="External"/><Relationship Id="rId1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ta.secureaccountaccess.com/Account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:IN47"/>
  <sheetViews>
    <sheetView tabSelected="1" zoomScaleNormal="100" workbookViewId="0">
      <pane xSplit="10" ySplit="2" topLeftCell="DT8" activePane="bottomRight" state="frozen"/>
      <selection pane="topRight" activeCell="K1" sqref="K1"/>
      <selection pane="bottomLeft" activeCell="A3" sqref="A3"/>
      <selection pane="bottomRight" activeCell="DV34" sqref="DV34"/>
    </sheetView>
  </sheetViews>
  <sheetFormatPr defaultColWidth="8.73046875" defaultRowHeight="13.5" customHeight="1" outlineLevelRow="1" outlineLevelCol="1"/>
  <cols>
    <col min="1" max="1" width="11.1328125" style="258" customWidth="1"/>
    <col min="2" max="2" width="8.73046875" style="258"/>
    <col min="3" max="3" width="21.86328125" style="258" customWidth="1"/>
    <col min="4" max="4" width="9.59765625" style="258" hidden="1" customWidth="1" outlineLevel="1"/>
    <col min="5" max="5" width="12" style="259" hidden="1" customWidth="1" outlineLevel="1"/>
    <col min="6" max="6" width="8.59765625" style="260" hidden="1" customWidth="1" outlineLevel="1"/>
    <col min="7" max="7" width="8.73046875" style="260" hidden="1" customWidth="1" outlineLevel="1"/>
    <col min="8" max="8" width="8.73046875" style="261" hidden="1" customWidth="1" outlineLevel="1"/>
    <col min="9" max="9" width="16.1328125" style="310" bestFit="1" customWidth="1" collapsed="1"/>
    <col min="10" max="10" width="26.59765625" style="258" customWidth="1"/>
    <col min="11" max="11" width="8.1328125" style="258" hidden="1" customWidth="1" outlineLevel="1"/>
    <col min="12" max="12" width="9" style="258" hidden="1" customWidth="1" outlineLevel="1"/>
    <col min="13" max="13" width="8.73046875" style="258" hidden="1" customWidth="1" outlineLevel="1"/>
    <col min="14" max="14" width="10" style="258" customWidth="1" collapsed="1"/>
    <col min="15" max="17" width="12.3984375" style="258" hidden="1" customWidth="1" outlineLevel="1"/>
    <col min="18" max="18" width="12" style="258" hidden="1" customWidth="1" outlineLevel="1"/>
    <col min="19" max="19" width="10.73046875" style="361" hidden="1" customWidth="1" outlineLevel="1"/>
    <col min="20" max="20" width="12.3984375" style="258" hidden="1" customWidth="1" outlineLevel="1"/>
    <col min="21" max="21" width="9.86328125" style="258" hidden="1" customWidth="1" outlineLevel="1"/>
    <col min="22" max="25" width="11.3984375" style="258" hidden="1" customWidth="1" outlineLevel="1"/>
    <col min="26" max="26" width="11.3984375" style="258" bestFit="1" customWidth="1" collapsed="1"/>
    <col min="27" max="29" width="11.3984375" style="258" customWidth="1" outlineLevel="1"/>
    <col min="30" max="30" width="9.1328125" style="258" customWidth="1" outlineLevel="1"/>
    <col min="31" max="31" width="11.3984375" style="258" customWidth="1" outlineLevel="1"/>
    <col min="32" max="34" width="9.1328125" style="258" customWidth="1" outlineLevel="1"/>
    <col min="35" max="35" width="10" style="258" customWidth="1" outlineLevel="1"/>
    <col min="36" max="37" width="9.86328125" style="258" customWidth="1" outlineLevel="1"/>
    <col min="38" max="38" width="9.86328125" style="258" bestFit="1" customWidth="1"/>
    <col min="39" max="41" width="9.86328125" style="258" customWidth="1" outlineLevel="1"/>
    <col min="42" max="43" width="11.3984375" style="258" customWidth="1" outlineLevel="1"/>
    <col min="44" max="44" width="12.3984375" style="258" customWidth="1" outlineLevel="1"/>
    <col min="45" max="48" width="11.3984375" style="258" customWidth="1" outlineLevel="1"/>
    <col min="49" max="49" width="9.1328125" style="258" customWidth="1" outlineLevel="1"/>
    <col min="50" max="50" width="9.86328125" style="258" bestFit="1" customWidth="1"/>
    <col min="51" max="53" width="9.86328125" style="258" customWidth="1" outlineLevel="1"/>
    <col min="54" max="54" width="11.3984375" style="258" customWidth="1" outlineLevel="1"/>
    <col min="55" max="56" width="9.1328125" style="258" customWidth="1" outlineLevel="1"/>
    <col min="57" max="60" width="8.73046875" style="258" customWidth="1" outlineLevel="1"/>
    <col min="61" max="61" width="9.1328125" style="258" customWidth="1" outlineLevel="1"/>
    <col min="62" max="67" width="9.1328125" style="258" bestFit="1" customWidth="1"/>
    <col min="68" max="77" width="9.59765625" style="258" bestFit="1" customWidth="1"/>
    <col min="78" max="79" width="10.1328125" style="258" bestFit="1" customWidth="1"/>
    <col min="80" max="80" width="9.59765625" style="258" bestFit="1" customWidth="1"/>
    <col min="81" max="81" width="10.1328125" style="258" bestFit="1" customWidth="1"/>
    <col min="82" max="84" width="9.59765625" style="258" bestFit="1" customWidth="1"/>
    <col min="85" max="86" width="11.3984375" style="258" bestFit="1" customWidth="1"/>
    <col min="87" max="87" width="10.1328125" style="258" bestFit="1" customWidth="1"/>
    <col min="88" max="88" width="8.73046875" style="258"/>
    <col min="89" max="89" width="9.73046875" style="258" bestFit="1" customWidth="1"/>
    <col min="90" max="90" width="8.73046875" style="258"/>
    <col min="91" max="92" width="9.73046875" style="258" bestFit="1" customWidth="1"/>
    <col min="93" max="93" width="8.73046875" style="258"/>
    <col min="94" max="94" width="10.1328125" style="258" customWidth="1"/>
    <col min="95" max="96" width="8.73046875" style="258"/>
    <col min="97" max="97" width="9.73046875" style="258" customWidth="1"/>
    <col min="98" max="98" width="8.73046875" style="258"/>
    <col min="99" max="99" width="9.3984375" style="258" customWidth="1"/>
    <col min="100" max="116" width="8.73046875" style="258"/>
    <col min="117" max="117" width="9.73046875" style="258" bestFit="1" customWidth="1"/>
    <col min="118" max="144" width="8.73046875" style="258"/>
    <col min="145" max="145" width="9.1328125" style="258" customWidth="1"/>
    <col min="146" max="16384" width="8.73046875" style="258"/>
  </cols>
  <sheetData>
    <row r="1" spans="1:248" ht="13.5" customHeight="1">
      <c r="K1" s="316">
        <v>2008</v>
      </c>
      <c r="L1" s="316">
        <v>2008</v>
      </c>
      <c r="M1" s="316">
        <v>2008</v>
      </c>
      <c r="N1" s="316">
        <v>2008</v>
      </c>
      <c r="O1" s="316">
        <v>2009</v>
      </c>
      <c r="P1" s="316">
        <v>2009</v>
      </c>
      <c r="Q1" s="316">
        <v>2009</v>
      </c>
      <c r="R1" s="316">
        <v>2009</v>
      </c>
      <c r="S1" s="363">
        <v>2009</v>
      </c>
      <c r="T1" s="316">
        <v>2009</v>
      </c>
      <c r="U1" s="316">
        <v>2009</v>
      </c>
      <c r="V1" s="316">
        <v>2009</v>
      </c>
      <c r="W1" s="316">
        <v>2009</v>
      </c>
      <c r="X1" s="316">
        <v>2009</v>
      </c>
      <c r="Y1" s="316">
        <v>2009</v>
      </c>
      <c r="Z1" s="316">
        <v>2009</v>
      </c>
      <c r="AA1" s="316">
        <v>2010</v>
      </c>
      <c r="AB1" s="316">
        <v>2010</v>
      </c>
      <c r="AC1" s="316">
        <v>2010</v>
      </c>
      <c r="AD1" s="316">
        <v>2010</v>
      </c>
      <c r="AE1" s="316">
        <v>2010</v>
      </c>
      <c r="AF1" s="316">
        <v>2010</v>
      </c>
      <c r="AG1" s="316">
        <v>2010</v>
      </c>
      <c r="AH1" s="316">
        <v>2010</v>
      </c>
      <c r="AI1" s="316">
        <v>2010</v>
      </c>
      <c r="AJ1" s="316">
        <v>2010</v>
      </c>
      <c r="AK1" s="316">
        <v>2010</v>
      </c>
      <c r="AL1" s="316">
        <v>2010</v>
      </c>
      <c r="AM1" s="316">
        <v>2011</v>
      </c>
      <c r="AN1" s="316">
        <v>2011</v>
      </c>
      <c r="AO1" s="316">
        <v>2011</v>
      </c>
      <c r="AP1" s="316">
        <v>2011</v>
      </c>
      <c r="AQ1" s="316">
        <v>2011</v>
      </c>
      <c r="AR1" s="316">
        <v>2011</v>
      </c>
      <c r="AS1" s="316">
        <v>2011</v>
      </c>
      <c r="AT1" s="316">
        <v>2011</v>
      </c>
      <c r="AU1" s="316">
        <v>2011</v>
      </c>
      <c r="AV1" s="316">
        <v>2011</v>
      </c>
      <c r="AW1" s="316">
        <v>2011</v>
      </c>
      <c r="AX1" s="316">
        <v>2011</v>
      </c>
      <c r="AY1" s="316">
        <v>2012</v>
      </c>
      <c r="AZ1" s="316">
        <v>2012</v>
      </c>
      <c r="BA1" s="316">
        <v>2012</v>
      </c>
      <c r="BB1" s="316">
        <v>2012</v>
      </c>
      <c r="BC1" s="316">
        <v>2012</v>
      </c>
      <c r="BD1" s="316">
        <v>2012</v>
      </c>
      <c r="BE1" s="316">
        <v>2012</v>
      </c>
      <c r="BF1" s="316">
        <v>2012</v>
      </c>
      <c r="BG1" s="316">
        <v>2012</v>
      </c>
      <c r="BH1" s="316">
        <v>2012</v>
      </c>
      <c r="BI1" s="316">
        <v>2012</v>
      </c>
      <c r="BJ1" s="316">
        <v>2012</v>
      </c>
      <c r="BK1" s="316">
        <v>2013</v>
      </c>
      <c r="BL1" s="316">
        <v>2013</v>
      </c>
      <c r="BM1" s="316">
        <v>2013</v>
      </c>
      <c r="BN1" s="316">
        <v>2013</v>
      </c>
      <c r="BO1" s="316">
        <v>2013</v>
      </c>
      <c r="BP1" s="316">
        <v>2013</v>
      </c>
      <c r="BQ1" s="316">
        <v>2013</v>
      </c>
      <c r="BR1" s="316">
        <v>2013</v>
      </c>
      <c r="BS1" s="316">
        <v>2013</v>
      </c>
      <c r="BT1" s="316">
        <v>2013</v>
      </c>
      <c r="BU1" s="316">
        <v>2013</v>
      </c>
      <c r="BV1" s="316">
        <v>2013</v>
      </c>
      <c r="BW1" s="316">
        <v>2014</v>
      </c>
      <c r="BX1" s="316">
        <v>2014</v>
      </c>
      <c r="BY1" s="316">
        <v>2014</v>
      </c>
      <c r="BZ1" s="316">
        <v>2014</v>
      </c>
      <c r="CA1" s="316">
        <v>2014</v>
      </c>
      <c r="CB1" s="316">
        <v>2014</v>
      </c>
      <c r="CC1" s="316">
        <v>2014</v>
      </c>
      <c r="CD1" s="316">
        <v>2014</v>
      </c>
      <c r="CE1" s="316">
        <v>2014</v>
      </c>
      <c r="CF1" s="316">
        <v>2014</v>
      </c>
      <c r="CG1" s="316">
        <v>2014</v>
      </c>
      <c r="CH1" s="316">
        <v>2014</v>
      </c>
      <c r="CI1" s="316">
        <v>2015</v>
      </c>
      <c r="CJ1" s="316">
        <v>2015</v>
      </c>
      <c r="CK1" s="316">
        <v>2015</v>
      </c>
      <c r="CL1" s="316">
        <v>2015</v>
      </c>
      <c r="CM1" s="316">
        <v>2015</v>
      </c>
      <c r="CN1" s="316">
        <v>2015</v>
      </c>
      <c r="CO1" s="316">
        <v>2015</v>
      </c>
      <c r="CP1" s="316">
        <v>2015</v>
      </c>
      <c r="CQ1" s="316">
        <v>2015</v>
      </c>
      <c r="CR1" s="316">
        <v>2015</v>
      </c>
      <c r="CS1" s="316">
        <v>2015</v>
      </c>
      <c r="CT1" s="316">
        <v>2015</v>
      </c>
      <c r="CU1" s="316">
        <v>2016</v>
      </c>
      <c r="CV1" s="316">
        <v>2016</v>
      </c>
      <c r="CW1" s="316">
        <v>2016</v>
      </c>
      <c r="CX1" s="316">
        <v>2016</v>
      </c>
      <c r="CY1" s="316">
        <v>2016</v>
      </c>
      <c r="CZ1" s="316">
        <v>2016</v>
      </c>
      <c r="DA1" s="316">
        <v>2016</v>
      </c>
      <c r="DB1" s="316">
        <v>2016</v>
      </c>
      <c r="DC1" s="316">
        <v>2016</v>
      </c>
      <c r="DD1" s="316">
        <v>2016</v>
      </c>
      <c r="DE1" s="316">
        <v>2016</v>
      </c>
      <c r="DF1" s="316">
        <v>2016</v>
      </c>
      <c r="DG1" s="316">
        <v>2017</v>
      </c>
      <c r="DH1" s="316">
        <v>2017</v>
      </c>
      <c r="DI1" s="316">
        <v>2017</v>
      </c>
      <c r="DJ1" s="316">
        <v>2017</v>
      </c>
      <c r="DK1" s="316">
        <v>2017</v>
      </c>
      <c r="DL1" s="316">
        <v>2017</v>
      </c>
      <c r="DM1" s="316">
        <v>2017</v>
      </c>
      <c r="DN1" s="316">
        <v>2017</v>
      </c>
      <c r="DO1" s="316">
        <v>2017</v>
      </c>
      <c r="DP1" s="316">
        <v>2017</v>
      </c>
      <c r="DQ1" s="316">
        <v>2017</v>
      </c>
      <c r="DR1" s="316">
        <v>2017</v>
      </c>
      <c r="DS1" s="316">
        <v>2018</v>
      </c>
      <c r="DT1" s="316">
        <v>2018</v>
      </c>
      <c r="DU1" s="316">
        <v>2018</v>
      </c>
      <c r="DV1" s="316">
        <v>2018</v>
      </c>
      <c r="DW1" s="316">
        <v>2018</v>
      </c>
      <c r="DX1" s="316">
        <v>2018</v>
      </c>
      <c r="DY1" s="316">
        <v>2018</v>
      </c>
      <c r="DZ1" s="316">
        <v>2018</v>
      </c>
      <c r="EA1" s="316">
        <v>2018</v>
      </c>
      <c r="EB1" s="316">
        <v>2018</v>
      </c>
      <c r="EC1" s="316">
        <v>2018</v>
      </c>
      <c r="ED1" s="316">
        <v>2018</v>
      </c>
      <c r="EE1" s="316">
        <v>2019</v>
      </c>
      <c r="EF1" s="316">
        <v>2019</v>
      </c>
      <c r="EG1" s="316">
        <v>2019</v>
      </c>
      <c r="EH1" s="316">
        <v>2019</v>
      </c>
      <c r="EI1" s="316">
        <v>2019</v>
      </c>
      <c r="EJ1" s="316">
        <v>2019</v>
      </c>
      <c r="EK1" s="316">
        <v>2019</v>
      </c>
      <c r="EL1" s="316">
        <v>2019</v>
      </c>
      <c r="EM1" s="316">
        <v>2019</v>
      </c>
      <c r="EN1" s="316">
        <v>2019</v>
      </c>
      <c r="EO1" s="316">
        <v>2019</v>
      </c>
      <c r="EP1" s="316">
        <v>2019</v>
      </c>
      <c r="EQ1" s="316">
        <v>2020</v>
      </c>
      <c r="ER1" s="316">
        <v>2020</v>
      </c>
      <c r="ES1" s="316">
        <v>2020</v>
      </c>
      <c r="ET1" s="316">
        <v>2020</v>
      </c>
      <c r="EU1" s="316">
        <v>2020</v>
      </c>
      <c r="EV1" s="316">
        <v>2020</v>
      </c>
      <c r="EW1" s="316">
        <v>2020</v>
      </c>
      <c r="EX1" s="316">
        <v>2020</v>
      </c>
      <c r="EY1" s="316">
        <v>2020</v>
      </c>
      <c r="EZ1" s="316">
        <v>2020</v>
      </c>
      <c r="FA1" s="316">
        <v>2020</v>
      </c>
      <c r="FB1" s="316">
        <v>2020</v>
      </c>
      <c r="FC1" s="316">
        <v>2021</v>
      </c>
      <c r="FD1" s="316">
        <v>2021</v>
      </c>
      <c r="FE1" s="316">
        <v>2021</v>
      </c>
      <c r="FF1" s="316">
        <v>2021</v>
      </c>
      <c r="FG1" s="316">
        <v>2021</v>
      </c>
      <c r="FH1" s="316">
        <v>2021</v>
      </c>
      <c r="FI1" s="316">
        <v>2021</v>
      </c>
      <c r="FJ1" s="316">
        <v>2021</v>
      </c>
      <c r="FK1" s="316">
        <v>2021</v>
      </c>
      <c r="FL1" s="316">
        <v>2021</v>
      </c>
      <c r="FM1" s="316">
        <v>2021</v>
      </c>
      <c r="FN1" s="316">
        <v>2021</v>
      </c>
    </row>
    <row r="2" spans="1:248" ht="13.5" customHeight="1" thickBot="1">
      <c r="A2" s="254" t="s">
        <v>78</v>
      </c>
      <c r="B2" s="254" t="s">
        <v>79</v>
      </c>
      <c r="C2" s="254" t="s">
        <v>80</v>
      </c>
      <c r="D2" s="254" t="s">
        <v>81</v>
      </c>
      <c r="E2" s="255" t="s">
        <v>82</v>
      </c>
      <c r="F2" s="256" t="s">
        <v>83</v>
      </c>
      <c r="G2" s="256" t="s">
        <v>112</v>
      </c>
      <c r="H2" s="257" t="s">
        <v>84</v>
      </c>
      <c r="I2" s="309" t="s">
        <v>110</v>
      </c>
      <c r="J2" s="254" t="s">
        <v>85</v>
      </c>
      <c r="K2" s="315" t="s">
        <v>125</v>
      </c>
      <c r="L2" s="315" t="s">
        <v>126</v>
      </c>
      <c r="M2" s="315" t="s">
        <v>127</v>
      </c>
      <c r="N2" s="315" t="s">
        <v>128</v>
      </c>
      <c r="O2" s="315" t="s">
        <v>129</v>
      </c>
      <c r="P2" s="315" t="s">
        <v>130</v>
      </c>
      <c r="Q2" s="315" t="s">
        <v>131</v>
      </c>
      <c r="R2" s="315" t="s">
        <v>132</v>
      </c>
      <c r="S2" s="364" t="s">
        <v>133</v>
      </c>
      <c r="T2" s="315" t="s">
        <v>134</v>
      </c>
      <c r="U2" s="315" t="s">
        <v>123</v>
      </c>
      <c r="V2" s="315" t="s">
        <v>124</v>
      </c>
      <c r="W2" s="315" t="s">
        <v>125</v>
      </c>
      <c r="X2" s="315" t="s">
        <v>126</v>
      </c>
      <c r="Y2" s="315" t="s">
        <v>127</v>
      </c>
      <c r="Z2" s="315" t="s">
        <v>128</v>
      </c>
      <c r="AA2" s="315" t="s">
        <v>129</v>
      </c>
      <c r="AB2" s="315" t="s">
        <v>130</v>
      </c>
      <c r="AC2" s="315" t="s">
        <v>131</v>
      </c>
      <c r="AD2" s="315" t="s">
        <v>132</v>
      </c>
      <c r="AE2" s="315" t="s">
        <v>133</v>
      </c>
      <c r="AF2" s="315" t="s">
        <v>137</v>
      </c>
      <c r="AG2" s="315" t="s">
        <v>138</v>
      </c>
      <c r="AH2" s="315" t="s">
        <v>139</v>
      </c>
      <c r="AI2" s="315" t="s">
        <v>140</v>
      </c>
      <c r="AJ2" s="315" t="s">
        <v>141</v>
      </c>
      <c r="AK2" s="315" t="s">
        <v>142</v>
      </c>
      <c r="AL2" s="315" t="s">
        <v>143</v>
      </c>
      <c r="AM2" s="315" t="s">
        <v>144</v>
      </c>
      <c r="AN2" s="315" t="s">
        <v>145</v>
      </c>
      <c r="AO2" s="315" t="s">
        <v>146</v>
      </c>
      <c r="AP2" s="315" t="s">
        <v>147</v>
      </c>
      <c r="AQ2" s="315" t="s">
        <v>133</v>
      </c>
      <c r="AR2" s="315" t="s">
        <v>137</v>
      </c>
      <c r="AS2" s="315" t="s">
        <v>138</v>
      </c>
      <c r="AT2" s="315" t="s">
        <v>139</v>
      </c>
      <c r="AU2" s="315" t="s">
        <v>140</v>
      </c>
      <c r="AV2" s="315" t="s">
        <v>141</v>
      </c>
      <c r="AW2" s="315" t="s">
        <v>142</v>
      </c>
      <c r="AX2" s="315" t="s">
        <v>143</v>
      </c>
      <c r="AY2" s="315" t="s">
        <v>144</v>
      </c>
      <c r="AZ2" s="315" t="s">
        <v>145</v>
      </c>
      <c r="BA2" s="315" t="s">
        <v>146</v>
      </c>
      <c r="BB2" s="315" t="s">
        <v>147</v>
      </c>
      <c r="BC2" s="315" t="s">
        <v>133</v>
      </c>
      <c r="BD2" s="315" t="s">
        <v>137</v>
      </c>
      <c r="BE2" s="315" t="s">
        <v>138</v>
      </c>
      <c r="BF2" s="315" t="s">
        <v>139</v>
      </c>
      <c r="BG2" s="315" t="s">
        <v>140</v>
      </c>
      <c r="BH2" s="315" t="s">
        <v>141</v>
      </c>
      <c r="BI2" s="315" t="s">
        <v>142</v>
      </c>
      <c r="BJ2" s="315" t="s">
        <v>143</v>
      </c>
      <c r="BK2" s="315" t="s">
        <v>144</v>
      </c>
      <c r="BL2" s="315" t="s">
        <v>145</v>
      </c>
      <c r="BM2" s="315" t="s">
        <v>146</v>
      </c>
      <c r="BN2" s="315" t="s">
        <v>147</v>
      </c>
      <c r="BO2" s="315" t="s">
        <v>133</v>
      </c>
      <c r="BP2" s="455" t="s">
        <v>137</v>
      </c>
      <c r="BQ2" s="315" t="s">
        <v>138</v>
      </c>
      <c r="BR2" s="315" t="s">
        <v>139</v>
      </c>
      <c r="BS2" s="315" t="s">
        <v>140</v>
      </c>
      <c r="BT2" s="315" t="s">
        <v>141</v>
      </c>
      <c r="BU2" s="315" t="s">
        <v>142</v>
      </c>
      <c r="BV2" s="315" t="s">
        <v>143</v>
      </c>
      <c r="BW2" s="315" t="s">
        <v>144</v>
      </c>
      <c r="BX2" s="315" t="s">
        <v>145</v>
      </c>
      <c r="BY2" s="315" t="s">
        <v>146</v>
      </c>
      <c r="BZ2" s="315" t="s">
        <v>147</v>
      </c>
      <c r="CA2" s="315" t="s">
        <v>133</v>
      </c>
      <c r="CB2" s="315" t="s">
        <v>137</v>
      </c>
      <c r="CC2" s="315" t="s">
        <v>138</v>
      </c>
      <c r="CD2" s="315" t="s">
        <v>139</v>
      </c>
      <c r="CE2" s="315" t="s">
        <v>140</v>
      </c>
      <c r="CF2" s="315" t="s">
        <v>141</v>
      </c>
      <c r="CG2" s="315" t="s">
        <v>142</v>
      </c>
      <c r="CH2" s="315" t="s">
        <v>143</v>
      </c>
      <c r="CI2" s="315" t="s">
        <v>144</v>
      </c>
      <c r="CJ2" s="315" t="s">
        <v>145</v>
      </c>
      <c r="CK2" s="315" t="s">
        <v>146</v>
      </c>
      <c r="CL2" s="315" t="s">
        <v>147</v>
      </c>
      <c r="CM2" s="315" t="s">
        <v>133</v>
      </c>
      <c r="CN2" s="315" t="s">
        <v>137</v>
      </c>
      <c r="CO2" s="315" t="s">
        <v>138</v>
      </c>
      <c r="CP2" s="315" t="s">
        <v>139</v>
      </c>
      <c r="CQ2" s="315" t="s">
        <v>140</v>
      </c>
      <c r="CR2" s="315" t="s">
        <v>141</v>
      </c>
      <c r="CS2" s="315" t="s">
        <v>142</v>
      </c>
      <c r="CT2" s="315" t="s">
        <v>143</v>
      </c>
      <c r="CU2" s="315" t="s">
        <v>144</v>
      </c>
      <c r="CV2" s="315" t="s">
        <v>145</v>
      </c>
      <c r="CW2" s="315" t="s">
        <v>146</v>
      </c>
      <c r="CX2" s="315" t="s">
        <v>147</v>
      </c>
      <c r="CY2" s="315" t="s">
        <v>133</v>
      </c>
      <c r="CZ2" s="315" t="s">
        <v>137</v>
      </c>
      <c r="DA2" s="315" t="s">
        <v>138</v>
      </c>
      <c r="DB2" s="315" t="s">
        <v>139</v>
      </c>
      <c r="DC2" s="315" t="s">
        <v>140</v>
      </c>
      <c r="DD2" s="315" t="s">
        <v>141</v>
      </c>
      <c r="DE2" s="315" t="s">
        <v>142</v>
      </c>
      <c r="DF2" s="315" t="s">
        <v>143</v>
      </c>
      <c r="DG2" s="315" t="s">
        <v>144</v>
      </c>
      <c r="DH2" s="315" t="s">
        <v>145</v>
      </c>
      <c r="DI2" s="315" t="s">
        <v>146</v>
      </c>
      <c r="DJ2" s="315" t="s">
        <v>147</v>
      </c>
      <c r="DK2" s="315" t="s">
        <v>133</v>
      </c>
      <c r="DL2" s="315" t="s">
        <v>137</v>
      </c>
      <c r="DM2" s="315" t="s">
        <v>138</v>
      </c>
      <c r="DN2" s="315" t="s">
        <v>139</v>
      </c>
      <c r="DO2" s="315" t="s">
        <v>140</v>
      </c>
      <c r="DP2" s="315" t="s">
        <v>141</v>
      </c>
      <c r="DQ2" s="315" t="s">
        <v>142</v>
      </c>
      <c r="DR2" s="315" t="s">
        <v>143</v>
      </c>
      <c r="DS2" s="315" t="s">
        <v>144</v>
      </c>
      <c r="DT2" s="315" t="s">
        <v>145</v>
      </c>
      <c r="DU2" s="315" t="s">
        <v>146</v>
      </c>
      <c r="DV2" s="315" t="s">
        <v>147</v>
      </c>
      <c r="DW2" s="315" t="s">
        <v>133</v>
      </c>
      <c r="DX2" s="315" t="s">
        <v>137</v>
      </c>
      <c r="DY2" s="315" t="s">
        <v>138</v>
      </c>
      <c r="DZ2" s="315" t="s">
        <v>139</v>
      </c>
      <c r="EA2" s="315" t="s">
        <v>140</v>
      </c>
      <c r="EB2" s="315" t="s">
        <v>141</v>
      </c>
      <c r="EC2" s="315" t="s">
        <v>142</v>
      </c>
      <c r="ED2" s="315" t="s">
        <v>143</v>
      </c>
      <c r="EE2" s="315" t="s">
        <v>144</v>
      </c>
      <c r="EF2" s="315" t="s">
        <v>145</v>
      </c>
      <c r="EG2" s="315" t="s">
        <v>146</v>
      </c>
      <c r="EH2" s="315" t="s">
        <v>147</v>
      </c>
      <c r="EI2" s="315" t="s">
        <v>133</v>
      </c>
      <c r="EJ2" s="315" t="s">
        <v>137</v>
      </c>
      <c r="EK2" s="315" t="s">
        <v>138</v>
      </c>
      <c r="EL2" s="315" t="s">
        <v>139</v>
      </c>
      <c r="EM2" s="315" t="s">
        <v>140</v>
      </c>
      <c r="EN2" s="315" t="s">
        <v>141</v>
      </c>
      <c r="EO2" s="315" t="s">
        <v>142</v>
      </c>
      <c r="EP2" s="315" t="s">
        <v>143</v>
      </c>
      <c r="EQ2" s="315" t="s">
        <v>144</v>
      </c>
      <c r="ER2" s="315" t="s">
        <v>145</v>
      </c>
      <c r="ES2" s="315" t="s">
        <v>146</v>
      </c>
      <c r="ET2" s="315" t="s">
        <v>147</v>
      </c>
      <c r="EU2" s="315" t="s">
        <v>133</v>
      </c>
      <c r="EV2" s="315" t="s">
        <v>137</v>
      </c>
      <c r="EW2" s="315" t="s">
        <v>138</v>
      </c>
      <c r="EX2" s="315" t="s">
        <v>139</v>
      </c>
      <c r="EY2" s="315" t="s">
        <v>140</v>
      </c>
      <c r="EZ2" s="315" t="s">
        <v>141</v>
      </c>
      <c r="FA2" s="315" t="s">
        <v>142</v>
      </c>
      <c r="FB2" s="315" t="s">
        <v>143</v>
      </c>
      <c r="FC2" s="315" t="s">
        <v>144</v>
      </c>
      <c r="FD2" s="315" t="s">
        <v>145</v>
      </c>
      <c r="FE2" s="315" t="s">
        <v>146</v>
      </c>
      <c r="FF2" s="315" t="s">
        <v>147</v>
      </c>
      <c r="FG2" s="315" t="s">
        <v>133</v>
      </c>
      <c r="FH2" s="315" t="s">
        <v>137</v>
      </c>
      <c r="FI2" s="315" t="s">
        <v>138</v>
      </c>
      <c r="FJ2" s="315" t="s">
        <v>139</v>
      </c>
      <c r="FK2" s="315" t="s">
        <v>140</v>
      </c>
      <c r="FL2" s="315" t="s">
        <v>141</v>
      </c>
      <c r="FM2" s="315" t="s">
        <v>142</v>
      </c>
      <c r="FN2" s="315" t="s">
        <v>143</v>
      </c>
    </row>
    <row r="3" spans="1:248" ht="13.5" hidden="1" customHeight="1" outlineLevel="1">
      <c r="A3" s="283" t="s">
        <v>86</v>
      </c>
      <c r="B3" s="283"/>
      <c r="C3" s="284" t="s">
        <v>87</v>
      </c>
      <c r="D3" s="280">
        <v>30</v>
      </c>
      <c r="E3" s="281">
        <v>100000</v>
      </c>
      <c r="F3" s="282">
        <v>10507</v>
      </c>
      <c r="G3" s="287">
        <v>0.19969999999999999</v>
      </c>
      <c r="H3" s="285">
        <v>39506</v>
      </c>
      <c r="I3" s="318">
        <v>0</v>
      </c>
      <c r="J3" s="286" t="s">
        <v>88</v>
      </c>
      <c r="K3" s="288" t="s">
        <v>115</v>
      </c>
      <c r="L3" s="288" t="s">
        <v>115</v>
      </c>
      <c r="M3" s="288" t="s">
        <v>115</v>
      </c>
      <c r="N3" s="288" t="s">
        <v>115</v>
      </c>
      <c r="O3" s="288" t="s">
        <v>115</v>
      </c>
      <c r="P3" s="288" t="s">
        <v>115</v>
      </c>
      <c r="Q3" s="288" t="s">
        <v>115</v>
      </c>
      <c r="R3" s="288" t="s">
        <v>115</v>
      </c>
      <c r="S3" s="360" t="s">
        <v>115</v>
      </c>
    </row>
    <row r="4" spans="1:248" ht="13.5" hidden="1" customHeight="1" outlineLevel="1">
      <c r="A4" s="283" t="s">
        <v>100</v>
      </c>
      <c r="B4" s="283" t="s">
        <v>101</v>
      </c>
      <c r="C4" s="284" t="s">
        <v>102</v>
      </c>
      <c r="D4" s="280">
        <v>20</v>
      </c>
      <c r="E4" s="281"/>
      <c r="F4" s="282">
        <v>26400</v>
      </c>
      <c r="G4" s="282"/>
      <c r="H4" s="285"/>
      <c r="I4" s="318">
        <v>0</v>
      </c>
      <c r="J4" s="286" t="s">
        <v>103</v>
      </c>
      <c r="K4" s="288" t="s">
        <v>122</v>
      </c>
      <c r="L4" s="288" t="s">
        <v>122</v>
      </c>
      <c r="M4" s="288" t="s">
        <v>122</v>
      </c>
      <c r="N4" s="288" t="s">
        <v>122</v>
      </c>
      <c r="O4" s="288" t="s">
        <v>122</v>
      </c>
      <c r="P4" s="288" t="s">
        <v>122</v>
      </c>
      <c r="Q4" s="288" t="s">
        <v>122</v>
      </c>
      <c r="R4" s="288" t="s">
        <v>122</v>
      </c>
      <c r="S4" s="360" t="s">
        <v>122</v>
      </c>
    </row>
    <row r="5" spans="1:248" ht="13.5" hidden="1" customHeight="1" outlineLevel="1">
      <c r="A5" s="263" t="s">
        <v>89</v>
      </c>
      <c r="B5" s="263" t="s">
        <v>90</v>
      </c>
      <c r="C5" s="264" t="s">
        <v>114</v>
      </c>
      <c r="D5" s="265">
        <v>5</v>
      </c>
      <c r="E5" s="266">
        <v>200000</v>
      </c>
      <c r="F5" s="267">
        <v>10028</v>
      </c>
      <c r="G5" s="278">
        <v>0.2</v>
      </c>
      <c r="H5" s="268"/>
      <c r="I5" s="319">
        <v>0</v>
      </c>
      <c r="J5" s="269" t="s">
        <v>91</v>
      </c>
      <c r="K5" s="288" t="s">
        <v>116</v>
      </c>
      <c r="L5" s="288" t="s">
        <v>116</v>
      </c>
      <c r="M5" s="288" t="s">
        <v>116</v>
      </c>
      <c r="N5" s="288" t="s">
        <v>116</v>
      </c>
      <c r="O5" s="288" t="s">
        <v>116</v>
      </c>
      <c r="P5" s="288" t="s">
        <v>116</v>
      </c>
      <c r="Q5" s="288" t="s">
        <v>116</v>
      </c>
      <c r="R5" s="288" t="s">
        <v>116</v>
      </c>
      <c r="S5" s="360" t="s">
        <v>116</v>
      </c>
    </row>
    <row r="6" spans="1:248" ht="13.5" hidden="1" customHeight="1" outlineLevel="1">
      <c r="A6" s="263" t="s">
        <v>93</v>
      </c>
      <c r="B6" s="263" t="s">
        <v>94</v>
      </c>
      <c r="C6" s="264" t="s">
        <v>109</v>
      </c>
      <c r="D6" s="265">
        <v>12</v>
      </c>
      <c r="E6" s="266">
        <v>150000</v>
      </c>
      <c r="F6" s="267">
        <v>739</v>
      </c>
      <c r="G6" s="278">
        <v>0.17499999999999999</v>
      </c>
      <c r="H6" s="268"/>
      <c r="I6" s="319">
        <v>0</v>
      </c>
      <c r="J6" s="269" t="s">
        <v>95</v>
      </c>
      <c r="K6" s="288" t="s">
        <v>116</v>
      </c>
      <c r="L6" s="288" t="s">
        <v>116</v>
      </c>
      <c r="M6" s="288" t="s">
        <v>116</v>
      </c>
      <c r="N6" s="288" t="s">
        <v>116</v>
      </c>
      <c r="O6" s="288" t="s">
        <v>116</v>
      </c>
      <c r="P6" s="288" t="s">
        <v>116</v>
      </c>
      <c r="Q6" s="288" t="s">
        <v>116</v>
      </c>
      <c r="R6" s="288" t="s">
        <v>116</v>
      </c>
      <c r="S6" s="360" t="s">
        <v>116</v>
      </c>
    </row>
    <row r="7" spans="1:248" ht="13.5" hidden="1" customHeight="1" outlineLevel="1" thickBot="1">
      <c r="A7" s="270" t="s">
        <v>96</v>
      </c>
      <c r="B7" s="270" t="s">
        <v>97</v>
      </c>
      <c r="C7" s="271" t="s">
        <v>98</v>
      </c>
      <c r="D7" s="272">
        <v>13</v>
      </c>
      <c r="E7" s="273">
        <v>490000</v>
      </c>
      <c r="F7" s="274">
        <v>0</v>
      </c>
      <c r="G7" s="277">
        <v>0.1971</v>
      </c>
      <c r="H7" s="275"/>
      <c r="I7" s="320">
        <v>0</v>
      </c>
      <c r="J7" s="276" t="s">
        <v>99</v>
      </c>
      <c r="K7" s="288" t="s">
        <v>115</v>
      </c>
      <c r="L7" s="288" t="s">
        <v>115</v>
      </c>
      <c r="M7" s="288" t="s">
        <v>115</v>
      </c>
      <c r="N7" s="288" t="s">
        <v>115</v>
      </c>
      <c r="O7" s="288" t="s">
        <v>115</v>
      </c>
      <c r="P7" s="288" t="s">
        <v>115</v>
      </c>
      <c r="Q7" s="288" t="s">
        <v>115</v>
      </c>
      <c r="R7" s="288" t="s">
        <v>115</v>
      </c>
      <c r="S7" s="360" t="s">
        <v>115</v>
      </c>
    </row>
    <row r="8" spans="1:248" ht="13.5" customHeight="1" collapsed="1" thickBot="1">
      <c r="A8" s="270" t="s">
        <v>92</v>
      </c>
      <c r="B8" s="270"/>
      <c r="C8" s="271" t="s">
        <v>190</v>
      </c>
      <c r="D8" s="272">
        <v>7</v>
      </c>
      <c r="E8" s="273">
        <v>300000</v>
      </c>
      <c r="F8" s="274">
        <v>18113</v>
      </c>
      <c r="G8" s="277">
        <v>0.19700000000000001</v>
      </c>
      <c r="H8" s="275"/>
      <c r="I8" s="320">
        <v>0</v>
      </c>
      <c r="J8" s="418" t="s">
        <v>189</v>
      </c>
      <c r="K8" s="311">
        <v>38348</v>
      </c>
      <c r="L8" s="311">
        <v>20083</v>
      </c>
      <c r="M8" s="311">
        <v>30882</v>
      </c>
      <c r="N8" s="340">
        <f>44000+1005</f>
        <v>45005</v>
      </c>
      <c r="O8" s="323">
        <v>100241</v>
      </c>
      <c r="P8" s="340">
        <f>39700+9300</f>
        <v>49000</v>
      </c>
      <c r="Q8" s="340">
        <v>30000</v>
      </c>
      <c r="R8" s="359">
        <f>26053+284045</f>
        <v>310098</v>
      </c>
      <c r="S8" s="377">
        <v>0</v>
      </c>
      <c r="T8" s="377">
        <v>54749</v>
      </c>
      <c r="U8" s="377">
        <v>33044</v>
      </c>
      <c r="V8" s="377">
        <v>31571</v>
      </c>
      <c r="W8" s="377">
        <v>29846</v>
      </c>
      <c r="X8" s="377">
        <v>40604</v>
      </c>
      <c r="Y8" s="377">
        <v>24262</v>
      </c>
      <c r="Z8" s="377">
        <v>31620</v>
      </c>
      <c r="AA8" s="359">
        <v>48381</v>
      </c>
      <c r="AB8" s="359">
        <v>48605</v>
      </c>
      <c r="AC8" s="359">
        <v>25009</v>
      </c>
      <c r="AD8" s="359">
        <f>65771</f>
        <v>65771</v>
      </c>
      <c r="AE8" s="359">
        <v>15091</v>
      </c>
      <c r="AF8" s="359">
        <v>8380</v>
      </c>
      <c r="AG8" s="359">
        <v>72768</v>
      </c>
      <c r="AH8" s="359">
        <v>188795</v>
      </c>
      <c r="AI8" s="359">
        <v>30964</v>
      </c>
      <c r="AJ8" s="359">
        <v>63433</v>
      </c>
      <c r="AK8" s="359">
        <v>54676</v>
      </c>
      <c r="AL8" s="359">
        <v>42847</v>
      </c>
      <c r="AM8" s="359">
        <v>42426</v>
      </c>
      <c r="AN8" s="359">
        <v>48551</v>
      </c>
      <c r="AO8" s="359">
        <v>47611</v>
      </c>
      <c r="AP8" s="359">
        <v>55041</v>
      </c>
      <c r="AQ8" s="359">
        <v>100744</v>
      </c>
      <c r="AR8" s="359">
        <v>46772</v>
      </c>
      <c r="AS8" s="359">
        <v>121099</v>
      </c>
      <c r="AT8" s="359">
        <v>51502</v>
      </c>
      <c r="AU8" s="359">
        <v>39296</v>
      </c>
      <c r="AV8" s="359">
        <v>44251</v>
      </c>
      <c r="AW8" s="409">
        <v>67395</v>
      </c>
      <c r="AX8" s="409">
        <v>58578</v>
      </c>
      <c r="AY8" s="409">
        <v>53013</v>
      </c>
      <c r="AZ8" s="409">
        <v>48407</v>
      </c>
      <c r="BA8" s="409">
        <v>108974</v>
      </c>
      <c r="BB8" s="442">
        <v>47646</v>
      </c>
      <c r="BC8" s="359">
        <v>102221</v>
      </c>
      <c r="BD8" s="359">
        <v>26766</v>
      </c>
      <c r="BE8" s="359">
        <v>94747</v>
      </c>
      <c r="BF8" s="359">
        <v>35551</v>
      </c>
      <c r="BG8" s="359">
        <v>39966</v>
      </c>
      <c r="BH8" s="359">
        <v>25719</v>
      </c>
      <c r="BI8" s="359">
        <v>9701</v>
      </c>
      <c r="BJ8" s="359">
        <v>27249</v>
      </c>
      <c r="BK8" s="359">
        <v>26436</v>
      </c>
      <c r="BL8" s="359">
        <v>25096</v>
      </c>
      <c r="BM8" s="359">
        <v>22237</v>
      </c>
      <c r="BN8" s="359">
        <v>8500</v>
      </c>
      <c r="BO8" s="359">
        <f>35171+1165</f>
        <v>36336</v>
      </c>
      <c r="BP8" s="359">
        <v>14227</v>
      </c>
      <c r="BQ8" s="359">
        <v>47116</v>
      </c>
      <c r="BR8" s="359">
        <v>14353</v>
      </c>
      <c r="BS8" s="359">
        <v>16938</v>
      </c>
      <c r="BT8" s="359">
        <v>30659</v>
      </c>
      <c r="BU8" s="457">
        <v>10000</v>
      </c>
      <c r="BV8" s="359">
        <v>20000</v>
      </c>
      <c r="BW8" s="359">
        <v>11966</v>
      </c>
      <c r="BX8" s="359">
        <v>13565</v>
      </c>
      <c r="BY8" s="359">
        <v>23994</v>
      </c>
      <c r="BZ8" s="359">
        <f>12238+73803</f>
        <v>86041</v>
      </c>
      <c r="CA8" s="359">
        <v>20121</v>
      </c>
      <c r="CB8" s="359">
        <v>19339</v>
      </c>
      <c r="CC8" s="359">
        <f>39988+15932</f>
        <v>55920</v>
      </c>
      <c r="CD8" s="359">
        <v>27621</v>
      </c>
      <c r="CE8" s="359">
        <v>37671</v>
      </c>
      <c r="CF8" s="359">
        <v>69050</v>
      </c>
      <c r="CG8" s="359">
        <v>67287</v>
      </c>
      <c r="CH8" s="359">
        <v>26128</v>
      </c>
      <c r="CI8" s="359">
        <v>345205</v>
      </c>
      <c r="CJ8" s="359">
        <v>90422</v>
      </c>
      <c r="CK8" s="359">
        <v>52349</v>
      </c>
      <c r="CL8" s="359">
        <v>59816</v>
      </c>
      <c r="CM8" s="359">
        <v>79349</v>
      </c>
      <c r="CN8" s="359">
        <v>42281</v>
      </c>
      <c r="CO8" s="359">
        <v>394060</v>
      </c>
      <c r="CP8" s="359">
        <v>17350</v>
      </c>
      <c r="CQ8" s="359">
        <v>77228</v>
      </c>
      <c r="CR8" s="359">
        <v>44887</v>
      </c>
      <c r="CS8" s="359">
        <v>35863</v>
      </c>
      <c r="CT8" s="359">
        <v>17737</v>
      </c>
      <c r="CU8" s="359">
        <f>2545+23009</f>
        <v>25554</v>
      </c>
      <c r="CV8" s="359">
        <v>18678</v>
      </c>
      <c r="CW8" s="359">
        <v>6493</v>
      </c>
      <c r="CX8" s="359">
        <v>6523</v>
      </c>
      <c r="CY8" s="359">
        <v>6822</v>
      </c>
      <c r="CZ8" s="359">
        <v>6415</v>
      </c>
      <c r="DA8" s="359">
        <v>9858</v>
      </c>
      <c r="DB8" s="359">
        <v>5113</v>
      </c>
      <c r="DC8" s="359">
        <v>2477</v>
      </c>
      <c r="DD8" s="359">
        <v>15051</v>
      </c>
      <c r="DE8" s="359">
        <v>6816</v>
      </c>
      <c r="DF8" s="359">
        <v>13497</v>
      </c>
      <c r="DG8" s="359">
        <v>4688</v>
      </c>
      <c r="DH8" s="359">
        <v>3161</v>
      </c>
      <c r="DI8" s="359">
        <v>6197</v>
      </c>
      <c r="DJ8" s="359">
        <v>2866</v>
      </c>
      <c r="DK8" s="359">
        <v>1687</v>
      </c>
      <c r="DL8" s="359">
        <v>2228</v>
      </c>
      <c r="DM8" s="359">
        <v>8326</v>
      </c>
      <c r="DN8" s="359">
        <v>3619</v>
      </c>
      <c r="DO8" s="359">
        <v>981</v>
      </c>
      <c r="DP8" s="359">
        <v>4589</v>
      </c>
      <c r="DQ8" s="359">
        <v>15703</v>
      </c>
      <c r="DR8" s="359">
        <v>7089</v>
      </c>
      <c r="DS8" s="359">
        <v>-9</v>
      </c>
      <c r="DT8" s="359">
        <v>6778</v>
      </c>
      <c r="DU8" s="359">
        <f>19725</f>
        <v>19725</v>
      </c>
      <c r="DV8" s="359">
        <v>5992</v>
      </c>
      <c r="DW8" s="358">
        <f t="shared" ref="DV8:DX8" si="0">DV8</f>
        <v>5992</v>
      </c>
      <c r="DX8" s="358">
        <f t="shared" si="0"/>
        <v>5992</v>
      </c>
    </row>
    <row r="9" spans="1:248" ht="13.5" customHeight="1" outlineLevel="1">
      <c r="A9" s="290" t="s">
        <v>389</v>
      </c>
      <c r="B9" s="290" t="s">
        <v>390</v>
      </c>
      <c r="C9" s="291" t="s">
        <v>391</v>
      </c>
      <c r="D9" s="292">
        <v>5</v>
      </c>
      <c r="E9" s="293">
        <v>340000</v>
      </c>
      <c r="F9" s="294">
        <v>25152</v>
      </c>
      <c r="G9" s="296">
        <v>0.18720000000000001</v>
      </c>
      <c r="H9" s="297" t="s">
        <v>111</v>
      </c>
      <c r="I9" s="321">
        <f>52190-R9</f>
        <v>0</v>
      </c>
      <c r="J9" s="298" t="s">
        <v>104</v>
      </c>
      <c r="K9" s="317">
        <v>20000</v>
      </c>
      <c r="L9" s="317">
        <v>15000</v>
      </c>
      <c r="M9" s="317">
        <v>13000</v>
      </c>
      <c r="N9" s="346">
        <v>13000</v>
      </c>
      <c r="O9" s="346">
        <v>30000</v>
      </c>
      <c r="P9" s="346">
        <v>11656</v>
      </c>
      <c r="Q9" s="346">
        <v>11519</v>
      </c>
      <c r="R9" s="346">
        <v>52190</v>
      </c>
      <c r="S9" s="382">
        <v>10016</v>
      </c>
      <c r="AC9" s="358">
        <v>0</v>
      </c>
      <c r="AD9" s="358">
        <v>0</v>
      </c>
      <c r="AE9" s="358">
        <v>0</v>
      </c>
      <c r="AF9" s="358">
        <v>0</v>
      </c>
      <c r="AG9" s="358">
        <v>0</v>
      </c>
      <c r="AH9" s="358">
        <v>0</v>
      </c>
      <c r="BP9" s="359">
        <v>1400</v>
      </c>
      <c r="BQ9" s="359">
        <v>9366</v>
      </c>
      <c r="BR9" s="359">
        <v>7506</v>
      </c>
      <c r="BS9" s="359">
        <v>2261</v>
      </c>
      <c r="BT9" s="359">
        <v>1490</v>
      </c>
      <c r="BU9" s="457">
        <v>1400</v>
      </c>
      <c r="BV9" s="359">
        <v>4346</v>
      </c>
      <c r="BW9" s="358">
        <v>0</v>
      </c>
      <c r="BX9" s="359">
        <v>2010</v>
      </c>
      <c r="BY9" s="359">
        <v>8047</v>
      </c>
      <c r="BZ9" s="359">
        <v>2747</v>
      </c>
      <c r="CA9" s="359">
        <v>1050</v>
      </c>
      <c r="CB9" s="358">
        <v>0</v>
      </c>
      <c r="CC9" s="358">
        <v>0</v>
      </c>
      <c r="CD9" s="358">
        <v>0</v>
      </c>
      <c r="CE9" s="358">
        <v>0</v>
      </c>
      <c r="CF9" s="358">
        <v>0</v>
      </c>
      <c r="CG9" s="358">
        <v>0</v>
      </c>
      <c r="CH9" s="358">
        <v>0</v>
      </c>
      <c r="CI9" s="358">
        <v>0</v>
      </c>
      <c r="CJ9" s="358">
        <v>0</v>
      </c>
      <c r="CK9" s="358">
        <v>0</v>
      </c>
      <c r="CL9" s="358">
        <v>0</v>
      </c>
      <c r="CM9" s="358">
        <v>0</v>
      </c>
      <c r="CN9" s="358">
        <v>0</v>
      </c>
      <c r="CO9" s="358">
        <v>0</v>
      </c>
      <c r="CP9" s="358">
        <v>0</v>
      </c>
      <c r="CQ9" s="358">
        <v>0</v>
      </c>
      <c r="CR9" s="358">
        <v>0</v>
      </c>
      <c r="CS9" s="358">
        <v>0</v>
      </c>
      <c r="CT9" s="358">
        <v>0</v>
      </c>
      <c r="CU9" s="358">
        <v>0</v>
      </c>
      <c r="CV9" s="358">
        <v>0</v>
      </c>
      <c r="CW9" s="358">
        <v>0</v>
      </c>
      <c r="CX9" s="358">
        <v>0</v>
      </c>
      <c r="CY9" s="358">
        <v>0</v>
      </c>
      <c r="CZ9" s="358">
        <v>0</v>
      </c>
      <c r="DA9" s="358">
        <v>0</v>
      </c>
      <c r="DB9" s="358">
        <v>0</v>
      </c>
      <c r="DC9" s="358">
        <v>0</v>
      </c>
      <c r="DD9" s="358">
        <v>0</v>
      </c>
      <c r="DE9" s="358">
        <v>0</v>
      </c>
      <c r="DF9" s="358">
        <v>0</v>
      </c>
      <c r="DG9" s="359">
        <v>10069</v>
      </c>
      <c r="DH9" s="359">
        <v>7637</v>
      </c>
      <c r="DI9" s="359">
        <v>11124</v>
      </c>
      <c r="DJ9" s="359">
        <v>450</v>
      </c>
      <c r="DK9" s="406">
        <v>-15</v>
      </c>
      <c r="DL9" s="359">
        <v>375</v>
      </c>
      <c r="DM9" s="359">
        <v>20807</v>
      </c>
      <c r="DN9" s="359">
        <v>9223</v>
      </c>
      <c r="DO9" s="359">
        <v>7826</v>
      </c>
      <c r="DP9" s="359">
        <v>17503</v>
      </c>
      <c r="DQ9" s="359">
        <v>43618</v>
      </c>
      <c r="DR9" s="359">
        <v>38763</v>
      </c>
      <c r="DS9" s="359">
        <v>212</v>
      </c>
      <c r="DT9" s="359">
        <v>3542</v>
      </c>
      <c r="DU9" s="359">
        <v>5065</v>
      </c>
      <c r="DV9" s="359">
        <v>12518</v>
      </c>
      <c r="DW9" s="358">
        <f>DV9</f>
        <v>12518</v>
      </c>
      <c r="DX9" s="358">
        <f>DW9</f>
        <v>12518</v>
      </c>
    </row>
    <row r="10" spans="1:248" ht="13.5" customHeight="1">
      <c r="A10" s="290" t="s">
        <v>105</v>
      </c>
      <c r="B10" s="290"/>
      <c r="C10" s="291" t="s">
        <v>273</v>
      </c>
      <c r="D10" s="292">
        <v>28</v>
      </c>
      <c r="E10" s="293">
        <v>350000</v>
      </c>
      <c r="F10" s="294">
        <v>37162</v>
      </c>
      <c r="G10" s="296">
        <v>0.10730000000000001</v>
      </c>
      <c r="H10" s="297">
        <v>40117</v>
      </c>
      <c r="I10" s="321">
        <f>250534-R10</f>
        <v>0</v>
      </c>
      <c r="J10" s="298" t="s">
        <v>106</v>
      </c>
      <c r="K10" s="326">
        <v>20000</v>
      </c>
      <c r="L10" s="326">
        <v>15000</v>
      </c>
      <c r="M10" s="326">
        <v>18000</v>
      </c>
      <c r="N10" s="347">
        <v>15000</v>
      </c>
      <c r="O10" s="347">
        <f>82365-17</f>
        <v>82348</v>
      </c>
      <c r="P10" s="347">
        <v>13764</v>
      </c>
      <c r="Q10" s="347">
        <v>10000</v>
      </c>
      <c r="R10" s="347">
        <v>250534</v>
      </c>
      <c r="S10" s="383">
        <v>10809</v>
      </c>
      <c r="T10" s="347">
        <v>10684</v>
      </c>
      <c r="U10" s="347">
        <v>10809</v>
      </c>
      <c r="V10" s="347">
        <f>6229+2175</f>
        <v>8404</v>
      </c>
      <c r="W10" s="347">
        <f>6229+2175</f>
        <v>8404</v>
      </c>
      <c r="X10" s="347">
        <v>12447</v>
      </c>
      <c r="Y10" s="347">
        <v>19771</v>
      </c>
      <c r="Z10" s="347">
        <v>70113</v>
      </c>
      <c r="AA10" s="347">
        <v>12692</v>
      </c>
      <c r="AB10" s="347">
        <v>40000</v>
      </c>
      <c r="AC10" s="347">
        <v>23316</v>
      </c>
      <c r="AD10" s="359">
        <v>11880</v>
      </c>
      <c r="AE10" s="359">
        <v>20867</v>
      </c>
      <c r="AF10" s="359">
        <v>18581</v>
      </c>
      <c r="AG10" s="359">
        <v>96978</v>
      </c>
      <c r="AH10" s="359">
        <v>10549</v>
      </c>
      <c r="AI10" s="359">
        <v>7771</v>
      </c>
      <c r="AJ10" s="359">
        <v>19264</v>
      </c>
      <c r="AK10" s="359">
        <v>69374</v>
      </c>
      <c r="AL10" s="359">
        <v>17025</v>
      </c>
      <c r="AM10" s="359">
        <v>3000</v>
      </c>
      <c r="AN10" s="359">
        <v>6960</v>
      </c>
      <c r="AO10" s="359">
        <v>3000</v>
      </c>
      <c r="AP10" s="359">
        <v>3000</v>
      </c>
      <c r="AQ10" s="359">
        <v>3000</v>
      </c>
      <c r="AR10" s="359">
        <v>3000</v>
      </c>
      <c r="AS10" s="359">
        <v>85587</v>
      </c>
      <c r="AT10" s="359">
        <v>3000</v>
      </c>
      <c r="AU10" s="359">
        <v>3000</v>
      </c>
      <c r="AV10" s="409">
        <v>3000</v>
      </c>
      <c r="AW10" s="409">
        <f>63884+3000</f>
        <v>66884</v>
      </c>
      <c r="AX10" s="409">
        <v>3000</v>
      </c>
      <c r="AY10" s="358">
        <v>0</v>
      </c>
      <c r="AZ10" s="409">
        <v>3000</v>
      </c>
      <c r="BA10" s="409">
        <v>3000</v>
      </c>
      <c r="BB10" s="358">
        <v>0</v>
      </c>
      <c r="BC10" s="359">
        <v>3000</v>
      </c>
      <c r="BD10" s="359">
        <v>3000</v>
      </c>
      <c r="BE10" s="359">
        <v>85587</v>
      </c>
      <c r="BF10" s="358">
        <v>0</v>
      </c>
      <c r="BG10" s="359">
        <v>3000</v>
      </c>
      <c r="BH10" s="359">
        <v>3000</v>
      </c>
      <c r="BI10" s="359">
        <v>60884</v>
      </c>
      <c r="BJ10" s="359">
        <v>3000</v>
      </c>
      <c r="BK10" s="359">
        <v>3000</v>
      </c>
      <c r="BL10" s="359">
        <v>3000</v>
      </c>
      <c r="BM10" s="359">
        <v>3000</v>
      </c>
      <c r="BN10" s="359">
        <v>3000</v>
      </c>
      <c r="BO10" s="359">
        <v>3000</v>
      </c>
      <c r="BP10" s="359">
        <v>3000</v>
      </c>
      <c r="BQ10" s="359">
        <v>3000</v>
      </c>
      <c r="BR10" s="359">
        <v>86525</v>
      </c>
      <c r="BS10" s="359">
        <v>3000</v>
      </c>
      <c r="BT10" s="359">
        <v>3000</v>
      </c>
      <c r="BU10" s="359">
        <v>3000</v>
      </c>
      <c r="BV10" s="359">
        <v>3000</v>
      </c>
      <c r="BW10" s="359">
        <v>3000</v>
      </c>
      <c r="BX10" s="359">
        <v>3000</v>
      </c>
      <c r="BY10" s="359">
        <v>3000</v>
      </c>
      <c r="BZ10" s="359">
        <f>3000+56941</f>
        <v>59941</v>
      </c>
      <c r="CA10" s="359">
        <v>3000</v>
      </c>
      <c r="CB10" s="359">
        <v>3000</v>
      </c>
      <c r="CC10" s="359">
        <f>82527+3000</f>
        <v>85527</v>
      </c>
      <c r="CD10" s="359">
        <v>4776</v>
      </c>
      <c r="CE10" s="359">
        <v>3000</v>
      </c>
      <c r="CF10" s="359">
        <v>3000</v>
      </c>
      <c r="CG10" s="483">
        <f>3000+60884</f>
        <v>63884</v>
      </c>
      <c r="CH10" s="359">
        <v>3000</v>
      </c>
      <c r="CI10" s="359">
        <v>3000</v>
      </c>
      <c r="CJ10" s="359">
        <v>3000</v>
      </c>
      <c r="CK10" s="359">
        <v>3000</v>
      </c>
      <c r="CL10" s="359">
        <v>3000</v>
      </c>
      <c r="CM10" s="359">
        <v>3000</v>
      </c>
      <c r="CN10" s="359">
        <v>3342</v>
      </c>
      <c r="CO10" s="497">
        <v>85929</v>
      </c>
      <c r="CP10" s="359">
        <v>3000</v>
      </c>
      <c r="CQ10" s="359">
        <v>3000</v>
      </c>
      <c r="CR10" s="359">
        <v>3000</v>
      </c>
      <c r="CS10" s="359">
        <v>63884</v>
      </c>
      <c r="CT10" s="359">
        <v>3000</v>
      </c>
      <c r="CU10" s="359">
        <v>3000</v>
      </c>
      <c r="CV10" s="359">
        <v>3000</v>
      </c>
      <c r="CW10" s="359">
        <v>3000</v>
      </c>
      <c r="CX10" s="359">
        <v>3000</v>
      </c>
      <c r="CY10" s="359">
        <v>3000</v>
      </c>
      <c r="CZ10" s="359">
        <v>3000</v>
      </c>
      <c r="DA10" s="359">
        <v>3000</v>
      </c>
      <c r="DB10" s="359">
        <v>74477</v>
      </c>
      <c r="DC10" s="359">
        <v>3000</v>
      </c>
      <c r="DD10" s="359">
        <v>3000</v>
      </c>
      <c r="DE10" s="359">
        <v>3000</v>
      </c>
      <c r="DF10" s="359">
        <v>63884</v>
      </c>
      <c r="DG10" s="359">
        <v>3000</v>
      </c>
      <c r="DH10" s="359">
        <v>3000</v>
      </c>
      <c r="DI10" s="359">
        <v>3000</v>
      </c>
      <c r="DJ10" s="359">
        <v>3000</v>
      </c>
      <c r="DK10" s="359">
        <v>3000</v>
      </c>
      <c r="DL10" s="359">
        <v>3000</v>
      </c>
      <c r="DM10" s="359">
        <v>3000</v>
      </c>
      <c r="DN10" s="359">
        <v>74477</v>
      </c>
      <c r="DO10" s="359">
        <v>3000</v>
      </c>
      <c r="DP10" s="359">
        <v>3000</v>
      </c>
      <c r="DQ10" s="359">
        <v>3000</v>
      </c>
      <c r="DR10" s="359">
        <v>63884</v>
      </c>
      <c r="DS10" s="359">
        <v>3000</v>
      </c>
      <c r="DT10" s="359">
        <v>3000</v>
      </c>
      <c r="DU10" s="359">
        <v>3000</v>
      </c>
      <c r="DV10" s="359">
        <v>3000</v>
      </c>
      <c r="DW10" s="358">
        <v>3000</v>
      </c>
      <c r="DX10" s="358">
        <v>3000</v>
      </c>
    </row>
    <row r="11" spans="1:248" ht="13.5" customHeight="1">
      <c r="A11" s="270" t="s">
        <v>172</v>
      </c>
      <c r="B11" s="270" t="s">
        <v>148</v>
      </c>
      <c r="C11" s="271" t="s">
        <v>107</v>
      </c>
      <c r="D11" s="333">
        <v>11</v>
      </c>
      <c r="E11" s="273">
        <v>300000</v>
      </c>
      <c r="F11" s="274">
        <v>478</v>
      </c>
      <c r="G11" s="277">
        <v>0.19969999999999999</v>
      </c>
      <c r="H11" s="275">
        <v>39447</v>
      </c>
      <c r="I11" s="320">
        <v>0</v>
      </c>
      <c r="J11" s="276" t="s">
        <v>113</v>
      </c>
      <c r="K11" s="312">
        <v>37795</v>
      </c>
      <c r="L11" s="312">
        <v>30000</v>
      </c>
      <c r="M11" s="312">
        <v>40650</v>
      </c>
      <c r="N11" s="341">
        <v>40357</v>
      </c>
      <c r="O11" s="341">
        <v>46494</v>
      </c>
      <c r="P11" s="341">
        <v>39809</v>
      </c>
      <c r="Q11" s="341">
        <v>38735</v>
      </c>
      <c r="R11" s="341">
        <v>29027</v>
      </c>
      <c r="S11" s="373">
        <v>30653</v>
      </c>
      <c r="T11" s="341">
        <v>35339</v>
      </c>
      <c r="U11" s="341">
        <v>120000</v>
      </c>
      <c r="V11" s="341">
        <v>88324</v>
      </c>
      <c r="W11" s="387">
        <v>17879</v>
      </c>
      <c r="X11" s="387">
        <f>8865+946+2650+2024+98</f>
        <v>14583</v>
      </c>
      <c r="Y11" s="387">
        <f>8865+946+2650+2024+98</f>
        <v>14583</v>
      </c>
      <c r="Z11" s="387">
        <f>8865+946+2650</f>
        <v>12461</v>
      </c>
      <c r="AA11" s="387">
        <v>2650</v>
      </c>
      <c r="AB11" s="387">
        <v>2650</v>
      </c>
      <c r="AC11" s="358">
        <v>0</v>
      </c>
      <c r="AD11" s="358">
        <v>0</v>
      </c>
      <c r="AE11" s="358">
        <v>0</v>
      </c>
      <c r="AF11" s="358">
        <v>0</v>
      </c>
      <c r="AG11" s="358">
        <v>0</v>
      </c>
      <c r="AH11" s="358">
        <v>0</v>
      </c>
      <c r="AP11" s="358"/>
      <c r="AQ11" s="406">
        <v>5600</v>
      </c>
      <c r="AR11" s="406">
        <v>2608</v>
      </c>
      <c r="AS11" s="406">
        <v>1000</v>
      </c>
      <c r="AT11" s="406">
        <v>1000</v>
      </c>
      <c r="AU11" s="406">
        <v>1000</v>
      </c>
      <c r="AV11" s="410">
        <v>1251</v>
      </c>
      <c r="AW11" s="417">
        <f t="shared" ref="AW11:BB11" si="1">AV11</f>
        <v>1251</v>
      </c>
      <c r="AX11" s="417">
        <f t="shared" si="1"/>
        <v>1251</v>
      </c>
      <c r="AY11" s="417">
        <v>300</v>
      </c>
      <c r="AZ11" s="417">
        <f t="shared" si="1"/>
        <v>300</v>
      </c>
      <c r="BA11" s="417">
        <v>1808</v>
      </c>
      <c r="BB11" s="443">
        <f t="shared" si="1"/>
        <v>1808</v>
      </c>
      <c r="BC11" s="450">
        <v>135</v>
      </c>
      <c r="BD11" s="450">
        <v>2246</v>
      </c>
      <c r="BE11" s="450">
        <v>5995</v>
      </c>
      <c r="BF11" s="450">
        <v>38899</v>
      </c>
      <c r="BG11" s="407">
        <v>0</v>
      </c>
      <c r="BH11" s="450">
        <v>64866</v>
      </c>
      <c r="BI11" s="450">
        <v>6980</v>
      </c>
      <c r="BJ11" s="407">
        <v>0</v>
      </c>
      <c r="BK11" s="407">
        <v>0</v>
      </c>
      <c r="BL11" s="407">
        <v>0</v>
      </c>
      <c r="BM11" s="450">
        <v>0</v>
      </c>
      <c r="BN11" s="450">
        <v>0</v>
      </c>
      <c r="BO11" s="450">
        <v>23977</v>
      </c>
      <c r="BP11" s="450">
        <v>120000</v>
      </c>
      <c r="BQ11" s="450">
        <v>27246</v>
      </c>
      <c r="BR11" s="450">
        <v>24992</v>
      </c>
      <c r="BS11" s="450">
        <v>14282</v>
      </c>
      <c r="BT11" s="450">
        <v>19311</v>
      </c>
      <c r="BU11" s="458">
        <v>10000</v>
      </c>
      <c r="BV11" s="450">
        <v>10000</v>
      </c>
      <c r="BW11" s="450">
        <v>28000</v>
      </c>
      <c r="BX11" s="450">
        <v>101655</v>
      </c>
      <c r="BY11" s="450">
        <v>10000</v>
      </c>
      <c r="BZ11" s="450">
        <v>35490</v>
      </c>
      <c r="CA11" s="450">
        <v>24307</v>
      </c>
      <c r="CB11" s="450">
        <v>56523</v>
      </c>
      <c r="CC11" s="450">
        <v>51106</v>
      </c>
      <c r="CD11" s="450">
        <v>63401</v>
      </c>
      <c r="CE11" s="450">
        <v>-2657</v>
      </c>
      <c r="CF11" s="450">
        <v>57634</v>
      </c>
      <c r="CG11" s="450">
        <v>59385</v>
      </c>
      <c r="CH11" s="450">
        <v>22163</v>
      </c>
      <c r="CI11" s="450">
        <v>22219</v>
      </c>
      <c r="CJ11" s="450">
        <v>22100</v>
      </c>
      <c r="CK11" s="450">
        <v>22423</v>
      </c>
      <c r="CL11" s="450">
        <v>24126</v>
      </c>
      <c r="CM11" s="450">
        <v>21657</v>
      </c>
      <c r="CN11" s="450">
        <v>30849</v>
      </c>
      <c r="CO11" s="450">
        <v>38673</v>
      </c>
      <c r="CP11" s="450">
        <v>113182</v>
      </c>
      <c r="CQ11" s="450">
        <v>28283</v>
      </c>
      <c r="CR11" s="450">
        <v>27560</v>
      </c>
      <c r="CS11" s="450">
        <v>17159</v>
      </c>
      <c r="CT11" s="450">
        <v>59983</v>
      </c>
      <c r="CU11" s="450">
        <v>29820</v>
      </c>
      <c r="CV11" s="450">
        <v>36442</v>
      </c>
      <c r="CW11" s="450">
        <v>28385</v>
      </c>
      <c r="CX11" s="450">
        <v>17244</v>
      </c>
      <c r="CY11" s="450">
        <v>20902</v>
      </c>
      <c r="CZ11" s="450">
        <v>17284</v>
      </c>
      <c r="DA11" s="450">
        <v>12320</v>
      </c>
      <c r="DB11" s="450">
        <v>13130</v>
      </c>
      <c r="DC11" s="450">
        <v>37219</v>
      </c>
      <c r="DD11" s="450">
        <v>37636</v>
      </c>
      <c r="DE11" s="450">
        <v>38025</v>
      </c>
      <c r="DF11" s="450">
        <v>14628</v>
      </c>
      <c r="DG11" s="450">
        <v>16504</v>
      </c>
      <c r="DH11" s="450">
        <v>86546</v>
      </c>
      <c r="DI11" s="450">
        <v>12850</v>
      </c>
      <c r="DJ11" s="450">
        <v>12817</v>
      </c>
      <c r="DK11" s="450">
        <v>13368</v>
      </c>
      <c r="DL11" s="450">
        <v>23290</v>
      </c>
      <c r="DM11" s="450">
        <v>80125</v>
      </c>
      <c r="DN11" s="450">
        <v>12903</v>
      </c>
      <c r="DO11" s="407">
        <v>13310</v>
      </c>
      <c r="DP11" s="450">
        <v>13009</v>
      </c>
      <c r="DQ11" s="450">
        <v>16713</v>
      </c>
      <c r="DR11" s="450">
        <v>42245</v>
      </c>
      <c r="DS11" s="450">
        <v>16606</v>
      </c>
      <c r="DT11" s="450">
        <v>22429</v>
      </c>
      <c r="DU11" s="450">
        <v>14789</v>
      </c>
      <c r="DV11" s="450">
        <v>-5090</v>
      </c>
      <c r="DW11" s="407">
        <f t="shared" ref="DS11:DX12" si="2">DV11</f>
        <v>-5090</v>
      </c>
      <c r="DX11" s="407">
        <f t="shared" si="2"/>
        <v>-5090</v>
      </c>
    </row>
    <row r="12" spans="1:248" ht="13.5" customHeight="1" thickBot="1">
      <c r="A12" s="299" t="s">
        <v>294</v>
      </c>
      <c r="B12" s="299" t="s">
        <v>295</v>
      </c>
      <c r="C12" s="300" t="s">
        <v>114</v>
      </c>
      <c r="D12" s="334">
        <v>23</v>
      </c>
      <c r="E12" s="301">
        <v>340000</v>
      </c>
      <c r="F12" s="302">
        <v>8813</v>
      </c>
      <c r="G12" s="303">
        <v>0.1736</v>
      </c>
      <c r="H12" s="304">
        <v>40195</v>
      </c>
      <c r="I12" s="322">
        <f>73900-R12</f>
        <v>0</v>
      </c>
      <c r="J12" s="630" t="s">
        <v>422</v>
      </c>
      <c r="K12" s="325">
        <v>31000</v>
      </c>
      <c r="L12" s="325">
        <v>34399</v>
      </c>
      <c r="M12" s="325">
        <f>23000+6504</f>
        <v>29504</v>
      </c>
      <c r="N12" s="345">
        <v>35849</v>
      </c>
      <c r="O12" s="345">
        <v>45493</v>
      </c>
      <c r="P12" s="345">
        <v>30776</v>
      </c>
      <c r="Q12" s="345">
        <v>30559</v>
      </c>
      <c r="R12" s="366">
        <f>102159-28259</f>
        <v>73900</v>
      </c>
      <c r="S12" s="372">
        <v>9961</v>
      </c>
      <c r="T12" s="366">
        <v>8741</v>
      </c>
      <c r="U12" s="366">
        <v>6650</v>
      </c>
      <c r="V12" s="366">
        <v>8000</v>
      </c>
      <c r="W12" s="366">
        <v>4165</v>
      </c>
      <c r="X12" s="366">
        <v>4172</v>
      </c>
      <c r="Y12" s="366">
        <v>2092</v>
      </c>
      <c r="Z12" s="366">
        <v>1857</v>
      </c>
      <c r="AA12" s="366">
        <v>519</v>
      </c>
      <c r="AB12" s="366">
        <v>2729</v>
      </c>
      <c r="AC12" s="366">
        <v>1909</v>
      </c>
      <c r="AD12" s="366">
        <v>3119</v>
      </c>
      <c r="AE12" s="366">
        <v>4848</v>
      </c>
      <c r="AF12" s="366">
        <v>2046</v>
      </c>
      <c r="AG12" s="366">
        <v>9132</v>
      </c>
      <c r="AH12" s="366">
        <v>3269</v>
      </c>
      <c r="AI12" s="366">
        <v>15760</v>
      </c>
      <c r="AJ12" s="366">
        <v>5849</v>
      </c>
      <c r="AK12" s="366">
        <v>2509</v>
      </c>
      <c r="AL12" s="366">
        <v>3785</v>
      </c>
      <c r="AM12" s="366">
        <v>4207</v>
      </c>
      <c r="AN12" s="366">
        <v>2755</v>
      </c>
      <c r="AO12" s="366">
        <v>2648</v>
      </c>
      <c r="AP12" s="366">
        <v>269</v>
      </c>
      <c r="AQ12" s="366">
        <v>592</v>
      </c>
      <c r="AR12" s="366">
        <v>1775</v>
      </c>
      <c r="AS12" s="366">
        <v>2204</v>
      </c>
      <c r="AT12" s="366">
        <v>4910</v>
      </c>
      <c r="AU12" s="366">
        <v>1750</v>
      </c>
      <c r="AV12" s="411">
        <v>789</v>
      </c>
      <c r="AW12" s="411">
        <v>983</v>
      </c>
      <c r="AX12" s="411">
        <v>951</v>
      </c>
      <c r="AY12" s="411">
        <v>361</v>
      </c>
      <c r="AZ12" s="411">
        <v>299</v>
      </c>
      <c r="BA12" s="411">
        <v>77</v>
      </c>
      <c r="BB12" s="449">
        <v>658</v>
      </c>
      <c r="BC12" s="366">
        <v>628</v>
      </c>
      <c r="BD12" s="366">
        <v>1636</v>
      </c>
      <c r="BE12" s="366">
        <v>1499</v>
      </c>
      <c r="BF12" s="366">
        <v>512</v>
      </c>
      <c r="BG12" s="366">
        <v>269</v>
      </c>
      <c r="BH12" s="366">
        <v>1769</v>
      </c>
      <c r="BI12" s="366">
        <v>152</v>
      </c>
      <c r="BJ12" s="366">
        <v>364</v>
      </c>
      <c r="BK12" s="366">
        <v>456</v>
      </c>
      <c r="BL12" s="366">
        <v>4159</v>
      </c>
      <c r="BM12" s="366">
        <v>7076</v>
      </c>
      <c r="BN12" s="366">
        <v>3821</v>
      </c>
      <c r="BO12" s="366">
        <v>5130</v>
      </c>
      <c r="BP12" s="366">
        <v>4332</v>
      </c>
      <c r="BQ12" s="366">
        <v>3407</v>
      </c>
      <c r="BR12" s="366">
        <v>2177</v>
      </c>
      <c r="BS12" s="366">
        <v>2479</v>
      </c>
      <c r="BT12" s="366">
        <v>3707</v>
      </c>
      <c r="BU12" s="366">
        <v>2177</v>
      </c>
      <c r="BV12" s="366">
        <v>2480</v>
      </c>
      <c r="BW12" s="366">
        <v>1667</v>
      </c>
      <c r="BX12" s="366">
        <v>1902</v>
      </c>
      <c r="BY12" s="366">
        <v>1902</v>
      </c>
      <c r="BZ12" s="366">
        <v>4106</v>
      </c>
      <c r="CA12" s="366">
        <v>1902</v>
      </c>
      <c r="CB12" s="366">
        <v>2203</v>
      </c>
      <c r="CC12" s="366">
        <v>1902</v>
      </c>
      <c r="CD12" s="366">
        <v>2205</v>
      </c>
      <c r="CE12" s="366">
        <v>1902</v>
      </c>
      <c r="CF12" s="366">
        <v>1902</v>
      </c>
      <c r="CG12" s="366">
        <v>2203</v>
      </c>
      <c r="CH12" s="487">
        <v>1902</v>
      </c>
      <c r="CI12" s="366">
        <v>1908</v>
      </c>
      <c r="CJ12" s="366">
        <v>1896</v>
      </c>
      <c r="CK12" s="366">
        <v>1902</v>
      </c>
      <c r="CL12" s="366">
        <v>1902</v>
      </c>
      <c r="CM12" s="366">
        <v>1412</v>
      </c>
      <c r="CN12" s="366">
        <v>1902</v>
      </c>
      <c r="CO12" s="329">
        <v>0</v>
      </c>
      <c r="CP12" s="329">
        <v>0</v>
      </c>
      <c r="CQ12" s="329">
        <v>0</v>
      </c>
      <c r="CR12" s="329">
        <v>0</v>
      </c>
      <c r="CS12" s="329">
        <v>0</v>
      </c>
      <c r="CT12" s="329"/>
      <c r="CU12" s="329"/>
      <c r="CV12" s="329"/>
      <c r="CW12" s="329"/>
      <c r="CX12" s="329"/>
      <c r="CY12" s="366">
        <v>320</v>
      </c>
      <c r="CZ12" s="366">
        <v>16594</v>
      </c>
      <c r="DA12" s="366">
        <v>57840</v>
      </c>
      <c r="DB12" s="366">
        <v>25066</v>
      </c>
      <c r="DC12" s="366">
        <v>20179</v>
      </c>
      <c r="DD12" s="366">
        <v>23958</v>
      </c>
      <c r="DE12" s="366">
        <v>16130</v>
      </c>
      <c r="DF12" s="366">
        <v>22000</v>
      </c>
      <c r="DG12" s="366">
        <v>20000</v>
      </c>
      <c r="DH12" s="366">
        <v>33961</v>
      </c>
      <c r="DI12" s="366">
        <v>13142</v>
      </c>
      <c r="DJ12" s="366">
        <v>15347</v>
      </c>
      <c r="DK12" s="366">
        <v>31575</v>
      </c>
      <c r="DL12" s="366">
        <v>24266</v>
      </c>
      <c r="DM12" s="366">
        <v>3987</v>
      </c>
      <c r="DN12" s="366">
        <v>33941</v>
      </c>
      <c r="DO12" s="366">
        <v>5344</v>
      </c>
      <c r="DP12" s="366">
        <v>33935</v>
      </c>
      <c r="DQ12" s="366">
        <v>2801</v>
      </c>
      <c r="DR12" s="329">
        <v>0</v>
      </c>
      <c r="DS12" s="329">
        <f t="shared" si="2"/>
        <v>0</v>
      </c>
      <c r="DT12" s="366">
        <v>14765</v>
      </c>
      <c r="DU12" s="366">
        <v>9202</v>
      </c>
      <c r="DV12" s="366">
        <v>16233</v>
      </c>
      <c r="DW12" s="329">
        <f t="shared" si="2"/>
        <v>16233</v>
      </c>
      <c r="DX12" s="329">
        <f t="shared" si="2"/>
        <v>16233</v>
      </c>
      <c r="DY12" s="329"/>
      <c r="DZ12" s="329"/>
      <c r="EA12" s="329"/>
      <c r="EB12" s="329"/>
      <c r="EC12" s="329"/>
      <c r="ED12" s="329"/>
      <c r="EE12" s="329"/>
      <c r="EF12" s="329"/>
      <c r="EG12" s="329"/>
      <c r="EH12" s="329"/>
      <c r="EI12" s="329"/>
      <c r="EJ12" s="329"/>
      <c r="EK12" s="329"/>
      <c r="EL12" s="329"/>
      <c r="EM12" s="329"/>
      <c r="EN12" s="329"/>
      <c r="EO12" s="329"/>
      <c r="EP12" s="329"/>
      <c r="EQ12" s="329"/>
      <c r="ER12" s="329"/>
      <c r="ES12" s="329"/>
      <c r="ET12" s="329"/>
      <c r="EU12" s="329"/>
      <c r="EV12" s="329"/>
      <c r="EW12" s="329"/>
      <c r="EX12" s="329"/>
      <c r="EY12" s="329"/>
      <c r="EZ12" s="329"/>
      <c r="FA12" s="329"/>
      <c r="FB12" s="329"/>
      <c r="FC12" s="329"/>
      <c r="FD12" s="329"/>
      <c r="FE12" s="329"/>
      <c r="FF12" s="329"/>
      <c r="FG12" s="329"/>
      <c r="FH12" s="329"/>
      <c r="FI12" s="329"/>
      <c r="FJ12" s="329"/>
      <c r="FK12" s="329"/>
      <c r="FL12" s="329"/>
      <c r="FM12" s="329"/>
      <c r="FN12" s="329"/>
    </row>
    <row r="13" spans="1:248" ht="13.5" customHeight="1" thickTop="1">
      <c r="C13" s="258" t="s">
        <v>168</v>
      </c>
      <c r="H13" s="261" t="s">
        <v>119</v>
      </c>
      <c r="I13" s="323">
        <f>SUM(I3:I12)</f>
        <v>0</v>
      </c>
      <c r="J13" s="279" t="s">
        <v>409</v>
      </c>
      <c r="K13" s="289">
        <f t="shared" ref="K13:BB13" si="3">SUM(K3:K12)</f>
        <v>147143</v>
      </c>
      <c r="L13" s="289">
        <f>SUM(L3:L12)</f>
        <v>114482</v>
      </c>
      <c r="M13" s="289">
        <f t="shared" si="3"/>
        <v>132036</v>
      </c>
      <c r="N13" s="289">
        <f t="shared" si="3"/>
        <v>149211</v>
      </c>
      <c r="O13" s="289">
        <f>SUM(O3:O12)</f>
        <v>304576</v>
      </c>
      <c r="P13" s="289">
        <f t="shared" si="3"/>
        <v>145005</v>
      </c>
      <c r="Q13" s="289">
        <f t="shared" si="3"/>
        <v>120813</v>
      </c>
      <c r="R13" s="289">
        <f t="shared" si="3"/>
        <v>715749</v>
      </c>
      <c r="S13" s="361">
        <f t="shared" si="3"/>
        <v>61439</v>
      </c>
      <c r="T13" s="289">
        <f t="shared" si="3"/>
        <v>109513</v>
      </c>
      <c r="U13" s="289">
        <f t="shared" si="3"/>
        <v>170503</v>
      </c>
      <c r="V13" s="289">
        <f t="shared" si="3"/>
        <v>136299</v>
      </c>
      <c r="W13" s="289">
        <f t="shared" si="3"/>
        <v>60294</v>
      </c>
      <c r="X13" s="289">
        <f t="shared" si="3"/>
        <v>71806</v>
      </c>
      <c r="Y13" s="289">
        <f t="shared" si="3"/>
        <v>60708</v>
      </c>
      <c r="Z13" s="289">
        <f t="shared" si="3"/>
        <v>116051</v>
      </c>
      <c r="AA13" s="289">
        <f t="shared" si="3"/>
        <v>64242</v>
      </c>
      <c r="AB13" s="289">
        <f t="shared" si="3"/>
        <v>93984</v>
      </c>
      <c r="AC13" s="289">
        <f t="shared" si="3"/>
        <v>50234</v>
      </c>
      <c r="AD13" s="289">
        <f t="shared" si="3"/>
        <v>80770</v>
      </c>
      <c r="AE13" s="289">
        <f t="shared" si="3"/>
        <v>40806</v>
      </c>
      <c r="AF13" s="289">
        <f t="shared" si="3"/>
        <v>29007</v>
      </c>
      <c r="AG13" s="289">
        <f t="shared" si="3"/>
        <v>178878</v>
      </c>
      <c r="AH13" s="289">
        <f t="shared" si="3"/>
        <v>202613</v>
      </c>
      <c r="AI13" s="289">
        <f t="shared" si="3"/>
        <v>54495</v>
      </c>
      <c r="AJ13" s="289">
        <f t="shared" si="3"/>
        <v>88546</v>
      </c>
      <c r="AK13" s="289">
        <f t="shared" si="3"/>
        <v>126559</v>
      </c>
      <c r="AL13" s="289">
        <f t="shared" si="3"/>
        <v>63657</v>
      </c>
      <c r="AM13" s="289">
        <f t="shared" si="3"/>
        <v>49633</v>
      </c>
      <c r="AN13" s="289">
        <f t="shared" si="3"/>
        <v>58266</v>
      </c>
      <c r="AO13" s="289">
        <f t="shared" si="3"/>
        <v>53259</v>
      </c>
      <c r="AP13" s="289">
        <f t="shared" si="3"/>
        <v>58310</v>
      </c>
      <c r="AQ13" s="289">
        <f t="shared" si="3"/>
        <v>109936</v>
      </c>
      <c r="AR13" s="289">
        <f t="shared" si="3"/>
        <v>54155</v>
      </c>
      <c r="AS13" s="289">
        <f t="shared" si="3"/>
        <v>209890</v>
      </c>
      <c r="AT13" s="289">
        <f t="shared" si="3"/>
        <v>60412</v>
      </c>
      <c r="AU13" s="289">
        <f t="shared" si="3"/>
        <v>45046</v>
      </c>
      <c r="AV13" s="289">
        <f t="shared" si="3"/>
        <v>49291</v>
      </c>
      <c r="AW13" s="289">
        <f t="shared" si="3"/>
        <v>136513</v>
      </c>
      <c r="AX13" s="289">
        <f t="shared" ref="AX13" si="4">SUM(AX3:AX12)</f>
        <v>63780</v>
      </c>
      <c r="AY13" s="289">
        <f t="shared" si="3"/>
        <v>53674</v>
      </c>
      <c r="AZ13" s="289">
        <f t="shared" si="3"/>
        <v>52006</v>
      </c>
      <c r="BA13" s="289">
        <f t="shared" si="3"/>
        <v>113859</v>
      </c>
      <c r="BB13" s="289">
        <f t="shared" si="3"/>
        <v>50112</v>
      </c>
      <c r="BC13" s="289">
        <f t="shared" ref="BC13:BD13" si="5">SUM(BC3:BC12)</f>
        <v>105984</v>
      </c>
      <c r="BD13" s="289">
        <f t="shared" si="5"/>
        <v>33648</v>
      </c>
      <c r="BE13" s="289">
        <f t="shared" ref="BE13:BF13" si="6">SUM(BE3:BE12)</f>
        <v>187828</v>
      </c>
      <c r="BF13" s="289">
        <f t="shared" si="6"/>
        <v>74962</v>
      </c>
      <c r="BG13" s="289">
        <f t="shared" ref="BG13:BH13" si="7">SUM(BG3:BG12)</f>
        <v>43235</v>
      </c>
      <c r="BH13" s="289">
        <f t="shared" si="7"/>
        <v>95354</v>
      </c>
      <c r="BI13" s="289">
        <f t="shared" ref="BI13:BJ13" si="8">SUM(BI3:BI12)</f>
        <v>77717</v>
      </c>
      <c r="BJ13" s="289">
        <f t="shared" si="8"/>
        <v>30613</v>
      </c>
      <c r="BK13" s="289">
        <f t="shared" ref="BK13:BL13" si="9">SUM(BK3:BK12)</f>
        <v>29892</v>
      </c>
      <c r="BL13" s="289">
        <f t="shared" si="9"/>
        <v>32255</v>
      </c>
      <c r="BM13" s="289">
        <f t="shared" ref="BM13:BN13" si="10">SUM(BM3:BM12)</f>
        <v>32313</v>
      </c>
      <c r="BN13" s="289">
        <f t="shared" si="10"/>
        <v>15321</v>
      </c>
      <c r="BO13" s="289">
        <f t="shared" ref="BO13:BP13" si="11">SUM(BO3:BO12)</f>
        <v>68443</v>
      </c>
      <c r="BP13" s="289">
        <f t="shared" si="11"/>
        <v>142959</v>
      </c>
      <c r="BQ13" s="289">
        <f t="shared" ref="BQ13:BS13" si="12">SUM(BQ3:BQ12)</f>
        <v>90135</v>
      </c>
      <c r="BR13" s="289">
        <f t="shared" si="12"/>
        <v>135553</v>
      </c>
      <c r="BS13" s="289">
        <f t="shared" si="12"/>
        <v>38960</v>
      </c>
      <c r="BT13" s="289">
        <f t="shared" ref="BT13:BV13" si="13">SUM(BT3:BT12)</f>
        <v>58167</v>
      </c>
      <c r="BU13" s="289">
        <f t="shared" si="13"/>
        <v>26577</v>
      </c>
      <c r="BV13" s="289">
        <f t="shared" si="13"/>
        <v>39826</v>
      </c>
      <c r="BW13" s="289">
        <f t="shared" ref="BW13:BX13" si="14">SUM(BW3:BW12)</f>
        <v>44633</v>
      </c>
      <c r="BX13" s="289">
        <f t="shared" si="14"/>
        <v>122132</v>
      </c>
      <c r="BY13" s="289">
        <f t="shared" ref="BY13:BZ13" si="15">SUM(BY3:BY12)</f>
        <v>46943</v>
      </c>
      <c r="BZ13" s="289">
        <f t="shared" si="15"/>
        <v>188325</v>
      </c>
      <c r="CA13" s="289">
        <f t="shared" ref="CA13:CB13" si="16">SUM(CA3:CA12)</f>
        <v>50380</v>
      </c>
      <c r="CB13" s="289">
        <f t="shared" si="16"/>
        <v>81065</v>
      </c>
      <c r="CC13" s="289">
        <f t="shared" ref="CC13:CH13" si="17">SUM(CC3:CC12)</f>
        <v>194455</v>
      </c>
      <c r="CD13" s="289">
        <f t="shared" si="17"/>
        <v>98003</v>
      </c>
      <c r="CE13" s="289">
        <f t="shared" si="17"/>
        <v>39916</v>
      </c>
      <c r="CF13" s="289">
        <f t="shared" si="17"/>
        <v>131586</v>
      </c>
      <c r="CG13" s="289">
        <f t="shared" si="17"/>
        <v>192759</v>
      </c>
      <c r="CH13" s="289">
        <f t="shared" si="17"/>
        <v>53193</v>
      </c>
      <c r="CI13" s="289">
        <f t="shared" ref="CI13:CK13" si="18">SUM(CI3:CI12)</f>
        <v>372332</v>
      </c>
      <c r="CJ13" s="289">
        <f t="shared" si="18"/>
        <v>117418</v>
      </c>
      <c r="CK13" s="289">
        <f t="shared" si="18"/>
        <v>79674</v>
      </c>
      <c r="CL13" s="289">
        <f t="shared" ref="CL13:CM13" si="19">SUM(CL3:CL12)</f>
        <v>88844</v>
      </c>
      <c r="CM13" s="289">
        <f t="shared" si="19"/>
        <v>105418</v>
      </c>
      <c r="CN13" s="289">
        <f t="shared" ref="CN13:CO13" si="20">SUM(CN3:CN12)</f>
        <v>78374</v>
      </c>
      <c r="CO13" s="289">
        <f t="shared" si="20"/>
        <v>518662</v>
      </c>
      <c r="CP13" s="289">
        <f t="shared" ref="CP13:CT13" si="21">SUM(CP3:CP12)</f>
        <v>133532</v>
      </c>
      <c r="CQ13" s="289">
        <f t="shared" si="21"/>
        <v>108511</v>
      </c>
      <c r="CR13" s="289">
        <f t="shared" si="21"/>
        <v>75447</v>
      </c>
      <c r="CS13" s="289">
        <f t="shared" si="21"/>
        <v>116906</v>
      </c>
      <c r="CT13" s="289">
        <f t="shared" si="21"/>
        <v>80720</v>
      </c>
      <c r="CU13" s="289">
        <f t="shared" ref="CU13:CW13" si="22">SUM(CU3:CU12)</f>
        <v>58374</v>
      </c>
      <c r="CV13" s="289">
        <f t="shared" si="22"/>
        <v>58120</v>
      </c>
      <c r="CW13" s="289">
        <f t="shared" si="22"/>
        <v>37878</v>
      </c>
      <c r="CX13" s="289">
        <f t="shared" ref="CX13:CZ13" si="23">SUM(CX3:CX12)</f>
        <v>26767</v>
      </c>
      <c r="CY13" s="289">
        <f t="shared" si="23"/>
        <v>31044</v>
      </c>
      <c r="CZ13" s="289">
        <f t="shared" si="23"/>
        <v>43293</v>
      </c>
      <c r="DA13" s="289">
        <f t="shared" ref="DA13:DF13" si="24">SUM(DA3:DA12)</f>
        <v>83018</v>
      </c>
      <c r="DB13" s="289">
        <f t="shared" si="24"/>
        <v>117786</v>
      </c>
      <c r="DC13" s="289">
        <f t="shared" si="24"/>
        <v>62875</v>
      </c>
      <c r="DD13" s="289">
        <f t="shared" si="24"/>
        <v>79645</v>
      </c>
      <c r="DE13" s="289">
        <f t="shared" si="24"/>
        <v>63971</v>
      </c>
      <c r="DF13" s="289">
        <f t="shared" si="24"/>
        <v>114009</v>
      </c>
      <c r="DG13" s="289">
        <f t="shared" ref="DG13:DH13" si="25">SUM(DG3:DG12)</f>
        <v>54261</v>
      </c>
      <c r="DH13" s="289">
        <f t="shared" si="25"/>
        <v>134305</v>
      </c>
      <c r="DI13" s="289">
        <f t="shared" ref="DI13:DK13" si="26">SUM(DI3:DI12)</f>
        <v>46313</v>
      </c>
      <c r="DJ13" s="289">
        <f t="shared" si="26"/>
        <v>34480</v>
      </c>
      <c r="DK13" s="289">
        <f t="shared" si="26"/>
        <v>49615</v>
      </c>
      <c r="DL13" s="289">
        <f t="shared" ref="DL13:DM13" si="27">SUM(DL3:DL12)</f>
        <v>53159</v>
      </c>
      <c r="DM13" s="289">
        <f t="shared" si="27"/>
        <v>116245</v>
      </c>
      <c r="DN13" s="289">
        <f>SUM(DN3:DN12)</f>
        <v>134163</v>
      </c>
      <c r="DO13" s="289">
        <f t="shared" ref="DO13:DR13" si="28">SUM(DO3:DO12)</f>
        <v>30461</v>
      </c>
      <c r="DP13" s="289">
        <f t="shared" si="28"/>
        <v>72036</v>
      </c>
      <c r="DQ13" s="289">
        <f t="shared" si="28"/>
        <v>81835</v>
      </c>
      <c r="DR13" s="289">
        <f t="shared" si="28"/>
        <v>151981</v>
      </c>
      <c r="DS13" s="289">
        <f t="shared" ref="DS13:DU13" si="29">SUM(DS3:DS12)</f>
        <v>19809</v>
      </c>
      <c r="DT13" s="289">
        <f t="shared" si="29"/>
        <v>50514</v>
      </c>
      <c r="DU13" s="289">
        <f t="shared" si="29"/>
        <v>51781</v>
      </c>
      <c r="DV13" s="289">
        <f t="shared" ref="DV13:DX13" si="30">SUM(DV3:DV12)</f>
        <v>32653</v>
      </c>
      <c r="DW13" s="289">
        <f t="shared" si="30"/>
        <v>32653</v>
      </c>
      <c r="DX13" s="289">
        <f t="shared" si="30"/>
        <v>32653</v>
      </c>
      <c r="DY13" s="289">
        <f t="shared" ref="DY13:FN13" si="31">SUM(DY3:DY12)</f>
        <v>0</v>
      </c>
      <c r="DZ13" s="289">
        <f t="shared" si="31"/>
        <v>0</v>
      </c>
      <c r="EA13" s="289">
        <f t="shared" si="31"/>
        <v>0</v>
      </c>
      <c r="EB13" s="289">
        <f t="shared" si="31"/>
        <v>0</v>
      </c>
      <c r="EC13" s="289">
        <f t="shared" si="31"/>
        <v>0</v>
      </c>
      <c r="ED13" s="289">
        <f t="shared" si="31"/>
        <v>0</v>
      </c>
      <c r="EE13" s="289">
        <f t="shared" si="31"/>
        <v>0</v>
      </c>
      <c r="EF13" s="289">
        <f t="shared" si="31"/>
        <v>0</v>
      </c>
      <c r="EG13" s="289">
        <f t="shared" si="31"/>
        <v>0</v>
      </c>
      <c r="EH13" s="289">
        <f t="shared" si="31"/>
        <v>0</v>
      </c>
      <c r="EI13" s="289">
        <f t="shared" si="31"/>
        <v>0</v>
      </c>
      <c r="EJ13" s="289">
        <f t="shared" si="31"/>
        <v>0</v>
      </c>
      <c r="EK13" s="289">
        <f t="shared" si="31"/>
        <v>0</v>
      </c>
      <c r="EL13" s="289">
        <f t="shared" si="31"/>
        <v>0</v>
      </c>
      <c r="EM13" s="289">
        <f t="shared" si="31"/>
        <v>0</v>
      </c>
      <c r="EN13" s="289">
        <f t="shared" si="31"/>
        <v>0</v>
      </c>
      <c r="EO13" s="289">
        <f t="shared" si="31"/>
        <v>0</v>
      </c>
      <c r="EP13" s="289">
        <f t="shared" si="31"/>
        <v>0</v>
      </c>
      <c r="EQ13" s="289">
        <f t="shared" si="31"/>
        <v>0</v>
      </c>
      <c r="ER13" s="289">
        <f t="shared" si="31"/>
        <v>0</v>
      </c>
      <c r="ES13" s="289">
        <f t="shared" si="31"/>
        <v>0</v>
      </c>
      <c r="ET13" s="289">
        <f t="shared" si="31"/>
        <v>0</v>
      </c>
      <c r="EU13" s="289">
        <f t="shared" si="31"/>
        <v>0</v>
      </c>
      <c r="EV13" s="289">
        <f t="shared" si="31"/>
        <v>0</v>
      </c>
      <c r="EW13" s="289">
        <f t="shared" si="31"/>
        <v>0</v>
      </c>
      <c r="EX13" s="289">
        <f t="shared" si="31"/>
        <v>0</v>
      </c>
      <c r="EY13" s="289">
        <f t="shared" si="31"/>
        <v>0</v>
      </c>
      <c r="EZ13" s="289">
        <f t="shared" si="31"/>
        <v>0</v>
      </c>
      <c r="FA13" s="289">
        <f t="shared" si="31"/>
        <v>0</v>
      </c>
      <c r="FB13" s="289">
        <f t="shared" si="31"/>
        <v>0</v>
      </c>
      <c r="FC13" s="289">
        <f t="shared" si="31"/>
        <v>0</v>
      </c>
      <c r="FD13" s="289">
        <f t="shared" si="31"/>
        <v>0</v>
      </c>
      <c r="FE13" s="289">
        <f t="shared" si="31"/>
        <v>0</v>
      </c>
      <c r="FF13" s="289">
        <f t="shared" si="31"/>
        <v>0</v>
      </c>
      <c r="FG13" s="289">
        <f t="shared" si="31"/>
        <v>0</v>
      </c>
      <c r="FH13" s="289">
        <f t="shared" si="31"/>
        <v>0</v>
      </c>
      <c r="FI13" s="289">
        <f t="shared" si="31"/>
        <v>0</v>
      </c>
      <c r="FJ13" s="289">
        <f t="shared" si="31"/>
        <v>0</v>
      </c>
      <c r="FK13" s="289">
        <f t="shared" si="31"/>
        <v>0</v>
      </c>
      <c r="FL13" s="289">
        <f t="shared" si="31"/>
        <v>0</v>
      </c>
      <c r="FM13" s="289">
        <f t="shared" si="31"/>
        <v>0</v>
      </c>
      <c r="FN13" s="289">
        <f t="shared" si="31"/>
        <v>0</v>
      </c>
    </row>
    <row r="14" spans="1:248" ht="13.5" customHeight="1" thickBot="1">
      <c r="A14" s="305" t="s">
        <v>117</v>
      </c>
      <c r="B14" s="305" t="s">
        <v>118</v>
      </c>
      <c r="C14" s="305" t="s">
        <v>245</v>
      </c>
      <c r="D14" s="265">
        <v>16</v>
      </c>
      <c r="E14" s="306"/>
      <c r="F14" s="307"/>
      <c r="G14" s="307"/>
      <c r="H14" s="308" t="s">
        <v>118</v>
      </c>
      <c r="I14" s="324">
        <f>淑琪!E102</f>
        <v>170437</v>
      </c>
      <c r="J14" s="305" t="s">
        <v>154</v>
      </c>
      <c r="K14" s="313">
        <v>12500</v>
      </c>
      <c r="L14" s="313">
        <v>12500</v>
      </c>
      <c r="M14" s="313">
        <v>12500</v>
      </c>
      <c r="N14" s="337">
        <v>12500</v>
      </c>
      <c r="O14" s="337">
        <v>12500</v>
      </c>
      <c r="P14" s="337">
        <v>12500</v>
      </c>
      <c r="Q14" s="337">
        <v>12500</v>
      </c>
      <c r="R14" s="337">
        <v>12500</v>
      </c>
      <c r="S14" s="377">
        <v>0</v>
      </c>
      <c r="T14" s="337">
        <v>0</v>
      </c>
      <c r="U14" s="313">
        <v>0</v>
      </c>
      <c r="V14" s="313">
        <v>0</v>
      </c>
      <c r="W14" s="337">
        <v>4900</v>
      </c>
      <c r="X14" s="313">
        <v>0</v>
      </c>
      <c r="Y14" s="337">
        <v>4900</v>
      </c>
      <c r="Z14" s="337">
        <v>4900</v>
      </c>
      <c r="AA14" s="337">
        <v>4900</v>
      </c>
      <c r="AB14" s="337">
        <f>4900+(3600/2)+(8000/2)</f>
        <v>10700</v>
      </c>
      <c r="AC14" s="337">
        <v>4900</v>
      </c>
      <c r="AD14" s="337">
        <v>7100</v>
      </c>
      <c r="AE14" s="337">
        <v>7100</v>
      </c>
      <c r="AF14" s="337">
        <v>7100</v>
      </c>
      <c r="AG14" s="337">
        <v>7100</v>
      </c>
      <c r="AH14" s="337">
        <v>7100</v>
      </c>
      <c r="AI14" s="337">
        <v>7100</v>
      </c>
      <c r="AJ14" s="337">
        <v>7100</v>
      </c>
      <c r="AK14" s="337">
        <v>7100</v>
      </c>
      <c r="AL14" s="337">
        <v>7100</v>
      </c>
      <c r="AM14" s="337">
        <v>6800</v>
      </c>
      <c r="AN14" s="415">
        <v>10000</v>
      </c>
      <c r="AO14" s="415">
        <v>10000</v>
      </c>
      <c r="AP14" s="415">
        <v>10000</v>
      </c>
      <c r="AQ14" s="415">
        <v>10000</v>
      </c>
      <c r="AR14" s="415">
        <v>10000</v>
      </c>
      <c r="AS14" s="415">
        <v>10000</v>
      </c>
      <c r="AT14" s="415">
        <v>10000</v>
      </c>
      <c r="AU14" s="415">
        <v>10000</v>
      </c>
      <c r="AV14" s="415">
        <v>10000</v>
      </c>
      <c r="AW14" s="415">
        <v>10000</v>
      </c>
      <c r="AX14" s="415">
        <v>10000</v>
      </c>
      <c r="AY14" s="415">
        <v>10000</v>
      </c>
      <c r="AZ14" s="415">
        <v>10000</v>
      </c>
      <c r="BA14" s="415">
        <v>10000</v>
      </c>
      <c r="BB14" s="444">
        <v>10000</v>
      </c>
      <c r="BC14" s="337">
        <v>10000</v>
      </c>
      <c r="BD14" s="337">
        <v>10000</v>
      </c>
      <c r="BE14" s="337">
        <v>10000</v>
      </c>
      <c r="BF14" s="337">
        <v>10000</v>
      </c>
      <c r="BG14" s="337">
        <v>10000</v>
      </c>
      <c r="BH14" s="337">
        <v>10000</v>
      </c>
      <c r="BI14" s="337">
        <v>10000</v>
      </c>
      <c r="BJ14" s="337">
        <v>10000</v>
      </c>
      <c r="BK14" s="337">
        <v>10000</v>
      </c>
      <c r="BL14" s="337">
        <v>10000</v>
      </c>
      <c r="BM14" s="337">
        <v>10000</v>
      </c>
      <c r="BN14" s="337">
        <v>10000</v>
      </c>
      <c r="BO14" s="337">
        <v>10000</v>
      </c>
      <c r="BP14" s="337">
        <v>10000</v>
      </c>
      <c r="BQ14" s="337">
        <v>10000</v>
      </c>
      <c r="BR14" s="313">
        <v>0</v>
      </c>
      <c r="BS14" s="337">
        <v>10000</v>
      </c>
      <c r="BT14" s="337">
        <v>10000</v>
      </c>
      <c r="BU14" s="337">
        <v>10000</v>
      </c>
      <c r="BV14" s="337">
        <v>10000</v>
      </c>
      <c r="BW14" s="337">
        <v>10000</v>
      </c>
      <c r="BX14" s="337">
        <v>0</v>
      </c>
      <c r="BY14" s="337">
        <v>20000</v>
      </c>
      <c r="BZ14" s="337">
        <v>10000</v>
      </c>
      <c r="CA14" s="337">
        <v>10000</v>
      </c>
      <c r="CB14" s="337">
        <v>10000</v>
      </c>
      <c r="CC14" s="337">
        <v>10000</v>
      </c>
      <c r="CD14" s="337">
        <v>10000</v>
      </c>
      <c r="CE14" s="337">
        <v>10000</v>
      </c>
      <c r="CF14" s="337">
        <v>10000</v>
      </c>
      <c r="CG14" s="337">
        <v>10000</v>
      </c>
      <c r="CH14" s="337">
        <v>10000</v>
      </c>
      <c r="CI14" s="337">
        <v>10000</v>
      </c>
      <c r="CJ14" s="337">
        <v>10000</v>
      </c>
      <c r="CK14" s="337">
        <v>10000</v>
      </c>
      <c r="CL14" s="337">
        <v>10000</v>
      </c>
      <c r="CM14" s="337">
        <v>10000</v>
      </c>
      <c r="CN14" s="337">
        <v>10000</v>
      </c>
      <c r="CO14" s="337">
        <v>10000</v>
      </c>
      <c r="CP14" s="337">
        <v>10000</v>
      </c>
      <c r="CQ14" s="337">
        <v>10000</v>
      </c>
      <c r="CR14" s="337">
        <v>10000</v>
      </c>
      <c r="CS14" s="337">
        <v>10000</v>
      </c>
      <c r="CT14" s="337">
        <v>10000</v>
      </c>
      <c r="CU14" s="337">
        <v>10000</v>
      </c>
      <c r="CV14" s="337">
        <v>10000</v>
      </c>
      <c r="CW14" s="337">
        <v>10000</v>
      </c>
      <c r="CX14" s="337">
        <v>10000</v>
      </c>
      <c r="CY14" s="337">
        <v>10000</v>
      </c>
      <c r="CZ14" s="337">
        <v>10000</v>
      </c>
      <c r="DA14" s="337">
        <v>10000</v>
      </c>
      <c r="DB14" s="337">
        <v>10000</v>
      </c>
      <c r="DC14" s="337">
        <v>10000</v>
      </c>
      <c r="DD14" s="337">
        <v>10000</v>
      </c>
      <c r="DE14" s="337">
        <v>10000</v>
      </c>
      <c r="DF14" s="337">
        <v>10000</v>
      </c>
      <c r="DG14" s="337">
        <v>10000</v>
      </c>
      <c r="DH14" s="337">
        <v>10000</v>
      </c>
      <c r="DI14" s="337">
        <v>10000</v>
      </c>
      <c r="DJ14" s="337">
        <v>10000</v>
      </c>
      <c r="DK14" s="337">
        <v>10000</v>
      </c>
      <c r="DL14" s="337">
        <v>10000</v>
      </c>
      <c r="DM14" s="337">
        <v>10000</v>
      </c>
      <c r="DN14" s="337">
        <v>10000</v>
      </c>
      <c r="DO14" s="337">
        <v>10000</v>
      </c>
      <c r="DP14" s="337">
        <v>10000</v>
      </c>
      <c r="DQ14" s="337">
        <v>10000</v>
      </c>
      <c r="DR14" s="337">
        <v>10000</v>
      </c>
      <c r="DS14" s="337">
        <v>10000</v>
      </c>
      <c r="DT14" s="337">
        <v>10000</v>
      </c>
      <c r="DU14" s="337">
        <v>13300</v>
      </c>
      <c r="DV14" s="337">
        <v>13300</v>
      </c>
      <c r="DW14" s="313">
        <v>13300</v>
      </c>
      <c r="DX14" s="313">
        <v>13300</v>
      </c>
    </row>
    <row r="15" spans="1:248" ht="13.5" hidden="1" customHeight="1" outlineLevel="1" thickBot="1">
      <c r="A15" s="305" t="s">
        <v>191</v>
      </c>
      <c r="B15" s="305" t="s">
        <v>192</v>
      </c>
      <c r="C15" s="405">
        <f>SUM(AK15:CD15)+2170000</f>
        <v>2900000</v>
      </c>
      <c r="D15" s="265">
        <v>5</v>
      </c>
      <c r="E15" s="306"/>
      <c r="F15" s="307"/>
      <c r="G15" s="307"/>
      <c r="H15" s="308" t="s">
        <v>242</v>
      </c>
      <c r="I15" s="324">
        <f>2900000-C15</f>
        <v>0</v>
      </c>
      <c r="J15" s="305" t="s">
        <v>193</v>
      </c>
      <c r="K15" s="314">
        <v>33</v>
      </c>
      <c r="L15" s="314">
        <v>34</v>
      </c>
      <c r="M15" s="314">
        <v>35</v>
      </c>
      <c r="N15" s="338">
        <v>36</v>
      </c>
      <c r="O15" s="338">
        <v>37</v>
      </c>
      <c r="P15" s="338">
        <v>38</v>
      </c>
      <c r="Q15" s="338">
        <v>39</v>
      </c>
      <c r="R15" s="338">
        <v>40</v>
      </c>
      <c r="AK15" s="392">
        <v>10000</v>
      </c>
      <c r="AL15" s="392">
        <v>10000</v>
      </c>
      <c r="AM15" s="392">
        <v>10000</v>
      </c>
      <c r="AN15" s="392">
        <v>10000</v>
      </c>
      <c r="AO15" s="392">
        <v>10000</v>
      </c>
      <c r="AP15" s="392">
        <v>20000</v>
      </c>
      <c r="AQ15" s="392">
        <f t="shared" ref="AQ15:AY15" si="32">AP15</f>
        <v>20000</v>
      </c>
      <c r="AR15" s="392">
        <f t="shared" si="32"/>
        <v>20000</v>
      </c>
      <c r="AS15" s="392">
        <f t="shared" si="32"/>
        <v>20000</v>
      </c>
      <c r="AT15" s="392">
        <f t="shared" si="32"/>
        <v>20000</v>
      </c>
      <c r="AU15" s="392">
        <f t="shared" si="32"/>
        <v>20000</v>
      </c>
      <c r="AV15" s="392">
        <f t="shared" si="32"/>
        <v>20000</v>
      </c>
      <c r="AW15" s="416">
        <f t="shared" si="32"/>
        <v>20000</v>
      </c>
      <c r="AX15" s="416">
        <f t="shared" si="32"/>
        <v>20000</v>
      </c>
      <c r="AY15" s="416">
        <f t="shared" si="32"/>
        <v>20000</v>
      </c>
      <c r="AZ15" s="416">
        <f t="shared" ref="AZ15:AZ17" si="33">AY15</f>
        <v>20000</v>
      </c>
      <c r="BA15" s="416">
        <f t="shared" ref="BA15:BA17" si="34">AZ15</f>
        <v>20000</v>
      </c>
      <c r="BB15" s="445">
        <f t="shared" ref="BB15:BU15" si="35">BA15</f>
        <v>20000</v>
      </c>
      <c r="BC15" s="392">
        <f t="shared" si="35"/>
        <v>20000</v>
      </c>
      <c r="BD15" s="392">
        <f t="shared" si="35"/>
        <v>20000</v>
      </c>
      <c r="BE15" s="392">
        <f t="shared" si="35"/>
        <v>20000</v>
      </c>
      <c r="BF15" s="392">
        <f t="shared" si="35"/>
        <v>20000</v>
      </c>
      <c r="BG15" s="392">
        <f t="shared" si="35"/>
        <v>20000</v>
      </c>
      <c r="BH15" s="392">
        <f t="shared" si="35"/>
        <v>20000</v>
      </c>
      <c r="BI15" s="392">
        <v>10000</v>
      </c>
      <c r="BJ15" s="392">
        <f t="shared" si="35"/>
        <v>10000</v>
      </c>
      <c r="BK15" s="392">
        <f t="shared" si="35"/>
        <v>10000</v>
      </c>
      <c r="BL15" s="392">
        <f t="shared" si="35"/>
        <v>10000</v>
      </c>
      <c r="BM15" s="392">
        <f t="shared" si="35"/>
        <v>10000</v>
      </c>
      <c r="BN15" s="392">
        <f t="shared" si="35"/>
        <v>10000</v>
      </c>
      <c r="BO15" s="392">
        <f t="shared" si="35"/>
        <v>10000</v>
      </c>
      <c r="BP15" s="392">
        <f t="shared" si="35"/>
        <v>10000</v>
      </c>
      <c r="BQ15" s="392">
        <f t="shared" si="35"/>
        <v>10000</v>
      </c>
      <c r="BR15" s="453">
        <v>0</v>
      </c>
      <c r="BS15" s="392">
        <v>10000</v>
      </c>
      <c r="BT15" s="392">
        <f t="shared" si="35"/>
        <v>10000</v>
      </c>
      <c r="BU15" s="392">
        <f t="shared" si="35"/>
        <v>10000</v>
      </c>
      <c r="BV15" s="392">
        <v>20000</v>
      </c>
      <c r="BW15" s="392">
        <v>20000</v>
      </c>
      <c r="BX15" s="392">
        <v>20000</v>
      </c>
      <c r="BY15" s="392">
        <v>20000</v>
      </c>
      <c r="BZ15" s="392">
        <v>20000</v>
      </c>
      <c r="CA15" s="392">
        <v>20000</v>
      </c>
      <c r="CB15" s="392">
        <v>20000</v>
      </c>
      <c r="CC15" s="392">
        <v>20000</v>
      </c>
      <c r="CD15" s="392">
        <v>20000</v>
      </c>
      <c r="CE15" s="453">
        <v>0</v>
      </c>
      <c r="CF15" s="453">
        <v>0</v>
      </c>
      <c r="CG15" s="453">
        <v>0</v>
      </c>
      <c r="CH15" s="453">
        <v>0</v>
      </c>
      <c r="CI15" s="453">
        <v>0</v>
      </c>
      <c r="CJ15" s="453">
        <v>0</v>
      </c>
      <c r="CK15" s="392">
        <v>0</v>
      </c>
      <c r="CL15" s="453">
        <v>0</v>
      </c>
      <c r="CM15" s="453">
        <v>0</v>
      </c>
      <c r="CN15" s="453">
        <v>0</v>
      </c>
      <c r="CO15" s="453">
        <v>0</v>
      </c>
      <c r="CP15" s="453">
        <v>0</v>
      </c>
      <c r="CQ15" s="453">
        <v>0</v>
      </c>
      <c r="CR15" s="453">
        <v>0</v>
      </c>
      <c r="CS15" s="453">
        <v>0</v>
      </c>
      <c r="CT15" s="453">
        <v>0</v>
      </c>
      <c r="CU15" s="453">
        <v>0</v>
      </c>
      <c r="CV15" s="453">
        <v>0</v>
      </c>
      <c r="CW15" s="392">
        <v>0</v>
      </c>
      <c r="CX15" s="453">
        <v>0</v>
      </c>
      <c r="CY15" s="453">
        <v>0</v>
      </c>
      <c r="CZ15" s="453">
        <v>0</v>
      </c>
      <c r="DA15" s="453">
        <v>0</v>
      </c>
      <c r="DB15" s="392">
        <v>0</v>
      </c>
      <c r="DC15" s="453">
        <v>0</v>
      </c>
      <c r="DD15" s="453">
        <v>0</v>
      </c>
      <c r="DE15" s="453">
        <v>0</v>
      </c>
      <c r="DF15" s="453">
        <v>0</v>
      </c>
      <c r="DG15" s="453">
        <v>0</v>
      </c>
      <c r="DH15" s="453">
        <v>0</v>
      </c>
      <c r="DI15" s="453">
        <v>0</v>
      </c>
      <c r="DJ15" s="453">
        <v>0</v>
      </c>
      <c r="DK15" s="453">
        <v>0</v>
      </c>
      <c r="DL15" s="453">
        <v>0</v>
      </c>
      <c r="DM15" s="453">
        <v>0</v>
      </c>
      <c r="DN15" s="453">
        <v>0</v>
      </c>
      <c r="DO15" s="453">
        <v>0</v>
      </c>
      <c r="DP15" s="392">
        <v>0</v>
      </c>
      <c r="DQ15" s="453">
        <v>0</v>
      </c>
      <c r="DR15" s="392">
        <v>0</v>
      </c>
      <c r="DS15" s="453">
        <v>0</v>
      </c>
      <c r="DT15" s="453">
        <v>0</v>
      </c>
      <c r="DU15" s="453">
        <v>0</v>
      </c>
      <c r="DV15" s="453">
        <v>0</v>
      </c>
      <c r="DW15" s="453">
        <v>0</v>
      </c>
      <c r="DX15" s="453">
        <v>0</v>
      </c>
    </row>
    <row r="16" spans="1:248" ht="13.5" customHeight="1" collapsed="1" thickBot="1">
      <c r="A16" s="305" t="s">
        <v>173</v>
      </c>
      <c r="B16" s="305" t="s">
        <v>120</v>
      </c>
      <c r="C16" s="305" t="s">
        <v>181</v>
      </c>
      <c r="D16" s="265">
        <v>10</v>
      </c>
      <c r="E16" s="306"/>
      <c r="F16" s="307"/>
      <c r="G16" s="307"/>
      <c r="H16" s="308" t="s">
        <v>240</v>
      </c>
      <c r="I16" s="324">
        <f>6559309-SUM(BD16:DR17)</f>
        <v>3323356</v>
      </c>
      <c r="J16" s="305"/>
      <c r="K16" s="330" t="s">
        <v>149</v>
      </c>
      <c r="L16" s="314"/>
      <c r="M16" s="314"/>
      <c r="N16" s="338"/>
      <c r="O16" s="338"/>
      <c r="P16" s="338"/>
      <c r="Q16" s="338"/>
      <c r="R16" s="330" t="s">
        <v>149</v>
      </c>
      <c r="S16" s="374">
        <f>6966+10031</f>
        <v>16997</v>
      </c>
      <c r="T16" s="381">
        <v>16997</v>
      </c>
      <c r="U16" s="381">
        <v>16997</v>
      </c>
      <c r="V16" s="381">
        <v>16997</v>
      </c>
      <c r="W16" s="381">
        <v>16997</v>
      </c>
      <c r="X16" s="381">
        <v>16997</v>
      </c>
      <c r="Y16" s="381">
        <v>16997</v>
      </c>
      <c r="Z16" s="381">
        <v>16997</v>
      </c>
      <c r="AA16" s="381">
        <f t="shared" ref="AA16:AY16" si="36">Z16</f>
        <v>16997</v>
      </c>
      <c r="AB16" s="381">
        <f t="shared" si="36"/>
        <v>16997</v>
      </c>
      <c r="AC16" s="381">
        <f t="shared" si="36"/>
        <v>16997</v>
      </c>
      <c r="AD16" s="381">
        <f t="shared" si="36"/>
        <v>16997</v>
      </c>
      <c r="AE16" s="381">
        <f>14231+1581</f>
        <v>15812</v>
      </c>
      <c r="AF16" s="381">
        <f t="shared" si="36"/>
        <v>15812</v>
      </c>
      <c r="AG16" s="381">
        <f t="shared" si="36"/>
        <v>15812</v>
      </c>
      <c r="AH16" s="381">
        <f t="shared" si="36"/>
        <v>15812</v>
      </c>
      <c r="AI16" s="381">
        <f t="shared" si="36"/>
        <v>15812</v>
      </c>
      <c r="AJ16" s="381">
        <f t="shared" si="36"/>
        <v>15812</v>
      </c>
      <c r="AK16" s="381">
        <f t="shared" si="36"/>
        <v>15812</v>
      </c>
      <c r="AL16" s="381">
        <f>14695+1633</f>
        <v>16328</v>
      </c>
      <c r="AM16" s="381">
        <f>15143+1683</f>
        <v>16826</v>
      </c>
      <c r="AN16" s="381">
        <f t="shared" si="36"/>
        <v>16826</v>
      </c>
      <c r="AO16" s="381">
        <f>AN16-2028</f>
        <v>14798</v>
      </c>
      <c r="AP16" s="381">
        <f t="shared" si="36"/>
        <v>14798</v>
      </c>
      <c r="AQ16" s="381">
        <f t="shared" si="36"/>
        <v>14798</v>
      </c>
      <c r="AR16" s="381">
        <f t="shared" si="36"/>
        <v>14798</v>
      </c>
      <c r="AS16" s="381">
        <f t="shared" si="36"/>
        <v>14798</v>
      </c>
      <c r="AT16" s="381">
        <f t="shared" si="36"/>
        <v>14798</v>
      </c>
      <c r="AU16" s="381">
        <f>11713+1600</f>
        <v>13313</v>
      </c>
      <c r="AV16" s="381">
        <f>12080+1650</f>
        <v>13730</v>
      </c>
      <c r="AW16" s="412">
        <f t="shared" si="36"/>
        <v>13730</v>
      </c>
      <c r="AX16" s="412">
        <f t="shared" si="36"/>
        <v>13730</v>
      </c>
      <c r="AY16" s="412">
        <f t="shared" si="36"/>
        <v>13730</v>
      </c>
      <c r="AZ16" s="412">
        <f t="shared" si="33"/>
        <v>13730</v>
      </c>
      <c r="BA16" s="412">
        <f t="shared" si="34"/>
        <v>13730</v>
      </c>
      <c r="BB16" s="446">
        <f>7048+1128+5639</f>
        <v>13815</v>
      </c>
      <c r="BC16" s="381">
        <f t="shared" ref="BC16:DX17" si="37">BB16</f>
        <v>13815</v>
      </c>
      <c r="BD16" s="381">
        <v>36045</v>
      </c>
      <c r="BE16" s="381">
        <f>10314+1650+6245+16350+1486</f>
        <v>36045</v>
      </c>
      <c r="BF16" s="381">
        <f t="shared" si="37"/>
        <v>36045</v>
      </c>
      <c r="BG16" s="381">
        <f t="shared" si="37"/>
        <v>36045</v>
      </c>
      <c r="BH16" s="381">
        <f t="shared" si="37"/>
        <v>36045</v>
      </c>
      <c r="BI16" s="381">
        <f t="shared" si="37"/>
        <v>36045</v>
      </c>
      <c r="BJ16" s="381">
        <f t="shared" si="37"/>
        <v>36045</v>
      </c>
      <c r="BK16" s="381">
        <f t="shared" si="37"/>
        <v>36045</v>
      </c>
      <c r="BL16" s="381">
        <f t="shared" si="37"/>
        <v>36045</v>
      </c>
      <c r="BM16" s="381">
        <f t="shared" si="37"/>
        <v>36045</v>
      </c>
      <c r="BN16" s="381">
        <f t="shared" si="37"/>
        <v>36045</v>
      </c>
      <c r="BO16" s="381">
        <f t="shared" si="37"/>
        <v>36045</v>
      </c>
      <c r="BP16" s="381">
        <f t="shared" si="37"/>
        <v>36045</v>
      </c>
      <c r="BQ16" s="381">
        <f t="shared" si="37"/>
        <v>36045</v>
      </c>
      <c r="BR16" s="381">
        <f t="shared" si="37"/>
        <v>36045</v>
      </c>
      <c r="BS16" s="381">
        <f t="shared" si="37"/>
        <v>36045</v>
      </c>
      <c r="BT16" s="381">
        <f t="shared" si="37"/>
        <v>36045</v>
      </c>
      <c r="BU16" s="381">
        <f t="shared" si="37"/>
        <v>36045</v>
      </c>
      <c r="BV16" s="381">
        <f t="shared" si="37"/>
        <v>36045</v>
      </c>
      <c r="BW16" s="381">
        <f t="shared" si="37"/>
        <v>36045</v>
      </c>
      <c r="BX16" s="381">
        <f t="shared" si="37"/>
        <v>36045</v>
      </c>
      <c r="BY16" s="381">
        <f t="shared" si="37"/>
        <v>36045</v>
      </c>
      <c r="BZ16" s="381">
        <f t="shared" si="37"/>
        <v>36045</v>
      </c>
      <c r="CA16" s="381">
        <f t="shared" si="37"/>
        <v>36045</v>
      </c>
      <c r="CB16" s="381">
        <f t="shared" si="37"/>
        <v>36045</v>
      </c>
      <c r="CC16" s="381">
        <f t="shared" si="37"/>
        <v>36045</v>
      </c>
      <c r="CD16" s="381">
        <f t="shared" si="37"/>
        <v>36045</v>
      </c>
      <c r="CE16" s="381">
        <f t="shared" si="37"/>
        <v>36045</v>
      </c>
      <c r="CF16" s="381">
        <f t="shared" si="37"/>
        <v>36045</v>
      </c>
      <c r="CG16" s="381">
        <v>36681</v>
      </c>
      <c r="CH16" s="381">
        <f t="shared" si="37"/>
        <v>36681</v>
      </c>
      <c r="CI16" s="381">
        <f t="shared" si="37"/>
        <v>36681</v>
      </c>
      <c r="CJ16" s="381">
        <f t="shared" si="37"/>
        <v>36681</v>
      </c>
      <c r="CK16" s="381">
        <f t="shared" si="37"/>
        <v>36681</v>
      </c>
      <c r="CL16" s="381">
        <f t="shared" si="37"/>
        <v>36681</v>
      </c>
      <c r="CM16" s="381">
        <f t="shared" si="37"/>
        <v>36681</v>
      </c>
      <c r="CN16" s="381">
        <f t="shared" si="37"/>
        <v>36681</v>
      </c>
      <c r="CO16" s="381">
        <f t="shared" si="37"/>
        <v>36681</v>
      </c>
      <c r="CP16" s="381">
        <f t="shared" si="37"/>
        <v>36681</v>
      </c>
      <c r="CQ16" s="381">
        <f t="shared" si="37"/>
        <v>36681</v>
      </c>
      <c r="CR16" s="381">
        <f t="shared" si="37"/>
        <v>36681</v>
      </c>
      <c r="CS16" s="381">
        <f t="shared" si="37"/>
        <v>36681</v>
      </c>
      <c r="CT16" s="381">
        <f t="shared" si="37"/>
        <v>36681</v>
      </c>
      <c r="CU16" s="381">
        <f t="shared" si="37"/>
        <v>36681</v>
      </c>
      <c r="CV16" s="381">
        <f t="shared" si="37"/>
        <v>36681</v>
      </c>
      <c r="CW16" s="381">
        <f t="shared" si="37"/>
        <v>36681</v>
      </c>
      <c r="CX16" s="381">
        <f t="shared" si="37"/>
        <v>36681</v>
      </c>
      <c r="CY16" s="381">
        <f t="shared" si="37"/>
        <v>36681</v>
      </c>
      <c r="CZ16" s="381">
        <f t="shared" si="37"/>
        <v>36681</v>
      </c>
      <c r="DA16" s="381">
        <f t="shared" si="37"/>
        <v>36681</v>
      </c>
      <c r="DB16" s="381">
        <f t="shared" si="37"/>
        <v>36681</v>
      </c>
      <c r="DC16" s="381">
        <f t="shared" si="37"/>
        <v>36681</v>
      </c>
      <c r="DD16" s="381">
        <f t="shared" si="37"/>
        <v>36681</v>
      </c>
      <c r="DE16" s="381">
        <f t="shared" si="37"/>
        <v>36681</v>
      </c>
      <c r="DF16" s="381">
        <f t="shared" si="37"/>
        <v>36681</v>
      </c>
      <c r="DG16" s="381">
        <f t="shared" si="37"/>
        <v>36681</v>
      </c>
      <c r="DH16" s="381">
        <f t="shared" si="37"/>
        <v>36681</v>
      </c>
      <c r="DI16" s="381">
        <f t="shared" si="37"/>
        <v>36681</v>
      </c>
      <c r="DJ16" s="381">
        <f t="shared" si="37"/>
        <v>36681</v>
      </c>
      <c r="DK16" s="381">
        <f t="shared" si="37"/>
        <v>36681</v>
      </c>
      <c r="DL16" s="381">
        <f t="shared" si="37"/>
        <v>36681</v>
      </c>
      <c r="DM16" s="381">
        <f t="shared" si="37"/>
        <v>36681</v>
      </c>
      <c r="DN16" s="628">
        <f t="shared" si="37"/>
        <v>36681</v>
      </c>
      <c r="DO16" s="381">
        <f t="shared" si="37"/>
        <v>36681</v>
      </c>
      <c r="DP16" s="381">
        <f t="shared" si="37"/>
        <v>36681</v>
      </c>
      <c r="DQ16" s="381">
        <f t="shared" si="37"/>
        <v>36681</v>
      </c>
      <c r="DR16" s="381">
        <f t="shared" si="37"/>
        <v>36681</v>
      </c>
      <c r="DS16" s="381">
        <f t="shared" si="37"/>
        <v>36681</v>
      </c>
      <c r="DT16" s="381">
        <f t="shared" si="37"/>
        <v>36681</v>
      </c>
      <c r="DU16" s="381">
        <f t="shared" si="37"/>
        <v>36681</v>
      </c>
      <c r="DV16" s="381">
        <f t="shared" si="37"/>
        <v>36681</v>
      </c>
      <c r="DW16" s="454">
        <f t="shared" si="37"/>
        <v>36681</v>
      </c>
      <c r="DX16" s="454">
        <f t="shared" si="37"/>
        <v>36681</v>
      </c>
      <c r="DY16" s="263"/>
      <c r="DZ16" s="263"/>
      <c r="EA16" s="263"/>
      <c r="EB16" s="263"/>
      <c r="EC16" s="263"/>
      <c r="ED16" s="263"/>
      <c r="EE16" s="263"/>
      <c r="EF16" s="263"/>
      <c r="EG16" s="263"/>
      <c r="EH16" s="388"/>
      <c r="EI16" s="263"/>
      <c r="EJ16" s="263"/>
      <c r="EK16" s="263"/>
      <c r="EL16" s="263"/>
      <c r="EM16" s="263"/>
      <c r="EN16" s="263"/>
      <c r="EO16" s="263"/>
      <c r="EP16" s="263"/>
      <c r="EQ16" s="263"/>
      <c r="ER16" s="263"/>
      <c r="ES16" s="263"/>
      <c r="ET16" s="263"/>
      <c r="EU16" s="263"/>
      <c r="EV16" s="263"/>
      <c r="EW16" s="263"/>
      <c r="EX16" s="263"/>
      <c r="EY16" s="263"/>
      <c r="EZ16" s="263"/>
      <c r="FA16" s="263"/>
      <c r="FB16" s="388"/>
      <c r="FC16" s="263"/>
      <c r="FD16" s="263"/>
      <c r="FE16" s="263"/>
      <c r="FF16" s="263"/>
      <c r="FG16" s="263"/>
      <c r="FH16" s="263"/>
      <c r="FI16" s="263"/>
      <c r="FJ16" s="263"/>
      <c r="FK16" s="263"/>
      <c r="FL16" s="263"/>
      <c r="FM16" s="263"/>
      <c r="FN16" s="263"/>
      <c r="FO16" s="263"/>
      <c r="FP16" s="263"/>
      <c r="FQ16" s="263"/>
      <c r="FR16" s="263"/>
      <c r="FS16" s="263"/>
      <c r="FT16" s="263"/>
      <c r="FU16" s="263"/>
      <c r="FV16" s="263"/>
      <c r="FW16" s="263"/>
      <c r="FX16" s="263"/>
      <c r="FY16" s="263"/>
      <c r="FZ16" s="263"/>
      <c r="GA16" s="263"/>
      <c r="GB16" s="263"/>
      <c r="GC16" s="263"/>
      <c r="GD16" s="263"/>
      <c r="GE16" s="263"/>
      <c r="GF16" s="388"/>
      <c r="GG16" s="263"/>
      <c r="GH16" s="263"/>
      <c r="GI16" s="263"/>
      <c r="GJ16" s="263"/>
      <c r="GK16" s="263"/>
      <c r="GL16" s="263"/>
      <c r="GM16" s="263"/>
      <c r="GN16" s="263"/>
      <c r="GO16" s="263"/>
      <c r="GP16" s="263"/>
      <c r="GQ16" s="263"/>
      <c r="GR16" s="263"/>
      <c r="GS16" s="263"/>
      <c r="GT16" s="263"/>
      <c r="GU16" s="263"/>
      <c r="GV16" s="263"/>
      <c r="GW16" s="263"/>
      <c r="GX16" s="263"/>
      <c r="GY16" s="263"/>
      <c r="GZ16" s="263"/>
      <c r="HA16" s="263"/>
      <c r="HB16" s="263"/>
      <c r="HC16" s="263"/>
      <c r="HD16" s="263"/>
      <c r="HE16" s="263"/>
      <c r="HF16" s="263"/>
      <c r="HG16" s="263"/>
      <c r="HH16" s="263"/>
      <c r="HI16" s="263"/>
      <c r="HJ16" s="388"/>
      <c r="HK16" s="263"/>
      <c r="HL16" s="263"/>
      <c r="HM16" s="263"/>
      <c r="HN16" s="263"/>
      <c r="HO16" s="263"/>
      <c r="HP16" s="263"/>
      <c r="HQ16" s="263"/>
      <c r="HR16" s="263"/>
      <c r="HS16" s="263"/>
      <c r="HT16" s="263"/>
      <c r="HU16" s="263"/>
      <c r="HV16" s="263"/>
      <c r="HW16" s="263"/>
      <c r="HX16" s="263"/>
      <c r="HY16" s="263"/>
      <c r="HZ16" s="263"/>
      <c r="IA16" s="263"/>
      <c r="IB16" s="263"/>
      <c r="IC16" s="263"/>
      <c r="ID16" s="263"/>
      <c r="IE16" s="263"/>
      <c r="IF16" s="263"/>
      <c r="IG16" s="263"/>
      <c r="IH16" s="263"/>
      <c r="II16" s="263"/>
      <c r="IJ16" s="263"/>
      <c r="IK16" s="263"/>
      <c r="IL16" s="263"/>
      <c r="IM16" s="263"/>
      <c r="IN16" s="263"/>
    </row>
    <row r="17" spans="1:196" ht="13.5" hidden="1" customHeight="1" outlineLevel="1">
      <c r="A17" s="305" t="s">
        <v>246</v>
      </c>
      <c r="B17" s="305" t="s">
        <v>120</v>
      </c>
      <c r="H17" s="308" t="s">
        <v>241</v>
      </c>
      <c r="I17" s="475">
        <f>10500000-SUM(BF17:BS17)</f>
        <v>9756348</v>
      </c>
      <c r="J17" s="451"/>
      <c r="K17" s="330" t="s">
        <v>150</v>
      </c>
      <c r="L17" s="279"/>
      <c r="M17" s="279"/>
      <c r="N17" s="279"/>
      <c r="O17" s="279"/>
      <c r="P17" s="279"/>
      <c r="Q17" s="279"/>
      <c r="R17" s="330" t="s">
        <v>150</v>
      </c>
      <c r="S17" s="375">
        <f>2917+4200+1114+467</f>
        <v>8698</v>
      </c>
      <c r="T17" s="386">
        <v>8698</v>
      </c>
      <c r="U17" s="386">
        <v>8698</v>
      </c>
      <c r="V17" s="386">
        <v>8698</v>
      </c>
      <c r="W17" s="386">
        <v>8698</v>
      </c>
      <c r="X17" s="386">
        <v>8698</v>
      </c>
      <c r="Y17" s="386">
        <v>8698</v>
      </c>
      <c r="Z17" s="386">
        <v>8698</v>
      </c>
      <c r="AA17" s="386">
        <f>26776-AA16</f>
        <v>9779</v>
      </c>
      <c r="AB17" s="386">
        <f t="shared" ref="AB17:AY17" si="38">AA17</f>
        <v>9779</v>
      </c>
      <c r="AC17" s="386">
        <f t="shared" si="38"/>
        <v>9779</v>
      </c>
      <c r="AD17" s="386">
        <f t="shared" si="38"/>
        <v>9779</v>
      </c>
      <c r="AE17" s="386">
        <v>9883</v>
      </c>
      <c r="AF17" s="386">
        <f t="shared" si="38"/>
        <v>9883</v>
      </c>
      <c r="AG17" s="386">
        <f t="shared" si="38"/>
        <v>9883</v>
      </c>
      <c r="AH17" s="386">
        <f t="shared" si="38"/>
        <v>9883</v>
      </c>
      <c r="AI17" s="386">
        <f t="shared" si="38"/>
        <v>9883</v>
      </c>
      <c r="AJ17" s="386">
        <f t="shared" si="38"/>
        <v>9883</v>
      </c>
      <c r="AK17" s="386">
        <f t="shared" si="38"/>
        <v>9883</v>
      </c>
      <c r="AL17" s="386">
        <v>10250</v>
      </c>
      <c r="AM17" s="386">
        <v>10516</v>
      </c>
      <c r="AN17" s="386">
        <f t="shared" si="38"/>
        <v>10516</v>
      </c>
      <c r="AO17" s="386">
        <f>AN17-2000</f>
        <v>8516</v>
      </c>
      <c r="AP17" s="386">
        <f t="shared" si="38"/>
        <v>8516</v>
      </c>
      <c r="AQ17" s="386">
        <f t="shared" si="38"/>
        <v>8516</v>
      </c>
      <c r="AR17" s="386">
        <f t="shared" si="38"/>
        <v>8516</v>
      </c>
      <c r="AS17" s="386">
        <f t="shared" si="38"/>
        <v>8516</v>
      </c>
      <c r="AT17" s="386">
        <f t="shared" si="38"/>
        <v>8516</v>
      </c>
      <c r="AU17" s="386">
        <v>10001</v>
      </c>
      <c r="AV17" s="386">
        <v>10314</v>
      </c>
      <c r="AW17" s="413">
        <f t="shared" si="38"/>
        <v>10314</v>
      </c>
      <c r="AX17" s="413">
        <f t="shared" si="38"/>
        <v>10314</v>
      </c>
      <c r="AY17" s="413">
        <f t="shared" si="38"/>
        <v>10314</v>
      </c>
      <c r="AZ17" s="413">
        <f t="shared" si="33"/>
        <v>10314</v>
      </c>
      <c r="BA17" s="413">
        <f t="shared" si="34"/>
        <v>10314</v>
      </c>
      <c r="BB17" s="447">
        <f>10314+1650+6253-BB16</f>
        <v>4402</v>
      </c>
      <c r="BC17" s="386">
        <f t="shared" si="37"/>
        <v>4402</v>
      </c>
      <c r="BD17" s="386">
        <v>0</v>
      </c>
      <c r="BE17" s="419">
        <f>36045*BD17/(BD17+BD16)</f>
        <v>0</v>
      </c>
      <c r="BF17" s="452">
        <v>53118</v>
      </c>
      <c r="BG17" s="386">
        <f t="shared" si="37"/>
        <v>53118</v>
      </c>
      <c r="BH17" s="386">
        <f t="shared" si="37"/>
        <v>53118</v>
      </c>
      <c r="BI17" s="386">
        <f t="shared" si="37"/>
        <v>53118</v>
      </c>
      <c r="BJ17" s="386">
        <f t="shared" si="37"/>
        <v>53118</v>
      </c>
      <c r="BK17" s="386">
        <f t="shared" si="37"/>
        <v>53118</v>
      </c>
      <c r="BL17" s="386">
        <f t="shared" si="37"/>
        <v>53118</v>
      </c>
      <c r="BM17" s="386">
        <f t="shared" si="37"/>
        <v>53118</v>
      </c>
      <c r="BN17" s="386">
        <f t="shared" si="37"/>
        <v>53118</v>
      </c>
      <c r="BO17" s="386">
        <f t="shared" si="37"/>
        <v>53118</v>
      </c>
      <c r="BP17" s="386">
        <f t="shared" si="37"/>
        <v>53118</v>
      </c>
      <c r="BQ17" s="386">
        <f t="shared" si="37"/>
        <v>53118</v>
      </c>
      <c r="BR17" s="386">
        <f t="shared" si="37"/>
        <v>53118</v>
      </c>
      <c r="BS17" s="386">
        <f t="shared" si="37"/>
        <v>53118</v>
      </c>
      <c r="BT17" s="386">
        <f t="shared" si="37"/>
        <v>53118</v>
      </c>
      <c r="BU17" s="289">
        <v>0</v>
      </c>
      <c r="BV17" s="289">
        <f t="shared" si="37"/>
        <v>0</v>
      </c>
      <c r="BW17" s="289">
        <f t="shared" si="37"/>
        <v>0</v>
      </c>
      <c r="BX17" s="289">
        <f t="shared" si="37"/>
        <v>0</v>
      </c>
      <c r="BY17" s="289">
        <f t="shared" si="37"/>
        <v>0</v>
      </c>
      <c r="BZ17" s="289">
        <f t="shared" si="37"/>
        <v>0</v>
      </c>
      <c r="CA17" s="289">
        <f t="shared" si="37"/>
        <v>0</v>
      </c>
      <c r="CB17" s="289">
        <f t="shared" si="37"/>
        <v>0</v>
      </c>
      <c r="CC17" s="289">
        <f t="shared" si="37"/>
        <v>0</v>
      </c>
      <c r="CD17" s="289">
        <f t="shared" si="37"/>
        <v>0</v>
      </c>
      <c r="CE17" s="289">
        <f t="shared" si="37"/>
        <v>0</v>
      </c>
      <c r="CF17" s="289">
        <f t="shared" si="37"/>
        <v>0</v>
      </c>
      <c r="CG17" s="289">
        <f t="shared" si="37"/>
        <v>0</v>
      </c>
      <c r="CH17" s="289">
        <f t="shared" si="37"/>
        <v>0</v>
      </c>
      <c r="CI17" s="289">
        <f t="shared" si="37"/>
        <v>0</v>
      </c>
      <c r="CJ17" s="386">
        <f t="shared" si="37"/>
        <v>0</v>
      </c>
      <c r="CK17" s="386">
        <f t="shared" si="37"/>
        <v>0</v>
      </c>
      <c r="CL17" s="386">
        <f t="shared" si="37"/>
        <v>0</v>
      </c>
      <c r="CM17" s="386">
        <f t="shared" si="37"/>
        <v>0</v>
      </c>
      <c r="CN17" s="386">
        <f t="shared" si="37"/>
        <v>0</v>
      </c>
      <c r="CO17" s="386">
        <f t="shared" si="37"/>
        <v>0</v>
      </c>
      <c r="CP17" s="386">
        <f t="shared" si="37"/>
        <v>0</v>
      </c>
      <c r="CQ17" s="386">
        <f t="shared" si="37"/>
        <v>0</v>
      </c>
      <c r="CR17" s="386">
        <f t="shared" si="37"/>
        <v>0</v>
      </c>
      <c r="CS17" s="386">
        <f t="shared" si="37"/>
        <v>0</v>
      </c>
      <c r="CT17" s="386">
        <f t="shared" si="37"/>
        <v>0</v>
      </c>
      <c r="CU17" s="386">
        <f t="shared" si="37"/>
        <v>0</v>
      </c>
      <c r="CV17" s="386">
        <f t="shared" si="37"/>
        <v>0</v>
      </c>
      <c r="CW17" s="386">
        <f t="shared" si="37"/>
        <v>0</v>
      </c>
      <c r="CX17" s="289">
        <f t="shared" si="37"/>
        <v>0</v>
      </c>
      <c r="CY17" s="386">
        <f t="shared" si="37"/>
        <v>0</v>
      </c>
      <c r="CZ17" s="386">
        <f t="shared" si="37"/>
        <v>0</v>
      </c>
      <c r="DA17" s="386">
        <f t="shared" si="37"/>
        <v>0</v>
      </c>
      <c r="DB17" s="386">
        <f t="shared" si="37"/>
        <v>0</v>
      </c>
      <c r="DC17" s="386">
        <f t="shared" si="37"/>
        <v>0</v>
      </c>
      <c r="DD17" s="386">
        <f t="shared" si="37"/>
        <v>0</v>
      </c>
      <c r="DE17" s="386">
        <f t="shared" si="37"/>
        <v>0</v>
      </c>
      <c r="DF17" s="386">
        <f t="shared" si="37"/>
        <v>0</v>
      </c>
      <c r="DG17" s="386">
        <f t="shared" si="37"/>
        <v>0</v>
      </c>
      <c r="DH17" s="386">
        <f t="shared" si="37"/>
        <v>0</v>
      </c>
      <c r="DI17" s="386">
        <f t="shared" si="37"/>
        <v>0</v>
      </c>
      <c r="DJ17" s="386">
        <f t="shared" si="37"/>
        <v>0</v>
      </c>
      <c r="DK17" s="386">
        <f t="shared" si="37"/>
        <v>0</v>
      </c>
      <c r="DL17" s="386">
        <f t="shared" si="37"/>
        <v>0</v>
      </c>
      <c r="DM17" s="386">
        <f t="shared" si="37"/>
        <v>0</v>
      </c>
      <c r="DN17" s="386">
        <f t="shared" si="37"/>
        <v>0</v>
      </c>
      <c r="DO17" s="386">
        <f t="shared" si="37"/>
        <v>0</v>
      </c>
      <c r="DP17" s="386">
        <f t="shared" si="37"/>
        <v>0</v>
      </c>
      <c r="DQ17" s="386">
        <f t="shared" si="37"/>
        <v>0</v>
      </c>
      <c r="DR17" s="386">
        <f t="shared" si="37"/>
        <v>0</v>
      </c>
      <c r="DS17" s="386">
        <f t="shared" si="37"/>
        <v>0</v>
      </c>
      <c r="DT17" s="386">
        <f t="shared" si="37"/>
        <v>0</v>
      </c>
      <c r="DU17" s="386">
        <f t="shared" si="37"/>
        <v>0</v>
      </c>
      <c r="DV17" s="386">
        <f t="shared" si="37"/>
        <v>0</v>
      </c>
      <c r="DW17" s="289">
        <f t="shared" si="37"/>
        <v>0</v>
      </c>
      <c r="DX17" s="289">
        <f t="shared" si="37"/>
        <v>0</v>
      </c>
    </row>
    <row r="18" spans="1:196" ht="13.5" customHeight="1" collapsed="1" thickBot="1">
      <c r="C18" s="390" t="s">
        <v>184</v>
      </c>
      <c r="H18" s="261" t="s">
        <v>184</v>
      </c>
      <c r="I18" s="371">
        <f>I23-I22</f>
        <v>-2560615</v>
      </c>
      <c r="K18" s="330" t="s">
        <v>151</v>
      </c>
      <c r="L18" s="331"/>
      <c r="M18" s="331"/>
      <c r="N18" s="339"/>
      <c r="O18" s="339"/>
      <c r="P18" s="339"/>
      <c r="Q18" s="339"/>
      <c r="R18" s="330" t="s">
        <v>151</v>
      </c>
      <c r="S18" s="376">
        <f t="shared" ref="S18:AW18" si="39">S16+S17</f>
        <v>25695</v>
      </c>
      <c r="T18" s="384">
        <f>T16+T17</f>
        <v>25695</v>
      </c>
      <c r="U18" s="384">
        <f t="shared" si="39"/>
        <v>25695</v>
      </c>
      <c r="V18" s="384">
        <f t="shared" si="39"/>
        <v>25695</v>
      </c>
      <c r="W18" s="384">
        <f t="shared" si="39"/>
        <v>25695</v>
      </c>
      <c r="X18" s="384">
        <f t="shared" si="39"/>
        <v>25695</v>
      </c>
      <c r="Y18" s="384">
        <f t="shared" si="39"/>
        <v>25695</v>
      </c>
      <c r="Z18" s="384">
        <f t="shared" si="39"/>
        <v>25695</v>
      </c>
      <c r="AA18" s="384">
        <f>AA16+AA17</f>
        <v>26776</v>
      </c>
      <c r="AB18" s="384">
        <f t="shared" si="39"/>
        <v>26776</v>
      </c>
      <c r="AC18" s="384">
        <f t="shared" si="39"/>
        <v>26776</v>
      </c>
      <c r="AD18" s="384">
        <f t="shared" si="39"/>
        <v>26776</v>
      </c>
      <c r="AE18" s="384">
        <f t="shared" si="39"/>
        <v>25695</v>
      </c>
      <c r="AF18" s="384">
        <f t="shared" si="39"/>
        <v>25695</v>
      </c>
      <c r="AG18" s="384">
        <f t="shared" si="39"/>
        <v>25695</v>
      </c>
      <c r="AH18" s="384">
        <f t="shared" si="39"/>
        <v>25695</v>
      </c>
      <c r="AI18" s="384">
        <f t="shared" si="39"/>
        <v>25695</v>
      </c>
      <c r="AJ18" s="384">
        <f t="shared" si="39"/>
        <v>25695</v>
      </c>
      <c r="AK18" s="384">
        <f t="shared" si="39"/>
        <v>25695</v>
      </c>
      <c r="AL18" s="391">
        <f t="shared" si="39"/>
        <v>26578</v>
      </c>
      <c r="AM18" s="384">
        <f t="shared" si="39"/>
        <v>27342</v>
      </c>
      <c r="AN18" s="384">
        <f t="shared" si="39"/>
        <v>27342</v>
      </c>
      <c r="AO18" s="391">
        <f t="shared" ref="AO18:AU18" si="40">AO16+AO17</f>
        <v>23314</v>
      </c>
      <c r="AP18" s="384">
        <f t="shared" si="40"/>
        <v>23314</v>
      </c>
      <c r="AQ18" s="384">
        <f t="shared" si="40"/>
        <v>23314</v>
      </c>
      <c r="AR18" s="384">
        <f t="shared" si="40"/>
        <v>23314</v>
      </c>
      <c r="AS18" s="384">
        <f t="shared" si="40"/>
        <v>23314</v>
      </c>
      <c r="AT18" s="384">
        <f t="shared" si="40"/>
        <v>23314</v>
      </c>
      <c r="AU18" s="384">
        <f t="shared" si="40"/>
        <v>23314</v>
      </c>
      <c r="AV18" s="384">
        <f t="shared" si="39"/>
        <v>24044</v>
      </c>
      <c r="AW18" s="414">
        <f t="shared" si="39"/>
        <v>24044</v>
      </c>
      <c r="AX18" s="414">
        <f t="shared" ref="AX18:AY18" si="41">AX16+AX17</f>
        <v>24044</v>
      </c>
      <c r="AY18" s="414">
        <f t="shared" si="41"/>
        <v>24044</v>
      </c>
      <c r="AZ18" s="414">
        <f t="shared" ref="AZ18:BB18" si="42">AZ16+AZ17</f>
        <v>24044</v>
      </c>
      <c r="BA18" s="414">
        <f t="shared" si="42"/>
        <v>24044</v>
      </c>
      <c r="BB18" s="448">
        <f t="shared" si="42"/>
        <v>18217</v>
      </c>
      <c r="BC18" s="384">
        <f t="shared" ref="BC18:BD18" si="43">BC16+BC17</f>
        <v>18217</v>
      </c>
      <c r="BD18" s="384">
        <f t="shared" si="43"/>
        <v>36045</v>
      </c>
      <c r="BE18" s="384">
        <f t="shared" ref="BE18:BF18" si="44">BE16+BE17</f>
        <v>36045</v>
      </c>
      <c r="BF18" s="384">
        <f t="shared" si="44"/>
        <v>89163</v>
      </c>
      <c r="BG18" s="384">
        <f t="shared" ref="BG18:BH18" si="45">BG16+BG17</f>
        <v>89163</v>
      </c>
      <c r="BH18" s="384">
        <f t="shared" si="45"/>
        <v>89163</v>
      </c>
      <c r="BI18" s="384">
        <f t="shared" ref="BI18:BJ18" si="46">BI16+BI17</f>
        <v>89163</v>
      </c>
      <c r="BJ18" s="384">
        <f t="shared" si="46"/>
        <v>89163</v>
      </c>
      <c r="BK18" s="384">
        <f t="shared" ref="BK18:BL18" si="47">BK16+BK17</f>
        <v>89163</v>
      </c>
      <c r="BL18" s="379">
        <f t="shared" si="47"/>
        <v>89163</v>
      </c>
      <c r="BM18" s="379">
        <f t="shared" ref="BM18:BN18" si="48">BM16+BM17</f>
        <v>89163</v>
      </c>
      <c r="BN18" s="379">
        <f t="shared" si="48"/>
        <v>89163</v>
      </c>
      <c r="BO18" s="379">
        <f t="shared" ref="BO18:BP18" si="49">BO16+BO17</f>
        <v>89163</v>
      </c>
      <c r="BP18" s="379">
        <f t="shared" si="49"/>
        <v>89163</v>
      </c>
      <c r="BQ18" s="379">
        <f t="shared" ref="BQ18:BS18" si="50">BQ16+BQ17</f>
        <v>89163</v>
      </c>
      <c r="BR18" s="379">
        <f t="shared" si="50"/>
        <v>89163</v>
      </c>
      <c r="BS18" s="379">
        <f t="shared" si="50"/>
        <v>89163</v>
      </c>
      <c r="BT18" s="379">
        <f t="shared" ref="BT18:BV18" si="51">BT16+BT17</f>
        <v>89163</v>
      </c>
      <c r="BU18" s="379">
        <f t="shared" si="51"/>
        <v>36045</v>
      </c>
      <c r="BV18" s="379">
        <f t="shared" si="51"/>
        <v>36045</v>
      </c>
      <c r="BW18" s="379">
        <f t="shared" ref="BW18:BX18" si="52">BW16+BW17</f>
        <v>36045</v>
      </c>
      <c r="BX18" s="379">
        <f t="shared" si="52"/>
        <v>36045</v>
      </c>
      <c r="BY18" s="379">
        <f t="shared" ref="BY18:BZ18" si="53">BY16+BY17</f>
        <v>36045</v>
      </c>
      <c r="BZ18" s="379">
        <f t="shared" si="53"/>
        <v>36045</v>
      </c>
      <c r="CA18" s="379">
        <f>CA16+CA17</f>
        <v>36045</v>
      </c>
      <c r="CB18" s="379">
        <f t="shared" ref="CB18" si="54">CB16+CB17</f>
        <v>36045</v>
      </c>
      <c r="CC18" s="379">
        <f t="shared" ref="CC18:CH18" si="55">CC16+CC17</f>
        <v>36045</v>
      </c>
      <c r="CD18" s="379">
        <f t="shared" si="55"/>
        <v>36045</v>
      </c>
      <c r="CE18" s="379">
        <f t="shared" si="55"/>
        <v>36045</v>
      </c>
      <c r="CF18" s="379">
        <f t="shared" si="55"/>
        <v>36045</v>
      </c>
      <c r="CG18" s="379">
        <f t="shared" si="55"/>
        <v>36681</v>
      </c>
      <c r="CH18" s="379">
        <f t="shared" si="55"/>
        <v>36681</v>
      </c>
      <c r="CI18" s="379">
        <f t="shared" ref="CI18:CK18" si="56">CI16+CI17</f>
        <v>36681</v>
      </c>
      <c r="CJ18" s="384">
        <f t="shared" si="56"/>
        <v>36681</v>
      </c>
      <c r="CK18" s="384">
        <f t="shared" si="56"/>
        <v>36681</v>
      </c>
      <c r="CL18" s="384">
        <f t="shared" ref="CL18:CM18" si="57">CL16+CL17</f>
        <v>36681</v>
      </c>
      <c r="CM18" s="384">
        <f t="shared" si="57"/>
        <v>36681</v>
      </c>
      <c r="CN18" s="384">
        <f t="shared" ref="CN18:CO18" si="58">CN16+CN17</f>
        <v>36681</v>
      </c>
      <c r="CO18" s="384">
        <f t="shared" si="58"/>
        <v>36681</v>
      </c>
      <c r="CP18" s="384">
        <f t="shared" ref="CP18:CT18" si="59">CP16+CP17</f>
        <v>36681</v>
      </c>
      <c r="CQ18" s="384">
        <f t="shared" si="59"/>
        <v>36681</v>
      </c>
      <c r="CR18" s="384">
        <f t="shared" si="59"/>
        <v>36681</v>
      </c>
      <c r="CS18" s="384">
        <f t="shared" si="59"/>
        <v>36681</v>
      </c>
      <c r="CT18" s="384">
        <f t="shared" si="59"/>
        <v>36681</v>
      </c>
      <c r="CU18" s="384">
        <f t="shared" ref="CU18:CW18" si="60">CU16+CU17</f>
        <v>36681</v>
      </c>
      <c r="CV18" s="384">
        <f t="shared" si="60"/>
        <v>36681</v>
      </c>
      <c r="CW18" s="384">
        <f t="shared" si="60"/>
        <v>36681</v>
      </c>
      <c r="CX18" s="384">
        <f t="shared" ref="CX18:CZ18" si="61">CX16+CX17</f>
        <v>36681</v>
      </c>
      <c r="CY18" s="384">
        <f t="shared" si="61"/>
        <v>36681</v>
      </c>
      <c r="CZ18" s="384">
        <f t="shared" si="61"/>
        <v>36681</v>
      </c>
      <c r="DA18" s="384">
        <f t="shared" ref="DA18:DF18" si="62">DA16+DA17</f>
        <v>36681</v>
      </c>
      <c r="DB18" s="384">
        <f t="shared" si="62"/>
        <v>36681</v>
      </c>
      <c r="DC18" s="384">
        <f t="shared" si="62"/>
        <v>36681</v>
      </c>
      <c r="DD18" s="384">
        <f t="shared" si="62"/>
        <v>36681</v>
      </c>
      <c r="DE18" s="384">
        <f t="shared" si="62"/>
        <v>36681</v>
      </c>
      <c r="DF18" s="384">
        <f t="shared" si="62"/>
        <v>36681</v>
      </c>
      <c r="DG18" s="384">
        <f t="shared" ref="DG18:DH18" si="63">DG16+DG17</f>
        <v>36681</v>
      </c>
      <c r="DH18" s="384">
        <f t="shared" si="63"/>
        <v>36681</v>
      </c>
      <c r="DI18" s="384">
        <f t="shared" ref="DI18:DK18" si="64">DI16+DI17</f>
        <v>36681</v>
      </c>
      <c r="DJ18" s="384">
        <f t="shared" si="64"/>
        <v>36681</v>
      </c>
      <c r="DK18" s="384">
        <f t="shared" si="64"/>
        <v>36681</v>
      </c>
      <c r="DL18" s="384">
        <f t="shared" ref="DL18:DN18" si="65">DL16+DL17</f>
        <v>36681</v>
      </c>
      <c r="DM18" s="384">
        <f t="shared" si="65"/>
        <v>36681</v>
      </c>
      <c r="DN18" s="384">
        <f t="shared" si="65"/>
        <v>36681</v>
      </c>
      <c r="DO18" s="384">
        <f t="shared" ref="DO18:DR18" si="66">DO16+DO17</f>
        <v>36681</v>
      </c>
      <c r="DP18" s="384">
        <f t="shared" si="66"/>
        <v>36681</v>
      </c>
      <c r="DQ18" s="384">
        <f t="shared" si="66"/>
        <v>36681</v>
      </c>
      <c r="DR18" s="384">
        <f t="shared" si="66"/>
        <v>36681</v>
      </c>
      <c r="DS18" s="384">
        <f t="shared" ref="DS18:DU18" si="67">DS16+DS17</f>
        <v>36681</v>
      </c>
      <c r="DT18" s="384">
        <f t="shared" si="67"/>
        <v>36681</v>
      </c>
      <c r="DU18" s="384">
        <f t="shared" si="67"/>
        <v>36681</v>
      </c>
      <c r="DV18" s="384">
        <f t="shared" ref="DV18:DX18" si="68">DV16+DV17</f>
        <v>36681</v>
      </c>
      <c r="DW18" s="379">
        <f t="shared" si="68"/>
        <v>36681</v>
      </c>
      <c r="DX18" s="379">
        <f t="shared" si="68"/>
        <v>36681</v>
      </c>
      <c r="DY18" s="331">
        <f t="shared" ref="DY18:EL18" si="69">DY16+DY17</f>
        <v>0</v>
      </c>
      <c r="DZ18" s="331">
        <f t="shared" si="69"/>
        <v>0</v>
      </c>
      <c r="EA18" s="331">
        <f t="shared" si="69"/>
        <v>0</v>
      </c>
      <c r="EB18" s="331">
        <f t="shared" si="69"/>
        <v>0</v>
      </c>
      <c r="EC18" s="331">
        <f t="shared" si="69"/>
        <v>0</v>
      </c>
      <c r="ED18" s="331">
        <f t="shared" si="69"/>
        <v>0</v>
      </c>
      <c r="EE18" s="331">
        <f t="shared" si="69"/>
        <v>0</v>
      </c>
      <c r="EF18" s="331">
        <f t="shared" si="69"/>
        <v>0</v>
      </c>
      <c r="EG18" s="331">
        <f t="shared" si="69"/>
        <v>0</v>
      </c>
      <c r="EH18" s="331">
        <f t="shared" si="69"/>
        <v>0</v>
      </c>
      <c r="EI18" s="331">
        <f t="shared" si="69"/>
        <v>0</v>
      </c>
      <c r="EJ18" s="331">
        <f t="shared" si="69"/>
        <v>0</v>
      </c>
      <c r="EK18" s="331">
        <f t="shared" si="69"/>
        <v>0</v>
      </c>
      <c r="EL18" s="331">
        <f t="shared" si="69"/>
        <v>0</v>
      </c>
      <c r="EM18" s="331">
        <f t="shared" ref="EM18:FR18" si="70">EM16+EM17</f>
        <v>0</v>
      </c>
      <c r="EN18" s="331">
        <f t="shared" si="70"/>
        <v>0</v>
      </c>
      <c r="EO18" s="331">
        <f t="shared" si="70"/>
        <v>0</v>
      </c>
      <c r="EP18" s="331">
        <f t="shared" si="70"/>
        <v>0</v>
      </c>
      <c r="EQ18" s="331">
        <f t="shared" si="70"/>
        <v>0</v>
      </c>
      <c r="ER18" s="331">
        <f t="shared" si="70"/>
        <v>0</v>
      </c>
      <c r="ES18" s="331">
        <f t="shared" si="70"/>
        <v>0</v>
      </c>
      <c r="ET18" s="331">
        <f t="shared" si="70"/>
        <v>0</v>
      </c>
      <c r="EU18" s="331">
        <f t="shared" si="70"/>
        <v>0</v>
      </c>
      <c r="EV18" s="331">
        <f t="shared" si="70"/>
        <v>0</v>
      </c>
      <c r="EW18" s="331">
        <f t="shared" si="70"/>
        <v>0</v>
      </c>
      <c r="EX18" s="331">
        <f t="shared" si="70"/>
        <v>0</v>
      </c>
      <c r="EY18" s="331">
        <f t="shared" si="70"/>
        <v>0</v>
      </c>
      <c r="EZ18" s="331">
        <f t="shared" si="70"/>
        <v>0</v>
      </c>
      <c r="FA18" s="331">
        <f t="shared" si="70"/>
        <v>0</v>
      </c>
      <c r="FB18" s="331">
        <f t="shared" si="70"/>
        <v>0</v>
      </c>
      <c r="FC18" s="331">
        <f t="shared" si="70"/>
        <v>0</v>
      </c>
      <c r="FD18" s="331">
        <f t="shared" si="70"/>
        <v>0</v>
      </c>
      <c r="FE18" s="331">
        <f t="shared" si="70"/>
        <v>0</v>
      </c>
      <c r="FF18" s="331">
        <f t="shared" si="70"/>
        <v>0</v>
      </c>
      <c r="FG18" s="331">
        <f t="shared" si="70"/>
        <v>0</v>
      </c>
      <c r="FH18" s="331">
        <f t="shared" si="70"/>
        <v>0</v>
      </c>
      <c r="FI18" s="331">
        <f t="shared" si="70"/>
        <v>0</v>
      </c>
      <c r="FJ18" s="331">
        <f t="shared" si="70"/>
        <v>0</v>
      </c>
      <c r="FK18" s="331">
        <f t="shared" si="70"/>
        <v>0</v>
      </c>
      <c r="FL18" s="331">
        <f t="shared" si="70"/>
        <v>0</v>
      </c>
      <c r="FM18" s="331">
        <f t="shared" si="70"/>
        <v>0</v>
      </c>
      <c r="FN18" s="331">
        <f t="shared" si="70"/>
        <v>0</v>
      </c>
      <c r="FO18" s="331">
        <f t="shared" si="70"/>
        <v>0</v>
      </c>
      <c r="FP18" s="331">
        <f t="shared" si="70"/>
        <v>0</v>
      </c>
      <c r="FQ18" s="331">
        <f t="shared" si="70"/>
        <v>0</v>
      </c>
      <c r="FR18" s="331">
        <f t="shared" si="70"/>
        <v>0</v>
      </c>
      <c r="FS18" s="331">
        <f t="shared" ref="FS18:GN18" si="71">FS16+FS17</f>
        <v>0</v>
      </c>
      <c r="FT18" s="331">
        <f t="shared" si="71"/>
        <v>0</v>
      </c>
      <c r="FU18" s="331">
        <f t="shared" si="71"/>
        <v>0</v>
      </c>
      <c r="FV18" s="331">
        <f t="shared" si="71"/>
        <v>0</v>
      </c>
      <c r="FW18" s="331">
        <f t="shared" si="71"/>
        <v>0</v>
      </c>
      <c r="FX18" s="331">
        <f t="shared" si="71"/>
        <v>0</v>
      </c>
      <c r="FY18" s="331">
        <f t="shared" si="71"/>
        <v>0</v>
      </c>
      <c r="FZ18" s="331">
        <f t="shared" si="71"/>
        <v>0</v>
      </c>
      <c r="GA18" s="331">
        <f t="shared" si="71"/>
        <v>0</v>
      </c>
      <c r="GB18" s="331">
        <f t="shared" si="71"/>
        <v>0</v>
      </c>
      <c r="GC18" s="331">
        <f t="shared" si="71"/>
        <v>0</v>
      </c>
      <c r="GD18" s="331">
        <f t="shared" si="71"/>
        <v>0</v>
      </c>
      <c r="GE18" s="331">
        <f t="shared" si="71"/>
        <v>0</v>
      </c>
      <c r="GF18" s="331">
        <f t="shared" si="71"/>
        <v>0</v>
      </c>
      <c r="GG18" s="331">
        <f t="shared" si="71"/>
        <v>0</v>
      </c>
      <c r="GH18" s="331">
        <f t="shared" si="71"/>
        <v>0</v>
      </c>
      <c r="GI18" s="331">
        <f t="shared" si="71"/>
        <v>0</v>
      </c>
      <c r="GJ18" s="331">
        <f t="shared" si="71"/>
        <v>0</v>
      </c>
      <c r="GK18" s="331">
        <f t="shared" si="71"/>
        <v>0</v>
      </c>
      <c r="GL18" s="331">
        <f t="shared" si="71"/>
        <v>0</v>
      </c>
      <c r="GM18" s="331">
        <f t="shared" si="71"/>
        <v>0</v>
      </c>
      <c r="GN18" s="331">
        <f t="shared" si="71"/>
        <v>0</v>
      </c>
    </row>
    <row r="19" spans="1:196" ht="13.5" hidden="1" customHeight="1" thickBot="1">
      <c r="A19" s="305" t="s">
        <v>135</v>
      </c>
      <c r="B19" s="305" t="s">
        <v>136</v>
      </c>
      <c r="C19" s="305" t="s">
        <v>153</v>
      </c>
      <c r="D19" s="265">
        <v>5</v>
      </c>
      <c r="E19" s="306"/>
      <c r="F19" s="307"/>
      <c r="G19" s="307"/>
      <c r="H19" s="308" t="s">
        <v>152</v>
      </c>
      <c r="I19" s="324">
        <v>0</v>
      </c>
      <c r="J19" s="305" t="s">
        <v>194</v>
      </c>
      <c r="K19" s="330" t="s">
        <v>149</v>
      </c>
      <c r="L19" s="327">
        <v>4203</v>
      </c>
      <c r="M19" s="327">
        <f>L19</f>
        <v>4203</v>
      </c>
      <c r="N19" s="327">
        <v>4203</v>
      </c>
      <c r="O19" s="327">
        <v>4203</v>
      </c>
      <c r="P19" s="327">
        <v>4203</v>
      </c>
      <c r="Q19" s="357">
        <v>4203</v>
      </c>
      <c r="R19" s="357">
        <v>4203</v>
      </c>
      <c r="S19" s="378">
        <v>4203</v>
      </c>
      <c r="T19" s="385">
        <v>4203</v>
      </c>
      <c r="U19" s="385">
        <v>4203</v>
      </c>
      <c r="V19" s="385">
        <v>4203</v>
      </c>
      <c r="W19" s="385">
        <v>4203</v>
      </c>
      <c r="X19" s="385">
        <v>4203</v>
      </c>
      <c r="Y19" s="385">
        <v>4203</v>
      </c>
      <c r="Z19" s="385">
        <v>4203</v>
      </c>
      <c r="AA19" s="385">
        <v>4203</v>
      </c>
      <c r="AB19" s="385">
        <v>4203</v>
      </c>
      <c r="AC19" s="385">
        <v>4203</v>
      </c>
      <c r="AD19" s="385">
        <v>4203</v>
      </c>
      <c r="AE19" s="385">
        <v>4203</v>
      </c>
      <c r="AF19" s="385">
        <v>4203</v>
      </c>
      <c r="AG19" s="385">
        <v>4403</v>
      </c>
      <c r="AH19" s="385">
        <v>4303</v>
      </c>
      <c r="AI19" s="385">
        <f t="shared" ref="AI19:AN20" si="72">AH19</f>
        <v>4303</v>
      </c>
      <c r="AJ19" s="385">
        <f t="shared" si="72"/>
        <v>4303</v>
      </c>
      <c r="AK19" s="385">
        <f t="shared" si="72"/>
        <v>4303</v>
      </c>
      <c r="AL19" s="385">
        <f>AK19</f>
        <v>4303</v>
      </c>
      <c r="AM19" s="385">
        <f>AL19</f>
        <v>4303</v>
      </c>
      <c r="AN19" s="385">
        <f>AM19</f>
        <v>4303</v>
      </c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380"/>
      <c r="CY19" s="380"/>
      <c r="CZ19" s="380"/>
      <c r="DA19" s="380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27"/>
      <c r="DZ19" s="328"/>
      <c r="EA19" s="327"/>
      <c r="EB19" s="328"/>
      <c r="EC19" s="327"/>
      <c r="ED19" s="328"/>
      <c r="EE19" s="327"/>
      <c r="EF19" s="328"/>
      <c r="EG19" s="327"/>
      <c r="EH19" s="389"/>
      <c r="EI19" s="327"/>
      <c r="EJ19" s="328"/>
      <c r="EK19" s="327"/>
      <c r="EL19" s="328"/>
      <c r="EM19" s="327"/>
      <c r="EN19" s="328"/>
      <c r="EO19" s="327"/>
      <c r="EP19" s="328"/>
      <c r="EQ19" s="327"/>
      <c r="ER19" s="328"/>
      <c r="ES19" s="327"/>
      <c r="ET19" s="328"/>
      <c r="EU19" s="327"/>
      <c r="EV19" s="328"/>
      <c r="EW19" s="327"/>
      <c r="EX19" s="328"/>
      <c r="EY19" s="327"/>
      <c r="EZ19" s="328"/>
      <c r="FA19" s="327"/>
      <c r="FB19" s="389"/>
      <c r="FC19" s="327"/>
      <c r="FD19" s="328"/>
      <c r="FE19" s="327"/>
      <c r="FF19" s="328"/>
      <c r="FG19" s="327"/>
      <c r="FH19" s="328"/>
      <c r="FI19" s="327"/>
      <c r="FJ19" s="328"/>
      <c r="FK19" s="327"/>
      <c r="FL19" s="328"/>
      <c r="FM19" s="327"/>
      <c r="FN19" s="328"/>
      <c r="FO19" s="328"/>
      <c r="FP19" s="328"/>
      <c r="FQ19" s="328"/>
      <c r="FR19" s="328"/>
      <c r="FS19" s="328"/>
      <c r="FT19" s="328"/>
      <c r="FU19" s="328"/>
      <c r="FV19" s="328"/>
      <c r="FW19" s="328"/>
      <c r="FX19" s="328"/>
      <c r="FY19" s="328"/>
      <c r="FZ19" s="328"/>
    </row>
    <row r="20" spans="1:196" ht="13.5" hidden="1" customHeight="1">
      <c r="I20" s="332" t="s">
        <v>195</v>
      </c>
      <c r="J20" s="336">
        <f>SUM(L20:DF20)</f>
        <v>89691</v>
      </c>
      <c r="K20" s="330" t="s">
        <v>150</v>
      </c>
      <c r="L20" s="279">
        <f>4178+45</f>
        <v>4223</v>
      </c>
      <c r="M20" s="279">
        <f>L20</f>
        <v>4223</v>
      </c>
      <c r="N20" s="279">
        <v>4223</v>
      </c>
      <c r="O20" s="279">
        <f>4223-426</f>
        <v>3797</v>
      </c>
      <c r="P20" s="279">
        <v>3797</v>
      </c>
      <c r="Q20" s="330">
        <f>P20</f>
        <v>3797</v>
      </c>
      <c r="R20" s="330">
        <v>1897</v>
      </c>
      <c r="S20" s="375">
        <v>2897</v>
      </c>
      <c r="T20" s="386">
        <v>2897</v>
      </c>
      <c r="U20" s="386">
        <v>2897</v>
      </c>
      <c r="V20" s="386">
        <v>2897</v>
      </c>
      <c r="W20" s="386">
        <v>2897</v>
      </c>
      <c r="X20" s="386">
        <v>2897</v>
      </c>
      <c r="Y20" s="386">
        <v>2897</v>
      </c>
      <c r="Z20" s="386">
        <v>2897</v>
      </c>
      <c r="AA20" s="386">
        <v>2897</v>
      </c>
      <c r="AB20" s="386">
        <v>2897</v>
      </c>
      <c r="AC20" s="386">
        <v>2897</v>
      </c>
      <c r="AD20" s="386">
        <v>2897</v>
      </c>
      <c r="AE20" s="386">
        <v>2897</v>
      </c>
      <c r="AF20" s="386">
        <v>2897</v>
      </c>
      <c r="AG20" s="386">
        <v>2897</v>
      </c>
      <c r="AH20" s="386">
        <v>2897</v>
      </c>
      <c r="AI20" s="386">
        <f t="shared" si="72"/>
        <v>2897</v>
      </c>
      <c r="AJ20" s="386">
        <f t="shared" si="72"/>
        <v>2897</v>
      </c>
      <c r="AK20" s="386">
        <f t="shared" si="72"/>
        <v>2897</v>
      </c>
      <c r="AL20" s="386">
        <f t="shared" si="72"/>
        <v>2897</v>
      </c>
      <c r="AM20" s="386">
        <f t="shared" si="72"/>
        <v>2897</v>
      </c>
      <c r="AN20" s="386">
        <f t="shared" si="72"/>
        <v>2897</v>
      </c>
      <c r="AO20" s="289"/>
      <c r="AP20" s="289"/>
      <c r="AQ20" s="289"/>
      <c r="AR20" s="289"/>
      <c r="AS20" s="289"/>
      <c r="AT20" s="289"/>
      <c r="AU20" s="289"/>
      <c r="AV20" s="289"/>
      <c r="AW20" s="289"/>
      <c r="AX20" s="289"/>
      <c r="AY20" s="289"/>
      <c r="AZ20" s="289"/>
      <c r="BA20" s="289"/>
      <c r="BB20" s="289"/>
      <c r="BC20" s="289"/>
      <c r="BD20" s="289"/>
      <c r="BE20" s="289"/>
      <c r="BF20" s="289"/>
      <c r="BG20" s="289"/>
      <c r="BH20" s="289"/>
      <c r="BI20" s="289"/>
      <c r="BJ20" s="289"/>
      <c r="BK20" s="289"/>
      <c r="BL20" s="289"/>
      <c r="BM20" s="289"/>
      <c r="BN20" s="289"/>
      <c r="BO20" s="289"/>
      <c r="BP20" s="289"/>
      <c r="BQ20" s="289"/>
      <c r="BR20" s="289"/>
      <c r="BS20" s="289"/>
      <c r="BT20" s="289"/>
      <c r="BU20" s="289"/>
      <c r="BV20" s="289"/>
      <c r="BW20" s="289"/>
      <c r="BX20" s="289"/>
      <c r="BY20" s="289"/>
      <c r="BZ20" s="289"/>
      <c r="CA20" s="289"/>
      <c r="CB20" s="289"/>
      <c r="CC20" s="289"/>
      <c r="CD20" s="289"/>
      <c r="CE20" s="289"/>
      <c r="CF20" s="289"/>
      <c r="CG20" s="289"/>
      <c r="CH20" s="289"/>
      <c r="CI20" s="289"/>
      <c r="CJ20" s="289"/>
      <c r="CK20" s="289"/>
      <c r="CL20" s="289"/>
      <c r="CM20" s="289"/>
      <c r="CN20" s="289"/>
      <c r="CO20" s="289"/>
      <c r="CP20" s="289"/>
      <c r="CQ20" s="289"/>
      <c r="CR20" s="289"/>
      <c r="CS20" s="289"/>
      <c r="CT20" s="289"/>
      <c r="CU20" s="289"/>
      <c r="CV20" s="289"/>
      <c r="CW20" s="289"/>
      <c r="CX20" s="289"/>
      <c r="CY20" s="289"/>
      <c r="CZ20" s="289"/>
      <c r="DA20" s="289"/>
      <c r="DB20" s="289"/>
      <c r="DC20" s="289"/>
      <c r="DD20" s="289"/>
      <c r="DE20" s="289"/>
      <c r="DF20" s="289"/>
      <c r="DG20" s="289"/>
      <c r="DH20" s="289"/>
      <c r="DI20" s="289"/>
      <c r="DJ20" s="289"/>
      <c r="DK20" s="289"/>
      <c r="DL20" s="289"/>
      <c r="DM20" s="289"/>
      <c r="DN20" s="289"/>
      <c r="DO20" s="289"/>
      <c r="DP20" s="289"/>
      <c r="DQ20" s="289"/>
      <c r="DR20" s="289"/>
      <c r="DS20" s="289"/>
      <c r="DT20" s="289"/>
      <c r="DU20" s="289"/>
      <c r="DV20" s="289"/>
      <c r="DW20" s="289"/>
      <c r="DX20" s="289"/>
    </row>
    <row r="21" spans="1:196" ht="13.5" hidden="1" customHeight="1" thickTop="1">
      <c r="K21" s="330" t="s">
        <v>151</v>
      </c>
      <c r="L21" s="331">
        <f>L19+L20</f>
        <v>8426</v>
      </c>
      <c r="M21" s="331">
        <f t="shared" ref="M21:BB21" si="73">M19+M20</f>
        <v>8426</v>
      </c>
      <c r="N21" s="339">
        <f t="shared" si="73"/>
        <v>8426</v>
      </c>
      <c r="O21" s="339">
        <f t="shared" si="73"/>
        <v>8000</v>
      </c>
      <c r="P21" s="339">
        <f t="shared" si="73"/>
        <v>8000</v>
      </c>
      <c r="Q21" s="339">
        <f t="shared" si="73"/>
        <v>8000</v>
      </c>
      <c r="R21" s="339">
        <f t="shared" si="73"/>
        <v>6100</v>
      </c>
      <c r="S21" s="376">
        <f t="shared" si="73"/>
        <v>7100</v>
      </c>
      <c r="T21" s="384">
        <f t="shared" si="73"/>
        <v>7100</v>
      </c>
      <c r="U21" s="384">
        <f t="shared" si="73"/>
        <v>7100</v>
      </c>
      <c r="V21" s="384">
        <v>8800</v>
      </c>
      <c r="W21" s="384">
        <f t="shared" si="73"/>
        <v>7100</v>
      </c>
      <c r="X21" s="384">
        <f t="shared" si="73"/>
        <v>7100</v>
      </c>
      <c r="Y21" s="384">
        <f t="shared" si="73"/>
        <v>7100</v>
      </c>
      <c r="Z21" s="384">
        <f t="shared" si="73"/>
        <v>7100</v>
      </c>
      <c r="AA21" s="384">
        <f>AA19+AA20</f>
        <v>7100</v>
      </c>
      <c r="AB21" s="384">
        <f t="shared" si="73"/>
        <v>7100</v>
      </c>
      <c r="AC21" s="384">
        <f t="shared" si="73"/>
        <v>7100</v>
      </c>
      <c r="AD21" s="384">
        <f t="shared" si="73"/>
        <v>7100</v>
      </c>
      <c r="AE21" s="391">
        <f t="shared" si="73"/>
        <v>7100</v>
      </c>
      <c r="AF21" s="384">
        <f t="shared" si="73"/>
        <v>7100</v>
      </c>
      <c r="AG21" s="384">
        <f t="shared" si="73"/>
        <v>7300</v>
      </c>
      <c r="AH21" s="384">
        <f t="shared" si="73"/>
        <v>7200</v>
      </c>
      <c r="AI21" s="384">
        <v>7400</v>
      </c>
      <c r="AJ21" s="384">
        <f t="shared" si="73"/>
        <v>7200</v>
      </c>
      <c r="AK21" s="384">
        <f t="shared" si="73"/>
        <v>7200</v>
      </c>
      <c r="AL21" s="384">
        <f t="shared" si="73"/>
        <v>7200</v>
      </c>
      <c r="AM21" s="384">
        <f>AM19+AM20</f>
        <v>7200</v>
      </c>
      <c r="AN21" s="384">
        <f>AN19+AN20</f>
        <v>7200</v>
      </c>
      <c r="AO21" s="379">
        <v>0</v>
      </c>
      <c r="AP21" s="379">
        <f t="shared" si="73"/>
        <v>0</v>
      </c>
      <c r="AQ21" s="379">
        <f t="shared" si="73"/>
        <v>0</v>
      </c>
      <c r="AR21" s="379">
        <f t="shared" si="73"/>
        <v>0</v>
      </c>
      <c r="AS21" s="379">
        <f t="shared" si="73"/>
        <v>0</v>
      </c>
      <c r="AT21" s="379">
        <f t="shared" si="73"/>
        <v>0</v>
      </c>
      <c r="AU21" s="379">
        <f t="shared" si="73"/>
        <v>0</v>
      </c>
      <c r="AV21" s="379">
        <f t="shared" si="73"/>
        <v>0</v>
      </c>
      <c r="AW21" s="379">
        <f t="shared" ref="AW21:AX21" si="74">AW19+AW20</f>
        <v>0</v>
      </c>
      <c r="AX21" s="379">
        <f t="shared" si="74"/>
        <v>0</v>
      </c>
      <c r="AY21" s="379">
        <f t="shared" si="73"/>
        <v>0</v>
      </c>
      <c r="AZ21" s="379">
        <f t="shared" si="73"/>
        <v>0</v>
      </c>
      <c r="BA21" s="379">
        <f t="shared" si="73"/>
        <v>0</v>
      </c>
      <c r="BB21" s="379">
        <f t="shared" si="73"/>
        <v>0</v>
      </c>
      <c r="BC21" s="379">
        <f t="shared" ref="BC21:BD21" si="75">BC19+BC20</f>
        <v>0</v>
      </c>
      <c r="BD21" s="379">
        <f t="shared" si="75"/>
        <v>0</v>
      </c>
      <c r="BE21" s="379">
        <f t="shared" ref="BE21:BF21" si="76">BE19+BE20</f>
        <v>0</v>
      </c>
      <c r="BF21" s="379">
        <f t="shared" si="76"/>
        <v>0</v>
      </c>
      <c r="BG21" s="379">
        <f t="shared" ref="BG21:BH21" si="77">BG19+BG20</f>
        <v>0</v>
      </c>
      <c r="BH21" s="379">
        <f t="shared" si="77"/>
        <v>0</v>
      </c>
      <c r="BI21" s="379">
        <f t="shared" ref="BI21:BJ21" si="78">BI19+BI20</f>
        <v>0</v>
      </c>
      <c r="BJ21" s="379">
        <f t="shared" si="78"/>
        <v>0</v>
      </c>
      <c r="BK21" s="379">
        <f t="shared" ref="BK21:BL21" si="79">BK19+BK20</f>
        <v>0</v>
      </c>
      <c r="BL21" s="379">
        <f t="shared" si="79"/>
        <v>0</v>
      </c>
      <c r="BM21" s="379">
        <f t="shared" ref="BM21:BN21" si="80">BM19+BM20</f>
        <v>0</v>
      </c>
      <c r="BN21" s="379">
        <f t="shared" si="80"/>
        <v>0</v>
      </c>
      <c r="BO21" s="379">
        <f t="shared" ref="BO21:BP21" si="81">BO19+BO20</f>
        <v>0</v>
      </c>
      <c r="BP21" s="379">
        <f t="shared" si="81"/>
        <v>0</v>
      </c>
      <c r="BQ21" s="379">
        <f t="shared" ref="BQ21:BS21" si="82">BQ19+BQ20</f>
        <v>0</v>
      </c>
      <c r="BR21" s="379">
        <f t="shared" si="82"/>
        <v>0</v>
      </c>
      <c r="BS21" s="379">
        <f t="shared" si="82"/>
        <v>0</v>
      </c>
      <c r="BT21" s="379">
        <f t="shared" ref="BT21:BV21" si="83">BT19+BT20</f>
        <v>0</v>
      </c>
      <c r="BU21" s="379">
        <f t="shared" si="83"/>
        <v>0</v>
      </c>
      <c r="BV21" s="379">
        <f t="shared" si="83"/>
        <v>0</v>
      </c>
      <c r="BW21" s="379">
        <f t="shared" ref="BW21:BX21" si="84">BW19+BW20</f>
        <v>0</v>
      </c>
      <c r="BX21" s="379">
        <f t="shared" si="84"/>
        <v>0</v>
      </c>
      <c r="BY21" s="379">
        <f t="shared" ref="BY21:BZ21" si="85">BY19+BY20</f>
        <v>0</v>
      </c>
      <c r="BZ21" s="379">
        <f t="shared" si="85"/>
        <v>0</v>
      </c>
      <c r="CA21" s="379">
        <f t="shared" ref="CA21:CB21" si="86">CA19+CA20</f>
        <v>0</v>
      </c>
      <c r="CB21" s="379">
        <f t="shared" si="86"/>
        <v>0</v>
      </c>
      <c r="CC21" s="379">
        <f t="shared" ref="CC21:CH21" si="87">CC19+CC20</f>
        <v>0</v>
      </c>
      <c r="CD21" s="379">
        <f t="shared" si="87"/>
        <v>0</v>
      </c>
      <c r="CE21" s="379">
        <f t="shared" si="87"/>
        <v>0</v>
      </c>
      <c r="CF21" s="379">
        <f t="shared" si="87"/>
        <v>0</v>
      </c>
      <c r="CG21" s="379">
        <f t="shared" si="87"/>
        <v>0</v>
      </c>
      <c r="CH21" s="379">
        <f t="shared" si="87"/>
        <v>0</v>
      </c>
      <c r="CI21" s="379">
        <f t="shared" ref="CI21:CK21" si="88">CI19+CI20</f>
        <v>0</v>
      </c>
      <c r="CJ21" s="379">
        <f t="shared" si="88"/>
        <v>0</v>
      </c>
      <c r="CK21" s="379">
        <f t="shared" si="88"/>
        <v>0</v>
      </c>
      <c r="CL21" s="379">
        <f t="shared" ref="CL21:CM21" si="89">CL19+CL20</f>
        <v>0</v>
      </c>
      <c r="CM21" s="379">
        <f t="shared" si="89"/>
        <v>0</v>
      </c>
      <c r="CN21" s="379">
        <f t="shared" ref="CN21:CO21" si="90">CN19+CN20</f>
        <v>0</v>
      </c>
      <c r="CO21" s="379">
        <f t="shared" si="90"/>
        <v>0</v>
      </c>
      <c r="CP21" s="379">
        <f t="shared" ref="CP21:CT21" si="91">CP19+CP20</f>
        <v>0</v>
      </c>
      <c r="CQ21" s="379">
        <f t="shared" si="91"/>
        <v>0</v>
      </c>
      <c r="CR21" s="379">
        <f t="shared" si="91"/>
        <v>0</v>
      </c>
      <c r="CS21" s="379">
        <f t="shared" si="91"/>
        <v>0</v>
      </c>
      <c r="CT21" s="379">
        <f t="shared" si="91"/>
        <v>0</v>
      </c>
      <c r="CU21" s="379">
        <f t="shared" ref="CU21:CW21" si="92">CU19+CU20</f>
        <v>0</v>
      </c>
      <c r="CV21" s="379">
        <f t="shared" si="92"/>
        <v>0</v>
      </c>
      <c r="CW21" s="379">
        <f t="shared" si="92"/>
        <v>0</v>
      </c>
      <c r="CX21" s="379">
        <f t="shared" ref="CX21:CZ21" si="93">CX19+CX20</f>
        <v>0</v>
      </c>
      <c r="CY21" s="379">
        <f t="shared" si="93"/>
        <v>0</v>
      </c>
      <c r="CZ21" s="379">
        <f t="shared" si="93"/>
        <v>0</v>
      </c>
      <c r="DA21" s="379">
        <f t="shared" ref="DA21:DF21" si="94">DA19+DA20</f>
        <v>0</v>
      </c>
      <c r="DB21" s="379">
        <f t="shared" si="94"/>
        <v>0</v>
      </c>
      <c r="DC21" s="379">
        <f t="shared" si="94"/>
        <v>0</v>
      </c>
      <c r="DD21" s="379">
        <f t="shared" si="94"/>
        <v>0</v>
      </c>
      <c r="DE21" s="379">
        <f t="shared" si="94"/>
        <v>0</v>
      </c>
      <c r="DF21" s="379">
        <f t="shared" si="94"/>
        <v>0</v>
      </c>
      <c r="DG21" s="379">
        <f t="shared" ref="DG21:DH21" si="95">DG19+DG20</f>
        <v>0</v>
      </c>
      <c r="DH21" s="379">
        <f t="shared" si="95"/>
        <v>0</v>
      </c>
      <c r="DI21" s="379">
        <f t="shared" ref="DI21:DK21" si="96">DI19+DI20</f>
        <v>0</v>
      </c>
      <c r="DJ21" s="379">
        <f t="shared" si="96"/>
        <v>0</v>
      </c>
      <c r="DK21" s="379">
        <f t="shared" si="96"/>
        <v>0</v>
      </c>
      <c r="DL21" s="379">
        <f t="shared" ref="DL21:DN21" si="97">DL19+DL20</f>
        <v>0</v>
      </c>
      <c r="DM21" s="379">
        <f t="shared" si="97"/>
        <v>0</v>
      </c>
      <c r="DN21" s="379">
        <f t="shared" si="97"/>
        <v>0</v>
      </c>
      <c r="DO21" s="379">
        <f t="shared" ref="DO21:DR21" si="98">DO19+DO20</f>
        <v>0</v>
      </c>
      <c r="DP21" s="379">
        <f t="shared" si="98"/>
        <v>0</v>
      </c>
      <c r="DQ21" s="379">
        <f t="shared" si="98"/>
        <v>0</v>
      </c>
      <c r="DR21" s="379">
        <f t="shared" si="98"/>
        <v>0</v>
      </c>
      <c r="DS21" s="379">
        <f t="shared" ref="DS21:DU21" si="99">DS19+DS20</f>
        <v>0</v>
      </c>
      <c r="DT21" s="379">
        <f t="shared" si="99"/>
        <v>0</v>
      </c>
      <c r="DU21" s="379">
        <f t="shared" si="99"/>
        <v>0</v>
      </c>
      <c r="DV21" s="379">
        <f t="shared" ref="DV21:DX21" si="100">DV19+DV20</f>
        <v>0</v>
      </c>
      <c r="DW21" s="379">
        <f t="shared" si="100"/>
        <v>0</v>
      </c>
      <c r="DX21" s="379">
        <f t="shared" si="100"/>
        <v>0</v>
      </c>
    </row>
    <row r="22" spans="1:196" ht="13.5" customHeight="1" thickTop="1" thickBot="1">
      <c r="C22" s="390" t="s">
        <v>182</v>
      </c>
      <c r="H22" s="261" t="s">
        <v>182</v>
      </c>
      <c r="I22" s="370">
        <f>SUM(I13:I16)</f>
        <v>3493793</v>
      </c>
      <c r="J22" s="279" t="s">
        <v>121</v>
      </c>
      <c r="K22" s="295">
        <v>916287</v>
      </c>
      <c r="L22" s="295">
        <v>2371767</v>
      </c>
      <c r="M22" s="295">
        <v>2401805</v>
      </c>
      <c r="N22" s="295">
        <v>2387243</v>
      </c>
      <c r="O22" s="295">
        <v>2088535</v>
      </c>
      <c r="P22" s="295">
        <v>2181129</v>
      </c>
      <c r="Q22" s="295">
        <v>2228415</v>
      </c>
      <c r="R22" s="295">
        <v>6502446</v>
      </c>
      <c r="S22" s="362">
        <v>6502437</v>
      </c>
      <c r="T22" s="295">
        <v>6481043</v>
      </c>
      <c r="U22" s="295">
        <v>6459843</v>
      </c>
      <c r="V22" s="295">
        <v>6436540</v>
      </c>
      <c r="W22" s="295">
        <v>6419543</v>
      </c>
      <c r="X22" s="295">
        <v>6393443</v>
      </c>
      <c r="Y22" s="295">
        <v>6377343</v>
      </c>
      <c r="Z22" s="295">
        <v>6351243</v>
      </c>
      <c r="AA22" s="295">
        <v>6121364</v>
      </c>
      <c r="AB22" s="295">
        <v>6106461</v>
      </c>
      <c r="AC22" s="295">
        <v>6059161</v>
      </c>
      <c r="AD22" s="295">
        <v>6052061</v>
      </c>
      <c r="AE22" s="295">
        <v>6044961</v>
      </c>
      <c r="AF22" s="295">
        <v>6020349</v>
      </c>
      <c r="AG22" s="295">
        <v>6006149</v>
      </c>
      <c r="AH22" s="295">
        <v>6006149</v>
      </c>
      <c r="AI22" s="295">
        <v>5999049</v>
      </c>
      <c r="AJ22" s="295">
        <v>8891949</v>
      </c>
      <c r="AK22" s="295">
        <v>8864849</v>
      </c>
      <c r="AL22" s="295">
        <v>8849143</v>
      </c>
      <c r="AM22" s="295">
        <v>7072692</v>
      </c>
      <c r="AN22" s="295">
        <v>7072692</v>
      </c>
      <c r="AO22" s="295">
        <v>6971160</v>
      </c>
      <c r="AP22" s="295">
        <v>6837160</v>
      </c>
      <c r="AQ22" s="295">
        <v>6797160</v>
      </c>
      <c r="AR22" s="295">
        <f t="shared" ref="AR22:DX22" si="101">AQ22</f>
        <v>6797160</v>
      </c>
      <c r="AS22" s="295">
        <f t="shared" si="101"/>
        <v>6797160</v>
      </c>
      <c r="AT22" s="295">
        <f t="shared" si="101"/>
        <v>6797160</v>
      </c>
      <c r="AU22" s="295">
        <f t="shared" si="101"/>
        <v>6797160</v>
      </c>
      <c r="AV22" s="295">
        <v>6700364</v>
      </c>
      <c r="AW22" s="295">
        <v>6705053</v>
      </c>
      <c r="AX22" s="295">
        <f t="shared" si="101"/>
        <v>6705053</v>
      </c>
      <c r="AY22" s="295">
        <f t="shared" si="101"/>
        <v>6705053</v>
      </c>
      <c r="AZ22" s="295">
        <f t="shared" si="101"/>
        <v>6705053</v>
      </c>
      <c r="BA22" s="295">
        <f t="shared" si="101"/>
        <v>6705053</v>
      </c>
      <c r="BB22" s="295">
        <f t="shared" si="101"/>
        <v>6705053</v>
      </c>
      <c r="BC22" s="295">
        <f t="shared" si="101"/>
        <v>6705053</v>
      </c>
      <c r="BD22" s="295">
        <f t="shared" si="101"/>
        <v>6705053</v>
      </c>
      <c r="BE22" s="295">
        <f t="shared" si="101"/>
        <v>6705053</v>
      </c>
      <c r="BF22" s="295">
        <f t="shared" si="101"/>
        <v>6705053</v>
      </c>
      <c r="BG22" s="295">
        <f t="shared" si="101"/>
        <v>6705053</v>
      </c>
      <c r="BH22" s="295">
        <f t="shared" si="101"/>
        <v>6705053</v>
      </c>
      <c r="BI22" s="295">
        <f t="shared" si="101"/>
        <v>6705053</v>
      </c>
      <c r="BJ22" s="295">
        <f t="shared" si="101"/>
        <v>6705053</v>
      </c>
      <c r="BK22" s="295">
        <f t="shared" si="101"/>
        <v>6705053</v>
      </c>
      <c r="BL22" s="295">
        <f t="shared" si="101"/>
        <v>6705053</v>
      </c>
      <c r="BM22" s="295">
        <f t="shared" si="101"/>
        <v>6705053</v>
      </c>
      <c r="BN22" s="295">
        <f t="shared" si="101"/>
        <v>6705053</v>
      </c>
      <c r="BO22" s="295">
        <f t="shared" si="101"/>
        <v>6705053</v>
      </c>
      <c r="BP22" s="295">
        <f t="shared" si="101"/>
        <v>6705053</v>
      </c>
      <c r="BQ22" s="295">
        <f t="shared" si="101"/>
        <v>6705053</v>
      </c>
      <c r="BR22" s="295">
        <f t="shared" si="101"/>
        <v>6705053</v>
      </c>
      <c r="BS22" s="295">
        <f t="shared" si="101"/>
        <v>6705053</v>
      </c>
      <c r="BT22" s="295">
        <f t="shared" si="101"/>
        <v>6705053</v>
      </c>
      <c r="BU22" s="295">
        <f t="shared" si="101"/>
        <v>6705053</v>
      </c>
      <c r="BV22" s="295">
        <f t="shared" si="101"/>
        <v>6705053</v>
      </c>
      <c r="BW22" s="295">
        <f t="shared" si="101"/>
        <v>6705053</v>
      </c>
      <c r="BX22" s="295">
        <f t="shared" si="101"/>
        <v>6705053</v>
      </c>
      <c r="BY22" s="295">
        <f t="shared" si="101"/>
        <v>6705053</v>
      </c>
      <c r="BZ22" s="295">
        <f>BY22</f>
        <v>6705053</v>
      </c>
      <c r="CA22" s="295">
        <f t="shared" si="101"/>
        <v>6705053</v>
      </c>
      <c r="CB22" s="295">
        <f t="shared" si="101"/>
        <v>6705053</v>
      </c>
      <c r="CC22" s="295">
        <f t="shared" si="101"/>
        <v>6705053</v>
      </c>
      <c r="CD22" s="295">
        <f t="shared" si="101"/>
        <v>6705053</v>
      </c>
      <c r="CE22" s="295">
        <f t="shared" si="101"/>
        <v>6705053</v>
      </c>
      <c r="CF22" s="295">
        <f t="shared" si="101"/>
        <v>6705053</v>
      </c>
      <c r="CG22" s="295">
        <f t="shared" si="101"/>
        <v>6705053</v>
      </c>
      <c r="CH22" s="295">
        <f t="shared" si="101"/>
        <v>6705053</v>
      </c>
      <c r="CI22" s="295">
        <f t="shared" si="101"/>
        <v>6705053</v>
      </c>
      <c r="CJ22" s="295">
        <f t="shared" si="101"/>
        <v>6705053</v>
      </c>
      <c r="CK22" s="295">
        <f t="shared" si="101"/>
        <v>6705053</v>
      </c>
      <c r="CL22" s="295">
        <f t="shared" si="101"/>
        <v>6705053</v>
      </c>
      <c r="CM22" s="295">
        <f t="shared" si="101"/>
        <v>6705053</v>
      </c>
      <c r="CN22" s="295">
        <f t="shared" si="101"/>
        <v>6705053</v>
      </c>
      <c r="CO22" s="295">
        <f t="shared" si="101"/>
        <v>6705053</v>
      </c>
      <c r="CP22" s="295">
        <f t="shared" si="101"/>
        <v>6705053</v>
      </c>
      <c r="CQ22" s="295">
        <f t="shared" si="101"/>
        <v>6705053</v>
      </c>
      <c r="CR22" s="295">
        <f t="shared" si="101"/>
        <v>6705053</v>
      </c>
      <c r="CS22" s="295">
        <f t="shared" si="101"/>
        <v>6705053</v>
      </c>
      <c r="CT22" s="295">
        <f t="shared" si="101"/>
        <v>6705053</v>
      </c>
      <c r="CU22" s="295">
        <f t="shared" si="101"/>
        <v>6705053</v>
      </c>
      <c r="CV22" s="295">
        <f t="shared" si="101"/>
        <v>6705053</v>
      </c>
      <c r="CW22" s="295">
        <f t="shared" si="101"/>
        <v>6705053</v>
      </c>
      <c r="CX22" s="295">
        <f t="shared" si="101"/>
        <v>6705053</v>
      </c>
      <c r="CY22" s="295">
        <f t="shared" si="101"/>
        <v>6705053</v>
      </c>
      <c r="CZ22" s="295">
        <f t="shared" si="101"/>
        <v>6705053</v>
      </c>
      <c r="DA22" s="295">
        <f t="shared" si="101"/>
        <v>6705053</v>
      </c>
      <c r="DB22" s="295">
        <f t="shared" si="101"/>
        <v>6705053</v>
      </c>
      <c r="DC22" s="295">
        <f t="shared" si="101"/>
        <v>6705053</v>
      </c>
      <c r="DD22" s="295">
        <f t="shared" si="101"/>
        <v>6705053</v>
      </c>
      <c r="DE22" s="295">
        <f t="shared" si="101"/>
        <v>6705053</v>
      </c>
      <c r="DF22" s="295">
        <f t="shared" si="101"/>
        <v>6705053</v>
      </c>
      <c r="DG22" s="295">
        <f t="shared" si="101"/>
        <v>6705053</v>
      </c>
      <c r="DH22" s="295">
        <f t="shared" si="101"/>
        <v>6705053</v>
      </c>
      <c r="DI22" s="295">
        <f t="shared" si="101"/>
        <v>6705053</v>
      </c>
      <c r="DJ22" s="295">
        <f t="shared" si="101"/>
        <v>6705053</v>
      </c>
      <c r="DK22" s="295">
        <f t="shared" si="101"/>
        <v>6705053</v>
      </c>
      <c r="DL22" s="295">
        <f t="shared" si="101"/>
        <v>6705053</v>
      </c>
      <c r="DM22" s="295">
        <f t="shared" si="101"/>
        <v>6705053</v>
      </c>
      <c r="DN22" s="295">
        <f t="shared" si="101"/>
        <v>6705053</v>
      </c>
      <c r="DO22" s="295">
        <f t="shared" si="101"/>
        <v>6705053</v>
      </c>
      <c r="DP22" s="295">
        <f t="shared" si="101"/>
        <v>6705053</v>
      </c>
      <c r="DQ22" s="295">
        <f t="shared" si="101"/>
        <v>6705053</v>
      </c>
      <c r="DR22" s="295">
        <f t="shared" si="101"/>
        <v>6705053</v>
      </c>
      <c r="DS22" s="295">
        <f t="shared" si="101"/>
        <v>6705053</v>
      </c>
      <c r="DT22" s="295">
        <f t="shared" si="101"/>
        <v>6705053</v>
      </c>
      <c r="DU22" s="295">
        <f t="shared" si="101"/>
        <v>6705053</v>
      </c>
      <c r="DV22" s="295">
        <f t="shared" si="101"/>
        <v>6705053</v>
      </c>
      <c r="DW22" s="295">
        <f t="shared" si="101"/>
        <v>6705053</v>
      </c>
      <c r="DX22" s="295">
        <f t="shared" si="101"/>
        <v>6705053</v>
      </c>
    </row>
    <row r="23" spans="1:196" ht="13.5" customHeight="1" thickTop="1" thickBot="1">
      <c r="A23" s="263" t="s">
        <v>183</v>
      </c>
      <c r="B23" s="263"/>
      <c r="C23" s="263"/>
      <c r="D23" s="263" t="s">
        <v>180</v>
      </c>
      <c r="E23" s="266">
        <f>3400000-I23</f>
        <v>2466822</v>
      </c>
      <c r="F23" s="267"/>
      <c r="G23" s="267"/>
      <c r="H23" s="268" t="s">
        <v>183</v>
      </c>
      <c r="I23" s="365">
        <f>SUM(DN24:DN26)</f>
        <v>933178</v>
      </c>
      <c r="J23" s="368" t="s">
        <v>269</v>
      </c>
      <c r="R23" s="367">
        <v>2363545</v>
      </c>
      <c r="S23" s="369">
        <v>1979883</v>
      </c>
      <c r="T23" s="369">
        <f>S23-T18</f>
        <v>1954188</v>
      </c>
      <c r="U23" s="369">
        <f t="shared" ref="U23:Y23" si="102">T23-U18</f>
        <v>1928493</v>
      </c>
      <c r="V23" s="369">
        <f t="shared" si="102"/>
        <v>1902798</v>
      </c>
      <c r="W23" s="369">
        <f t="shared" si="102"/>
        <v>1877103</v>
      </c>
      <c r="X23" s="369">
        <f t="shared" si="102"/>
        <v>1851408</v>
      </c>
      <c r="Y23" s="369">
        <f t="shared" si="102"/>
        <v>1825713</v>
      </c>
      <c r="Z23" s="369">
        <f>Y23-Z18</f>
        <v>1800018</v>
      </c>
      <c r="AA23" s="369">
        <f>Z23-AA18</f>
        <v>1773242</v>
      </c>
      <c r="AB23" s="369">
        <f>AA23-AB18-380000</f>
        <v>1366466</v>
      </c>
      <c r="AC23" s="369">
        <f>AB23-AC18</f>
        <v>1339690</v>
      </c>
      <c r="AD23" s="369">
        <f t="shared" ref="AD23:AK23" si="103">AC23-AD18</f>
        <v>1312914</v>
      </c>
      <c r="AE23" s="369">
        <f>AD23-AE18</f>
        <v>1287219</v>
      </c>
      <c r="AF23" s="369">
        <f t="shared" si="103"/>
        <v>1261524</v>
      </c>
      <c r="AG23" s="369">
        <f t="shared" si="103"/>
        <v>1235829</v>
      </c>
      <c r="AH23" s="369">
        <f t="shared" si="103"/>
        <v>1210134</v>
      </c>
      <c r="AI23" s="369">
        <f t="shared" si="103"/>
        <v>1184439</v>
      </c>
      <c r="AJ23" s="369">
        <f t="shared" si="103"/>
        <v>1158744</v>
      </c>
      <c r="AK23" s="369">
        <f t="shared" si="103"/>
        <v>1133049</v>
      </c>
      <c r="AL23" s="369">
        <f>AK23-AL18</f>
        <v>1106471</v>
      </c>
      <c r="AM23" s="369">
        <f>AL23-AM18</f>
        <v>1079129</v>
      </c>
      <c r="AN23" s="369">
        <v>958006</v>
      </c>
      <c r="AO23" s="369">
        <f>AN23-AO18-500000</f>
        <v>434692</v>
      </c>
      <c r="AP23" s="369">
        <f t="shared" ref="AP23:BO23" si="104">AO23-AP18</f>
        <v>411378</v>
      </c>
      <c r="AQ23" s="369">
        <f t="shared" si="104"/>
        <v>388064</v>
      </c>
      <c r="AR23" s="369">
        <f t="shared" si="104"/>
        <v>364750</v>
      </c>
      <c r="AS23" s="369">
        <f t="shared" si="104"/>
        <v>341436</v>
      </c>
      <c r="AT23" s="369">
        <f t="shared" si="104"/>
        <v>318122</v>
      </c>
      <c r="AU23" s="369">
        <f t="shared" si="104"/>
        <v>294808</v>
      </c>
      <c r="AV23" s="369">
        <f t="shared" si="104"/>
        <v>270764</v>
      </c>
      <c r="AW23" s="369">
        <f t="shared" si="104"/>
        <v>246720</v>
      </c>
      <c r="AX23" s="369">
        <f t="shared" si="104"/>
        <v>222676</v>
      </c>
      <c r="AY23" s="369">
        <f t="shared" si="104"/>
        <v>198632</v>
      </c>
      <c r="AZ23" s="369">
        <f t="shared" si="104"/>
        <v>174588</v>
      </c>
      <c r="BA23" s="369">
        <f t="shared" si="104"/>
        <v>150544</v>
      </c>
      <c r="BB23" s="369">
        <f t="shared" si="104"/>
        <v>132327</v>
      </c>
      <c r="BC23" s="369">
        <f t="shared" si="104"/>
        <v>114110</v>
      </c>
      <c r="BD23" s="369">
        <f t="shared" si="104"/>
        <v>78065</v>
      </c>
      <c r="BE23" s="369">
        <f t="shared" si="104"/>
        <v>42020</v>
      </c>
      <c r="BF23" s="369">
        <f t="shared" si="104"/>
        <v>-47143</v>
      </c>
      <c r="BG23" s="369">
        <f t="shared" si="104"/>
        <v>-136306</v>
      </c>
      <c r="BH23" s="369">
        <f t="shared" si="104"/>
        <v>-225469</v>
      </c>
      <c r="BI23" s="369">
        <f t="shared" si="104"/>
        <v>-314632</v>
      </c>
      <c r="BJ23" s="369">
        <f t="shared" si="104"/>
        <v>-403795</v>
      </c>
      <c r="BK23" s="369">
        <f t="shared" si="104"/>
        <v>-492958</v>
      </c>
      <c r="BL23" s="369">
        <f t="shared" si="104"/>
        <v>-582121</v>
      </c>
      <c r="BM23" s="369">
        <f t="shared" si="104"/>
        <v>-671284</v>
      </c>
      <c r="BN23" s="369">
        <f t="shared" si="104"/>
        <v>-760447</v>
      </c>
      <c r="BO23" s="369">
        <f t="shared" si="104"/>
        <v>-849610</v>
      </c>
      <c r="BP23" s="369">
        <f t="shared" ref="BP23:CH23" si="105">BP26</f>
        <v>-759191</v>
      </c>
      <c r="BQ23" s="369">
        <f t="shared" si="105"/>
        <v>-1067596</v>
      </c>
      <c r="BR23" s="369">
        <f t="shared" si="105"/>
        <v>-1067596</v>
      </c>
      <c r="BS23" s="369">
        <f t="shared" si="105"/>
        <v>-1067596</v>
      </c>
      <c r="BT23" s="369">
        <f t="shared" si="105"/>
        <v>-1067596</v>
      </c>
      <c r="BU23" s="369">
        <f t="shared" si="105"/>
        <v>-1290000</v>
      </c>
      <c r="BV23" s="369">
        <f t="shared" si="105"/>
        <v>-720000</v>
      </c>
      <c r="BW23" s="369">
        <f t="shared" si="105"/>
        <v>-680000</v>
      </c>
      <c r="BX23" s="369">
        <f t="shared" si="105"/>
        <v>-760000</v>
      </c>
      <c r="BY23" s="369">
        <f t="shared" si="105"/>
        <v>-880000</v>
      </c>
      <c r="BZ23" s="369">
        <f t="shared" si="105"/>
        <v>-599426</v>
      </c>
      <c r="CA23" s="369">
        <f t="shared" si="105"/>
        <v>-804118</v>
      </c>
      <c r="CB23" s="369">
        <f t="shared" si="105"/>
        <v>4317</v>
      </c>
      <c r="CC23" s="369">
        <f t="shared" si="105"/>
        <v>-157573</v>
      </c>
      <c r="CD23" s="369">
        <f t="shared" si="105"/>
        <v>-157573</v>
      </c>
      <c r="CE23" s="369">
        <f t="shared" si="105"/>
        <v>99707</v>
      </c>
      <c r="CF23" s="369">
        <f t="shared" si="105"/>
        <v>99707</v>
      </c>
      <c r="CG23" s="369">
        <f t="shared" si="105"/>
        <v>51846</v>
      </c>
      <c r="CH23" s="369">
        <f t="shared" si="105"/>
        <v>60996</v>
      </c>
      <c r="CI23" s="369">
        <f t="shared" ref="CI23:CK23" si="106">CI26</f>
        <v>60000</v>
      </c>
      <c r="CJ23" s="369">
        <f t="shared" si="106"/>
        <v>44000</v>
      </c>
      <c r="CK23" s="369">
        <f t="shared" si="106"/>
        <v>45914</v>
      </c>
      <c r="CL23" s="369">
        <f t="shared" ref="CL23:CM23" si="107">CL26</f>
        <v>116951</v>
      </c>
      <c r="CM23" s="369">
        <f t="shared" si="107"/>
        <v>77812</v>
      </c>
      <c r="CN23" s="369">
        <f t="shared" ref="CN23:CO23" si="108">CN26</f>
        <v>196963</v>
      </c>
      <c r="CO23" s="369">
        <f t="shared" si="108"/>
        <v>195819</v>
      </c>
      <c r="CP23" s="369">
        <f t="shared" ref="CP23:CT23" si="109">CP26</f>
        <v>195819</v>
      </c>
      <c r="CQ23" s="369">
        <f t="shared" si="109"/>
        <v>150000</v>
      </c>
      <c r="CR23" s="369">
        <f t="shared" si="109"/>
        <v>5700</v>
      </c>
      <c r="CS23" s="369">
        <f t="shared" si="109"/>
        <v>5700</v>
      </c>
      <c r="CT23" s="369">
        <f t="shared" si="109"/>
        <v>5700</v>
      </c>
      <c r="CU23" s="369">
        <f>CU26-CU11</f>
        <v>10419</v>
      </c>
      <c r="CV23" s="369">
        <f t="shared" ref="CV23:CW23" si="110">CV26</f>
        <v>3328</v>
      </c>
      <c r="CW23" s="369">
        <f t="shared" si="110"/>
        <v>12012</v>
      </c>
      <c r="CX23" s="369">
        <v>75330</v>
      </c>
      <c r="CY23" s="369">
        <f t="shared" ref="CY23:CZ23" si="111">CY26</f>
        <v>37466</v>
      </c>
      <c r="CZ23" s="369">
        <f t="shared" si="111"/>
        <v>29580</v>
      </c>
      <c r="DA23" s="369">
        <f t="shared" ref="DA23:DF23" si="112">DA26</f>
        <v>29580</v>
      </c>
      <c r="DB23" s="369">
        <f t="shared" si="112"/>
        <v>16370</v>
      </c>
      <c r="DC23" s="369">
        <f t="shared" si="112"/>
        <v>3886</v>
      </c>
      <c r="DD23" s="369">
        <f t="shared" si="112"/>
        <v>7303</v>
      </c>
      <c r="DE23" s="369">
        <f t="shared" si="112"/>
        <v>25157</v>
      </c>
      <c r="DF23" s="369">
        <f t="shared" si="112"/>
        <v>27522</v>
      </c>
      <c r="DG23" s="369">
        <f t="shared" ref="DG23:DH23" si="113">DG26</f>
        <v>18585</v>
      </c>
      <c r="DH23" s="369">
        <f t="shared" si="113"/>
        <v>429</v>
      </c>
      <c r="DI23" s="369">
        <f t="shared" ref="DI23:DK23" si="114">DI26</f>
        <v>81319</v>
      </c>
      <c r="DJ23" s="369">
        <f t="shared" si="114"/>
        <v>9649</v>
      </c>
      <c r="DK23" s="369">
        <f t="shared" si="114"/>
        <v>10801</v>
      </c>
      <c r="DL23" s="369">
        <f t="shared" ref="DL23:DN23" si="115">DL26</f>
        <v>6730</v>
      </c>
      <c r="DM23" s="369">
        <f t="shared" si="115"/>
        <v>31650</v>
      </c>
      <c r="DN23" s="369">
        <f t="shared" si="115"/>
        <v>24754</v>
      </c>
      <c r="DO23" s="369">
        <f t="shared" ref="DO23:DR23" si="116">DO26</f>
        <v>52447</v>
      </c>
      <c r="DP23" s="369">
        <f t="shared" si="116"/>
        <v>41184</v>
      </c>
      <c r="DQ23" s="369">
        <f t="shared" si="116"/>
        <v>68973</v>
      </c>
      <c r="DR23" s="369">
        <f t="shared" si="116"/>
        <v>34575</v>
      </c>
      <c r="DS23" s="369">
        <f t="shared" ref="DS23:DU23" si="117">DS26</f>
        <v>71953</v>
      </c>
      <c r="DT23" s="369">
        <f t="shared" si="117"/>
        <v>79452</v>
      </c>
      <c r="DU23" s="369">
        <f t="shared" si="117"/>
        <v>67279</v>
      </c>
      <c r="DV23" s="369">
        <f t="shared" ref="DV23:DX23" si="118">DV26</f>
        <v>29504</v>
      </c>
      <c r="DW23" s="369">
        <f t="shared" si="118"/>
        <v>51966</v>
      </c>
      <c r="DX23" s="369">
        <f t="shared" si="118"/>
        <v>51966</v>
      </c>
    </row>
    <row r="24" spans="1:196" ht="13.5" customHeight="1" thickTop="1">
      <c r="J24" s="353" t="s">
        <v>293</v>
      </c>
      <c r="M24" s="310" t="s">
        <v>163</v>
      </c>
      <c r="N24" s="353" t="s">
        <v>185</v>
      </c>
      <c r="O24" s="310" t="s">
        <v>163</v>
      </c>
      <c r="P24" s="422">
        <v>0</v>
      </c>
      <c r="Q24" s="422">
        <v>0</v>
      </c>
      <c r="R24" s="422">
        <v>35440</v>
      </c>
      <c r="S24" s="426">
        <f>135469-S10</f>
        <v>124660</v>
      </c>
      <c r="T24" s="422">
        <v>52</v>
      </c>
      <c r="U24" s="422">
        <v>28256</v>
      </c>
      <c r="V24" s="422">
        <v>100000</v>
      </c>
      <c r="W24" s="422">
        <v>170066</v>
      </c>
      <c r="X24" s="422">
        <v>200000</v>
      </c>
      <c r="Y24" s="422">
        <v>278144</v>
      </c>
      <c r="Z24" s="422">
        <v>300236</v>
      </c>
      <c r="AA24" s="422">
        <f>591590-30000</f>
        <v>561590</v>
      </c>
      <c r="AB24" s="422">
        <f>528364-30000</f>
        <v>498364</v>
      </c>
      <c r="AC24" s="422">
        <f>626718-30000</f>
        <v>596718</v>
      </c>
      <c r="AD24" s="422">
        <f>634492-30000</f>
        <v>604492</v>
      </c>
      <c r="AE24" s="422">
        <f>700241-30000</f>
        <v>670241</v>
      </c>
      <c r="AF24" s="422">
        <f>808350-30000</f>
        <v>778350</v>
      </c>
      <c r="AG24" s="422">
        <f>704099-30000</f>
        <v>674099</v>
      </c>
      <c r="AH24" s="422">
        <f>619848-30000-88000</f>
        <v>501848</v>
      </c>
      <c r="AI24" s="422">
        <v>878781</v>
      </c>
      <c r="AJ24" s="422">
        <v>865530</v>
      </c>
      <c r="AK24" s="422">
        <v>901279</v>
      </c>
      <c r="AL24" s="422">
        <f>928481-50000</f>
        <v>878481</v>
      </c>
      <c r="AM24" s="422">
        <v>1131993</v>
      </c>
      <c r="AN24" s="422">
        <v>1327698</v>
      </c>
      <c r="AO24" s="422">
        <f>242589-50000</f>
        <v>192589</v>
      </c>
      <c r="AP24" s="422">
        <v>292106</v>
      </c>
      <c r="AQ24" s="422">
        <v>389839</v>
      </c>
      <c r="AR24" s="422">
        <v>627142</v>
      </c>
      <c r="AS24" s="422">
        <v>626764</v>
      </c>
      <c r="AT24" s="422">
        <f>722629-50000</f>
        <v>672629</v>
      </c>
      <c r="AU24" s="422">
        <v>854338</v>
      </c>
      <c r="AV24" s="422">
        <f>803071-20000</f>
        <v>783071</v>
      </c>
      <c r="AW24" s="422">
        <v>840804</v>
      </c>
      <c r="AX24" s="422">
        <v>862090</v>
      </c>
      <c r="AY24" s="422">
        <f>1168957-100000</f>
        <v>1068957</v>
      </c>
      <c r="AZ24" s="422">
        <f>1410201</f>
        <v>1410201</v>
      </c>
      <c r="BA24" s="422">
        <f>1410201-1200000</f>
        <v>210201</v>
      </c>
      <c r="BB24" s="422">
        <v>155037</v>
      </c>
      <c r="BC24" s="422">
        <f>BB24+100000</f>
        <v>255037</v>
      </c>
      <c r="BD24" s="422">
        <v>591003</v>
      </c>
      <c r="BE24" s="422">
        <f>95079-BE8</f>
        <v>332</v>
      </c>
      <c r="BF24" s="422">
        <f t="shared" ref="BF24:DX24" si="119">BE24</f>
        <v>332</v>
      </c>
      <c r="BG24" s="422">
        <f t="shared" si="119"/>
        <v>332</v>
      </c>
      <c r="BH24" s="422">
        <f t="shared" si="119"/>
        <v>332</v>
      </c>
      <c r="BI24" s="422">
        <f t="shared" si="119"/>
        <v>332</v>
      </c>
      <c r="BJ24" s="422">
        <f t="shared" si="119"/>
        <v>332</v>
      </c>
      <c r="BK24" s="422">
        <f t="shared" si="119"/>
        <v>332</v>
      </c>
      <c r="BL24" s="422">
        <f t="shared" si="119"/>
        <v>332</v>
      </c>
      <c r="BM24" s="422">
        <f t="shared" si="119"/>
        <v>332</v>
      </c>
      <c r="BN24" s="422">
        <f t="shared" si="119"/>
        <v>332</v>
      </c>
      <c r="BO24" s="422">
        <f t="shared" si="119"/>
        <v>332</v>
      </c>
      <c r="BP24" s="422">
        <v>0</v>
      </c>
      <c r="BQ24" s="422">
        <f t="shared" si="119"/>
        <v>0</v>
      </c>
      <c r="BR24" s="422">
        <f t="shared" si="119"/>
        <v>0</v>
      </c>
      <c r="BS24" s="422">
        <f t="shared" si="119"/>
        <v>0</v>
      </c>
      <c r="BT24" s="422">
        <f t="shared" si="119"/>
        <v>0</v>
      </c>
      <c r="BU24" s="422">
        <f t="shared" si="119"/>
        <v>0</v>
      </c>
      <c r="BV24" s="422">
        <f t="shared" si="119"/>
        <v>0</v>
      </c>
      <c r="BW24" s="422">
        <f t="shared" si="119"/>
        <v>0</v>
      </c>
      <c r="BX24" s="422">
        <f t="shared" si="119"/>
        <v>0</v>
      </c>
      <c r="BY24" s="422">
        <f t="shared" si="119"/>
        <v>0</v>
      </c>
      <c r="BZ24" s="422">
        <f t="shared" si="119"/>
        <v>0</v>
      </c>
      <c r="CA24" s="422">
        <f t="shared" si="119"/>
        <v>0</v>
      </c>
      <c r="CB24" s="422">
        <v>71251</v>
      </c>
      <c r="CC24" s="422">
        <v>0</v>
      </c>
      <c r="CD24" s="422">
        <f t="shared" si="119"/>
        <v>0</v>
      </c>
      <c r="CE24" s="422">
        <f t="shared" si="119"/>
        <v>0</v>
      </c>
      <c r="CF24" s="422">
        <f t="shared" si="119"/>
        <v>0</v>
      </c>
      <c r="CG24" s="481">
        <v>806317</v>
      </c>
      <c r="CH24" s="481">
        <v>766361</v>
      </c>
      <c r="CI24" s="422">
        <f t="shared" si="119"/>
        <v>766361</v>
      </c>
      <c r="CJ24" s="422">
        <v>20000</v>
      </c>
      <c r="CK24" s="422">
        <v>40000</v>
      </c>
      <c r="CL24" s="422">
        <v>87401</v>
      </c>
      <c r="CM24" s="422">
        <f>101481-CM8-3000</f>
        <v>19132</v>
      </c>
      <c r="CN24" s="422">
        <f>180000-CN8</f>
        <v>137719</v>
      </c>
      <c r="CO24" s="422">
        <v>2000</v>
      </c>
      <c r="CP24" s="422">
        <v>16000</v>
      </c>
      <c r="CQ24" s="422">
        <v>63030</v>
      </c>
      <c r="CR24" s="422">
        <v>18143</v>
      </c>
      <c r="CS24" s="422">
        <f t="shared" si="119"/>
        <v>18143</v>
      </c>
      <c r="CT24" s="422">
        <f t="shared" si="119"/>
        <v>18143</v>
      </c>
      <c r="CU24" s="422">
        <v>0</v>
      </c>
      <c r="CV24" s="422">
        <f t="shared" si="119"/>
        <v>0</v>
      </c>
      <c r="CW24" s="422">
        <v>600000</v>
      </c>
      <c r="CX24" s="422">
        <v>619250</v>
      </c>
      <c r="CY24" s="422">
        <f>713767-120000</f>
        <v>593767</v>
      </c>
      <c r="CZ24" s="422">
        <f>611242-CZ10</f>
        <v>608242</v>
      </c>
      <c r="DA24" s="422">
        <f t="shared" si="119"/>
        <v>608242</v>
      </c>
      <c r="DB24" s="422">
        <f>477657-DB10</f>
        <v>403180</v>
      </c>
      <c r="DC24" s="422">
        <f>507773-DC10-20000</f>
        <v>484773</v>
      </c>
      <c r="DD24" s="422">
        <f>644880-140000-20000</f>
        <v>484880</v>
      </c>
      <c r="DE24" s="422">
        <f>484034-3000</f>
        <v>481034</v>
      </c>
      <c r="DF24" s="422">
        <f>592663-150000-15</f>
        <v>442648</v>
      </c>
      <c r="DG24" s="422">
        <f>746599-DG10</f>
        <v>743599</v>
      </c>
      <c r="DH24" s="422">
        <f>554148-200000-15-3000-15</f>
        <v>351118</v>
      </c>
      <c r="DI24" s="422">
        <f>483988-3015-200015</f>
        <v>280958</v>
      </c>
      <c r="DJ24" s="422">
        <f>429112-60000-15</f>
        <v>369097</v>
      </c>
      <c r="DK24" s="422">
        <v>360772</v>
      </c>
      <c r="DL24" s="422">
        <v>986249</v>
      </c>
      <c r="DM24" s="422">
        <f>1108444-DM10-180000-15</f>
        <v>925429</v>
      </c>
      <c r="DN24" s="422">
        <f>905187</f>
        <v>905187</v>
      </c>
      <c r="DO24" s="422">
        <v>609581</v>
      </c>
      <c r="DP24" s="422">
        <v>632340</v>
      </c>
      <c r="DQ24" s="422">
        <v>603772</v>
      </c>
      <c r="DR24" s="422">
        <f>679362-100015</f>
        <v>579347</v>
      </c>
      <c r="DS24" s="422">
        <v>606522</v>
      </c>
      <c r="DT24" s="422">
        <f>586522-DT10-100000-15</f>
        <v>483507</v>
      </c>
      <c r="DU24" s="422">
        <f>613931-80000-15-3000</f>
        <v>530916</v>
      </c>
      <c r="DV24" s="422">
        <f>425911-DV10</f>
        <v>422911</v>
      </c>
      <c r="DW24" s="422">
        <f t="shared" si="119"/>
        <v>422911</v>
      </c>
      <c r="DX24" s="422">
        <f t="shared" si="119"/>
        <v>422911</v>
      </c>
    </row>
    <row r="25" spans="1:196" ht="13.5" customHeight="1">
      <c r="J25" s="354" t="s">
        <v>164</v>
      </c>
      <c r="M25" s="343" t="s">
        <v>164</v>
      </c>
      <c r="N25" s="354" t="s">
        <v>164</v>
      </c>
      <c r="O25" s="343" t="s">
        <v>164</v>
      </c>
      <c r="P25" s="427">
        <v>0</v>
      </c>
      <c r="Q25" s="427">
        <v>0</v>
      </c>
      <c r="R25" s="427">
        <v>17148</v>
      </c>
      <c r="S25" s="428">
        <v>57</v>
      </c>
      <c r="T25" s="428">
        <v>1135</v>
      </c>
      <c r="U25" s="428">
        <v>5990</v>
      </c>
      <c r="V25" s="428">
        <v>10000</v>
      </c>
      <c r="W25" s="428">
        <v>12888</v>
      </c>
      <c r="X25" s="428">
        <v>10000</v>
      </c>
      <c r="Y25" s="427">
        <v>29833</v>
      </c>
      <c r="Z25" s="427">
        <f>45368-3000-30000-10113</f>
        <v>2255</v>
      </c>
      <c r="AA25" s="427">
        <v>7947</v>
      </c>
      <c r="AB25" s="427">
        <f>24137+20000</f>
        <v>44137</v>
      </c>
      <c r="AC25" s="427">
        <v>14007</v>
      </c>
      <c r="AD25" s="427">
        <f>30000-29297</f>
        <v>703</v>
      </c>
      <c r="AE25" s="427">
        <v>2455</v>
      </c>
      <c r="AF25" s="427">
        <v>28682</v>
      </c>
      <c r="AG25" s="427">
        <v>33108</v>
      </c>
      <c r="AH25" s="427">
        <v>14472</v>
      </c>
      <c r="AI25" s="427">
        <v>20302</v>
      </c>
      <c r="AJ25" s="427">
        <f>31500-AJ10</f>
        <v>12236</v>
      </c>
      <c r="AK25" s="427">
        <f>99336-AK21-10000-8100-AK8</f>
        <v>19360</v>
      </c>
      <c r="AL25" s="427">
        <f>60497-AL8+50000-10000-10000-9000</f>
        <v>38650</v>
      </c>
      <c r="AM25" s="427">
        <v>68307</v>
      </c>
      <c r="AN25" s="427">
        <f>49798-AN8+21000</f>
        <v>22247</v>
      </c>
      <c r="AO25" s="427">
        <v>482533</v>
      </c>
      <c r="AP25" s="427">
        <v>190776</v>
      </c>
      <c r="AQ25" s="427">
        <v>113040</v>
      </c>
      <c r="AR25" s="427">
        <v>11000</v>
      </c>
      <c r="AS25" s="427">
        <v>12557</v>
      </c>
      <c r="AT25" s="427">
        <f>65312-AT8</f>
        <v>13810</v>
      </c>
      <c r="AU25" s="427">
        <v>2417</v>
      </c>
      <c r="AV25" s="427">
        <f>76986-AV12-AV11-3000</f>
        <v>71946</v>
      </c>
      <c r="AW25" s="427">
        <f>33107-10000-2000</f>
        <v>21107</v>
      </c>
      <c r="AX25" s="427">
        <v>33377</v>
      </c>
      <c r="AY25" s="427">
        <f>49377+100000-AY8-29500-10000</f>
        <v>56864</v>
      </c>
      <c r="AZ25" s="427">
        <f>120945-AZ8-20000-10000</f>
        <v>42538</v>
      </c>
      <c r="BA25" s="427">
        <v>14788</v>
      </c>
      <c r="BB25" s="427">
        <v>38086</v>
      </c>
      <c r="BC25" s="427">
        <v>2826</v>
      </c>
      <c r="BD25" s="427">
        <v>4</v>
      </c>
      <c r="BE25" s="427">
        <f>BD25</f>
        <v>4</v>
      </c>
      <c r="BF25" s="427">
        <v>58480</v>
      </c>
      <c r="BG25" s="427">
        <v>6227</v>
      </c>
      <c r="BH25" s="427">
        <v>6496</v>
      </c>
      <c r="BI25" s="427">
        <v>6496</v>
      </c>
      <c r="BJ25" s="427">
        <v>20000</v>
      </c>
      <c r="BK25" s="427">
        <v>54536</v>
      </c>
      <c r="BL25" s="427">
        <v>20000</v>
      </c>
      <c r="BM25" s="427">
        <v>20000</v>
      </c>
      <c r="BN25" s="427">
        <v>20000</v>
      </c>
      <c r="BO25" s="427">
        <v>20000</v>
      </c>
      <c r="BP25" s="427">
        <v>20000</v>
      </c>
      <c r="BQ25" s="427">
        <v>152754</v>
      </c>
      <c r="BR25" s="427">
        <v>20000</v>
      </c>
      <c r="BS25" s="427">
        <v>20000</v>
      </c>
      <c r="BT25" s="427">
        <v>20000</v>
      </c>
      <c r="BU25" s="427">
        <v>20000</v>
      </c>
      <c r="BV25" s="427">
        <v>20000</v>
      </c>
      <c r="BW25" s="427">
        <v>20000</v>
      </c>
      <c r="BX25" s="427">
        <v>20000</v>
      </c>
      <c r="BY25" s="427">
        <v>20000</v>
      </c>
      <c r="BZ25" s="427">
        <v>0</v>
      </c>
      <c r="CA25" s="427">
        <v>0</v>
      </c>
      <c r="CB25" s="427">
        <f>63886-CB8</f>
        <v>44547</v>
      </c>
      <c r="CC25" s="427">
        <v>93906</v>
      </c>
      <c r="CD25" s="427">
        <v>1000000</v>
      </c>
      <c r="CE25" s="427">
        <v>1250000</v>
      </c>
      <c r="CF25" s="427">
        <v>1600000</v>
      </c>
      <c r="CG25" s="482">
        <v>1588598</v>
      </c>
      <c r="CH25" s="482">
        <v>1226654</v>
      </c>
      <c r="CI25" s="427">
        <f>CH25</f>
        <v>1226654</v>
      </c>
      <c r="CJ25" s="427">
        <f>CI25</f>
        <v>1226654</v>
      </c>
      <c r="CK25" s="427">
        <v>1180539</v>
      </c>
      <c r="CL25" s="427">
        <f>CK25</f>
        <v>1180539</v>
      </c>
      <c r="CM25" s="427">
        <f>CL25-30000</f>
        <v>1150539</v>
      </c>
      <c r="CN25" s="427">
        <v>1000524</v>
      </c>
      <c r="CO25" s="427">
        <v>782271</v>
      </c>
      <c r="CP25" s="427">
        <v>650000</v>
      </c>
      <c r="CQ25" s="427">
        <f t="shared" ref="CQ25:DX25" si="120">CP25</f>
        <v>650000</v>
      </c>
      <c r="CR25" s="427">
        <v>612241</v>
      </c>
      <c r="CS25" s="427">
        <f t="shared" si="120"/>
        <v>612241</v>
      </c>
      <c r="CT25" s="427">
        <f t="shared" si="120"/>
        <v>612241</v>
      </c>
      <c r="CU25" s="427">
        <v>43</v>
      </c>
      <c r="CV25" s="427">
        <f>26573-CV8</f>
        <v>7895</v>
      </c>
      <c r="CW25" s="427">
        <f>11895-CW8</f>
        <v>5402</v>
      </c>
      <c r="CX25" s="427">
        <f>11978-CX8</f>
        <v>5455</v>
      </c>
      <c r="CY25" s="427">
        <f>9455-CY8</f>
        <v>2633</v>
      </c>
      <c r="CZ25" s="427">
        <f>6633-CZ8</f>
        <v>218</v>
      </c>
      <c r="DA25" s="427">
        <f t="shared" si="120"/>
        <v>218</v>
      </c>
      <c r="DB25" s="427">
        <f>5785-5113</f>
        <v>672</v>
      </c>
      <c r="DC25" s="427">
        <f>4672-DC8</f>
        <v>2195</v>
      </c>
      <c r="DD25" s="427">
        <f t="shared" si="120"/>
        <v>2195</v>
      </c>
      <c r="DE25" s="427">
        <f>5144+2000-DE8</f>
        <v>328</v>
      </c>
      <c r="DF25" s="427">
        <f>7854+6000-DF8</f>
        <v>357</v>
      </c>
      <c r="DG25" s="427">
        <f>4238+1000-DG8</f>
        <v>550</v>
      </c>
      <c r="DH25" s="427">
        <f>4550-DH8</f>
        <v>1389</v>
      </c>
      <c r="DI25" s="427">
        <f>5157+3000-DI8</f>
        <v>1960</v>
      </c>
      <c r="DJ25" s="427">
        <f>5960-DJ8</f>
        <v>3094</v>
      </c>
      <c r="DK25" s="427">
        <f>7094-DK8</f>
        <v>5407</v>
      </c>
      <c r="DL25" s="427">
        <f>9407-DL8</f>
        <v>7179</v>
      </c>
      <c r="DM25" s="427">
        <f>11182-DM8</f>
        <v>2856</v>
      </c>
      <c r="DN25" s="427">
        <f>6856-DN8</f>
        <v>3237</v>
      </c>
      <c r="DO25" s="427">
        <v>10256</v>
      </c>
      <c r="DP25" s="427">
        <f>DO25-DP8</f>
        <v>5667</v>
      </c>
      <c r="DQ25" s="427">
        <f>9667+7000-DQ8</f>
        <v>964</v>
      </c>
      <c r="DR25" s="427">
        <f>4964+3000-DR8</f>
        <v>875</v>
      </c>
      <c r="DS25" s="427">
        <v>5280</v>
      </c>
      <c r="DT25" s="427">
        <f>9280-DT8</f>
        <v>2502</v>
      </c>
      <c r="DU25" s="427">
        <f>6502+14000-DU8</f>
        <v>777</v>
      </c>
      <c r="DV25" s="427">
        <f>54777-DV8</f>
        <v>48785</v>
      </c>
      <c r="DW25" s="427">
        <f t="shared" si="120"/>
        <v>48785</v>
      </c>
      <c r="DX25" s="427">
        <f t="shared" si="120"/>
        <v>48785</v>
      </c>
    </row>
    <row r="26" spans="1:196" ht="13.5" customHeight="1">
      <c r="J26" s="354" t="s">
        <v>239</v>
      </c>
      <c r="M26" s="343" t="s">
        <v>108</v>
      </c>
      <c r="N26" s="354" t="s">
        <v>239</v>
      </c>
      <c r="O26" s="343" t="s">
        <v>108</v>
      </c>
      <c r="P26" s="427">
        <v>0</v>
      </c>
      <c r="Q26" s="427">
        <v>0</v>
      </c>
      <c r="R26" s="427">
        <v>0</v>
      </c>
      <c r="S26" s="428">
        <v>0</v>
      </c>
      <c r="T26" s="427">
        <v>0</v>
      </c>
      <c r="U26" s="427">
        <v>0</v>
      </c>
      <c r="V26" s="427">
        <v>0</v>
      </c>
      <c r="W26" s="427">
        <v>0</v>
      </c>
      <c r="X26" s="427">
        <v>0</v>
      </c>
      <c r="Y26" s="427">
        <v>0</v>
      </c>
      <c r="Z26" s="427">
        <v>0</v>
      </c>
      <c r="AA26" s="427">
        <v>0</v>
      </c>
      <c r="AB26" s="427">
        <v>0</v>
      </c>
      <c r="AC26" s="427">
        <v>0</v>
      </c>
      <c r="AD26" s="427">
        <v>0</v>
      </c>
      <c r="AE26" s="427">
        <v>0</v>
      </c>
      <c r="AF26" s="427">
        <v>0</v>
      </c>
      <c r="AG26" s="427">
        <v>0</v>
      </c>
      <c r="AH26" s="427">
        <v>0</v>
      </c>
      <c r="AI26" s="427">
        <v>0</v>
      </c>
      <c r="AJ26" s="427">
        <v>0</v>
      </c>
      <c r="AK26" s="427">
        <v>0</v>
      </c>
      <c r="AL26" s="427">
        <v>0</v>
      </c>
      <c r="AM26" s="427">
        <v>0</v>
      </c>
      <c r="AN26" s="427">
        <v>0</v>
      </c>
      <c r="AO26" s="427">
        <v>0</v>
      </c>
      <c r="AP26" s="427">
        <v>0</v>
      </c>
      <c r="AQ26" s="427">
        <v>0</v>
      </c>
      <c r="AR26" s="427">
        <v>0</v>
      </c>
      <c r="AS26" s="427">
        <v>0</v>
      </c>
      <c r="AT26" s="427">
        <v>0</v>
      </c>
      <c r="AU26" s="427">
        <v>0</v>
      </c>
      <c r="AV26" s="427">
        <v>0</v>
      </c>
      <c r="AW26" s="427">
        <v>0</v>
      </c>
      <c r="AX26" s="427">
        <v>0</v>
      </c>
      <c r="AY26" s="427">
        <v>0</v>
      </c>
      <c r="AZ26" s="427">
        <v>0</v>
      </c>
      <c r="BA26" s="427">
        <v>0</v>
      </c>
      <c r="BB26" s="427">
        <v>0</v>
      </c>
      <c r="BC26" s="427">
        <v>0</v>
      </c>
      <c r="BD26" s="427">
        <v>114565</v>
      </c>
      <c r="BE26" s="427">
        <f>323939+30000-10015-20015</f>
        <v>323909</v>
      </c>
      <c r="BF26" s="427">
        <v>-639476</v>
      </c>
      <c r="BG26" s="427">
        <v>-857880</v>
      </c>
      <c r="BH26" s="427">
        <v>-857880</v>
      </c>
      <c r="BI26" s="427">
        <v>-986891</v>
      </c>
      <c r="BJ26" s="427">
        <v>-1037404</v>
      </c>
      <c r="BK26" s="427">
        <v>-830111</v>
      </c>
      <c r="BL26" s="427">
        <v>-759191</v>
      </c>
      <c r="BM26" s="427">
        <f t="shared" ref="BM26:BT26" si="121">BL26</f>
        <v>-759191</v>
      </c>
      <c r="BN26" s="427">
        <f t="shared" si="121"/>
        <v>-759191</v>
      </c>
      <c r="BO26" s="427">
        <f t="shared" si="121"/>
        <v>-759191</v>
      </c>
      <c r="BP26" s="427">
        <f t="shared" si="121"/>
        <v>-759191</v>
      </c>
      <c r="BQ26" s="427">
        <v>-1067596</v>
      </c>
      <c r="BR26" s="427">
        <f t="shared" si="121"/>
        <v>-1067596</v>
      </c>
      <c r="BS26" s="427">
        <f t="shared" si="121"/>
        <v>-1067596</v>
      </c>
      <c r="BT26" s="427">
        <f t="shared" si="121"/>
        <v>-1067596</v>
      </c>
      <c r="BU26" s="427">
        <v>-1290000</v>
      </c>
      <c r="BV26" s="427">
        <v>-720000</v>
      </c>
      <c r="BW26" s="427">
        <v>-680000</v>
      </c>
      <c r="BX26" s="427">
        <v>-760000</v>
      </c>
      <c r="BY26" s="427">
        <v>-880000</v>
      </c>
      <c r="BZ26" s="427">
        <v>-599426</v>
      </c>
      <c r="CA26" s="427">
        <v>-804118</v>
      </c>
      <c r="CB26" s="427">
        <v>4317</v>
      </c>
      <c r="CC26" s="427">
        <v>-157573</v>
      </c>
      <c r="CD26" s="427">
        <f t="shared" ref="CD26:DA26" si="122">CC26</f>
        <v>-157573</v>
      </c>
      <c r="CE26" s="427">
        <v>99707</v>
      </c>
      <c r="CF26" s="427">
        <f t="shared" si="122"/>
        <v>99707</v>
      </c>
      <c r="CG26" s="482">
        <v>51846</v>
      </c>
      <c r="CH26" s="482">
        <v>60996</v>
      </c>
      <c r="CI26" s="427">
        <v>60000</v>
      </c>
      <c r="CJ26" s="427">
        <v>44000</v>
      </c>
      <c r="CK26" s="427">
        <v>45914</v>
      </c>
      <c r="CL26" s="427">
        <v>116951</v>
      </c>
      <c r="CM26" s="427">
        <v>77812</v>
      </c>
      <c r="CN26" s="427">
        <f>CM26+150000-CN11</f>
        <v>196963</v>
      </c>
      <c r="CO26" s="427">
        <v>195819</v>
      </c>
      <c r="CP26" s="427">
        <f t="shared" si="122"/>
        <v>195819</v>
      </c>
      <c r="CQ26" s="427">
        <v>150000</v>
      </c>
      <c r="CR26" s="427">
        <v>5700</v>
      </c>
      <c r="CS26" s="427">
        <f t="shared" si="122"/>
        <v>5700</v>
      </c>
      <c r="CT26" s="427">
        <f t="shared" si="122"/>
        <v>5700</v>
      </c>
      <c r="CU26" s="427">
        <f>58240+99900-CU11-16000-CU18-6000-3000-6400-20000</f>
        <v>40239</v>
      </c>
      <c r="CV26" s="427">
        <f>39489-36161</f>
        <v>3328</v>
      </c>
      <c r="CW26" s="427">
        <f>77078-CW18-CW11</f>
        <v>12012</v>
      </c>
      <c r="CX26" s="427">
        <v>89330</v>
      </c>
      <c r="CY26" s="427">
        <f>141210-CY16-CY14-CY11-36161</f>
        <v>37466</v>
      </c>
      <c r="CZ26" s="427">
        <f>83545-CZ11-CZ16</f>
        <v>29580</v>
      </c>
      <c r="DA26" s="427">
        <f t="shared" si="122"/>
        <v>29580</v>
      </c>
      <c r="DB26" s="427">
        <f>76180-10000-13130-36680</f>
        <v>16370</v>
      </c>
      <c r="DC26" s="427">
        <f>126126-DC16-DC11-DC12-36161-10000+20000-2000</f>
        <v>3886</v>
      </c>
      <c r="DD26" s="427">
        <f>144739-DD16-DD12-10000-36161-DD11+20000-DD14-3000</f>
        <v>7303</v>
      </c>
      <c r="DE26" s="427">
        <f>154154-2000-DE11-DE16-DE12-36161</f>
        <v>25157</v>
      </c>
      <c r="DF26" s="427">
        <f>159992-6000-36161-22000-DF16-DF11-10000-7000</f>
        <v>27522</v>
      </c>
      <c r="DG26" s="427">
        <f>154000-36161-DG9-DG12-DG14-5000-DG16-DG11-1000</f>
        <v>18585</v>
      </c>
      <c r="DH26" s="427">
        <f>214915-DH9-36161-6500-DH14-DH12-DH11-DH16+3000</f>
        <v>429</v>
      </c>
      <c r="DI26" s="427">
        <f>191277-36161-DI9-DI12-DI16-DI11</f>
        <v>81319</v>
      </c>
      <c r="DJ26" s="427">
        <f>66105-DJ9-DJ12-36161-DJ14+60000-DJ11-DJ16-5000</f>
        <v>9649</v>
      </c>
      <c r="DK26" s="427">
        <f>130586-36161-DK14-5000-DK12-DK11-DK16+19000-6000</f>
        <v>10801</v>
      </c>
      <c r="DL26" s="427">
        <f>106342-DL14-5000-DL9-DL12-DL11-DL16</f>
        <v>6730</v>
      </c>
      <c r="DM26" s="427">
        <f>188250-DM9-DM12-DM14-5000-DM11-DM16</f>
        <v>31650</v>
      </c>
      <c r="DN26" s="427">
        <f>132502-5000-10000-DN9-DN12-DN16-DN11</f>
        <v>24754</v>
      </c>
      <c r="DO26" s="427">
        <f>125608-DO9-DO12-DO14-DO16-DO11</f>
        <v>52447</v>
      </c>
      <c r="DP26" s="427">
        <f>152312-DP14-DP9-DP12-DP16-DP11</f>
        <v>41184</v>
      </c>
      <c r="DQ26" s="427">
        <f>178786-DQ9-DQ12-DQ14-DQ16-DQ11</f>
        <v>68973</v>
      </c>
      <c r="DR26" s="427">
        <f>162264-DR9-DR12-DR14-DR16-DR11</f>
        <v>34575</v>
      </c>
      <c r="DS26" s="427">
        <f>135452-DS9-DS12-DS14-DS16-DS11</f>
        <v>71953</v>
      </c>
      <c r="DT26" s="427">
        <f>172869-DT9-DT12-DT14-DT16-DT11-DT44</f>
        <v>79452</v>
      </c>
      <c r="DU26" s="427">
        <f>160316-14000-DU9-DU12-DU14-DU16-DU11</f>
        <v>67279</v>
      </c>
      <c r="DV26" s="427">
        <f>103146-DV9-DV12-DV14-DV16-DV11</f>
        <v>29504</v>
      </c>
      <c r="DW26" s="427">
        <f>125608-DW9-DW12-DW14-DW16-DW11</f>
        <v>51966</v>
      </c>
      <c r="DX26" s="427">
        <f>125608-DX9-DX12-DX14-DX16-DX11</f>
        <v>51966</v>
      </c>
    </row>
    <row r="27" spans="1:196" ht="13.5" customHeight="1" thickBot="1">
      <c r="J27" s="355">
        <f>SUM(J24:J25)</f>
        <v>0</v>
      </c>
      <c r="M27" s="335">
        <f>SUM(M24:M25)</f>
        <v>0</v>
      </c>
      <c r="N27" s="355">
        <f>SUM(N24:N25)</f>
        <v>0</v>
      </c>
      <c r="O27" s="335">
        <f>SUM(O24:O25)</f>
        <v>0</v>
      </c>
      <c r="P27" s="429">
        <f t="shared" ref="P27:Z27" si="123">SUM(P24:P26)</f>
        <v>0</v>
      </c>
      <c r="Q27" s="429">
        <f t="shared" si="123"/>
        <v>0</v>
      </c>
      <c r="R27" s="429">
        <f t="shared" si="123"/>
        <v>52588</v>
      </c>
      <c r="S27" s="430">
        <f t="shared" si="123"/>
        <v>124717</v>
      </c>
      <c r="T27" s="429">
        <f t="shared" si="123"/>
        <v>1187</v>
      </c>
      <c r="U27" s="429">
        <f t="shared" si="123"/>
        <v>34246</v>
      </c>
      <c r="V27" s="429">
        <f t="shared" si="123"/>
        <v>110000</v>
      </c>
      <c r="W27" s="429">
        <f t="shared" si="123"/>
        <v>182954</v>
      </c>
      <c r="X27" s="429">
        <f t="shared" si="123"/>
        <v>210000</v>
      </c>
      <c r="Y27" s="429">
        <f t="shared" si="123"/>
        <v>307977</v>
      </c>
      <c r="Z27" s="429">
        <f t="shared" si="123"/>
        <v>302491</v>
      </c>
      <c r="AA27" s="429">
        <f t="shared" ref="AA27:AL27" si="124">SUM(AA24:AA26)</f>
        <v>569537</v>
      </c>
      <c r="AB27" s="429">
        <f t="shared" si="124"/>
        <v>542501</v>
      </c>
      <c r="AC27" s="429">
        <f t="shared" si="124"/>
        <v>610725</v>
      </c>
      <c r="AD27" s="429">
        <f t="shared" si="124"/>
        <v>605195</v>
      </c>
      <c r="AE27" s="429">
        <f t="shared" si="124"/>
        <v>672696</v>
      </c>
      <c r="AF27" s="429">
        <f t="shared" si="124"/>
        <v>807032</v>
      </c>
      <c r="AG27" s="429">
        <f t="shared" si="124"/>
        <v>707207</v>
      </c>
      <c r="AH27" s="429">
        <f t="shared" si="124"/>
        <v>516320</v>
      </c>
      <c r="AI27" s="429">
        <f t="shared" si="124"/>
        <v>899083</v>
      </c>
      <c r="AJ27" s="429">
        <f t="shared" si="124"/>
        <v>877766</v>
      </c>
      <c r="AK27" s="429">
        <f t="shared" si="124"/>
        <v>920639</v>
      </c>
      <c r="AL27" s="429">
        <f t="shared" si="124"/>
        <v>917131</v>
      </c>
      <c r="AM27" s="429">
        <f t="shared" ref="AM27:AV27" si="125">SUM(AM24:AM26)</f>
        <v>1200300</v>
      </c>
      <c r="AN27" s="429">
        <f t="shared" si="125"/>
        <v>1349945</v>
      </c>
      <c r="AO27" s="429">
        <f t="shared" si="125"/>
        <v>675122</v>
      </c>
      <c r="AP27" s="429">
        <f>SUM(AP24:AP26)</f>
        <v>482882</v>
      </c>
      <c r="AQ27" s="429">
        <f t="shared" si="125"/>
        <v>502879</v>
      </c>
      <c r="AR27" s="429">
        <f t="shared" si="125"/>
        <v>638142</v>
      </c>
      <c r="AS27" s="429">
        <f t="shared" si="125"/>
        <v>639321</v>
      </c>
      <c r="AT27" s="429">
        <f t="shared" si="125"/>
        <v>686439</v>
      </c>
      <c r="AU27" s="429">
        <f t="shared" si="125"/>
        <v>856755</v>
      </c>
      <c r="AV27" s="429">
        <f t="shared" si="125"/>
        <v>855017</v>
      </c>
      <c r="AW27" s="429">
        <f t="shared" ref="AW27:AX27" si="126">SUM(AW24:AW26)</f>
        <v>861911</v>
      </c>
      <c r="AX27" s="429">
        <f t="shared" si="126"/>
        <v>895467</v>
      </c>
      <c r="AY27" s="429">
        <f t="shared" ref="AY27:BB27" si="127">SUM(AY24:AY26)</f>
        <v>1125821</v>
      </c>
      <c r="AZ27" s="429">
        <f t="shared" si="127"/>
        <v>1452739</v>
      </c>
      <c r="BA27" s="429">
        <f t="shared" si="127"/>
        <v>224989</v>
      </c>
      <c r="BB27" s="429">
        <f t="shared" si="127"/>
        <v>193123</v>
      </c>
      <c r="BC27" s="429">
        <f t="shared" ref="BC27:BD27" si="128">SUM(BC24:BC26)</f>
        <v>257863</v>
      </c>
      <c r="BD27" s="429">
        <f t="shared" si="128"/>
        <v>705572</v>
      </c>
      <c r="BE27" s="429">
        <f t="shared" ref="BE27:BF27" si="129">SUM(BE24:BE26)</f>
        <v>324245</v>
      </c>
      <c r="BF27" s="429">
        <f t="shared" si="129"/>
        <v>-580664</v>
      </c>
      <c r="BG27" s="429">
        <f t="shared" ref="BG27:BH27" si="130">SUM(BG24:BG26)</f>
        <v>-851321</v>
      </c>
      <c r="BH27" s="429">
        <f t="shared" si="130"/>
        <v>-851052</v>
      </c>
      <c r="BI27" s="429">
        <f t="shared" ref="BI27:BJ27" si="131">SUM(BI24:BI26)</f>
        <v>-980063</v>
      </c>
      <c r="BJ27" s="429">
        <f t="shared" si="131"/>
        <v>-1017072</v>
      </c>
      <c r="BK27" s="429">
        <f t="shared" ref="BK27:BL27" si="132">SUM(BK24:BK26)</f>
        <v>-775243</v>
      </c>
      <c r="BL27" s="429">
        <f t="shared" si="132"/>
        <v>-738859</v>
      </c>
      <c r="BM27" s="429">
        <f t="shared" ref="BM27:BN27" si="133">SUM(BM24:BM26)</f>
        <v>-738859</v>
      </c>
      <c r="BN27" s="429">
        <f t="shared" si="133"/>
        <v>-738859</v>
      </c>
      <c r="BO27" s="429">
        <f t="shared" ref="BO27:BP27" si="134">SUM(BO24:BO26)</f>
        <v>-738859</v>
      </c>
      <c r="BP27" s="429">
        <f t="shared" si="134"/>
        <v>-739191</v>
      </c>
      <c r="BQ27" s="429">
        <f t="shared" ref="BQ27:BS27" si="135">SUM(BQ24:BQ26)</f>
        <v>-914842</v>
      </c>
      <c r="BR27" s="429">
        <f t="shared" si="135"/>
        <v>-1047596</v>
      </c>
      <c r="BS27" s="429">
        <f t="shared" si="135"/>
        <v>-1047596</v>
      </c>
      <c r="BT27" s="429">
        <f t="shared" ref="BT27:BV27" si="136">SUM(BT24:BT26)</f>
        <v>-1047596</v>
      </c>
      <c r="BU27" s="429">
        <f t="shared" si="136"/>
        <v>-1270000</v>
      </c>
      <c r="BV27" s="429">
        <f t="shared" si="136"/>
        <v>-700000</v>
      </c>
      <c r="BW27" s="429">
        <f t="shared" ref="BW27:BX27" si="137">SUM(BW24:BW26)</f>
        <v>-660000</v>
      </c>
      <c r="BX27" s="429">
        <f t="shared" si="137"/>
        <v>-740000</v>
      </c>
      <c r="BY27" s="429">
        <f t="shared" ref="BY27:CB27" si="138">SUM(BY24:BY26)</f>
        <v>-860000</v>
      </c>
      <c r="BZ27" s="429">
        <f t="shared" si="138"/>
        <v>-599426</v>
      </c>
      <c r="CA27" s="429">
        <f t="shared" si="138"/>
        <v>-804118</v>
      </c>
      <c r="CB27" s="429">
        <f t="shared" si="138"/>
        <v>120115</v>
      </c>
      <c r="CC27" s="429">
        <f t="shared" ref="CC27:CH27" si="139">SUM(CC24:CC26)</f>
        <v>-63667</v>
      </c>
      <c r="CD27" s="429">
        <f t="shared" si="139"/>
        <v>842427</v>
      </c>
      <c r="CE27" s="429">
        <f t="shared" si="139"/>
        <v>1349707</v>
      </c>
      <c r="CF27" s="429">
        <f t="shared" si="139"/>
        <v>1699707</v>
      </c>
      <c r="CG27" s="429">
        <f t="shared" si="139"/>
        <v>2446761</v>
      </c>
      <c r="CH27" s="429">
        <f t="shared" si="139"/>
        <v>2054011</v>
      </c>
      <c r="CI27" s="429">
        <f t="shared" ref="CI27:CK27" si="140">SUM(CI24:CI26)</f>
        <v>2053015</v>
      </c>
      <c r="CJ27" s="429">
        <f t="shared" si="140"/>
        <v>1290654</v>
      </c>
      <c r="CK27" s="429">
        <f t="shared" si="140"/>
        <v>1266453</v>
      </c>
      <c r="CL27" s="429">
        <f t="shared" ref="CL27:CM27" si="141">SUM(CL24:CL26)</f>
        <v>1384891</v>
      </c>
      <c r="CM27" s="429">
        <f t="shared" si="141"/>
        <v>1247483</v>
      </c>
      <c r="CN27" s="429">
        <f t="shared" ref="CN27:CO27" si="142">SUM(CN24:CN26)</f>
        <v>1335206</v>
      </c>
      <c r="CO27" s="429">
        <f t="shared" si="142"/>
        <v>980090</v>
      </c>
      <c r="CP27" s="429">
        <f t="shared" ref="CP27:CT27" si="143">SUM(CP24:CP26)</f>
        <v>861819</v>
      </c>
      <c r="CQ27" s="429">
        <f t="shared" si="143"/>
        <v>863030</v>
      </c>
      <c r="CR27" s="429">
        <f t="shared" si="143"/>
        <v>636084</v>
      </c>
      <c r="CS27" s="429">
        <f t="shared" si="143"/>
        <v>636084</v>
      </c>
      <c r="CT27" s="429">
        <f t="shared" si="143"/>
        <v>636084</v>
      </c>
      <c r="CU27" s="429">
        <f>SUM(CU24:CU26)</f>
        <v>40282</v>
      </c>
      <c r="CV27" s="429">
        <f t="shared" ref="CV27:CW27" si="144">SUM(CV24:CV26)</f>
        <v>11223</v>
      </c>
      <c r="CW27" s="429">
        <f t="shared" si="144"/>
        <v>617414</v>
      </c>
      <c r="CX27" s="429">
        <f t="shared" ref="CX27:CZ27" si="145">SUM(CX24:CX26)</f>
        <v>714035</v>
      </c>
      <c r="CY27" s="429">
        <f t="shared" si="145"/>
        <v>633866</v>
      </c>
      <c r="CZ27" s="429">
        <f t="shared" si="145"/>
        <v>638040</v>
      </c>
      <c r="DA27" s="429">
        <f t="shared" ref="DA27:DF27" si="146">SUM(DA24:DA26)</f>
        <v>638040</v>
      </c>
      <c r="DB27" s="429">
        <f t="shared" si="146"/>
        <v>420222</v>
      </c>
      <c r="DC27" s="429">
        <f t="shared" si="146"/>
        <v>490854</v>
      </c>
      <c r="DD27" s="429">
        <f t="shared" si="146"/>
        <v>494378</v>
      </c>
      <c r="DE27" s="429">
        <f t="shared" si="146"/>
        <v>506519</v>
      </c>
      <c r="DF27" s="429">
        <f t="shared" si="146"/>
        <v>470527</v>
      </c>
      <c r="DG27" s="429">
        <f t="shared" ref="DG27:DH27" si="147">SUM(DG24:DG26)</f>
        <v>762734</v>
      </c>
      <c r="DH27" s="429">
        <f t="shared" si="147"/>
        <v>352936</v>
      </c>
      <c r="DI27" s="429">
        <f t="shared" ref="DI27:DK27" si="148">SUM(DI24:DI26)</f>
        <v>364237</v>
      </c>
      <c r="DJ27" s="429">
        <f t="shared" si="148"/>
        <v>381840</v>
      </c>
      <c r="DK27" s="429">
        <f t="shared" si="148"/>
        <v>376980</v>
      </c>
      <c r="DL27" s="429">
        <f t="shared" ref="DL27:DN27" si="149">SUM(DL24:DL26)</f>
        <v>1000158</v>
      </c>
      <c r="DM27" s="429">
        <f t="shared" si="149"/>
        <v>959935</v>
      </c>
      <c r="DN27" s="429">
        <f t="shared" si="149"/>
        <v>933178</v>
      </c>
      <c r="DO27" s="429">
        <f t="shared" ref="DO27:DR27" si="150">SUM(DO24:DO26)</f>
        <v>672284</v>
      </c>
      <c r="DP27" s="429">
        <f t="shared" si="150"/>
        <v>679191</v>
      </c>
      <c r="DQ27" s="429">
        <f t="shared" si="150"/>
        <v>673709</v>
      </c>
      <c r="DR27" s="429">
        <f t="shared" si="150"/>
        <v>614797</v>
      </c>
      <c r="DS27" s="429">
        <f t="shared" ref="DS27:DU27" si="151">SUM(DS24:DS26)</f>
        <v>683755</v>
      </c>
      <c r="DT27" s="429">
        <f t="shared" si="151"/>
        <v>565461</v>
      </c>
      <c r="DU27" s="429">
        <f t="shared" si="151"/>
        <v>598972</v>
      </c>
      <c r="DV27" s="429">
        <f t="shared" ref="DV27:DX27" si="152">SUM(DV24:DV26)</f>
        <v>501200</v>
      </c>
      <c r="DW27" s="429">
        <f t="shared" si="152"/>
        <v>523662</v>
      </c>
      <c r="DX27" s="429">
        <f t="shared" si="152"/>
        <v>523662</v>
      </c>
    </row>
    <row r="28" spans="1:196" ht="13.5" customHeight="1" thickTop="1">
      <c r="J28" s="356" t="s">
        <v>164</v>
      </c>
      <c r="M28" s="258" t="s">
        <v>155</v>
      </c>
      <c r="N28" s="356" t="s">
        <v>164</v>
      </c>
      <c r="O28" s="258" t="s">
        <v>164</v>
      </c>
      <c r="P28" s="422">
        <v>0</v>
      </c>
      <c r="Q28" s="422">
        <v>0</v>
      </c>
      <c r="R28" s="422">
        <v>0</v>
      </c>
      <c r="S28" s="426">
        <f>S8</f>
        <v>0</v>
      </c>
      <c r="T28" s="422">
        <v>0</v>
      </c>
      <c r="U28" s="422">
        <v>0</v>
      </c>
      <c r="V28" s="422">
        <v>0</v>
      </c>
      <c r="W28" s="422">
        <v>0</v>
      </c>
      <c r="X28" s="422">
        <v>0</v>
      </c>
      <c r="Y28" s="422">
        <v>0</v>
      </c>
      <c r="Z28" s="422">
        <v>0</v>
      </c>
      <c r="AA28" s="422">
        <v>0</v>
      </c>
      <c r="AB28" s="422">
        <v>0</v>
      </c>
      <c r="AC28" s="422">
        <v>0</v>
      </c>
      <c r="AD28" s="422">
        <v>0</v>
      </c>
      <c r="AE28" s="422">
        <v>0</v>
      </c>
      <c r="AF28" s="422">
        <v>0</v>
      </c>
      <c r="AG28" s="422">
        <v>0</v>
      </c>
      <c r="AH28" s="422">
        <v>0</v>
      </c>
      <c r="AI28" s="422">
        <v>0</v>
      </c>
      <c r="AJ28" s="422">
        <v>0</v>
      </c>
      <c r="AK28" s="422">
        <v>0</v>
      </c>
      <c r="AL28" s="422">
        <v>0</v>
      </c>
      <c r="AM28" s="422">
        <v>0</v>
      </c>
      <c r="AN28" s="422">
        <v>0</v>
      </c>
      <c r="AO28" s="422">
        <v>0</v>
      </c>
      <c r="AP28" s="422">
        <v>0</v>
      </c>
      <c r="AQ28" s="422">
        <v>0</v>
      </c>
      <c r="AR28" s="422">
        <v>0</v>
      </c>
      <c r="AS28" s="422">
        <v>0</v>
      </c>
      <c r="AT28" s="422">
        <v>0</v>
      </c>
      <c r="AU28" s="422">
        <v>0</v>
      </c>
      <c r="AV28" s="422">
        <v>0</v>
      </c>
      <c r="AW28" s="422">
        <v>0</v>
      </c>
      <c r="AX28" s="422">
        <v>0</v>
      </c>
      <c r="AY28" s="422">
        <v>0</v>
      </c>
      <c r="AZ28" s="422">
        <v>0</v>
      </c>
      <c r="BA28" s="422">
        <v>0</v>
      </c>
      <c r="BB28" s="422">
        <v>0</v>
      </c>
      <c r="BC28" s="422">
        <v>0</v>
      </c>
      <c r="BD28" s="422">
        <v>0</v>
      </c>
      <c r="BE28" s="422" t="s">
        <v>243</v>
      </c>
      <c r="BF28" s="422">
        <v>0</v>
      </c>
      <c r="BG28" s="422">
        <v>0</v>
      </c>
      <c r="BH28" s="422">
        <v>0</v>
      </c>
      <c r="BI28" s="422">
        <v>0</v>
      </c>
      <c r="BJ28" s="422">
        <v>0</v>
      </c>
      <c r="BK28" s="422">
        <v>0</v>
      </c>
      <c r="BL28" s="422">
        <v>0</v>
      </c>
      <c r="BM28" s="422">
        <v>0</v>
      </c>
      <c r="BN28" s="422">
        <v>0</v>
      </c>
      <c r="BO28" s="422">
        <v>0</v>
      </c>
      <c r="BP28" s="422">
        <v>0</v>
      </c>
      <c r="BQ28" s="422">
        <v>0</v>
      </c>
      <c r="BR28" s="422">
        <v>0</v>
      </c>
      <c r="BS28" s="456">
        <v>0</v>
      </c>
      <c r="BT28" s="422">
        <v>0</v>
      </c>
      <c r="BU28" s="422">
        <v>0</v>
      </c>
      <c r="BV28" s="422">
        <v>0</v>
      </c>
      <c r="BW28" s="422">
        <v>0</v>
      </c>
      <c r="BX28" s="422">
        <v>0</v>
      </c>
      <c r="BY28" s="422">
        <v>0</v>
      </c>
      <c r="BZ28" s="422">
        <v>0</v>
      </c>
      <c r="CA28" s="422">
        <v>0</v>
      </c>
      <c r="CB28" s="422">
        <v>0</v>
      </c>
      <c r="CC28" s="422">
        <v>0</v>
      </c>
      <c r="CD28" s="422">
        <v>0</v>
      </c>
      <c r="CE28" s="422">
        <v>0</v>
      </c>
      <c r="CF28" s="422">
        <v>0</v>
      </c>
      <c r="CG28" s="422">
        <v>0</v>
      </c>
      <c r="CH28" s="484" t="s">
        <v>274</v>
      </c>
      <c r="CI28" s="422">
        <v>0</v>
      </c>
      <c r="CJ28" s="422">
        <v>0</v>
      </c>
      <c r="CK28" s="422">
        <v>0</v>
      </c>
      <c r="CL28" s="422">
        <v>0</v>
      </c>
      <c r="CM28" s="422">
        <v>0</v>
      </c>
      <c r="CN28" s="422">
        <v>0</v>
      </c>
      <c r="CO28" s="422">
        <v>0</v>
      </c>
      <c r="CP28" s="422">
        <v>0</v>
      </c>
      <c r="CQ28" s="422">
        <v>0</v>
      </c>
      <c r="CR28" s="422">
        <v>0</v>
      </c>
      <c r="CS28" s="422">
        <v>0</v>
      </c>
      <c r="CT28" s="422">
        <v>0</v>
      </c>
      <c r="CU28" s="422">
        <v>0</v>
      </c>
      <c r="CV28" s="422">
        <v>0</v>
      </c>
      <c r="CW28" s="422">
        <v>0</v>
      </c>
      <c r="CX28" s="422">
        <v>0</v>
      </c>
      <c r="CY28" s="422">
        <v>0</v>
      </c>
      <c r="CZ28" s="422">
        <v>0</v>
      </c>
      <c r="DA28" s="422">
        <v>0</v>
      </c>
      <c r="DB28" s="422">
        <v>0</v>
      </c>
      <c r="DC28" s="422">
        <v>0</v>
      </c>
      <c r="DD28" s="422">
        <v>0</v>
      </c>
      <c r="DE28" s="422">
        <v>0</v>
      </c>
      <c r="DF28" s="422">
        <v>0</v>
      </c>
      <c r="DG28" s="422">
        <v>0</v>
      </c>
      <c r="DH28" s="422">
        <v>0</v>
      </c>
      <c r="DI28" s="422">
        <v>0</v>
      </c>
      <c r="DJ28" s="422">
        <v>0</v>
      </c>
      <c r="DK28" s="422">
        <v>0</v>
      </c>
      <c r="DL28" s="422">
        <v>0</v>
      </c>
      <c r="DM28" s="422">
        <v>0</v>
      </c>
      <c r="DN28" s="422">
        <v>0</v>
      </c>
      <c r="DO28" s="422">
        <v>0</v>
      </c>
      <c r="DP28" s="422">
        <v>0</v>
      </c>
      <c r="DQ28" s="422">
        <v>0</v>
      </c>
      <c r="DR28" s="422">
        <v>0</v>
      </c>
      <c r="DS28" s="422">
        <v>0</v>
      </c>
      <c r="DT28" s="422">
        <v>0</v>
      </c>
      <c r="DU28" s="422">
        <v>0</v>
      </c>
      <c r="DV28" s="422">
        <v>0</v>
      </c>
      <c r="DW28" s="422">
        <f t="shared" ref="DV28:DX28" si="153">DW8</f>
        <v>5992</v>
      </c>
      <c r="DX28" s="422">
        <f t="shared" si="153"/>
        <v>5992</v>
      </c>
    </row>
    <row r="29" spans="1:196" ht="13.5" hidden="1" customHeight="1">
      <c r="J29" s="356" t="s">
        <v>156</v>
      </c>
      <c r="M29" s="258" t="s">
        <v>156</v>
      </c>
      <c r="N29" s="356" t="s">
        <v>156</v>
      </c>
      <c r="O29" s="258" t="s">
        <v>156</v>
      </c>
      <c r="P29" s="422">
        <v>0</v>
      </c>
      <c r="Q29" s="422">
        <v>0</v>
      </c>
      <c r="R29" s="422">
        <v>0</v>
      </c>
      <c r="S29" s="426">
        <v>0</v>
      </c>
      <c r="T29" s="422">
        <f>T9</f>
        <v>0</v>
      </c>
      <c r="U29" s="422">
        <f t="shared" ref="U29:Z29" si="154">U9</f>
        <v>0</v>
      </c>
      <c r="V29" s="422">
        <f t="shared" si="154"/>
        <v>0</v>
      </c>
      <c r="W29" s="422">
        <f t="shared" si="154"/>
        <v>0</v>
      </c>
      <c r="X29" s="422">
        <f t="shared" si="154"/>
        <v>0</v>
      </c>
      <c r="Y29" s="422">
        <f t="shared" si="154"/>
        <v>0</v>
      </c>
      <c r="Z29" s="422">
        <f t="shared" si="154"/>
        <v>0</v>
      </c>
      <c r="AA29" s="422">
        <f t="shared" ref="AA29:AL29" si="155">AA9</f>
        <v>0</v>
      </c>
      <c r="AB29" s="422">
        <f t="shared" si="155"/>
        <v>0</v>
      </c>
      <c r="AC29" s="422">
        <f t="shared" si="155"/>
        <v>0</v>
      </c>
      <c r="AD29" s="422">
        <f t="shared" si="155"/>
        <v>0</v>
      </c>
      <c r="AE29" s="422">
        <f t="shared" si="155"/>
        <v>0</v>
      </c>
      <c r="AF29" s="422">
        <f t="shared" si="155"/>
        <v>0</v>
      </c>
      <c r="AG29" s="422">
        <f t="shared" si="155"/>
        <v>0</v>
      </c>
      <c r="AH29" s="422">
        <f t="shared" si="155"/>
        <v>0</v>
      </c>
      <c r="AI29" s="422">
        <f t="shared" si="155"/>
        <v>0</v>
      </c>
      <c r="AJ29" s="422">
        <f t="shared" si="155"/>
        <v>0</v>
      </c>
      <c r="AK29" s="422">
        <f t="shared" si="155"/>
        <v>0</v>
      </c>
      <c r="AL29" s="422">
        <f t="shared" si="155"/>
        <v>0</v>
      </c>
      <c r="AM29" s="422">
        <f>AM9</f>
        <v>0</v>
      </c>
      <c r="AN29" s="422">
        <f t="shared" ref="AN29:AO31" si="156">AN9</f>
        <v>0</v>
      </c>
      <c r="AO29" s="422">
        <f t="shared" si="156"/>
        <v>0</v>
      </c>
      <c r="AP29" s="422">
        <f t="shared" ref="AP29:AQ29" si="157">AP9</f>
        <v>0</v>
      </c>
      <c r="AQ29" s="422">
        <f t="shared" si="157"/>
        <v>0</v>
      </c>
      <c r="AR29" s="422">
        <f t="shared" ref="AR29:AU29" si="158">AR9</f>
        <v>0</v>
      </c>
      <c r="AS29" s="422">
        <f t="shared" si="158"/>
        <v>0</v>
      </c>
      <c r="AT29" s="422">
        <f t="shared" si="158"/>
        <v>0</v>
      </c>
      <c r="AU29" s="422">
        <f t="shared" si="158"/>
        <v>0</v>
      </c>
      <c r="AV29" s="422">
        <f t="shared" ref="AV29:AW29" si="159">AV9</f>
        <v>0</v>
      </c>
      <c r="AW29" s="422">
        <f t="shared" si="159"/>
        <v>0</v>
      </c>
      <c r="AX29" s="422">
        <f t="shared" ref="AX29:AY29" si="160">AX9</f>
        <v>0</v>
      </c>
      <c r="AY29" s="422">
        <f t="shared" si="160"/>
        <v>0</v>
      </c>
      <c r="AZ29" s="422">
        <f t="shared" ref="AZ29:BB29" si="161">AZ9</f>
        <v>0</v>
      </c>
      <c r="BA29" s="422">
        <f t="shared" si="161"/>
        <v>0</v>
      </c>
      <c r="BB29" s="422">
        <f t="shared" si="161"/>
        <v>0</v>
      </c>
      <c r="BC29" s="422">
        <f t="shared" ref="BC29:BD29" si="162">BC9</f>
        <v>0</v>
      </c>
      <c r="BD29" s="422">
        <f t="shared" si="162"/>
        <v>0</v>
      </c>
      <c r="BE29" s="422">
        <f t="shared" ref="BE29:BF29" si="163">BE9</f>
        <v>0</v>
      </c>
      <c r="BF29" s="422">
        <f t="shared" si="163"/>
        <v>0</v>
      </c>
      <c r="BG29" s="422">
        <f t="shared" ref="BG29:BH29" si="164">BG9</f>
        <v>0</v>
      </c>
      <c r="BH29" s="422">
        <f t="shared" si="164"/>
        <v>0</v>
      </c>
      <c r="BI29" s="422">
        <f t="shared" ref="BI29:BJ29" si="165">BI9</f>
        <v>0</v>
      </c>
      <c r="BJ29" s="422">
        <f t="shared" si="165"/>
        <v>0</v>
      </c>
      <c r="BK29" s="422">
        <f t="shared" ref="BK29:BL29" si="166">BK9</f>
        <v>0</v>
      </c>
      <c r="BL29" s="422">
        <f t="shared" si="166"/>
        <v>0</v>
      </c>
      <c r="BM29" s="422">
        <f t="shared" ref="BM29:BN29" si="167">BM9</f>
        <v>0</v>
      </c>
      <c r="BN29" s="422">
        <f t="shared" si="167"/>
        <v>0</v>
      </c>
      <c r="BO29" s="422">
        <f t="shared" ref="BO29:BP29" si="168">BO9</f>
        <v>0</v>
      </c>
      <c r="BP29" s="422">
        <f t="shared" si="168"/>
        <v>1400</v>
      </c>
      <c r="BQ29" s="422">
        <f t="shared" ref="BQ29:BS29" si="169">BQ9</f>
        <v>9366</v>
      </c>
      <c r="BR29" s="422">
        <f t="shared" si="169"/>
        <v>7506</v>
      </c>
      <c r="BS29" s="422">
        <f t="shared" si="169"/>
        <v>2261</v>
      </c>
      <c r="BT29" s="422">
        <f t="shared" ref="BT29:BV29" si="170">BT9</f>
        <v>1490</v>
      </c>
      <c r="BU29" s="422">
        <f t="shared" si="170"/>
        <v>1400</v>
      </c>
      <c r="BV29" s="422">
        <f t="shared" si="170"/>
        <v>4346</v>
      </c>
      <c r="BW29" s="422">
        <f t="shared" ref="BW29:BX29" si="171">BW9</f>
        <v>0</v>
      </c>
      <c r="BX29" s="422">
        <f t="shared" si="171"/>
        <v>2010</v>
      </c>
      <c r="BY29" s="422">
        <f t="shared" ref="BY29:BZ29" si="172">BY9</f>
        <v>8047</v>
      </c>
      <c r="BZ29" s="422">
        <f t="shared" si="172"/>
        <v>2747</v>
      </c>
      <c r="CA29" s="422">
        <f t="shared" ref="CA29:CB29" si="173">CA9</f>
        <v>1050</v>
      </c>
      <c r="CB29" s="422">
        <f t="shared" si="173"/>
        <v>0</v>
      </c>
      <c r="CC29" s="422">
        <f t="shared" ref="CC29:CH29" si="174">CC9</f>
        <v>0</v>
      </c>
      <c r="CD29" s="422">
        <f t="shared" si="174"/>
        <v>0</v>
      </c>
      <c r="CE29" s="422">
        <f t="shared" si="174"/>
        <v>0</v>
      </c>
      <c r="CF29" s="422">
        <f t="shared" si="174"/>
        <v>0</v>
      </c>
      <c r="CG29" s="422">
        <f t="shared" si="174"/>
        <v>0</v>
      </c>
      <c r="CH29" s="422">
        <f t="shared" si="174"/>
        <v>0</v>
      </c>
      <c r="CI29" s="422">
        <f t="shared" ref="CI29:CK29" si="175">CI9</f>
        <v>0</v>
      </c>
      <c r="CJ29" s="422">
        <f t="shared" si="175"/>
        <v>0</v>
      </c>
      <c r="CK29" s="422">
        <f t="shared" si="175"/>
        <v>0</v>
      </c>
      <c r="CL29" s="422">
        <f t="shared" ref="CL29:CM29" si="176">CL9</f>
        <v>0</v>
      </c>
      <c r="CM29" s="422">
        <f t="shared" si="176"/>
        <v>0</v>
      </c>
      <c r="CN29" s="422">
        <f t="shared" ref="CN29:CO29" si="177">CN9</f>
        <v>0</v>
      </c>
      <c r="CO29" s="422">
        <f t="shared" si="177"/>
        <v>0</v>
      </c>
      <c r="CP29" s="422">
        <f t="shared" ref="CP29:CT29" si="178">CP9</f>
        <v>0</v>
      </c>
      <c r="CQ29" s="422">
        <f t="shared" si="178"/>
        <v>0</v>
      </c>
      <c r="CR29" s="422">
        <f t="shared" si="178"/>
        <v>0</v>
      </c>
      <c r="CS29" s="422">
        <f t="shared" si="178"/>
        <v>0</v>
      </c>
      <c r="CT29" s="422">
        <f t="shared" si="178"/>
        <v>0</v>
      </c>
      <c r="CU29" s="422">
        <f t="shared" ref="CU29:CW29" si="179">CU9</f>
        <v>0</v>
      </c>
      <c r="CV29" s="422">
        <f t="shared" si="179"/>
        <v>0</v>
      </c>
      <c r="CW29" s="422">
        <f t="shared" si="179"/>
        <v>0</v>
      </c>
      <c r="CX29" s="422">
        <f t="shared" ref="CX29:CZ29" si="180">CX9</f>
        <v>0</v>
      </c>
      <c r="CY29" s="422">
        <f t="shared" si="180"/>
        <v>0</v>
      </c>
      <c r="CZ29" s="422">
        <f t="shared" si="180"/>
        <v>0</v>
      </c>
      <c r="DA29" s="422">
        <f t="shared" ref="DA29:DF29" si="181">DA9</f>
        <v>0</v>
      </c>
      <c r="DB29" s="422">
        <f t="shared" si="181"/>
        <v>0</v>
      </c>
      <c r="DC29" s="422">
        <f t="shared" si="181"/>
        <v>0</v>
      </c>
      <c r="DD29" s="422">
        <f t="shared" si="181"/>
        <v>0</v>
      </c>
      <c r="DE29" s="422">
        <f t="shared" si="181"/>
        <v>0</v>
      </c>
      <c r="DF29" s="422">
        <f t="shared" si="181"/>
        <v>0</v>
      </c>
      <c r="DG29" s="422">
        <f t="shared" ref="DG29:DH29" si="182">DG9</f>
        <v>10069</v>
      </c>
      <c r="DH29" s="422">
        <f t="shared" si="182"/>
        <v>7637</v>
      </c>
      <c r="DI29" s="422">
        <f t="shared" ref="DI29:DK29" si="183">DI9</f>
        <v>11124</v>
      </c>
      <c r="DJ29" s="422">
        <f t="shared" si="183"/>
        <v>450</v>
      </c>
      <c r="DK29" s="422">
        <f t="shared" si="183"/>
        <v>-15</v>
      </c>
      <c r="DL29" s="422">
        <f t="shared" ref="DL29:DN29" si="184">DL9</f>
        <v>375</v>
      </c>
      <c r="DM29" s="422">
        <f t="shared" si="184"/>
        <v>20807</v>
      </c>
      <c r="DN29" s="422">
        <f t="shared" si="184"/>
        <v>9223</v>
      </c>
      <c r="DO29" s="422">
        <f t="shared" ref="DO29:DR29" si="185">DO9</f>
        <v>7826</v>
      </c>
      <c r="DP29" s="422">
        <f t="shared" si="185"/>
        <v>17503</v>
      </c>
      <c r="DQ29" s="422">
        <f t="shared" si="185"/>
        <v>43618</v>
      </c>
      <c r="DR29" s="422">
        <f t="shared" si="185"/>
        <v>38763</v>
      </c>
      <c r="DS29" s="422">
        <f t="shared" ref="DS29:DU29" si="186">DS9</f>
        <v>212</v>
      </c>
      <c r="DT29" s="422">
        <f t="shared" si="186"/>
        <v>3542</v>
      </c>
      <c r="DU29" s="422">
        <f t="shared" si="186"/>
        <v>5065</v>
      </c>
      <c r="DV29" s="422">
        <f t="shared" ref="DV29:DX29" si="187">DV9</f>
        <v>12518</v>
      </c>
      <c r="DW29" s="422">
        <f t="shared" si="187"/>
        <v>12518</v>
      </c>
      <c r="DX29" s="422">
        <f t="shared" si="187"/>
        <v>12518</v>
      </c>
    </row>
    <row r="30" spans="1:196" ht="13.5" customHeight="1">
      <c r="I30" s="310">
        <f>X10+X12</f>
        <v>16619</v>
      </c>
      <c r="J30" s="356" t="s">
        <v>157</v>
      </c>
      <c r="M30" s="258" t="s">
        <v>157</v>
      </c>
      <c r="N30" s="356" t="s">
        <v>157</v>
      </c>
      <c r="O30" s="258" t="s">
        <v>157</v>
      </c>
      <c r="P30" s="422">
        <v>0</v>
      </c>
      <c r="Q30" s="422">
        <v>0</v>
      </c>
      <c r="R30" s="422">
        <v>0</v>
      </c>
      <c r="S30" s="426">
        <v>0</v>
      </c>
      <c r="T30" s="422">
        <v>0</v>
      </c>
      <c r="U30" s="422">
        <v>0</v>
      </c>
      <c r="V30" s="422">
        <v>0</v>
      </c>
      <c r="W30" s="422">
        <v>0</v>
      </c>
      <c r="X30" s="422">
        <v>0</v>
      </c>
      <c r="Y30" s="422">
        <v>0</v>
      </c>
      <c r="Z30" s="422">
        <v>0</v>
      </c>
      <c r="AA30" s="422">
        <v>0</v>
      </c>
      <c r="AB30" s="422">
        <v>0</v>
      </c>
      <c r="AC30" s="422">
        <v>0</v>
      </c>
      <c r="AD30" s="422">
        <v>0</v>
      </c>
      <c r="AE30" s="422">
        <v>0</v>
      </c>
      <c r="AF30" s="422">
        <v>0</v>
      </c>
      <c r="AG30" s="422">
        <v>0</v>
      </c>
      <c r="AH30" s="422">
        <v>0</v>
      </c>
      <c r="AI30" s="422">
        <v>0</v>
      </c>
      <c r="AJ30" s="422">
        <v>0</v>
      </c>
      <c r="AK30" s="422">
        <v>0</v>
      </c>
      <c r="AL30" s="422">
        <v>0</v>
      </c>
      <c r="AM30" s="422">
        <v>0</v>
      </c>
      <c r="AN30" s="422">
        <v>0</v>
      </c>
      <c r="AO30" s="422">
        <v>0</v>
      </c>
      <c r="AP30" s="422">
        <v>0</v>
      </c>
      <c r="AQ30" s="422">
        <v>0</v>
      </c>
      <c r="AR30" s="422">
        <v>0</v>
      </c>
      <c r="AS30" s="422">
        <v>0</v>
      </c>
      <c r="AT30" s="422">
        <v>0</v>
      </c>
      <c r="AU30" s="422">
        <v>0</v>
      </c>
      <c r="AV30" s="422">
        <v>0</v>
      </c>
      <c r="AW30" s="422">
        <v>0</v>
      </c>
      <c r="AX30" s="422">
        <v>0</v>
      </c>
      <c r="AY30" s="422">
        <f t="shared" ref="AY30" si="188">AY10</f>
        <v>0</v>
      </c>
      <c r="AZ30" s="422">
        <v>0</v>
      </c>
      <c r="BA30" s="422">
        <v>0</v>
      </c>
      <c r="BB30" s="422">
        <f t="shared" ref="BB30" si="189">BB10</f>
        <v>0</v>
      </c>
      <c r="BC30" s="422">
        <v>0</v>
      </c>
      <c r="BD30" s="422">
        <v>0</v>
      </c>
      <c r="BE30" s="422" t="s">
        <v>244</v>
      </c>
      <c r="BF30" s="422">
        <f t="shared" ref="BF30" si="190">BF10</f>
        <v>0</v>
      </c>
      <c r="BG30" s="422">
        <v>0</v>
      </c>
      <c r="BH30" s="422">
        <v>0</v>
      </c>
      <c r="BI30" s="422">
        <v>0</v>
      </c>
      <c r="BJ30" s="422">
        <v>0</v>
      </c>
      <c r="BK30" s="422">
        <v>0</v>
      </c>
      <c r="BL30" s="422">
        <v>0</v>
      </c>
      <c r="BM30" s="422">
        <v>0</v>
      </c>
      <c r="BN30" s="422">
        <v>0</v>
      </c>
      <c r="BO30" s="422">
        <v>0</v>
      </c>
      <c r="BP30" s="422">
        <v>0</v>
      </c>
      <c r="BQ30" s="422">
        <v>0</v>
      </c>
      <c r="BR30" s="422">
        <v>0</v>
      </c>
      <c r="BS30" s="422">
        <v>0</v>
      </c>
      <c r="BT30" s="422">
        <v>0</v>
      </c>
      <c r="BU30" s="422">
        <v>0</v>
      </c>
      <c r="BV30" s="422">
        <v>0</v>
      </c>
      <c r="BW30" s="422">
        <v>0</v>
      </c>
      <c r="BX30" s="422">
        <v>0</v>
      </c>
      <c r="BY30" s="422">
        <v>0</v>
      </c>
      <c r="BZ30" s="422">
        <v>0</v>
      </c>
      <c r="CA30" s="422">
        <v>0</v>
      </c>
      <c r="CB30" s="422">
        <v>0</v>
      </c>
      <c r="CC30" s="422">
        <v>0</v>
      </c>
      <c r="CD30" s="422">
        <v>0</v>
      </c>
      <c r="CE30" s="422">
        <v>0</v>
      </c>
      <c r="CF30" s="422">
        <v>0</v>
      </c>
      <c r="CG30" s="484" t="s">
        <v>272</v>
      </c>
      <c r="CH30" s="422">
        <v>0</v>
      </c>
      <c r="CI30" s="422">
        <v>0</v>
      </c>
      <c r="CJ30" s="422">
        <v>0</v>
      </c>
      <c r="CK30" s="422">
        <v>0</v>
      </c>
      <c r="CL30" s="422">
        <v>0</v>
      </c>
      <c r="CM30" s="422">
        <v>0</v>
      </c>
      <c r="CN30" s="422">
        <v>0</v>
      </c>
      <c r="CO30" s="422">
        <v>0</v>
      </c>
      <c r="CP30" s="422">
        <v>0</v>
      </c>
      <c r="CQ30" s="422">
        <v>0</v>
      </c>
      <c r="CR30" s="422">
        <v>0</v>
      </c>
      <c r="CS30" s="495">
        <v>0</v>
      </c>
      <c r="CT30" s="422">
        <v>0</v>
      </c>
      <c r="CU30" s="422">
        <v>0</v>
      </c>
      <c r="CV30" s="422">
        <v>0</v>
      </c>
      <c r="CW30" s="422">
        <v>0</v>
      </c>
      <c r="CX30" s="589">
        <v>0</v>
      </c>
      <c r="CY30" s="589">
        <v>0</v>
      </c>
      <c r="CZ30" s="589">
        <v>0</v>
      </c>
      <c r="DA30" s="589">
        <v>0</v>
      </c>
      <c r="DB30" s="589">
        <v>0</v>
      </c>
      <c r="DC30" s="589">
        <v>0</v>
      </c>
      <c r="DD30" s="589">
        <v>0</v>
      </c>
      <c r="DE30" s="589">
        <v>0</v>
      </c>
      <c r="DF30" s="589">
        <v>0</v>
      </c>
      <c r="DG30" s="589">
        <v>0</v>
      </c>
      <c r="DH30" s="589">
        <v>0</v>
      </c>
      <c r="DI30" s="589">
        <v>0</v>
      </c>
      <c r="DJ30" s="589">
        <v>0</v>
      </c>
      <c r="DK30" s="589">
        <v>0</v>
      </c>
      <c r="DL30" s="589">
        <v>0</v>
      </c>
      <c r="DM30" s="589">
        <v>0</v>
      </c>
      <c r="DN30" s="589">
        <v>0</v>
      </c>
      <c r="DO30" s="589">
        <v>0</v>
      </c>
      <c r="DP30" s="589">
        <v>0</v>
      </c>
      <c r="DQ30" s="589">
        <v>0</v>
      </c>
      <c r="DR30" s="589">
        <v>0</v>
      </c>
      <c r="DS30" s="589">
        <v>0</v>
      </c>
      <c r="DT30" s="589">
        <v>0</v>
      </c>
      <c r="DU30" s="589">
        <v>0</v>
      </c>
      <c r="DV30" s="589">
        <v>0</v>
      </c>
      <c r="DW30" s="589">
        <f t="shared" ref="DV30:DX30" si="191">DW10</f>
        <v>3000</v>
      </c>
      <c r="DX30" s="589">
        <f t="shared" si="191"/>
        <v>3000</v>
      </c>
    </row>
    <row r="31" spans="1:196" ht="13.5" customHeight="1">
      <c r="J31" s="356" t="s">
        <v>172</v>
      </c>
      <c r="M31" s="258" t="s">
        <v>158</v>
      </c>
      <c r="N31" s="356" t="s">
        <v>172</v>
      </c>
      <c r="O31" s="258" t="s">
        <v>158</v>
      </c>
      <c r="P31" s="422">
        <v>0</v>
      </c>
      <c r="Q31" s="422">
        <v>0</v>
      </c>
      <c r="R31" s="422">
        <v>0</v>
      </c>
      <c r="S31" s="426">
        <v>0</v>
      </c>
      <c r="T31" s="422">
        <v>0</v>
      </c>
      <c r="U31" s="422">
        <v>0</v>
      </c>
      <c r="V31" s="422">
        <v>0</v>
      </c>
      <c r="W31" s="422">
        <v>0</v>
      </c>
      <c r="X31" s="422">
        <v>0</v>
      </c>
      <c r="Y31" s="422">
        <v>0</v>
      </c>
      <c r="Z31" s="422">
        <v>0</v>
      </c>
      <c r="AA31" s="422">
        <v>0</v>
      </c>
      <c r="AB31" s="422">
        <v>0</v>
      </c>
      <c r="AC31" s="422">
        <f t="shared" ref="AC31:AL31" si="192">AC11</f>
        <v>0</v>
      </c>
      <c r="AD31" s="422">
        <f t="shared" si="192"/>
        <v>0</v>
      </c>
      <c r="AE31" s="422">
        <f t="shared" si="192"/>
        <v>0</v>
      </c>
      <c r="AF31" s="422">
        <f t="shared" si="192"/>
        <v>0</v>
      </c>
      <c r="AG31" s="422">
        <f t="shared" si="192"/>
        <v>0</v>
      </c>
      <c r="AH31" s="422">
        <f t="shared" si="192"/>
        <v>0</v>
      </c>
      <c r="AI31" s="422">
        <f t="shared" si="192"/>
        <v>0</v>
      </c>
      <c r="AJ31" s="422">
        <f t="shared" si="192"/>
        <v>0</v>
      </c>
      <c r="AK31" s="422">
        <f t="shared" si="192"/>
        <v>0</v>
      </c>
      <c r="AL31" s="422">
        <f t="shared" si="192"/>
        <v>0</v>
      </c>
      <c r="AM31" s="422">
        <f>AM11</f>
        <v>0</v>
      </c>
      <c r="AN31" s="422">
        <f t="shared" si="156"/>
        <v>0</v>
      </c>
      <c r="AO31" s="422">
        <f t="shared" si="156"/>
        <v>0</v>
      </c>
      <c r="AP31" s="422">
        <f t="shared" ref="AP31" si="193">AP11</f>
        <v>0</v>
      </c>
      <c r="AQ31" s="422">
        <v>0</v>
      </c>
      <c r="AR31" s="422">
        <v>0</v>
      </c>
      <c r="AS31" s="422">
        <v>0</v>
      </c>
      <c r="AT31" s="422">
        <v>0</v>
      </c>
      <c r="AU31" s="422">
        <v>0</v>
      </c>
      <c r="AV31" s="422">
        <v>0</v>
      </c>
      <c r="AW31" s="422">
        <v>0</v>
      </c>
      <c r="AX31" s="422">
        <v>0</v>
      </c>
      <c r="AY31" s="422">
        <v>0</v>
      </c>
      <c r="AZ31" s="422">
        <v>0</v>
      </c>
      <c r="BA31" s="422">
        <v>0</v>
      </c>
      <c r="BB31" s="422">
        <v>0</v>
      </c>
      <c r="BC31" s="422">
        <v>0</v>
      </c>
      <c r="BD31" s="422">
        <v>0</v>
      </c>
      <c r="BE31" s="422">
        <v>0</v>
      </c>
      <c r="BF31" s="422">
        <v>0</v>
      </c>
      <c r="BG31" s="422">
        <f t="shared" ref="BG31" si="194">BG11</f>
        <v>0</v>
      </c>
      <c r="BH31" s="422">
        <v>0</v>
      </c>
      <c r="BI31" s="422">
        <v>0</v>
      </c>
      <c r="BJ31" s="422">
        <f t="shared" ref="BJ31" si="195">BJ11</f>
        <v>0</v>
      </c>
      <c r="BK31" s="422">
        <f>BK11</f>
        <v>0</v>
      </c>
      <c r="BL31" s="422">
        <f t="shared" ref="BL31:BM31" si="196">BL11</f>
        <v>0</v>
      </c>
      <c r="BM31" s="422">
        <f t="shared" si="196"/>
        <v>0</v>
      </c>
      <c r="BN31" s="422">
        <f t="shared" ref="BN31" si="197">BN11</f>
        <v>0</v>
      </c>
      <c r="BO31" s="422">
        <v>0</v>
      </c>
      <c r="BP31" s="422">
        <v>0</v>
      </c>
      <c r="BQ31" s="422">
        <v>0</v>
      </c>
      <c r="BR31" s="422">
        <v>0</v>
      </c>
      <c r="BS31" s="422">
        <v>0</v>
      </c>
      <c r="BT31" s="422">
        <v>0</v>
      </c>
      <c r="BU31" s="422">
        <v>0</v>
      </c>
      <c r="BV31" s="422">
        <v>0</v>
      </c>
      <c r="BW31" s="422">
        <v>0</v>
      </c>
      <c r="BX31" s="422">
        <v>0</v>
      </c>
      <c r="BY31" s="422">
        <v>0</v>
      </c>
      <c r="BZ31" s="422">
        <v>0</v>
      </c>
      <c r="CA31" s="422">
        <v>0</v>
      </c>
      <c r="CB31" s="422">
        <v>0</v>
      </c>
      <c r="CC31" s="422">
        <v>0</v>
      </c>
      <c r="CD31" s="422">
        <v>0</v>
      </c>
      <c r="CE31" s="422">
        <v>0</v>
      </c>
      <c r="CF31" s="422">
        <v>0</v>
      </c>
      <c r="CG31" s="422">
        <v>0</v>
      </c>
      <c r="CH31" s="422">
        <v>0</v>
      </c>
      <c r="CI31" s="422">
        <v>0</v>
      </c>
      <c r="CJ31" s="422">
        <v>0</v>
      </c>
      <c r="CK31" s="422">
        <v>0</v>
      </c>
      <c r="CL31" s="422">
        <v>0</v>
      </c>
      <c r="CM31" s="422">
        <v>0</v>
      </c>
      <c r="CN31" s="422">
        <v>0</v>
      </c>
      <c r="CO31" s="422">
        <v>0</v>
      </c>
      <c r="CP31" s="422">
        <v>0</v>
      </c>
      <c r="CQ31" s="422">
        <v>0</v>
      </c>
      <c r="CR31" s="422">
        <v>0</v>
      </c>
      <c r="CS31" s="422">
        <v>0</v>
      </c>
      <c r="CT31" s="422">
        <v>0</v>
      </c>
      <c r="CU31" s="422">
        <v>0</v>
      </c>
      <c r="CV31" s="422">
        <v>0</v>
      </c>
      <c r="CW31" s="422">
        <v>0</v>
      </c>
      <c r="CX31" s="422">
        <v>0</v>
      </c>
      <c r="CY31" s="422">
        <v>0</v>
      </c>
      <c r="CZ31" s="422">
        <v>0</v>
      </c>
      <c r="DA31" s="422">
        <v>0</v>
      </c>
      <c r="DB31" s="422">
        <v>0</v>
      </c>
      <c r="DC31" s="422">
        <v>0</v>
      </c>
      <c r="DD31" s="422">
        <v>0</v>
      </c>
      <c r="DE31" s="422">
        <v>0</v>
      </c>
      <c r="DF31" s="422">
        <v>0</v>
      </c>
      <c r="DG31" s="422">
        <v>0</v>
      </c>
      <c r="DH31" s="422">
        <v>0</v>
      </c>
      <c r="DI31" s="422">
        <v>0</v>
      </c>
      <c r="DJ31" s="422">
        <v>0</v>
      </c>
      <c r="DK31" s="422">
        <v>0</v>
      </c>
      <c r="DL31" s="422">
        <v>0</v>
      </c>
      <c r="DM31" s="422">
        <v>0</v>
      </c>
      <c r="DN31" s="422">
        <v>0</v>
      </c>
      <c r="DO31" s="422">
        <v>0</v>
      </c>
      <c r="DP31" s="422">
        <v>0</v>
      </c>
      <c r="DQ31" s="422">
        <v>0</v>
      </c>
      <c r="DR31" s="422">
        <v>0</v>
      </c>
      <c r="DS31" s="422">
        <v>0</v>
      </c>
      <c r="DT31" s="422">
        <v>0</v>
      </c>
      <c r="DU31" s="422">
        <v>0</v>
      </c>
      <c r="DV31" s="422">
        <v>0</v>
      </c>
      <c r="DW31" s="422">
        <f t="shared" ref="DV31:DX31" si="198">DW11</f>
        <v>-5090</v>
      </c>
      <c r="DX31" s="422">
        <f t="shared" si="198"/>
        <v>-5090</v>
      </c>
    </row>
    <row r="32" spans="1:196" ht="13.5" customHeight="1">
      <c r="J32" s="356" t="s">
        <v>384</v>
      </c>
      <c r="M32" s="258" t="s">
        <v>159</v>
      </c>
      <c r="N32" s="356" t="s">
        <v>159</v>
      </c>
      <c r="O32" s="258" t="s">
        <v>159</v>
      </c>
      <c r="P32" s="422">
        <v>0</v>
      </c>
      <c r="Q32" s="422">
        <v>0</v>
      </c>
      <c r="R32" s="422">
        <v>0</v>
      </c>
      <c r="S32" s="426">
        <v>0</v>
      </c>
      <c r="T32" s="422">
        <v>0</v>
      </c>
      <c r="U32" s="422">
        <v>0</v>
      </c>
      <c r="V32" s="422">
        <v>0</v>
      </c>
      <c r="W32" s="422">
        <v>0</v>
      </c>
      <c r="X32" s="422">
        <v>0</v>
      </c>
      <c r="Y32" s="422">
        <v>0</v>
      </c>
      <c r="Z32" s="422">
        <v>0</v>
      </c>
      <c r="AA32" s="422">
        <v>0</v>
      </c>
      <c r="AB32" s="422">
        <v>0</v>
      </c>
      <c r="AC32" s="422">
        <v>0</v>
      </c>
      <c r="AD32" s="422">
        <v>0</v>
      </c>
      <c r="AE32" s="422">
        <v>0</v>
      </c>
      <c r="AF32" s="422">
        <v>0</v>
      </c>
      <c r="AG32" s="422">
        <v>0</v>
      </c>
      <c r="AH32" s="422">
        <v>0</v>
      </c>
      <c r="AI32" s="422">
        <v>0</v>
      </c>
      <c r="AJ32" s="422">
        <v>0</v>
      </c>
      <c r="AK32" s="422">
        <v>0</v>
      </c>
      <c r="AL32" s="422">
        <v>0</v>
      </c>
      <c r="AM32" s="422">
        <v>0</v>
      </c>
      <c r="AN32" s="422">
        <v>0</v>
      </c>
      <c r="AO32" s="422">
        <v>0</v>
      </c>
      <c r="AP32" s="422">
        <v>0</v>
      </c>
      <c r="AQ32" s="422">
        <v>0</v>
      </c>
      <c r="AR32" s="422">
        <f>AR102</f>
        <v>0</v>
      </c>
      <c r="AS32" s="422">
        <v>0</v>
      </c>
      <c r="AT32" s="422">
        <v>0</v>
      </c>
      <c r="AU32" s="422">
        <v>0</v>
      </c>
      <c r="AV32" s="422">
        <v>0</v>
      </c>
      <c r="AW32" s="422">
        <v>0</v>
      </c>
      <c r="AX32" s="422">
        <v>0</v>
      </c>
      <c r="AY32" s="422">
        <v>0</v>
      </c>
      <c r="AZ32" s="422">
        <v>0</v>
      </c>
      <c r="BA32" s="422">
        <v>0</v>
      </c>
      <c r="BB32" s="422">
        <v>0</v>
      </c>
      <c r="BC32" s="422">
        <v>0</v>
      </c>
      <c r="BD32" s="422">
        <v>0</v>
      </c>
      <c r="BE32" s="422">
        <v>0</v>
      </c>
      <c r="BF32" s="422">
        <v>0</v>
      </c>
      <c r="BG32" s="422">
        <v>0</v>
      </c>
      <c r="BH32" s="422">
        <v>0</v>
      </c>
      <c r="BI32" s="422">
        <v>0</v>
      </c>
      <c r="BJ32" s="422">
        <v>0</v>
      </c>
      <c r="BK32" s="422">
        <v>0</v>
      </c>
      <c r="BL32" s="422">
        <v>0</v>
      </c>
      <c r="BM32" s="422">
        <v>0</v>
      </c>
      <c r="BN32" s="422">
        <v>0</v>
      </c>
      <c r="BO32" s="422">
        <v>0</v>
      </c>
      <c r="BP32" s="422">
        <v>0</v>
      </c>
      <c r="BQ32" s="422">
        <v>0</v>
      </c>
      <c r="BR32" s="422">
        <v>0</v>
      </c>
      <c r="BS32" s="422">
        <v>0</v>
      </c>
      <c r="BT32" s="422">
        <v>0</v>
      </c>
      <c r="BU32" s="422">
        <v>0</v>
      </c>
      <c r="BV32" s="422">
        <v>0</v>
      </c>
      <c r="BW32" s="422">
        <v>0</v>
      </c>
      <c r="BX32" s="422">
        <v>0</v>
      </c>
      <c r="BY32" s="422">
        <v>0</v>
      </c>
      <c r="BZ32" s="422">
        <v>0</v>
      </c>
      <c r="CA32" s="422">
        <v>0</v>
      </c>
      <c r="CB32" s="422">
        <v>0</v>
      </c>
      <c r="CC32" s="422">
        <v>0</v>
      </c>
      <c r="CD32" s="422">
        <v>0</v>
      </c>
      <c r="CE32" s="422">
        <v>0</v>
      </c>
      <c r="CF32" s="422">
        <v>0</v>
      </c>
      <c r="CG32" s="422">
        <v>0</v>
      </c>
      <c r="CH32" s="422">
        <v>0</v>
      </c>
      <c r="CI32" s="422">
        <v>0</v>
      </c>
      <c r="CJ32" s="422">
        <v>0</v>
      </c>
      <c r="CK32" s="422">
        <v>0</v>
      </c>
      <c r="CL32" s="422">
        <v>0</v>
      </c>
      <c r="CM32" s="422">
        <v>0</v>
      </c>
      <c r="CN32" s="422">
        <v>0</v>
      </c>
      <c r="CO32" s="422">
        <f t="shared" ref="CO32:CT32" si="199">CO12</f>
        <v>0</v>
      </c>
      <c r="CP32" s="422">
        <f t="shared" si="199"/>
        <v>0</v>
      </c>
      <c r="CQ32" s="422">
        <f t="shared" si="199"/>
        <v>0</v>
      </c>
      <c r="CR32" s="422">
        <f t="shared" si="199"/>
        <v>0</v>
      </c>
      <c r="CS32" s="422">
        <f t="shared" si="199"/>
        <v>0</v>
      </c>
      <c r="CT32" s="422">
        <f t="shared" si="199"/>
        <v>0</v>
      </c>
      <c r="CU32" s="422">
        <f t="shared" ref="CU32:CW32" si="200">CU12</f>
        <v>0</v>
      </c>
      <c r="CV32" s="422">
        <f t="shared" si="200"/>
        <v>0</v>
      </c>
      <c r="CW32" s="422">
        <f t="shared" si="200"/>
        <v>0</v>
      </c>
      <c r="CX32" s="422">
        <f t="shared" ref="CX32" si="201">CX12</f>
        <v>0</v>
      </c>
      <c r="CY32" s="422">
        <v>0</v>
      </c>
      <c r="CZ32" s="422">
        <v>0</v>
      </c>
      <c r="DA32" s="422">
        <v>0</v>
      </c>
      <c r="DB32" s="422">
        <v>0</v>
      </c>
      <c r="DC32" s="422">
        <v>0</v>
      </c>
      <c r="DD32" s="422">
        <v>0</v>
      </c>
      <c r="DE32" s="422">
        <v>0</v>
      </c>
      <c r="DF32" s="422">
        <v>0</v>
      </c>
      <c r="DG32" s="422">
        <v>0</v>
      </c>
      <c r="DH32" s="422">
        <v>0</v>
      </c>
      <c r="DI32" s="422">
        <v>0</v>
      </c>
      <c r="DJ32" s="422">
        <v>0</v>
      </c>
      <c r="DK32" s="422">
        <v>0</v>
      </c>
      <c r="DL32" s="422">
        <v>0</v>
      </c>
      <c r="DM32" s="422">
        <v>0</v>
      </c>
      <c r="DN32" s="422">
        <v>0</v>
      </c>
      <c r="DO32" s="422">
        <v>0</v>
      </c>
      <c r="DP32" s="422">
        <v>0</v>
      </c>
      <c r="DQ32" s="422">
        <v>0</v>
      </c>
      <c r="DR32" s="422">
        <f t="shared" ref="DR32" si="202">DR12</f>
        <v>0</v>
      </c>
      <c r="DS32" s="422">
        <f t="shared" ref="DS32" si="203">DS12</f>
        <v>0</v>
      </c>
      <c r="DT32" s="422">
        <v>0</v>
      </c>
      <c r="DU32" s="422">
        <v>0</v>
      </c>
      <c r="DV32" s="422">
        <v>0</v>
      </c>
      <c r="DW32" s="422">
        <f t="shared" ref="DV32:DX32" si="204">DW12</f>
        <v>16233</v>
      </c>
      <c r="DX32" s="422">
        <f t="shared" si="204"/>
        <v>16233</v>
      </c>
    </row>
    <row r="33" spans="9:147" ht="13.5" customHeight="1">
      <c r="J33" s="356" t="s">
        <v>392</v>
      </c>
      <c r="N33" s="356" t="s">
        <v>167</v>
      </c>
      <c r="O33" s="258" t="s">
        <v>167</v>
      </c>
      <c r="P33" s="422">
        <v>0</v>
      </c>
      <c r="Q33" s="422">
        <v>0</v>
      </c>
      <c r="R33" s="422">
        <v>0</v>
      </c>
      <c r="S33" s="426">
        <v>0</v>
      </c>
      <c r="T33" s="422">
        <v>0</v>
      </c>
      <c r="U33" s="422">
        <v>0</v>
      </c>
      <c r="V33" s="422">
        <v>0</v>
      </c>
      <c r="W33" s="422">
        <v>0</v>
      </c>
      <c r="X33" s="422">
        <v>0</v>
      </c>
      <c r="Y33" s="422">
        <v>0</v>
      </c>
      <c r="Z33" s="422">
        <v>0</v>
      </c>
      <c r="AA33" s="422">
        <v>0</v>
      </c>
      <c r="AB33" s="422">
        <v>0</v>
      </c>
      <c r="AC33" s="422">
        <v>0</v>
      </c>
      <c r="AD33" s="422">
        <v>0</v>
      </c>
      <c r="AE33" s="422">
        <v>0</v>
      </c>
      <c r="AF33" s="422">
        <v>0</v>
      </c>
      <c r="AG33" s="422">
        <v>0</v>
      </c>
      <c r="AH33" s="422">
        <v>0</v>
      </c>
      <c r="AI33" s="422">
        <v>0</v>
      </c>
      <c r="AJ33" s="422">
        <v>0</v>
      </c>
      <c r="AK33" s="422">
        <v>0</v>
      </c>
      <c r="AL33" s="422">
        <v>0</v>
      </c>
      <c r="AM33" s="422">
        <v>0</v>
      </c>
      <c r="AN33" s="422">
        <v>0</v>
      </c>
      <c r="AO33" s="422">
        <v>0</v>
      </c>
      <c r="AP33" s="422">
        <v>0</v>
      </c>
      <c r="AQ33" s="422">
        <v>0</v>
      </c>
      <c r="AR33" s="422">
        <v>0</v>
      </c>
      <c r="AS33" s="422">
        <v>0</v>
      </c>
      <c r="AT33" s="422">
        <v>0</v>
      </c>
      <c r="AU33" s="422">
        <v>0</v>
      </c>
      <c r="AV33" s="422">
        <v>0</v>
      </c>
      <c r="AW33" s="422">
        <v>0</v>
      </c>
      <c r="AX33" s="422">
        <v>0</v>
      </c>
      <c r="AY33" s="422">
        <v>0</v>
      </c>
      <c r="AZ33" s="422">
        <v>0</v>
      </c>
      <c r="BA33" s="422">
        <v>0</v>
      </c>
      <c r="BB33" s="422">
        <v>0</v>
      </c>
      <c r="BC33" s="422">
        <v>0</v>
      </c>
      <c r="BD33" s="422">
        <v>0</v>
      </c>
      <c r="BE33" s="422">
        <v>0</v>
      </c>
      <c r="BF33" s="422">
        <v>0</v>
      </c>
      <c r="BG33" s="422">
        <v>0</v>
      </c>
      <c r="BH33" s="422">
        <v>0</v>
      </c>
      <c r="BI33" s="422">
        <v>0</v>
      </c>
      <c r="BJ33" s="422">
        <v>0</v>
      </c>
      <c r="BK33" s="422">
        <v>0</v>
      </c>
      <c r="BL33" s="422">
        <v>0</v>
      </c>
      <c r="BM33" s="422">
        <v>0</v>
      </c>
      <c r="BN33" s="422">
        <v>0</v>
      </c>
      <c r="BO33" s="422">
        <v>0</v>
      </c>
      <c r="BP33" s="422">
        <v>0</v>
      </c>
      <c r="BQ33" s="422">
        <v>0</v>
      </c>
      <c r="BR33" s="422">
        <v>0</v>
      </c>
      <c r="BS33" s="422">
        <v>0</v>
      </c>
      <c r="BT33" s="422">
        <v>0</v>
      </c>
      <c r="BU33" s="422">
        <v>0</v>
      </c>
      <c r="BV33" s="422">
        <v>0</v>
      </c>
      <c r="BW33" s="422">
        <f>BW9</f>
        <v>0</v>
      </c>
      <c r="BX33" s="422">
        <v>0</v>
      </c>
      <c r="BY33" s="422">
        <v>0</v>
      </c>
      <c r="BZ33" s="422">
        <v>0</v>
      </c>
      <c r="CA33" s="422">
        <v>0</v>
      </c>
      <c r="CB33" s="422">
        <f t="shared" ref="CB33:CH33" si="205">CB9</f>
        <v>0</v>
      </c>
      <c r="CC33" s="422">
        <f t="shared" si="205"/>
        <v>0</v>
      </c>
      <c r="CD33" s="422">
        <f t="shared" si="205"/>
        <v>0</v>
      </c>
      <c r="CE33" s="422">
        <f t="shared" si="205"/>
        <v>0</v>
      </c>
      <c r="CF33" s="422">
        <f t="shared" si="205"/>
        <v>0</v>
      </c>
      <c r="CG33" s="422">
        <f t="shared" si="205"/>
        <v>0</v>
      </c>
      <c r="CH33" s="422">
        <f t="shared" si="205"/>
        <v>0</v>
      </c>
      <c r="CI33" s="422">
        <f t="shared" ref="CI33:CK33" si="206">CI9</f>
        <v>0</v>
      </c>
      <c r="CJ33" s="422">
        <f t="shared" si="206"/>
        <v>0</v>
      </c>
      <c r="CK33" s="422">
        <f t="shared" si="206"/>
        <v>0</v>
      </c>
      <c r="CL33" s="422">
        <f t="shared" ref="CL33:CM33" si="207">CL9</f>
        <v>0</v>
      </c>
      <c r="CM33" s="422">
        <f t="shared" si="207"/>
        <v>0</v>
      </c>
      <c r="CN33" s="422">
        <f t="shared" ref="CN33:CO33" si="208">CN9</f>
        <v>0</v>
      </c>
      <c r="CO33" s="422">
        <f t="shared" si="208"/>
        <v>0</v>
      </c>
      <c r="CP33" s="422">
        <f t="shared" ref="CP33:CT33" si="209">CP9</f>
        <v>0</v>
      </c>
      <c r="CQ33" s="422">
        <f t="shared" si="209"/>
        <v>0</v>
      </c>
      <c r="CR33" s="422">
        <f t="shared" si="209"/>
        <v>0</v>
      </c>
      <c r="CS33" s="422">
        <f t="shared" si="209"/>
        <v>0</v>
      </c>
      <c r="CT33" s="422">
        <f t="shared" si="209"/>
        <v>0</v>
      </c>
      <c r="CU33" s="422">
        <f t="shared" ref="CU33:CW33" si="210">CU9</f>
        <v>0</v>
      </c>
      <c r="CV33" s="422">
        <f t="shared" si="210"/>
        <v>0</v>
      </c>
      <c r="CW33" s="422">
        <f t="shared" si="210"/>
        <v>0</v>
      </c>
      <c r="CX33" s="422">
        <f t="shared" ref="CX33:CZ33" si="211">CX9</f>
        <v>0</v>
      </c>
      <c r="CY33" s="422">
        <f t="shared" si="211"/>
        <v>0</v>
      </c>
      <c r="CZ33" s="422">
        <f t="shared" si="211"/>
        <v>0</v>
      </c>
      <c r="DA33" s="422">
        <f t="shared" ref="DA33:DF33" si="212">DA9</f>
        <v>0</v>
      </c>
      <c r="DB33" s="422">
        <f t="shared" si="212"/>
        <v>0</v>
      </c>
      <c r="DC33" s="422">
        <f t="shared" si="212"/>
        <v>0</v>
      </c>
      <c r="DD33" s="422">
        <f t="shared" si="212"/>
        <v>0</v>
      </c>
      <c r="DE33" s="422">
        <f t="shared" si="212"/>
        <v>0</v>
      </c>
      <c r="DF33" s="422">
        <f t="shared" si="212"/>
        <v>0</v>
      </c>
      <c r="DG33" s="422">
        <v>0</v>
      </c>
      <c r="DH33" s="422">
        <v>0</v>
      </c>
      <c r="DI33" s="422">
        <v>0</v>
      </c>
      <c r="DJ33" s="422">
        <v>0</v>
      </c>
      <c r="DK33" s="422">
        <v>0</v>
      </c>
      <c r="DL33" s="422">
        <v>0</v>
      </c>
      <c r="DM33" s="422">
        <v>0</v>
      </c>
      <c r="DN33" s="422">
        <v>0</v>
      </c>
      <c r="DO33" s="422">
        <v>0</v>
      </c>
      <c r="DP33" s="422">
        <v>0</v>
      </c>
      <c r="DQ33" s="422">
        <v>0</v>
      </c>
      <c r="DR33" s="422">
        <v>0</v>
      </c>
      <c r="DS33" s="422">
        <v>0</v>
      </c>
      <c r="DT33" s="422">
        <v>0</v>
      </c>
      <c r="DU33" s="422">
        <v>0</v>
      </c>
      <c r="DV33" s="422">
        <v>0</v>
      </c>
      <c r="DW33" s="422">
        <f t="shared" ref="DV33:DX33" si="213">DW9</f>
        <v>12518</v>
      </c>
      <c r="DX33" s="422">
        <f t="shared" si="213"/>
        <v>12518</v>
      </c>
    </row>
    <row r="34" spans="9:147" ht="13.5" customHeight="1" thickBot="1">
      <c r="J34" s="356" t="s">
        <v>186</v>
      </c>
      <c r="M34" s="258" t="s">
        <v>160</v>
      </c>
      <c r="N34" s="356" t="s">
        <v>186</v>
      </c>
      <c r="O34" s="258" t="s">
        <v>160</v>
      </c>
      <c r="P34" s="422">
        <v>0</v>
      </c>
      <c r="Q34" s="422">
        <v>0</v>
      </c>
      <c r="R34" s="422">
        <v>0</v>
      </c>
      <c r="S34" s="426">
        <v>0</v>
      </c>
      <c r="T34" s="422">
        <v>0</v>
      </c>
      <c r="U34" s="422">
        <v>0</v>
      </c>
      <c r="V34" s="422">
        <v>0</v>
      </c>
      <c r="W34" s="422">
        <v>0</v>
      </c>
      <c r="X34" s="422">
        <v>0</v>
      </c>
      <c r="Y34" s="422">
        <v>0</v>
      </c>
      <c r="Z34" s="422">
        <v>0</v>
      </c>
      <c r="AA34" s="422">
        <v>0</v>
      </c>
      <c r="AB34" s="422">
        <v>0</v>
      </c>
      <c r="AC34" s="422">
        <v>0</v>
      </c>
      <c r="AD34" s="422">
        <v>0</v>
      </c>
      <c r="AE34" s="422">
        <v>0</v>
      </c>
      <c r="AF34" s="422">
        <v>0</v>
      </c>
      <c r="AG34" s="422">
        <v>0</v>
      </c>
      <c r="AH34" s="422">
        <v>0</v>
      </c>
      <c r="AI34" s="422">
        <v>0</v>
      </c>
      <c r="AJ34" s="422">
        <v>0</v>
      </c>
      <c r="AK34" s="422">
        <v>0</v>
      </c>
      <c r="AL34" s="422">
        <v>0</v>
      </c>
      <c r="AM34" s="422">
        <v>0</v>
      </c>
      <c r="AN34" s="422">
        <v>0</v>
      </c>
      <c r="AO34" s="422">
        <v>0</v>
      </c>
      <c r="AP34" s="422">
        <v>0</v>
      </c>
      <c r="AQ34" s="422">
        <v>0</v>
      </c>
      <c r="AR34" s="422">
        <v>0</v>
      </c>
      <c r="AS34" s="422">
        <v>0</v>
      </c>
      <c r="AT34" s="422">
        <v>0</v>
      </c>
      <c r="AU34" s="422">
        <v>0</v>
      </c>
      <c r="AV34" s="422">
        <v>0</v>
      </c>
      <c r="AW34" s="422">
        <v>0</v>
      </c>
      <c r="AX34" s="422">
        <v>0</v>
      </c>
      <c r="AY34" s="422">
        <v>0</v>
      </c>
      <c r="AZ34" s="422">
        <v>0</v>
      </c>
      <c r="BA34" s="422">
        <v>0</v>
      </c>
      <c r="BB34" s="422">
        <v>0</v>
      </c>
      <c r="BC34" s="422">
        <v>0</v>
      </c>
      <c r="BD34" s="422">
        <v>0</v>
      </c>
      <c r="BE34" s="422">
        <v>0</v>
      </c>
      <c r="BF34" s="422">
        <v>0</v>
      </c>
      <c r="BG34" s="422">
        <v>0</v>
      </c>
      <c r="BH34" s="422">
        <v>0</v>
      </c>
      <c r="BI34" s="422">
        <v>0</v>
      </c>
      <c r="BJ34" s="422">
        <v>0</v>
      </c>
      <c r="BK34" s="422">
        <v>0</v>
      </c>
      <c r="BL34" s="422">
        <v>0</v>
      </c>
      <c r="BM34" s="422">
        <v>0</v>
      </c>
      <c r="BN34" s="422">
        <v>0</v>
      </c>
      <c r="BO34" s="422">
        <v>0</v>
      </c>
      <c r="BP34" s="422">
        <v>0</v>
      </c>
      <c r="BQ34" s="422">
        <v>0</v>
      </c>
      <c r="BR34" s="422">
        <f>BR14</f>
        <v>0</v>
      </c>
      <c r="BS34" s="422">
        <v>0</v>
      </c>
      <c r="BT34" s="422">
        <v>0</v>
      </c>
      <c r="BU34" s="422">
        <v>0</v>
      </c>
      <c r="BV34" s="422">
        <v>0</v>
      </c>
      <c r="BW34" s="422">
        <v>0</v>
      </c>
      <c r="BX34" s="422">
        <v>0</v>
      </c>
      <c r="BY34" s="422">
        <v>0</v>
      </c>
      <c r="BZ34" s="422">
        <v>0</v>
      </c>
      <c r="CA34" s="422">
        <v>0</v>
      </c>
      <c r="CB34" s="422">
        <v>0</v>
      </c>
      <c r="CC34" s="422">
        <v>0</v>
      </c>
      <c r="CD34" s="422">
        <v>0</v>
      </c>
      <c r="CE34" s="422">
        <v>0</v>
      </c>
      <c r="CF34" s="422">
        <v>0</v>
      </c>
      <c r="CG34" s="422">
        <v>0</v>
      </c>
      <c r="CH34" s="422">
        <v>0</v>
      </c>
      <c r="CI34" s="422">
        <v>0</v>
      </c>
      <c r="CJ34" s="422">
        <v>0</v>
      </c>
      <c r="CK34" s="422">
        <v>0</v>
      </c>
      <c r="CL34" s="422">
        <v>0</v>
      </c>
      <c r="CM34" s="422">
        <v>0</v>
      </c>
      <c r="CN34" s="422">
        <v>0</v>
      </c>
      <c r="CO34" s="422">
        <v>0</v>
      </c>
      <c r="CP34" s="422">
        <v>0</v>
      </c>
      <c r="CQ34" s="422">
        <v>0</v>
      </c>
      <c r="CR34" s="422">
        <v>0</v>
      </c>
      <c r="CS34" s="422">
        <v>0</v>
      </c>
      <c r="CT34" s="422">
        <v>0</v>
      </c>
      <c r="CU34" s="422">
        <v>0</v>
      </c>
      <c r="CV34" s="422">
        <v>0</v>
      </c>
      <c r="CW34" s="422">
        <v>0</v>
      </c>
      <c r="CX34" s="422">
        <v>0</v>
      </c>
      <c r="CY34" s="422">
        <v>0</v>
      </c>
      <c r="CZ34" s="422">
        <v>0</v>
      </c>
      <c r="DA34" s="422">
        <v>0</v>
      </c>
      <c r="DB34" s="422">
        <v>0</v>
      </c>
      <c r="DC34" s="422">
        <v>0</v>
      </c>
      <c r="DD34" s="422">
        <v>0</v>
      </c>
      <c r="DE34" s="422">
        <v>0</v>
      </c>
      <c r="DF34" s="422">
        <v>0</v>
      </c>
      <c r="DG34" s="422">
        <v>0</v>
      </c>
      <c r="DH34" s="422">
        <v>0</v>
      </c>
      <c r="DI34" s="422">
        <v>0</v>
      </c>
      <c r="DJ34" s="422">
        <v>0</v>
      </c>
      <c r="DK34" s="422">
        <v>0</v>
      </c>
      <c r="DL34" s="422">
        <v>0</v>
      </c>
      <c r="DM34" s="422">
        <v>0</v>
      </c>
      <c r="DN34" s="422">
        <v>0</v>
      </c>
      <c r="DO34" s="422">
        <v>0</v>
      </c>
      <c r="DP34" s="422">
        <v>0</v>
      </c>
      <c r="DQ34" s="422">
        <v>0</v>
      </c>
      <c r="DR34" s="422">
        <v>0</v>
      </c>
      <c r="DS34" s="422">
        <v>0</v>
      </c>
      <c r="DT34" s="422">
        <v>0</v>
      </c>
      <c r="DU34" s="422">
        <v>0</v>
      </c>
      <c r="DV34" s="422">
        <v>0</v>
      </c>
      <c r="DW34" s="422">
        <f t="shared" ref="DV34:DX34" si="214">DW14</f>
        <v>13300</v>
      </c>
      <c r="DX34" s="422">
        <f t="shared" si="214"/>
        <v>13300</v>
      </c>
    </row>
    <row r="35" spans="9:147" ht="13.5" customHeight="1" thickBot="1">
      <c r="J35" s="356" t="s">
        <v>421</v>
      </c>
      <c r="N35" s="356" t="s">
        <v>188</v>
      </c>
      <c r="P35" s="422"/>
      <c r="Q35" s="422"/>
      <c r="R35" s="422"/>
      <c r="S35" s="426"/>
      <c r="T35" s="422"/>
      <c r="U35" s="422"/>
      <c r="V35" s="431" t="s">
        <v>187</v>
      </c>
      <c r="W35" s="432">
        <v>0</v>
      </c>
      <c r="X35" s="432">
        <v>0</v>
      </c>
      <c r="Y35" s="432">
        <v>0</v>
      </c>
      <c r="Z35" s="432">
        <v>0</v>
      </c>
      <c r="AA35" s="432">
        <v>0</v>
      </c>
      <c r="AB35" s="432">
        <v>0</v>
      </c>
      <c r="AC35" s="433">
        <v>0</v>
      </c>
      <c r="AD35" s="434">
        <v>0</v>
      </c>
      <c r="AE35" s="433">
        <v>0</v>
      </c>
      <c r="AF35" s="434">
        <v>0</v>
      </c>
      <c r="AG35" s="434">
        <v>0</v>
      </c>
      <c r="AH35" s="434">
        <v>0</v>
      </c>
      <c r="AI35" s="434">
        <v>0</v>
      </c>
      <c r="AJ35" s="434">
        <v>0</v>
      </c>
      <c r="AK35" s="434">
        <v>0</v>
      </c>
      <c r="AL35" s="434">
        <v>0</v>
      </c>
      <c r="AM35" s="434">
        <v>0</v>
      </c>
      <c r="AN35" s="434">
        <v>0</v>
      </c>
      <c r="AO35" s="434">
        <v>0</v>
      </c>
      <c r="AP35" s="423">
        <v>0</v>
      </c>
      <c r="AQ35" s="423">
        <v>0</v>
      </c>
      <c r="AR35" s="435">
        <v>0</v>
      </c>
      <c r="AS35" s="423">
        <v>0</v>
      </c>
      <c r="AT35" s="423">
        <v>0</v>
      </c>
      <c r="AU35" s="423">
        <v>0</v>
      </c>
      <c r="AV35" s="423">
        <v>0</v>
      </c>
      <c r="AW35" s="424"/>
      <c r="AX35" s="424"/>
      <c r="AY35" s="424"/>
      <c r="AZ35" s="424"/>
      <c r="BA35" s="424"/>
      <c r="BB35" s="424"/>
      <c r="BC35" s="424"/>
      <c r="BD35" s="424"/>
      <c r="BE35" s="424"/>
      <c r="BF35" s="424">
        <v>0</v>
      </c>
      <c r="BG35" s="424">
        <v>0</v>
      </c>
      <c r="BH35" s="424">
        <v>0</v>
      </c>
      <c r="BI35" s="424">
        <v>0</v>
      </c>
      <c r="BJ35" s="424">
        <v>0</v>
      </c>
      <c r="BK35" s="424">
        <v>0</v>
      </c>
      <c r="BL35" s="424">
        <v>0</v>
      </c>
      <c r="BM35" s="424">
        <v>0</v>
      </c>
      <c r="BN35" s="424">
        <v>0</v>
      </c>
      <c r="BO35" s="424">
        <v>0</v>
      </c>
      <c r="BP35" s="424">
        <v>0</v>
      </c>
      <c r="BQ35" s="424">
        <v>0</v>
      </c>
      <c r="BR35" s="424">
        <v>0</v>
      </c>
      <c r="BS35" s="424">
        <v>0</v>
      </c>
      <c r="BT35" s="424">
        <v>0</v>
      </c>
      <c r="BU35" s="424">
        <f t="shared" ref="BU35:BZ35" si="215">BU17</f>
        <v>0</v>
      </c>
      <c r="BV35" s="424">
        <f t="shared" si="215"/>
        <v>0</v>
      </c>
      <c r="BW35" s="424">
        <f t="shared" si="215"/>
        <v>0</v>
      </c>
      <c r="BX35" s="424">
        <f t="shared" si="215"/>
        <v>0</v>
      </c>
      <c r="BY35" s="424">
        <f t="shared" si="215"/>
        <v>0</v>
      </c>
      <c r="BZ35" s="424">
        <f t="shared" si="215"/>
        <v>0</v>
      </c>
      <c r="CA35" s="424">
        <f t="shared" ref="CA35:CB35" si="216">CA17</f>
        <v>0</v>
      </c>
      <c r="CB35" s="424">
        <f t="shared" si="216"/>
        <v>0</v>
      </c>
      <c r="CC35" s="424">
        <f t="shared" ref="CC35:CG35" si="217">CC17</f>
        <v>0</v>
      </c>
      <c r="CD35" s="424">
        <f t="shared" si="217"/>
        <v>0</v>
      </c>
      <c r="CE35" s="424">
        <f t="shared" si="217"/>
        <v>0</v>
      </c>
      <c r="CF35" s="424">
        <f t="shared" si="217"/>
        <v>0</v>
      </c>
      <c r="CG35" s="424">
        <f t="shared" si="217"/>
        <v>0</v>
      </c>
      <c r="CH35" s="424">
        <v>0</v>
      </c>
      <c r="CI35" s="485">
        <v>0</v>
      </c>
      <c r="CJ35" s="485">
        <v>0</v>
      </c>
      <c r="CK35" s="485">
        <v>0</v>
      </c>
      <c r="CL35" s="485">
        <v>0</v>
      </c>
      <c r="CM35" s="485">
        <v>0</v>
      </c>
      <c r="CN35" s="485">
        <v>0</v>
      </c>
      <c r="CO35" s="485">
        <v>0</v>
      </c>
      <c r="CP35" s="485">
        <v>0</v>
      </c>
      <c r="CQ35" s="485">
        <v>0</v>
      </c>
      <c r="CR35" s="485">
        <v>0</v>
      </c>
      <c r="CS35" s="485">
        <v>0</v>
      </c>
      <c r="CT35" s="485">
        <v>0</v>
      </c>
      <c r="CU35" s="485">
        <v>0</v>
      </c>
      <c r="CV35" s="485">
        <v>0</v>
      </c>
      <c r="CW35" s="485">
        <v>0</v>
      </c>
      <c r="CX35" s="485">
        <v>0</v>
      </c>
      <c r="CY35" s="485">
        <v>0</v>
      </c>
      <c r="CZ35" s="485">
        <v>0</v>
      </c>
      <c r="DA35" s="485">
        <v>0</v>
      </c>
      <c r="DB35" s="485">
        <v>0</v>
      </c>
      <c r="DC35" s="485">
        <v>0</v>
      </c>
      <c r="DD35" s="485">
        <v>0</v>
      </c>
      <c r="DE35" s="485">
        <v>0</v>
      </c>
      <c r="DF35" s="485">
        <v>0</v>
      </c>
      <c r="DG35" s="485">
        <v>0</v>
      </c>
      <c r="DH35" s="485">
        <v>0</v>
      </c>
      <c r="DI35" s="485">
        <v>0</v>
      </c>
      <c r="DJ35" s="485">
        <v>0</v>
      </c>
      <c r="DK35" s="485" t="s">
        <v>405</v>
      </c>
      <c r="DL35" s="625" t="s">
        <v>406</v>
      </c>
      <c r="DM35" s="625">
        <v>0</v>
      </c>
      <c r="DN35" s="625">
        <v>0</v>
      </c>
      <c r="DO35" s="625">
        <v>0</v>
      </c>
      <c r="DP35" s="625">
        <f t="shared" ref="DP35:DX35" si="218">DO35</f>
        <v>0</v>
      </c>
      <c r="DQ35" s="625">
        <f t="shared" si="218"/>
        <v>0</v>
      </c>
      <c r="DR35" s="625">
        <f t="shared" si="218"/>
        <v>0</v>
      </c>
      <c r="DS35" s="625">
        <f t="shared" si="218"/>
        <v>0</v>
      </c>
      <c r="DT35" s="625">
        <f t="shared" si="218"/>
        <v>0</v>
      </c>
      <c r="DU35" s="625">
        <f t="shared" si="218"/>
        <v>0</v>
      </c>
      <c r="DV35" s="625">
        <f t="shared" si="218"/>
        <v>0</v>
      </c>
      <c r="DW35" s="625">
        <f t="shared" si="218"/>
        <v>0</v>
      </c>
      <c r="DX35" s="625">
        <f t="shared" si="218"/>
        <v>0</v>
      </c>
    </row>
    <row r="36" spans="9:147" ht="13.5" customHeight="1">
      <c r="J36" s="356" t="s">
        <v>173</v>
      </c>
      <c r="N36" s="356" t="s">
        <v>173</v>
      </c>
      <c r="P36" s="422"/>
      <c r="Q36" s="422"/>
      <c r="R36" s="422"/>
      <c r="S36" s="426">
        <v>0</v>
      </c>
      <c r="T36" s="422">
        <v>0</v>
      </c>
      <c r="U36" s="422">
        <v>0</v>
      </c>
      <c r="V36" s="422">
        <v>0</v>
      </c>
      <c r="W36" s="422">
        <v>0</v>
      </c>
      <c r="X36" s="422">
        <v>0</v>
      </c>
      <c r="Y36" s="422">
        <v>0</v>
      </c>
      <c r="Z36" s="422">
        <v>0</v>
      </c>
      <c r="AA36" s="422">
        <v>0</v>
      </c>
      <c r="AB36" s="422">
        <v>0</v>
      </c>
      <c r="AC36" s="422">
        <v>0</v>
      </c>
      <c r="AD36" s="422">
        <v>0</v>
      </c>
      <c r="AE36" s="422">
        <v>0</v>
      </c>
      <c r="AF36" s="422">
        <v>0</v>
      </c>
      <c r="AG36" s="422">
        <v>0</v>
      </c>
      <c r="AH36" s="422">
        <v>0</v>
      </c>
      <c r="AI36" s="422">
        <v>0</v>
      </c>
      <c r="AJ36" s="422">
        <v>0</v>
      </c>
      <c r="AK36" s="422">
        <v>0</v>
      </c>
      <c r="AL36" s="422">
        <v>0</v>
      </c>
      <c r="AM36" s="422">
        <v>0</v>
      </c>
      <c r="AN36" s="422">
        <v>0</v>
      </c>
      <c r="AO36" s="422">
        <v>0</v>
      </c>
      <c r="AP36" s="422">
        <v>0</v>
      </c>
      <c r="AQ36" s="422">
        <v>0</v>
      </c>
      <c r="AR36" s="422">
        <v>0</v>
      </c>
      <c r="AS36" s="422">
        <v>0</v>
      </c>
      <c r="AT36" s="422">
        <v>0</v>
      </c>
      <c r="AU36" s="422">
        <v>0</v>
      </c>
      <c r="AV36" s="422">
        <v>0</v>
      </c>
      <c r="AW36" s="422">
        <v>0</v>
      </c>
      <c r="AX36" s="422">
        <v>0</v>
      </c>
      <c r="AY36" s="422">
        <v>0</v>
      </c>
      <c r="AZ36" s="422">
        <v>0</v>
      </c>
      <c r="BA36" s="422">
        <v>0</v>
      </c>
      <c r="BB36" s="422">
        <v>0</v>
      </c>
      <c r="BC36" s="422">
        <v>0</v>
      </c>
      <c r="BD36" s="422">
        <v>0</v>
      </c>
      <c r="BE36" s="422">
        <v>0</v>
      </c>
      <c r="BF36" s="422">
        <v>0</v>
      </c>
      <c r="BG36" s="422">
        <v>0</v>
      </c>
      <c r="BH36" s="422">
        <v>0</v>
      </c>
      <c r="BI36" s="422">
        <v>0</v>
      </c>
      <c r="BJ36" s="422">
        <v>0</v>
      </c>
      <c r="BK36" s="422">
        <v>0</v>
      </c>
      <c r="BL36" s="422">
        <v>0</v>
      </c>
      <c r="BM36" s="422">
        <v>0</v>
      </c>
      <c r="BN36" s="422">
        <v>0</v>
      </c>
      <c r="BO36" s="422">
        <v>0</v>
      </c>
      <c r="BP36" s="422">
        <v>0</v>
      </c>
      <c r="BQ36" s="422">
        <v>0</v>
      </c>
      <c r="BR36" s="422">
        <v>0</v>
      </c>
      <c r="BS36" s="422">
        <v>0</v>
      </c>
      <c r="BT36" s="422">
        <v>0</v>
      </c>
      <c r="BU36" s="422">
        <v>0</v>
      </c>
      <c r="BV36" s="422">
        <v>0</v>
      </c>
      <c r="BW36" s="422">
        <v>0</v>
      </c>
      <c r="BX36" s="422">
        <v>0</v>
      </c>
      <c r="BY36" s="422">
        <v>0</v>
      </c>
      <c r="BZ36" s="422">
        <v>0</v>
      </c>
      <c r="CA36" s="422">
        <v>0</v>
      </c>
      <c r="CB36" s="422">
        <v>0</v>
      </c>
      <c r="CC36" s="422">
        <v>0</v>
      </c>
      <c r="CD36" s="422">
        <v>0</v>
      </c>
      <c r="CE36" s="422">
        <v>0</v>
      </c>
      <c r="CF36" s="422">
        <v>0</v>
      </c>
      <c r="CG36" s="422">
        <v>0</v>
      </c>
      <c r="CH36" s="422">
        <v>0</v>
      </c>
      <c r="CI36" s="422">
        <v>0</v>
      </c>
      <c r="CJ36" s="422">
        <v>0</v>
      </c>
      <c r="CK36" s="422">
        <v>0</v>
      </c>
      <c r="CL36" s="422">
        <v>0</v>
      </c>
      <c r="CM36" s="422">
        <v>0</v>
      </c>
      <c r="CN36" s="422">
        <v>0</v>
      </c>
      <c r="CO36" s="422">
        <v>0</v>
      </c>
      <c r="CP36" s="422">
        <v>0</v>
      </c>
      <c r="CQ36" s="422">
        <v>0</v>
      </c>
      <c r="CR36" s="422">
        <v>0</v>
      </c>
      <c r="CS36" s="422">
        <v>0</v>
      </c>
      <c r="CT36" s="422">
        <v>0</v>
      </c>
      <c r="CU36" s="422">
        <v>0</v>
      </c>
      <c r="CV36" s="422">
        <v>0</v>
      </c>
      <c r="CW36" s="422">
        <v>0</v>
      </c>
      <c r="CX36" s="422">
        <v>0</v>
      </c>
      <c r="CY36" s="422">
        <v>0</v>
      </c>
      <c r="CZ36" s="422">
        <v>0</v>
      </c>
      <c r="DA36" s="422">
        <v>0</v>
      </c>
      <c r="DB36" s="422">
        <v>0</v>
      </c>
      <c r="DC36" s="422">
        <v>0</v>
      </c>
      <c r="DD36" s="422">
        <v>0</v>
      </c>
      <c r="DE36" s="422">
        <v>0</v>
      </c>
      <c r="DF36" s="422">
        <v>0</v>
      </c>
      <c r="DG36" s="422">
        <v>0</v>
      </c>
      <c r="DH36" s="422">
        <v>0</v>
      </c>
      <c r="DI36" s="422">
        <v>0</v>
      </c>
      <c r="DJ36" s="422">
        <v>0</v>
      </c>
      <c r="DK36" s="422">
        <v>0</v>
      </c>
      <c r="DL36" s="422">
        <v>0</v>
      </c>
      <c r="DM36" s="422">
        <v>0</v>
      </c>
      <c r="DN36" s="422">
        <v>0</v>
      </c>
      <c r="DO36" s="422">
        <v>0</v>
      </c>
      <c r="DP36" s="422">
        <v>0</v>
      </c>
      <c r="DQ36" s="422">
        <v>0</v>
      </c>
      <c r="DR36" s="422">
        <v>0</v>
      </c>
      <c r="DS36" s="422">
        <v>0</v>
      </c>
      <c r="DT36" s="422">
        <v>0</v>
      </c>
      <c r="DU36" s="422">
        <v>0</v>
      </c>
      <c r="DV36" s="422">
        <v>0</v>
      </c>
      <c r="DW36" s="422">
        <f t="shared" ref="DV36:DX36" si="219">DW16</f>
        <v>36681</v>
      </c>
      <c r="DX36" s="422">
        <f t="shared" si="219"/>
        <v>36681</v>
      </c>
    </row>
    <row r="37" spans="9:147" ht="13.5" customHeight="1">
      <c r="J37" s="356" t="s">
        <v>270</v>
      </c>
      <c r="N37" s="356"/>
      <c r="P37" s="422"/>
      <c r="Q37" s="422"/>
      <c r="R37" s="422"/>
      <c r="S37" s="426"/>
      <c r="T37" s="422"/>
      <c r="U37" s="422"/>
      <c r="V37" s="422"/>
      <c r="W37" s="422"/>
      <c r="X37" s="422"/>
      <c r="Y37" s="422"/>
      <c r="Z37" s="422"/>
      <c r="AA37" s="422"/>
      <c r="AB37" s="422"/>
      <c r="AC37" s="422"/>
      <c r="AD37" s="422"/>
      <c r="AE37" s="422"/>
      <c r="AF37" s="422"/>
      <c r="AG37" s="422"/>
      <c r="AH37" s="422"/>
      <c r="AI37" s="422"/>
      <c r="AJ37" s="422"/>
      <c r="AK37" s="435">
        <v>0</v>
      </c>
      <c r="AL37" s="435">
        <v>0</v>
      </c>
      <c r="AM37" s="435">
        <v>0</v>
      </c>
      <c r="AN37" s="435">
        <v>0</v>
      </c>
      <c r="AO37" s="435">
        <v>0</v>
      </c>
      <c r="AP37" s="425">
        <v>0</v>
      </c>
      <c r="AQ37" s="425">
        <v>0</v>
      </c>
      <c r="AR37" s="425">
        <v>0</v>
      </c>
      <c r="AS37" s="425">
        <v>0</v>
      </c>
      <c r="AT37" s="425">
        <v>0</v>
      </c>
      <c r="AU37" s="425">
        <v>0</v>
      </c>
      <c r="AV37" s="425">
        <v>0</v>
      </c>
      <c r="AW37" s="425">
        <v>0</v>
      </c>
      <c r="AX37" s="425">
        <v>0</v>
      </c>
      <c r="AY37" s="425">
        <v>0</v>
      </c>
      <c r="AZ37" s="425">
        <v>0</v>
      </c>
      <c r="BA37" s="425">
        <v>0</v>
      </c>
      <c r="BB37" s="425">
        <v>0</v>
      </c>
      <c r="BC37" s="425">
        <v>0</v>
      </c>
      <c r="BD37" s="425">
        <v>0</v>
      </c>
      <c r="BE37" s="425">
        <v>0</v>
      </c>
      <c r="BF37" s="425">
        <v>0</v>
      </c>
      <c r="BG37" s="425">
        <v>0</v>
      </c>
      <c r="BH37" s="425">
        <v>0</v>
      </c>
      <c r="BI37" s="425">
        <v>0</v>
      </c>
      <c r="BJ37" s="425">
        <v>0</v>
      </c>
      <c r="BK37" s="425">
        <v>0</v>
      </c>
      <c r="BL37" s="425">
        <v>0</v>
      </c>
      <c r="BM37" s="425">
        <v>0</v>
      </c>
      <c r="BN37" s="425">
        <v>0</v>
      </c>
      <c r="BO37" s="425">
        <v>0</v>
      </c>
      <c r="BP37" s="425">
        <v>0</v>
      </c>
      <c r="BQ37" s="425">
        <v>0</v>
      </c>
      <c r="BR37" s="425">
        <v>0</v>
      </c>
      <c r="BS37" s="425">
        <v>0</v>
      </c>
      <c r="BT37" s="425">
        <v>0</v>
      </c>
      <c r="BU37" s="425">
        <v>0</v>
      </c>
      <c r="BV37" s="425">
        <v>0</v>
      </c>
      <c r="BW37" s="425">
        <v>0</v>
      </c>
      <c r="BX37" s="425">
        <v>0</v>
      </c>
      <c r="BY37" s="425">
        <v>0</v>
      </c>
      <c r="BZ37" s="425">
        <v>0</v>
      </c>
      <c r="CA37" s="425">
        <v>0</v>
      </c>
      <c r="CB37" s="425">
        <v>0</v>
      </c>
      <c r="CC37" s="425">
        <v>0</v>
      </c>
      <c r="CD37" s="425">
        <v>0</v>
      </c>
      <c r="CE37" s="356" t="s">
        <v>270</v>
      </c>
      <c r="CF37" s="356" t="s">
        <v>270</v>
      </c>
      <c r="CG37" s="356" t="s">
        <v>270</v>
      </c>
      <c r="CH37" s="425">
        <f>SUM(CH28:CH36)</f>
        <v>0</v>
      </c>
      <c r="CI37" s="425">
        <f>SUM(CI28:CI36)</f>
        <v>0</v>
      </c>
      <c r="CJ37" s="433">
        <f>SUM(CJ8:CJ12)+SUM(CJ14:CJ16)+CJ35</f>
        <v>164099</v>
      </c>
      <c r="CK37" s="433">
        <f t="shared" ref="CK37:CT37" si="220">SUM(CK8:CK12)+SUM(CK14:CK16)+36161</f>
        <v>162516</v>
      </c>
      <c r="CL37" s="433">
        <f t="shared" si="220"/>
        <v>171686</v>
      </c>
      <c r="CM37" s="433">
        <f t="shared" si="220"/>
        <v>188260</v>
      </c>
      <c r="CN37" s="433">
        <f t="shared" si="220"/>
        <v>161216</v>
      </c>
      <c r="CO37" s="433">
        <f t="shared" si="220"/>
        <v>601504</v>
      </c>
      <c r="CP37" s="433">
        <f t="shared" si="220"/>
        <v>216374</v>
      </c>
      <c r="CQ37" s="433">
        <f t="shared" si="220"/>
        <v>191353</v>
      </c>
      <c r="CR37" s="433">
        <f t="shared" si="220"/>
        <v>158289</v>
      </c>
      <c r="CS37" s="433">
        <f t="shared" si="220"/>
        <v>199748</v>
      </c>
      <c r="CT37" s="433">
        <f t="shared" si="220"/>
        <v>163562</v>
      </c>
      <c r="CU37" s="433">
        <f t="shared" ref="CU37:CW37" si="221">SUM(CU8:CU12)+SUM(CU14:CU16)+36161</f>
        <v>141216</v>
      </c>
      <c r="CV37" s="433">
        <f t="shared" si="221"/>
        <v>140962</v>
      </c>
      <c r="CW37" s="433">
        <f t="shared" si="221"/>
        <v>120720</v>
      </c>
      <c r="CX37" s="433">
        <f t="shared" ref="CX37:CZ37" si="222">SUM(CX8:CX12)+SUM(CX14:CX16)+36161</f>
        <v>109609</v>
      </c>
      <c r="CY37" s="433">
        <f t="shared" si="222"/>
        <v>113886</v>
      </c>
      <c r="CZ37" s="433">
        <f t="shared" si="222"/>
        <v>126135</v>
      </c>
      <c r="DA37" s="433">
        <f t="shared" ref="DA37:DF37" si="223">SUM(DA8:DA12)+SUM(DA14:DA16)+36161</f>
        <v>165860</v>
      </c>
      <c r="DB37" s="433">
        <f t="shared" si="223"/>
        <v>200628</v>
      </c>
      <c r="DC37" s="433">
        <f t="shared" si="223"/>
        <v>145717</v>
      </c>
      <c r="DD37" s="433">
        <f t="shared" si="223"/>
        <v>162487</v>
      </c>
      <c r="DE37" s="433">
        <f t="shared" si="223"/>
        <v>146813</v>
      </c>
      <c r="DF37" s="433">
        <f t="shared" si="223"/>
        <v>196851</v>
      </c>
      <c r="DG37" s="433">
        <f t="shared" ref="DG37:DH37" si="224">SUM(DG8:DG12)+SUM(DG14:DG16)+36161</f>
        <v>137103</v>
      </c>
      <c r="DH37" s="433">
        <f t="shared" si="224"/>
        <v>217147</v>
      </c>
      <c r="DI37" s="433">
        <f t="shared" ref="DI37:DK37" si="225">SUM(DI8:DI12)+SUM(DI14:DI16)+36161</f>
        <v>129155</v>
      </c>
      <c r="DJ37" s="433">
        <f t="shared" si="225"/>
        <v>117322</v>
      </c>
      <c r="DK37" s="433">
        <f t="shared" si="225"/>
        <v>132457</v>
      </c>
      <c r="DL37" s="433">
        <f>SUM(DL8:DL12)+SUM(DL14:DL16)</f>
        <v>99840</v>
      </c>
      <c r="DM37" s="433">
        <f t="shared" ref="DM37:DR37" si="226">SUM(DM8:DM12)+SUM(DM14:DM16)+DM35</f>
        <v>162926</v>
      </c>
      <c r="DN37" s="433">
        <f t="shared" si="226"/>
        <v>180844</v>
      </c>
      <c r="DO37" s="433">
        <f t="shared" si="226"/>
        <v>77142</v>
      </c>
      <c r="DP37" s="433">
        <f t="shared" si="226"/>
        <v>118717</v>
      </c>
      <c r="DQ37" s="433">
        <f t="shared" si="226"/>
        <v>128516</v>
      </c>
      <c r="DR37" s="433">
        <f t="shared" si="226"/>
        <v>198662</v>
      </c>
      <c r="DS37" s="433">
        <f t="shared" ref="DS37:DU37" si="227">SUM(DS8:DS12)+SUM(DS14:DS16)+DS35</f>
        <v>66490</v>
      </c>
      <c r="DT37" s="433">
        <f t="shared" si="227"/>
        <v>97195</v>
      </c>
      <c r="DU37" s="433">
        <f t="shared" si="227"/>
        <v>101762</v>
      </c>
      <c r="DV37" s="433">
        <f t="shared" ref="DV37:DX37" si="228">SUM(DV8:DV12)+SUM(DV14:DV16)+DV35</f>
        <v>82634</v>
      </c>
      <c r="DW37" s="433">
        <f t="shared" si="228"/>
        <v>82634</v>
      </c>
      <c r="DX37" s="433">
        <f t="shared" si="228"/>
        <v>82634</v>
      </c>
    </row>
    <row r="38" spans="9:147" ht="13.5" hidden="1" customHeight="1">
      <c r="J38" s="356" t="s">
        <v>161</v>
      </c>
      <c r="M38" s="258" t="s">
        <v>161</v>
      </c>
      <c r="N38" s="356" t="s">
        <v>161</v>
      </c>
      <c r="O38" s="258" t="s">
        <v>161</v>
      </c>
      <c r="P38" s="422">
        <v>0</v>
      </c>
      <c r="Q38" s="422">
        <v>0</v>
      </c>
      <c r="R38" s="422">
        <v>0</v>
      </c>
      <c r="S38" s="426">
        <v>0</v>
      </c>
      <c r="T38" s="422">
        <v>0</v>
      </c>
      <c r="U38" s="422">
        <v>0</v>
      </c>
      <c r="V38" s="422">
        <v>0</v>
      </c>
      <c r="W38" s="422">
        <v>0</v>
      </c>
      <c r="X38" s="422">
        <v>0</v>
      </c>
      <c r="Y38" s="422">
        <v>0</v>
      </c>
      <c r="Z38" s="422">
        <v>0</v>
      </c>
      <c r="AA38" s="422">
        <v>0</v>
      </c>
      <c r="AB38" s="422">
        <v>0</v>
      </c>
      <c r="AC38" s="422">
        <v>0</v>
      </c>
      <c r="AD38" s="422">
        <v>0</v>
      </c>
      <c r="AE38" s="422">
        <v>0</v>
      </c>
      <c r="AF38" s="422">
        <v>0</v>
      </c>
      <c r="AG38" s="422">
        <v>0</v>
      </c>
      <c r="AH38" s="422">
        <v>0</v>
      </c>
      <c r="AI38" s="422">
        <v>0</v>
      </c>
      <c r="AJ38" s="422">
        <v>0</v>
      </c>
      <c r="AK38" s="422">
        <v>0</v>
      </c>
      <c r="AL38" s="422">
        <v>0</v>
      </c>
      <c r="AM38" s="422">
        <v>0</v>
      </c>
      <c r="AN38" s="422">
        <v>0</v>
      </c>
      <c r="AO38" s="422">
        <v>0</v>
      </c>
      <c r="AP38" s="422">
        <v>0</v>
      </c>
      <c r="AQ38" s="422">
        <v>0</v>
      </c>
      <c r="AR38" s="422">
        <v>0</v>
      </c>
      <c r="AS38" s="422">
        <v>0</v>
      </c>
      <c r="AT38" s="422">
        <v>0</v>
      </c>
      <c r="AU38" s="422">
        <v>0</v>
      </c>
      <c r="AV38" s="422">
        <v>0</v>
      </c>
      <c r="AW38" s="422">
        <v>0</v>
      </c>
      <c r="AX38" s="422">
        <v>0</v>
      </c>
      <c r="AY38" s="422">
        <v>0</v>
      </c>
      <c r="AZ38" s="422">
        <v>0</v>
      </c>
      <c r="BA38" s="422">
        <v>0</v>
      </c>
      <c r="BB38" s="422">
        <v>0</v>
      </c>
      <c r="BC38" s="422">
        <v>0</v>
      </c>
      <c r="BD38" s="422">
        <v>0</v>
      </c>
      <c r="BE38" s="422">
        <v>0</v>
      </c>
      <c r="BF38" s="422">
        <v>0</v>
      </c>
      <c r="BG38" s="422">
        <v>0</v>
      </c>
      <c r="BH38" s="422">
        <v>0</v>
      </c>
      <c r="BI38" s="422">
        <v>0</v>
      </c>
      <c r="BJ38" s="422">
        <v>0</v>
      </c>
      <c r="BK38" s="422">
        <v>0</v>
      </c>
      <c r="BL38" s="422">
        <v>0</v>
      </c>
      <c r="BM38" s="422">
        <v>0</v>
      </c>
      <c r="BN38" s="422">
        <v>0</v>
      </c>
      <c r="BO38" s="422">
        <v>0</v>
      </c>
      <c r="BP38" s="422">
        <v>0</v>
      </c>
      <c r="BQ38" s="422">
        <v>0</v>
      </c>
      <c r="BR38" s="422">
        <v>0</v>
      </c>
      <c r="BS38" s="422">
        <v>0</v>
      </c>
      <c r="BT38" s="422">
        <v>0</v>
      </c>
      <c r="BU38" s="422">
        <v>0</v>
      </c>
      <c r="BV38" s="422">
        <v>0</v>
      </c>
      <c r="BW38" s="422">
        <v>0</v>
      </c>
      <c r="BX38" s="422">
        <v>0</v>
      </c>
      <c r="BY38" s="422">
        <v>0</v>
      </c>
      <c r="BZ38" s="422">
        <v>0</v>
      </c>
      <c r="CA38" s="422">
        <v>0</v>
      </c>
      <c r="CB38" s="422">
        <v>0</v>
      </c>
      <c r="CC38" s="422">
        <v>0</v>
      </c>
      <c r="CD38" s="422">
        <v>0</v>
      </c>
      <c r="CE38" s="422">
        <v>0</v>
      </c>
      <c r="CF38" s="422">
        <v>0</v>
      </c>
      <c r="CG38" s="422">
        <v>0</v>
      </c>
      <c r="CH38" s="422">
        <v>0</v>
      </c>
      <c r="CI38" s="422">
        <v>0</v>
      </c>
      <c r="CJ38" s="422">
        <v>0</v>
      </c>
      <c r="CK38" s="422">
        <v>0</v>
      </c>
      <c r="CL38" s="422">
        <v>0</v>
      </c>
      <c r="CM38" s="422">
        <v>0</v>
      </c>
      <c r="CN38" s="422">
        <v>0</v>
      </c>
      <c r="CO38" s="422">
        <v>0</v>
      </c>
      <c r="CP38" s="422">
        <v>0</v>
      </c>
      <c r="CQ38" s="422">
        <v>0</v>
      </c>
      <c r="CR38" s="422">
        <v>0</v>
      </c>
      <c r="CS38" s="422">
        <v>0</v>
      </c>
      <c r="CT38" s="422">
        <v>0</v>
      </c>
      <c r="CU38" s="422">
        <v>0</v>
      </c>
      <c r="CV38" s="422">
        <v>0</v>
      </c>
      <c r="CW38" s="422">
        <v>0</v>
      </c>
      <c r="CX38" s="422">
        <v>0</v>
      </c>
      <c r="CY38" s="422">
        <v>0</v>
      </c>
      <c r="CZ38" s="422">
        <v>0</v>
      </c>
      <c r="DA38" s="422">
        <v>0</v>
      </c>
      <c r="DB38" s="422">
        <v>0</v>
      </c>
      <c r="DC38" s="422">
        <v>0</v>
      </c>
      <c r="DD38" s="422">
        <v>0</v>
      </c>
      <c r="DE38" s="422">
        <v>0</v>
      </c>
      <c r="DF38" s="422">
        <v>0</v>
      </c>
      <c r="DG38" s="422">
        <v>0</v>
      </c>
      <c r="DH38" s="422">
        <v>0</v>
      </c>
      <c r="DI38" s="422">
        <v>0</v>
      </c>
      <c r="DJ38" s="422">
        <v>0</v>
      </c>
      <c r="DK38" s="422">
        <v>0</v>
      </c>
      <c r="DL38" s="422">
        <v>0</v>
      </c>
      <c r="DM38" s="422">
        <v>0</v>
      </c>
      <c r="DN38" s="422">
        <v>0</v>
      </c>
      <c r="DO38" s="422">
        <v>0</v>
      </c>
      <c r="DP38" s="422">
        <v>0</v>
      </c>
      <c r="DQ38" s="422">
        <v>0</v>
      </c>
      <c r="DR38" s="422">
        <v>0</v>
      </c>
      <c r="DS38" s="422">
        <v>0</v>
      </c>
      <c r="DT38" s="422">
        <v>0</v>
      </c>
      <c r="DU38" s="422">
        <v>0</v>
      </c>
      <c r="DV38" s="422">
        <v>0</v>
      </c>
      <c r="DW38" s="422">
        <v>0</v>
      </c>
      <c r="DX38" s="422">
        <v>0</v>
      </c>
    </row>
    <row r="39" spans="9:147" ht="13.5" customHeight="1" thickBot="1">
      <c r="J39" s="356" t="s">
        <v>419</v>
      </c>
      <c r="P39" s="436">
        <f t="shared" ref="P39:Z39" si="229">P27-SUM(P28:P38)</f>
        <v>0</v>
      </c>
      <c r="Q39" s="436">
        <f t="shared" si="229"/>
        <v>0</v>
      </c>
      <c r="R39" s="436">
        <f t="shared" si="229"/>
        <v>52588</v>
      </c>
      <c r="S39" s="437">
        <f t="shared" si="229"/>
        <v>124717</v>
      </c>
      <c r="T39" s="436">
        <f t="shared" si="229"/>
        <v>1187</v>
      </c>
      <c r="U39" s="436">
        <f t="shared" si="229"/>
        <v>34246</v>
      </c>
      <c r="V39" s="436">
        <f t="shared" si="229"/>
        <v>110000</v>
      </c>
      <c r="W39" s="436">
        <f t="shared" si="229"/>
        <v>182954</v>
      </c>
      <c r="X39" s="436">
        <f t="shared" si="229"/>
        <v>210000</v>
      </c>
      <c r="Y39" s="436">
        <f t="shared" si="229"/>
        <v>307977</v>
      </c>
      <c r="Z39" s="436">
        <f t="shared" si="229"/>
        <v>302491</v>
      </c>
      <c r="AA39" s="436">
        <f t="shared" ref="AA39:AL39" si="230">AA27-SUM(AA28:AA38)</f>
        <v>569537</v>
      </c>
      <c r="AB39" s="436">
        <f t="shared" si="230"/>
        <v>542501</v>
      </c>
      <c r="AC39" s="436">
        <f>AC27-SUM(AC28:AC38)</f>
        <v>610725</v>
      </c>
      <c r="AD39" s="436">
        <f t="shared" si="230"/>
        <v>605195</v>
      </c>
      <c r="AE39" s="436">
        <f t="shared" si="230"/>
        <v>672696</v>
      </c>
      <c r="AF39" s="436">
        <f t="shared" si="230"/>
        <v>807032</v>
      </c>
      <c r="AG39" s="436">
        <f t="shared" si="230"/>
        <v>707207</v>
      </c>
      <c r="AH39" s="436">
        <f t="shared" si="230"/>
        <v>516320</v>
      </c>
      <c r="AI39" s="436">
        <f t="shared" si="230"/>
        <v>899083</v>
      </c>
      <c r="AJ39" s="436">
        <f t="shared" si="230"/>
        <v>877766</v>
      </c>
      <c r="AK39" s="436">
        <f t="shared" si="230"/>
        <v>920639</v>
      </c>
      <c r="AL39" s="436">
        <f t="shared" si="230"/>
        <v>917131</v>
      </c>
      <c r="AM39" s="436">
        <f t="shared" ref="AM39:AV39" si="231">AM27-SUM(AM28:AM38)</f>
        <v>1200300</v>
      </c>
      <c r="AN39" s="436">
        <f t="shared" si="231"/>
        <v>1349945</v>
      </c>
      <c r="AO39" s="436">
        <f t="shared" si="231"/>
        <v>675122</v>
      </c>
      <c r="AP39" s="436">
        <f t="shared" si="231"/>
        <v>482882</v>
      </c>
      <c r="AQ39" s="436">
        <f t="shared" si="231"/>
        <v>502879</v>
      </c>
      <c r="AR39" s="436">
        <f t="shared" si="231"/>
        <v>638142</v>
      </c>
      <c r="AS39" s="436">
        <f t="shared" si="231"/>
        <v>639321</v>
      </c>
      <c r="AT39" s="436">
        <f t="shared" si="231"/>
        <v>686439</v>
      </c>
      <c r="AU39" s="436">
        <f t="shared" si="231"/>
        <v>856755</v>
      </c>
      <c r="AV39" s="436">
        <f t="shared" si="231"/>
        <v>855017</v>
      </c>
      <c r="AW39" s="436">
        <f t="shared" ref="AW39:AX39" si="232">AW27-SUM(AW28:AW38)</f>
        <v>861911</v>
      </c>
      <c r="AX39" s="436">
        <f t="shared" si="232"/>
        <v>895467</v>
      </c>
      <c r="AY39" s="436">
        <f t="shared" ref="AY39:BB39" si="233">AY27-SUM(AY28:AY38)</f>
        <v>1125821</v>
      </c>
      <c r="AZ39" s="436">
        <f t="shared" si="233"/>
        <v>1452739</v>
      </c>
      <c r="BA39" s="436">
        <f t="shared" si="233"/>
        <v>224989</v>
      </c>
      <c r="BB39" s="436">
        <f t="shared" si="233"/>
        <v>193123</v>
      </c>
      <c r="BC39" s="436">
        <f t="shared" ref="BC39:BD39" si="234">BC27-SUM(BC28:BC38)</f>
        <v>257863</v>
      </c>
      <c r="BD39" s="436">
        <f t="shared" si="234"/>
        <v>705572</v>
      </c>
      <c r="BE39" s="436">
        <f t="shared" ref="BE39:BF39" si="235">BE27-SUM(BE28:BE38)</f>
        <v>324245</v>
      </c>
      <c r="BF39" s="436">
        <f t="shared" si="235"/>
        <v>-580664</v>
      </c>
      <c r="BG39" s="436">
        <f t="shared" ref="BG39:BH39" si="236">BG27-SUM(BG28:BG38)</f>
        <v>-851321</v>
      </c>
      <c r="BH39" s="436">
        <f t="shared" si="236"/>
        <v>-851052</v>
      </c>
      <c r="BI39" s="436">
        <f t="shared" ref="BI39:BJ39" si="237">BI27-SUM(BI28:BI38)</f>
        <v>-980063</v>
      </c>
      <c r="BJ39" s="436">
        <f t="shared" si="237"/>
        <v>-1017072</v>
      </c>
      <c r="BK39" s="436">
        <f t="shared" ref="BK39:BL39" si="238">BK27-SUM(BK28:BK38)</f>
        <v>-775243</v>
      </c>
      <c r="BL39" s="436">
        <f t="shared" si="238"/>
        <v>-738859</v>
      </c>
      <c r="BM39" s="436">
        <f t="shared" ref="BM39:BN39" si="239">BM27-SUM(BM28:BM38)</f>
        <v>-738859</v>
      </c>
      <c r="BN39" s="436">
        <f t="shared" si="239"/>
        <v>-738859</v>
      </c>
      <c r="BO39" s="436">
        <f t="shared" ref="BO39:BP39" si="240">BO27-SUM(BO28:BO38)</f>
        <v>-738859</v>
      </c>
      <c r="BP39" s="436">
        <f t="shared" si="240"/>
        <v>-740591</v>
      </c>
      <c r="BQ39" s="436">
        <f t="shared" ref="BQ39:BS39" si="241">BQ27-SUM(BQ28:BQ38)</f>
        <v>-924208</v>
      </c>
      <c r="BR39" s="436">
        <f t="shared" si="241"/>
        <v>-1055102</v>
      </c>
      <c r="BS39" s="436">
        <f t="shared" si="241"/>
        <v>-1049857</v>
      </c>
      <c r="BT39" s="436">
        <f t="shared" ref="BT39:BV39" si="242">BT27-SUM(BT28:BT38)</f>
        <v>-1049086</v>
      </c>
      <c r="BU39" s="436">
        <f t="shared" si="242"/>
        <v>-1271400</v>
      </c>
      <c r="BV39" s="436">
        <f t="shared" si="242"/>
        <v>-704346</v>
      </c>
      <c r="BW39" s="436">
        <f t="shared" ref="BW39:BX39" si="243">BW27-SUM(BW28:BW38)</f>
        <v>-660000</v>
      </c>
      <c r="BX39" s="436">
        <f t="shared" si="243"/>
        <v>-742010</v>
      </c>
      <c r="BY39" s="436">
        <f t="shared" ref="BY39:BZ39" si="244">BY27-SUM(BY28:BY38)</f>
        <v>-868047</v>
      </c>
      <c r="BZ39" s="436">
        <f t="shared" si="244"/>
        <v>-602173</v>
      </c>
      <c r="CA39" s="436">
        <f t="shared" ref="CA39:CB39" si="245">CA27-SUM(CA28:CA38)</f>
        <v>-805168</v>
      </c>
      <c r="CB39" s="436">
        <f t="shared" si="245"/>
        <v>120115</v>
      </c>
      <c r="CC39" s="436">
        <f t="shared" ref="CC39:CG39" si="246">CC27-SUM(CC28:CC38)</f>
        <v>-63667</v>
      </c>
      <c r="CD39" s="436">
        <f t="shared" si="246"/>
        <v>842427</v>
      </c>
      <c r="CE39" s="436">
        <f t="shared" si="246"/>
        <v>1349707</v>
      </c>
      <c r="CF39" s="436">
        <f t="shared" si="246"/>
        <v>1699707</v>
      </c>
      <c r="CG39" s="436">
        <f t="shared" si="246"/>
        <v>2446761</v>
      </c>
      <c r="CH39" s="436">
        <f t="shared" ref="CH39:CM39" si="247">CH27-SUM(CH28:CH36)</f>
        <v>2054011</v>
      </c>
      <c r="CI39" s="436">
        <f t="shared" si="247"/>
        <v>2053015</v>
      </c>
      <c r="CJ39" s="436">
        <f t="shared" si="247"/>
        <v>1290654</v>
      </c>
      <c r="CK39" s="436">
        <f t="shared" si="247"/>
        <v>1266453</v>
      </c>
      <c r="CL39" s="436">
        <f t="shared" si="247"/>
        <v>1384891</v>
      </c>
      <c r="CM39" s="436">
        <f t="shared" si="247"/>
        <v>1247483</v>
      </c>
      <c r="CN39" s="436">
        <f t="shared" ref="CN39:CO39" si="248">CN27-SUM(CN28:CN36)</f>
        <v>1335206</v>
      </c>
      <c r="CO39" s="436">
        <f t="shared" si="248"/>
        <v>980090</v>
      </c>
      <c r="CP39" s="436">
        <f t="shared" ref="CP39:CT39" si="249">CP27-SUM(CP28:CP36)</f>
        <v>861819</v>
      </c>
      <c r="CQ39" s="436">
        <f t="shared" si="249"/>
        <v>863030</v>
      </c>
      <c r="CR39" s="436">
        <f t="shared" si="249"/>
        <v>636084</v>
      </c>
      <c r="CS39" s="436">
        <f t="shared" si="249"/>
        <v>636084</v>
      </c>
      <c r="CT39" s="436">
        <f t="shared" si="249"/>
        <v>636084</v>
      </c>
      <c r="CU39" s="436">
        <f t="shared" ref="CU39:CW39" si="250">CU27-SUM(CU28:CU36)</f>
        <v>40282</v>
      </c>
      <c r="CV39" s="436">
        <f t="shared" si="250"/>
        <v>11223</v>
      </c>
      <c r="CW39" s="436">
        <f t="shared" si="250"/>
        <v>617414</v>
      </c>
      <c r="CX39" s="436">
        <f t="shared" ref="CX39:CZ39" si="251">CX27-SUM(CX28:CX36)</f>
        <v>714035</v>
      </c>
      <c r="CY39" s="436">
        <f t="shared" si="251"/>
        <v>633866</v>
      </c>
      <c r="CZ39" s="436">
        <f t="shared" si="251"/>
        <v>638040</v>
      </c>
      <c r="DA39" s="436">
        <f t="shared" ref="DA39:DF39" si="252">DA27-SUM(DA28:DA36)</f>
        <v>638040</v>
      </c>
      <c r="DB39" s="436">
        <f t="shared" si="252"/>
        <v>420222</v>
      </c>
      <c r="DC39" s="436">
        <f t="shared" si="252"/>
        <v>490854</v>
      </c>
      <c r="DD39" s="436">
        <f t="shared" si="252"/>
        <v>494378</v>
      </c>
      <c r="DE39" s="436">
        <f t="shared" si="252"/>
        <v>506519</v>
      </c>
      <c r="DF39" s="436">
        <f t="shared" si="252"/>
        <v>470527</v>
      </c>
      <c r="DG39" s="436">
        <f t="shared" ref="DG39:DH39" si="253">DG27-SUM(DG28:DG36)</f>
        <v>752665</v>
      </c>
      <c r="DH39" s="436">
        <f t="shared" si="253"/>
        <v>345299</v>
      </c>
      <c r="DI39" s="436">
        <f t="shared" ref="DI39:DK39" si="254">DI27-SUM(DI28:DI36)</f>
        <v>353113</v>
      </c>
      <c r="DJ39" s="436">
        <f t="shared" si="254"/>
        <v>381390</v>
      </c>
      <c r="DK39" s="436">
        <f t="shared" si="254"/>
        <v>376995</v>
      </c>
      <c r="DL39" s="436">
        <f t="shared" ref="DL39:DM39" si="255">DL27-SUM(DL28:DL36)</f>
        <v>999783</v>
      </c>
      <c r="DM39" s="436">
        <f t="shared" si="255"/>
        <v>939128</v>
      </c>
      <c r="DN39" s="436">
        <f>DN27-SUM(DN28:DN36)</f>
        <v>923955</v>
      </c>
      <c r="DO39" s="436">
        <f t="shared" ref="DO39:DR39" si="256">DO27-SUM(DO28:DO36)</f>
        <v>664458</v>
      </c>
      <c r="DP39" s="436">
        <f t="shared" si="256"/>
        <v>661688</v>
      </c>
      <c r="DQ39" s="436">
        <f t="shared" si="256"/>
        <v>630091</v>
      </c>
      <c r="DR39" s="436">
        <f t="shared" si="256"/>
        <v>576034</v>
      </c>
      <c r="DS39" s="436">
        <f t="shared" ref="DS39:DU39" si="257">DS27-SUM(DS28:DS36)</f>
        <v>683543</v>
      </c>
      <c r="DT39" s="436">
        <f t="shared" si="257"/>
        <v>561919</v>
      </c>
      <c r="DU39" s="436">
        <f t="shared" si="257"/>
        <v>593907</v>
      </c>
      <c r="DV39" s="436">
        <f t="shared" ref="DV39:DX39" si="258">DV27-SUM(DV28:DV36)</f>
        <v>488682</v>
      </c>
      <c r="DW39" s="436">
        <f t="shared" si="258"/>
        <v>428510</v>
      </c>
      <c r="DX39" s="436">
        <f t="shared" si="258"/>
        <v>428510</v>
      </c>
    </row>
    <row r="40" spans="9:147" ht="13.5" customHeight="1" thickBot="1">
      <c r="J40" s="356"/>
      <c r="S40" s="356"/>
    </row>
    <row r="41" spans="9:147" ht="13.5" customHeight="1" thickBot="1">
      <c r="J41" s="356" t="s">
        <v>417</v>
      </c>
      <c r="O41" s="320">
        <v>153108</v>
      </c>
      <c r="P41" s="320">
        <v>209966</v>
      </c>
      <c r="Q41" s="320">
        <v>234888</v>
      </c>
      <c r="R41" s="320">
        <v>0</v>
      </c>
      <c r="S41" s="361" t="s">
        <v>237</v>
      </c>
      <c r="T41" s="408">
        <f>SUM(V41:BU41)</f>
        <v>510000</v>
      </c>
      <c r="U41" s="258" t="s">
        <v>236</v>
      </c>
      <c r="V41" s="320">
        <v>30000</v>
      </c>
      <c r="W41" s="320">
        <v>30000</v>
      </c>
      <c r="X41" s="320">
        <v>30000</v>
      </c>
      <c r="Y41" s="320">
        <v>30000</v>
      </c>
      <c r="Z41" s="320">
        <v>30000</v>
      </c>
      <c r="AA41" s="320">
        <v>30000</v>
      </c>
      <c r="AB41" s="320">
        <v>30000</v>
      </c>
      <c r="AC41" s="320">
        <v>20000</v>
      </c>
      <c r="AE41" s="320">
        <v>20000</v>
      </c>
      <c r="AP41" s="320">
        <v>10000</v>
      </c>
      <c r="AQ41" s="320">
        <v>10000</v>
      </c>
      <c r="AR41" s="320">
        <v>200000</v>
      </c>
      <c r="AS41" s="320">
        <v>10000</v>
      </c>
      <c r="AT41" s="320">
        <v>10000</v>
      </c>
      <c r="AU41" s="320">
        <v>10000</v>
      </c>
      <c r="AV41" s="320">
        <v>10000</v>
      </c>
      <c r="CG41" s="356" t="s">
        <v>270</v>
      </c>
      <c r="CH41" s="433">
        <f>127743-36160</f>
        <v>91583</v>
      </c>
      <c r="CI41" s="433">
        <f>418788+143000+330000</f>
        <v>891788</v>
      </c>
      <c r="CJ41" s="433">
        <v>164099</v>
      </c>
      <c r="CK41" s="433">
        <v>162516</v>
      </c>
      <c r="CL41" s="433">
        <v>171686</v>
      </c>
      <c r="CM41" s="433">
        <f>CM37</f>
        <v>188260</v>
      </c>
      <c r="CN41" s="433">
        <v>151682</v>
      </c>
      <c r="CO41" s="433">
        <v>520477</v>
      </c>
      <c r="CP41" s="433">
        <v>171686</v>
      </c>
      <c r="CQ41" s="433">
        <v>171686</v>
      </c>
      <c r="CR41" s="433">
        <v>188011</v>
      </c>
      <c r="CS41" s="433">
        <v>171686</v>
      </c>
      <c r="CT41" s="433">
        <v>171686</v>
      </c>
      <c r="CU41" s="433">
        <v>171686</v>
      </c>
      <c r="CV41" s="433">
        <v>171686</v>
      </c>
      <c r="CW41" s="433">
        <v>171686</v>
      </c>
      <c r="CX41" s="433">
        <v>171686</v>
      </c>
      <c r="CY41" s="433">
        <v>171686</v>
      </c>
      <c r="CZ41" s="433">
        <v>171686</v>
      </c>
      <c r="DA41" s="433">
        <v>171686</v>
      </c>
      <c r="DB41" s="433">
        <v>171686</v>
      </c>
      <c r="DC41" s="433">
        <v>171686</v>
      </c>
      <c r="DD41" s="433">
        <v>171686</v>
      </c>
      <c r="DE41" s="433">
        <v>171686</v>
      </c>
      <c r="DF41" s="433">
        <v>171686</v>
      </c>
      <c r="DG41" s="433">
        <v>171686</v>
      </c>
      <c r="DH41" s="433">
        <v>171686</v>
      </c>
      <c r="DI41" s="433">
        <v>171686</v>
      </c>
      <c r="DJ41" s="433">
        <v>171686</v>
      </c>
      <c r="DK41" s="433">
        <v>171686</v>
      </c>
      <c r="DL41" s="433">
        <v>171686</v>
      </c>
      <c r="DM41" s="433">
        <v>171686</v>
      </c>
      <c r="DN41" s="433">
        <f>SUM(DN8:DN12)+SUM(DN14:DN16)+DN35</f>
        <v>180844</v>
      </c>
      <c r="DO41" s="433">
        <v>171686</v>
      </c>
      <c r="DP41" s="433">
        <v>171686</v>
      </c>
      <c r="DQ41" s="433">
        <v>171686</v>
      </c>
      <c r="DR41" s="433">
        <v>171686</v>
      </c>
      <c r="DS41" s="433">
        <v>171686</v>
      </c>
      <c r="DT41" s="433">
        <v>171686</v>
      </c>
      <c r="DU41" s="433">
        <v>171686</v>
      </c>
      <c r="DV41" s="433">
        <v>171686</v>
      </c>
      <c r="DW41" s="433">
        <v>171686</v>
      </c>
      <c r="DX41" s="433">
        <v>171686</v>
      </c>
    </row>
    <row r="42" spans="9:147" ht="13.5" customHeight="1">
      <c r="J42" s="356" t="s">
        <v>418</v>
      </c>
      <c r="O42" s="438">
        <v>43220</v>
      </c>
      <c r="P42" s="438">
        <v>42356</v>
      </c>
      <c r="Q42" s="438">
        <v>41509</v>
      </c>
      <c r="R42" s="438">
        <v>0</v>
      </c>
      <c r="AH42" s="258" t="s">
        <v>238</v>
      </c>
      <c r="AI42" s="421">
        <f>SUM(AK42:CD42)</f>
        <v>730000</v>
      </c>
      <c r="AJ42" s="420" t="s">
        <v>191</v>
      </c>
      <c r="AK42" s="421">
        <v>10000</v>
      </c>
      <c r="AL42" s="421">
        <v>10000</v>
      </c>
      <c r="AM42" s="421">
        <v>10000</v>
      </c>
      <c r="AN42" s="421">
        <v>10000</v>
      </c>
      <c r="AO42" s="421">
        <v>10000</v>
      </c>
      <c r="AP42" s="421">
        <v>20000</v>
      </c>
      <c r="AQ42" s="421">
        <v>20000</v>
      </c>
      <c r="AR42" s="421">
        <v>20000</v>
      </c>
      <c r="AS42" s="421">
        <v>20000</v>
      </c>
      <c r="AT42" s="421">
        <v>20000</v>
      </c>
      <c r="AU42" s="421">
        <v>20000</v>
      </c>
      <c r="AV42" s="421">
        <v>20000</v>
      </c>
      <c r="AW42" s="421">
        <v>20000</v>
      </c>
      <c r="AX42" s="421">
        <v>20000</v>
      </c>
      <c r="AY42" s="421">
        <v>20000</v>
      </c>
      <c r="AZ42" s="421">
        <v>20000</v>
      </c>
      <c r="BA42" s="421">
        <v>20000</v>
      </c>
      <c r="BB42" s="421">
        <v>20000</v>
      </c>
      <c r="BC42" s="438">
        <v>20000</v>
      </c>
      <c r="BD42" s="438">
        <v>20000</v>
      </c>
      <c r="BE42" s="438">
        <v>20000</v>
      </c>
      <c r="BF42" s="438">
        <v>20000</v>
      </c>
      <c r="BG42" s="438">
        <v>20000</v>
      </c>
      <c r="BH42" s="438">
        <v>20000</v>
      </c>
      <c r="BI42" s="438">
        <v>10000</v>
      </c>
      <c r="BJ42" s="438">
        <v>10000</v>
      </c>
      <c r="BK42" s="421">
        <v>10000</v>
      </c>
      <c r="BL42" s="421">
        <v>10000</v>
      </c>
      <c r="BM42" s="421">
        <v>10000</v>
      </c>
      <c r="BN42" s="421">
        <v>10000</v>
      </c>
      <c r="BO42" s="421">
        <v>10000</v>
      </c>
      <c r="BP42" s="421">
        <v>10000</v>
      </c>
      <c r="BQ42" s="421">
        <v>10000</v>
      </c>
      <c r="BR42" s="421"/>
      <c r="BS42" s="421">
        <v>10000</v>
      </c>
      <c r="BT42" s="421">
        <v>10000</v>
      </c>
      <c r="BU42" s="421">
        <v>10000</v>
      </c>
      <c r="BV42" s="421">
        <v>20000</v>
      </c>
      <c r="BW42" s="421">
        <v>20000</v>
      </c>
      <c r="BX42" s="421">
        <v>20000</v>
      </c>
      <c r="BY42" s="421">
        <v>20000</v>
      </c>
      <c r="BZ42" s="421">
        <v>20000</v>
      </c>
      <c r="CA42" s="421">
        <v>20000</v>
      </c>
      <c r="CB42" s="421">
        <v>20000</v>
      </c>
      <c r="CC42" s="421">
        <v>20000</v>
      </c>
      <c r="CD42" s="421">
        <v>20000</v>
      </c>
      <c r="CE42" s="356" t="s">
        <v>271</v>
      </c>
      <c r="CF42" s="356" t="s">
        <v>271</v>
      </c>
      <c r="CG42" s="356" t="s">
        <v>271</v>
      </c>
      <c r="CH42" s="438">
        <v>147608</v>
      </c>
      <c r="CI42" s="486">
        <v>174463</v>
      </c>
      <c r="CJ42" s="438">
        <v>206094</v>
      </c>
      <c r="CK42" s="489">
        <v>147546</v>
      </c>
      <c r="CL42" s="438">
        <v>337825</v>
      </c>
      <c r="CM42" s="489">
        <v>179958</v>
      </c>
      <c r="CN42" s="438">
        <v>183744</v>
      </c>
      <c r="CO42" s="486">
        <v>192405</v>
      </c>
      <c r="CP42" s="438">
        <v>147669</v>
      </c>
      <c r="CQ42" s="438">
        <f t="shared" ref="CQ42:DX42" si="259">CP42</f>
        <v>147669</v>
      </c>
      <c r="CR42" s="438">
        <f t="shared" si="259"/>
        <v>147669</v>
      </c>
      <c r="CS42" s="438">
        <f t="shared" si="259"/>
        <v>147669</v>
      </c>
      <c r="CT42" s="438">
        <f t="shared" si="259"/>
        <v>147669</v>
      </c>
      <c r="CU42" s="438">
        <f t="shared" si="259"/>
        <v>147669</v>
      </c>
      <c r="CV42" s="438">
        <f t="shared" si="259"/>
        <v>147669</v>
      </c>
      <c r="CW42" s="438">
        <f t="shared" si="259"/>
        <v>147669</v>
      </c>
      <c r="CX42" s="438">
        <f t="shared" si="259"/>
        <v>147669</v>
      </c>
      <c r="CY42" s="438">
        <f t="shared" si="259"/>
        <v>147669</v>
      </c>
      <c r="CZ42" s="438">
        <f t="shared" si="259"/>
        <v>147669</v>
      </c>
      <c r="DA42" s="438">
        <f t="shared" si="259"/>
        <v>147669</v>
      </c>
      <c r="DB42" s="438">
        <f t="shared" si="259"/>
        <v>147669</v>
      </c>
      <c r="DC42" s="438">
        <f t="shared" si="259"/>
        <v>147669</v>
      </c>
      <c r="DD42" s="438">
        <f t="shared" si="259"/>
        <v>147669</v>
      </c>
      <c r="DE42" s="438">
        <f t="shared" si="259"/>
        <v>147669</v>
      </c>
      <c r="DF42" s="438">
        <f t="shared" si="259"/>
        <v>147669</v>
      </c>
      <c r="DG42" s="438">
        <f t="shared" si="259"/>
        <v>147669</v>
      </c>
      <c r="DH42" s="438">
        <f t="shared" si="259"/>
        <v>147669</v>
      </c>
      <c r="DI42" s="438">
        <f t="shared" si="259"/>
        <v>147669</v>
      </c>
      <c r="DJ42" s="438">
        <f t="shared" si="259"/>
        <v>147669</v>
      </c>
      <c r="DK42" s="438">
        <f t="shared" si="259"/>
        <v>147669</v>
      </c>
      <c r="DL42" s="438">
        <f t="shared" si="259"/>
        <v>147669</v>
      </c>
      <c r="DM42" s="438">
        <f t="shared" si="259"/>
        <v>147669</v>
      </c>
      <c r="DN42" s="438">
        <f t="shared" si="259"/>
        <v>147669</v>
      </c>
      <c r="DO42" s="438">
        <f t="shared" si="259"/>
        <v>147669</v>
      </c>
      <c r="DP42" s="438">
        <f t="shared" si="259"/>
        <v>147669</v>
      </c>
      <c r="DQ42" s="438">
        <f t="shared" si="259"/>
        <v>147669</v>
      </c>
      <c r="DR42" s="438">
        <f t="shared" si="259"/>
        <v>147669</v>
      </c>
      <c r="DS42" s="438">
        <f t="shared" si="259"/>
        <v>147669</v>
      </c>
      <c r="DT42" s="438">
        <f t="shared" si="259"/>
        <v>147669</v>
      </c>
      <c r="DU42" s="438">
        <f t="shared" si="259"/>
        <v>147669</v>
      </c>
      <c r="DV42" s="438">
        <f t="shared" si="259"/>
        <v>147669</v>
      </c>
      <c r="DW42" s="438">
        <f t="shared" si="259"/>
        <v>147669</v>
      </c>
      <c r="DX42" s="438">
        <f t="shared" si="259"/>
        <v>147669</v>
      </c>
    </row>
    <row r="43" spans="9:147" ht="13.5" customHeight="1">
      <c r="J43" s="356"/>
      <c r="O43" s="438">
        <v>170181</v>
      </c>
      <c r="P43" s="438">
        <v>231111</v>
      </c>
      <c r="Q43" s="438">
        <v>235930</v>
      </c>
      <c r="R43" s="438">
        <v>0</v>
      </c>
      <c r="CI43" s="488" t="s">
        <v>275</v>
      </c>
      <c r="CL43" s="258" t="s">
        <v>277</v>
      </c>
      <c r="CM43" s="490">
        <f>CM42-$CK$42</f>
        <v>32412</v>
      </c>
      <c r="CN43" s="490">
        <f>CN42-$CK$42</f>
        <v>36198</v>
      </c>
      <c r="CO43" s="490">
        <f>18279+26457</f>
        <v>44736</v>
      </c>
      <c r="CP43" s="490"/>
      <c r="CQ43" s="490"/>
      <c r="CR43" s="490"/>
      <c r="CS43" s="490"/>
      <c r="CT43" s="490"/>
    </row>
    <row r="44" spans="9:147" ht="13.5" customHeight="1" thickBot="1">
      <c r="I44" s="618" t="s">
        <v>276</v>
      </c>
      <c r="J44" s="491" t="s">
        <v>402</v>
      </c>
      <c r="O44" s="439">
        <v>0</v>
      </c>
      <c r="P44" s="439">
        <v>0</v>
      </c>
      <c r="Q44" s="439">
        <v>0</v>
      </c>
      <c r="R44" s="439">
        <v>0</v>
      </c>
      <c r="CL44" s="258" t="s">
        <v>278</v>
      </c>
      <c r="CM44" s="490">
        <v>6000</v>
      </c>
      <c r="CO44" s="490"/>
      <c r="CP44" s="490"/>
      <c r="CQ44" s="490"/>
      <c r="CR44" s="490"/>
      <c r="CS44" s="490"/>
      <c r="CT44" s="490"/>
      <c r="DC44" s="258" t="s">
        <v>278</v>
      </c>
      <c r="DD44" s="490">
        <v>6000</v>
      </c>
      <c r="DJ44" s="258" t="s">
        <v>278</v>
      </c>
      <c r="DK44" s="490">
        <v>6000</v>
      </c>
      <c r="DT44" s="629">
        <v>6000</v>
      </c>
    </row>
    <row r="45" spans="9:147" ht="13.5" customHeight="1" thickBot="1">
      <c r="J45" s="356" t="s">
        <v>386</v>
      </c>
      <c r="O45" s="440">
        <v>56190</v>
      </c>
      <c r="P45" s="440">
        <v>60048</v>
      </c>
      <c r="Q45" s="440">
        <v>60440</v>
      </c>
      <c r="R45" s="440">
        <v>0</v>
      </c>
      <c r="CM45" s="488" t="s">
        <v>279</v>
      </c>
      <c r="CO45" s="496" t="s">
        <v>284</v>
      </c>
      <c r="CP45" s="484" t="s">
        <v>274</v>
      </c>
      <c r="CS45" s="484" t="s">
        <v>272</v>
      </c>
      <c r="CU45" s="488" t="s">
        <v>410</v>
      </c>
      <c r="CY45" s="488" t="s">
        <v>279</v>
      </c>
      <c r="DA45" s="496" t="s">
        <v>284</v>
      </c>
      <c r="DB45" s="484" t="s">
        <v>382</v>
      </c>
      <c r="DE45" s="484" t="s">
        <v>411</v>
      </c>
      <c r="DG45" s="488" t="s">
        <v>383</v>
      </c>
      <c r="DK45" s="488" t="s">
        <v>279</v>
      </c>
      <c r="DM45" s="496" t="s">
        <v>284</v>
      </c>
      <c r="DN45" s="484" t="s">
        <v>382</v>
      </c>
      <c r="DQ45" s="484" t="s">
        <v>412</v>
      </c>
      <c r="DS45" s="488" t="s">
        <v>407</v>
      </c>
      <c r="DW45" s="488" t="s">
        <v>279</v>
      </c>
      <c r="DY45" s="496" t="s">
        <v>284</v>
      </c>
      <c r="DZ45" s="484" t="s">
        <v>382</v>
      </c>
      <c r="EC45" s="484" t="s">
        <v>413</v>
      </c>
      <c r="EE45" s="484" t="s">
        <v>408</v>
      </c>
      <c r="EI45" s="488" t="s">
        <v>279</v>
      </c>
      <c r="EK45" s="496" t="s">
        <v>284</v>
      </c>
      <c r="EL45" s="484" t="s">
        <v>416</v>
      </c>
      <c r="EO45" s="627" t="s">
        <v>414</v>
      </c>
      <c r="EQ45" s="626" t="s">
        <v>415</v>
      </c>
    </row>
    <row r="46" spans="9:147" ht="13.5" customHeight="1" thickTop="1">
      <c r="I46" s="617" t="s">
        <v>385</v>
      </c>
      <c r="J46" s="356" t="s">
        <v>387</v>
      </c>
      <c r="O46" s="441">
        <f>SUM(O41:O45)</f>
        <v>422699</v>
      </c>
      <c r="P46" s="441">
        <f>SUM(P41:P45)</f>
        <v>543481</v>
      </c>
      <c r="Q46" s="441">
        <v>572767</v>
      </c>
      <c r="R46" s="441">
        <v>0</v>
      </c>
      <c r="DI46" s="258" t="s">
        <v>398</v>
      </c>
      <c r="DM46" s="258" t="s">
        <v>393</v>
      </c>
    </row>
    <row r="47" spans="9:147" ht="13.5" customHeight="1">
      <c r="J47" s="356" t="s">
        <v>388</v>
      </c>
      <c r="DH47" s="258" t="s">
        <v>394</v>
      </c>
      <c r="DK47" s="258" t="s">
        <v>404</v>
      </c>
      <c r="DN47" s="258" t="s">
        <v>420</v>
      </c>
    </row>
  </sheetData>
  <phoneticPr fontId="28" type="noConversion"/>
  <hyperlinks>
    <hyperlink ref="J7" r:id="rId1" xr:uid="{00000000-0004-0000-0000-000000000000}"/>
    <hyperlink ref="J5" r:id="rId2" xr:uid="{00000000-0004-0000-0000-000001000000}"/>
    <hyperlink ref="J6" r:id="rId3" display="http://www.istore.com.tw/cathaybk" xr:uid="{00000000-0004-0000-0000-000002000000}"/>
    <hyperlink ref="J9" r:id="rId4" display="http://bonus.ubot.com.tw" xr:uid="{00000000-0004-0000-0000-000003000000}"/>
    <hyperlink ref="J4" r:id="rId5" xr:uid="{00000000-0004-0000-0000-000004000000}"/>
    <hyperlink ref="J12" r:id="rId6" xr:uid="{00000000-0004-0000-0000-000005000000}"/>
    <hyperlink ref="J3" r:id="rId7" xr:uid="{00000000-0004-0000-0000-000006000000}"/>
    <hyperlink ref="J11" r:id="rId8" xr:uid="{00000000-0004-0000-0000-000007000000}"/>
    <hyperlink ref="J10" r:id="rId9" xr:uid="{00000000-0004-0000-0000-000008000000}"/>
    <hyperlink ref="J8" r:id="rId10" xr:uid="{00000000-0004-0000-0000-000009000000}"/>
  </hyperlinks>
  <pageMargins left="0.75" right="0.75" top="1" bottom="1" header="0.5" footer="0.5"/>
  <pageSetup orientation="portrait" r:id="rId11"/>
  <headerFooter alignWithMargins="0"/>
  <drawing r:id="rId12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6"/>
  <dimension ref="A1:R45"/>
  <sheetViews>
    <sheetView workbookViewId="0">
      <pane xSplit="3" ySplit="1" topLeftCell="D2" activePane="bottomRight" state="frozen"/>
      <selection activeCell="K4" sqref="K4"/>
      <selection pane="topRight"/>
      <selection pane="bottomLeft"/>
      <selection pane="bottomRight" activeCell="K15" sqref="K15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5193</v>
      </c>
      <c r="E2" s="113">
        <v>5259</v>
      </c>
      <c r="F2" s="113">
        <v>4700</v>
      </c>
      <c r="G2" s="113">
        <v>2405</v>
      </c>
      <c r="H2" s="113">
        <v>4308</v>
      </c>
      <c r="I2" s="113">
        <v>0</v>
      </c>
      <c r="J2" s="113">
        <v>0</v>
      </c>
      <c r="K2" s="113">
        <v>0</v>
      </c>
      <c r="L2" s="113">
        <v>0</v>
      </c>
      <c r="M2" s="113">
        <v>0</v>
      </c>
      <c r="N2" s="113">
        <v>0</v>
      </c>
      <c r="O2" s="113">
        <v>0</v>
      </c>
      <c r="P2" s="186">
        <v>21865</v>
      </c>
      <c r="Q2" s="187">
        <v>71727</v>
      </c>
      <c r="R2" s="187">
        <v>60000</v>
      </c>
    </row>
    <row r="3" spans="1:18" ht="10.5">
      <c r="A3" s="10"/>
      <c r="B3" s="11"/>
      <c r="C3" s="12" t="s">
        <v>21</v>
      </c>
      <c r="D3" s="127">
        <v>1831</v>
      </c>
      <c r="E3" s="127">
        <v>1989</v>
      </c>
      <c r="F3" s="127">
        <v>2805</v>
      </c>
      <c r="G3" s="127">
        <v>4856</v>
      </c>
      <c r="H3" s="127">
        <v>2871</v>
      </c>
      <c r="I3" s="127">
        <v>0</v>
      </c>
      <c r="J3" s="127">
        <v>0</v>
      </c>
      <c r="K3" s="127">
        <v>0</v>
      </c>
      <c r="L3" s="127">
        <v>0</v>
      </c>
      <c r="M3" s="127">
        <v>0</v>
      </c>
      <c r="N3" s="127">
        <v>0</v>
      </c>
      <c r="O3" s="127">
        <v>0</v>
      </c>
      <c r="P3" s="178">
        <v>14352</v>
      </c>
      <c r="Q3" s="188"/>
      <c r="R3" s="188"/>
    </row>
    <row r="4" spans="1:18" ht="10.5">
      <c r="A4" s="10"/>
      <c r="B4" s="13"/>
      <c r="C4" s="14" t="s">
        <v>22</v>
      </c>
      <c r="D4" s="112">
        <v>15655</v>
      </c>
      <c r="E4" s="112">
        <v>6749</v>
      </c>
      <c r="F4" s="112">
        <v>4363</v>
      </c>
      <c r="G4" s="112">
        <v>4326</v>
      </c>
      <c r="H4" s="112">
        <v>4417</v>
      </c>
      <c r="I4" s="112">
        <v>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86">
        <v>35510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2060</v>
      </c>
      <c r="E5" s="113">
        <v>0</v>
      </c>
      <c r="F5" s="113">
        <v>0</v>
      </c>
      <c r="G5" s="113">
        <v>0</v>
      </c>
      <c r="H5" s="113">
        <v>0</v>
      </c>
      <c r="I5" s="113">
        <v>0</v>
      </c>
      <c r="J5" s="113">
        <v>0</v>
      </c>
      <c r="K5" s="113">
        <v>0</v>
      </c>
      <c r="L5" s="113">
        <v>0</v>
      </c>
      <c r="M5" s="113">
        <v>0</v>
      </c>
      <c r="N5" s="113">
        <v>0</v>
      </c>
      <c r="O5" s="113">
        <v>0</v>
      </c>
      <c r="P5" s="249">
        <v>2060</v>
      </c>
      <c r="Q5" s="251">
        <v>17247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7887</v>
      </c>
      <c r="E6" s="113">
        <v>2260</v>
      </c>
      <c r="F6" s="113">
        <v>0</v>
      </c>
      <c r="G6" s="113">
        <v>299</v>
      </c>
      <c r="H6" s="113">
        <v>250</v>
      </c>
      <c r="I6" s="113">
        <v>0</v>
      </c>
      <c r="J6" s="113">
        <v>0</v>
      </c>
      <c r="K6" s="113">
        <v>0</v>
      </c>
      <c r="L6" s="113">
        <v>0</v>
      </c>
      <c r="M6" s="113">
        <v>0</v>
      </c>
      <c r="N6" s="113">
        <v>0</v>
      </c>
      <c r="O6" s="113">
        <v>0</v>
      </c>
      <c r="P6" s="249">
        <v>10696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2415</v>
      </c>
      <c r="E7" s="113">
        <v>0</v>
      </c>
      <c r="F7" s="113">
        <v>2076</v>
      </c>
      <c r="G7" s="113">
        <v>0</v>
      </c>
      <c r="H7" s="113">
        <v>0</v>
      </c>
      <c r="I7" s="113">
        <v>0</v>
      </c>
      <c r="J7" s="113">
        <v>0</v>
      </c>
      <c r="K7" s="113">
        <v>0</v>
      </c>
      <c r="L7" s="113">
        <v>0</v>
      </c>
      <c r="M7" s="113">
        <v>0</v>
      </c>
      <c r="N7" s="113">
        <v>0</v>
      </c>
      <c r="O7" s="113">
        <v>0</v>
      </c>
      <c r="P7" s="249">
        <v>4491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8000</v>
      </c>
      <c r="E8" s="246">
        <v>8800</v>
      </c>
      <c r="F8" s="246">
        <v>8000</v>
      </c>
      <c r="G8" s="246">
        <v>8000</v>
      </c>
      <c r="H8" s="246">
        <v>32795</v>
      </c>
      <c r="I8" s="246">
        <v>32795</v>
      </c>
      <c r="J8" s="246">
        <v>372795</v>
      </c>
      <c r="K8" s="246">
        <v>32795</v>
      </c>
      <c r="L8" s="246">
        <v>32795</v>
      </c>
      <c r="M8" s="246">
        <v>32795</v>
      </c>
      <c r="N8" s="246">
        <v>32795</v>
      </c>
      <c r="O8" s="246">
        <v>32795</v>
      </c>
      <c r="P8" s="247">
        <v>635160</v>
      </c>
      <c r="Q8" s="126">
        <v>715461</v>
      </c>
      <c r="R8" s="126">
        <v>180000</v>
      </c>
    </row>
    <row r="9" spans="1:18" ht="10.5">
      <c r="A9" s="10"/>
      <c r="B9" s="22"/>
      <c r="C9" s="8" t="s">
        <v>27</v>
      </c>
      <c r="D9" s="112">
        <v>0</v>
      </c>
      <c r="E9" s="112">
        <v>0</v>
      </c>
      <c r="F9" s="112">
        <v>0</v>
      </c>
      <c r="G9" s="112">
        <v>0</v>
      </c>
      <c r="H9" s="112">
        <v>2300</v>
      </c>
      <c r="I9" s="112">
        <v>0</v>
      </c>
      <c r="J9" s="112">
        <v>0</v>
      </c>
      <c r="K9" s="112">
        <v>0</v>
      </c>
      <c r="L9" s="112">
        <v>0</v>
      </c>
      <c r="M9" s="112">
        <v>0</v>
      </c>
      <c r="N9" s="112">
        <v>0</v>
      </c>
      <c r="O9" s="112">
        <v>0</v>
      </c>
      <c r="P9" s="186">
        <v>2300</v>
      </c>
      <c r="Q9" s="125"/>
      <c r="R9" s="125"/>
    </row>
    <row r="10" spans="1:18" ht="10.5">
      <c r="A10" s="10"/>
      <c r="B10" s="22"/>
      <c r="C10" s="8" t="s">
        <v>28</v>
      </c>
      <c r="D10" s="112">
        <v>5702</v>
      </c>
      <c r="E10" s="112">
        <v>6249</v>
      </c>
      <c r="F10" s="112">
        <v>11854</v>
      </c>
      <c r="G10" s="112">
        <v>6005</v>
      </c>
      <c r="H10" s="112">
        <v>5790</v>
      </c>
      <c r="I10" s="112">
        <v>1891</v>
      </c>
      <c r="J10" s="112">
        <v>1891</v>
      </c>
      <c r="K10" s="112">
        <v>0</v>
      </c>
      <c r="L10" s="112">
        <v>0</v>
      </c>
      <c r="M10" s="112">
        <v>0</v>
      </c>
      <c r="N10" s="112">
        <v>0</v>
      </c>
      <c r="O10" s="112">
        <v>0</v>
      </c>
      <c r="P10" s="186">
        <v>39382</v>
      </c>
      <c r="Q10" s="125"/>
      <c r="R10" s="125"/>
    </row>
    <row r="11" spans="1:18" ht="10.5">
      <c r="A11" s="10"/>
      <c r="B11" s="22"/>
      <c r="C11" s="8" t="s">
        <v>29</v>
      </c>
      <c r="D11" s="112">
        <v>0</v>
      </c>
      <c r="E11" s="112">
        <v>2332</v>
      </c>
      <c r="F11" s="112">
        <v>0</v>
      </c>
      <c r="G11" s="112">
        <v>1330</v>
      </c>
      <c r="H11" s="112">
        <v>0</v>
      </c>
      <c r="I11" s="112"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>
        <v>0</v>
      </c>
      <c r="P11" s="186">
        <v>3662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1320</v>
      </c>
      <c r="F12" s="112">
        <v>63</v>
      </c>
      <c r="G12" s="112">
        <v>2345</v>
      </c>
      <c r="H12" s="112">
        <v>7986</v>
      </c>
      <c r="I12" s="112"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>
        <v>20000</v>
      </c>
      <c r="P12" s="186">
        <v>31714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3243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3243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18729</v>
      </c>
      <c r="E15" s="112">
        <v>18729</v>
      </c>
      <c r="F15" s="112">
        <v>18729</v>
      </c>
      <c r="G15" s="112">
        <v>18729</v>
      </c>
      <c r="H15" s="112">
        <v>6229</v>
      </c>
      <c r="I15" s="112">
        <v>6229</v>
      </c>
      <c r="J15" s="112">
        <v>6229</v>
      </c>
      <c r="K15" s="112">
        <v>6229</v>
      </c>
      <c r="L15" s="112">
        <v>6229</v>
      </c>
      <c r="M15" s="112">
        <v>6229</v>
      </c>
      <c r="N15" s="112">
        <v>6229</v>
      </c>
      <c r="O15" s="112">
        <v>6229</v>
      </c>
      <c r="P15" s="186">
        <v>124748</v>
      </c>
      <c r="Q15" s="190">
        <v>393642</v>
      </c>
      <c r="R15" s="190">
        <v>530000</v>
      </c>
    </row>
    <row r="16" spans="1:18" ht="10.5">
      <c r="A16" s="10"/>
      <c r="B16" s="24"/>
      <c r="C16" s="8" t="s">
        <v>35</v>
      </c>
      <c r="D16" s="112">
        <v>60</v>
      </c>
      <c r="E16" s="112">
        <v>30</v>
      </c>
      <c r="F16" s="112">
        <v>0</v>
      </c>
      <c r="G16" s="112">
        <v>0</v>
      </c>
      <c r="H16" s="112">
        <v>22083</v>
      </c>
      <c r="I16" s="112">
        <v>60000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86">
        <v>82173</v>
      </c>
      <c r="Q16" s="191"/>
      <c r="R16" s="191"/>
    </row>
    <row r="17" spans="1:18" ht="10.5">
      <c r="A17" s="10"/>
      <c r="B17" s="24"/>
      <c r="C17" s="25" t="s">
        <v>36</v>
      </c>
      <c r="D17" s="192">
        <v>1885</v>
      </c>
      <c r="E17" s="192">
        <v>3156</v>
      </c>
      <c r="F17" s="192">
        <v>2121</v>
      </c>
      <c r="G17" s="192">
        <v>1200</v>
      </c>
      <c r="H17" s="192">
        <v>2935</v>
      </c>
      <c r="I17" s="192">
        <v>0</v>
      </c>
      <c r="J17" s="192">
        <v>0</v>
      </c>
      <c r="K17" s="192">
        <v>0</v>
      </c>
      <c r="L17" s="192">
        <v>0</v>
      </c>
      <c r="M17" s="192">
        <v>0</v>
      </c>
      <c r="N17" s="192">
        <v>0</v>
      </c>
      <c r="O17" s="192">
        <v>0</v>
      </c>
      <c r="P17" s="193">
        <v>11297</v>
      </c>
      <c r="Q17" s="191"/>
      <c r="R17" s="191"/>
    </row>
    <row r="18" spans="1:18" ht="10.5">
      <c r="A18" s="10"/>
      <c r="B18" s="24"/>
      <c r="C18" s="62" t="s">
        <v>166</v>
      </c>
      <c r="D18" s="192">
        <v>3887</v>
      </c>
      <c r="E18" s="192">
        <v>3244</v>
      </c>
      <c r="F18" s="192">
        <v>5060</v>
      </c>
      <c r="G18" s="192">
        <v>3080</v>
      </c>
      <c r="H18" s="192">
        <v>3180</v>
      </c>
      <c r="I18" s="192">
        <v>2165</v>
      </c>
      <c r="J18" s="192">
        <v>2165</v>
      </c>
      <c r="K18" s="192">
        <v>2165</v>
      </c>
      <c r="L18" s="192">
        <v>27165</v>
      </c>
      <c r="M18" s="192">
        <v>12165</v>
      </c>
      <c r="N18" s="192">
        <v>2165</v>
      </c>
      <c r="O18" s="192">
        <v>25000</v>
      </c>
      <c r="P18" s="193">
        <v>91441</v>
      </c>
      <c r="Q18" s="191"/>
      <c r="R18" s="191"/>
    </row>
    <row r="19" spans="1:18" ht="10.5">
      <c r="A19" s="10"/>
      <c r="B19" s="24"/>
      <c r="C19" s="25" t="s">
        <v>37</v>
      </c>
      <c r="D19" s="181">
        <v>20</v>
      </c>
      <c r="E19" s="181">
        <v>1660</v>
      </c>
      <c r="F19" s="181">
        <v>1040</v>
      </c>
      <c r="G19" s="181">
        <v>1690</v>
      </c>
      <c r="H19" s="181">
        <v>130</v>
      </c>
      <c r="I19" s="181">
        <v>0</v>
      </c>
      <c r="J19" s="181">
        <v>0</v>
      </c>
      <c r="K19" s="181">
        <v>0</v>
      </c>
      <c r="L19" s="181">
        <v>0</v>
      </c>
      <c r="M19" s="181">
        <v>0</v>
      </c>
      <c r="N19" s="181">
        <v>0</v>
      </c>
      <c r="O19" s="181">
        <v>0</v>
      </c>
      <c r="P19" s="180">
        <v>4540</v>
      </c>
      <c r="Q19" s="191"/>
      <c r="R19" s="191"/>
    </row>
    <row r="20" spans="1:18" ht="10.5">
      <c r="A20" s="10"/>
      <c r="B20" s="24"/>
      <c r="C20" s="14" t="s">
        <v>38</v>
      </c>
      <c r="D20" s="112">
        <v>1100</v>
      </c>
      <c r="E20" s="112">
        <v>3295</v>
      </c>
      <c r="F20" s="112">
        <v>2000</v>
      </c>
      <c r="G20" s="112">
        <v>7688</v>
      </c>
      <c r="H20" s="112">
        <v>65330</v>
      </c>
      <c r="I20" s="112">
        <v>0</v>
      </c>
      <c r="J20" s="112">
        <v>0</v>
      </c>
      <c r="K20" s="112">
        <v>0</v>
      </c>
      <c r="L20" s="112">
        <v>0</v>
      </c>
      <c r="M20" s="112">
        <v>0</v>
      </c>
      <c r="N20" s="112">
        <v>0</v>
      </c>
      <c r="O20" s="112">
        <v>0</v>
      </c>
      <c r="P20" s="186">
        <v>79413</v>
      </c>
      <c r="Q20" s="191"/>
      <c r="R20" s="191"/>
    </row>
    <row r="21" spans="1:18" ht="10.5">
      <c r="A21" s="10"/>
      <c r="B21" s="26"/>
      <c r="C21" s="8" t="s">
        <v>39</v>
      </c>
      <c r="D21" s="113">
        <v>0</v>
      </c>
      <c r="E21" s="113">
        <v>0</v>
      </c>
      <c r="F21" s="113">
        <v>0</v>
      </c>
      <c r="G21" s="113">
        <v>0</v>
      </c>
      <c r="H21" s="113">
        <v>30</v>
      </c>
      <c r="I21" s="113">
        <v>0</v>
      </c>
      <c r="J21" s="113">
        <v>0</v>
      </c>
      <c r="K21" s="113">
        <v>0</v>
      </c>
      <c r="L21" s="113">
        <v>0</v>
      </c>
      <c r="M21" s="113">
        <v>0</v>
      </c>
      <c r="N21" s="113">
        <v>0</v>
      </c>
      <c r="O21" s="113">
        <v>0</v>
      </c>
      <c r="P21" s="176">
        <v>30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v>15000</v>
      </c>
      <c r="E22" s="195">
        <v>111320</v>
      </c>
      <c r="F22" s="195">
        <v>0</v>
      </c>
      <c r="G22" s="195">
        <v>0</v>
      </c>
      <c r="H22" s="195">
        <v>11270</v>
      </c>
      <c r="I22" s="195">
        <v>11000</v>
      </c>
      <c r="J22" s="195">
        <v>21000</v>
      </c>
      <c r="K22" s="195">
        <v>11000</v>
      </c>
      <c r="L22" s="195">
        <v>11000</v>
      </c>
      <c r="M22" s="195">
        <v>11000</v>
      </c>
      <c r="N22" s="195">
        <v>11000</v>
      </c>
      <c r="O22" s="195">
        <v>21000</v>
      </c>
      <c r="P22" s="196">
        <v>234590</v>
      </c>
      <c r="Q22" s="187">
        <v>245137</v>
      </c>
      <c r="R22" s="187">
        <v>360000</v>
      </c>
    </row>
    <row r="23" spans="1:18" ht="10.5">
      <c r="A23" s="16"/>
      <c r="B23" s="13"/>
      <c r="C23" s="28" t="s">
        <v>42</v>
      </c>
      <c r="D23" s="100">
        <v>10547</v>
      </c>
      <c r="E23" s="100">
        <v>0</v>
      </c>
      <c r="F23" s="100">
        <v>0</v>
      </c>
      <c r="G23" s="100">
        <v>0</v>
      </c>
      <c r="H23" s="100">
        <v>0</v>
      </c>
      <c r="I23" s="100">
        <v>0</v>
      </c>
      <c r="J23" s="100">
        <v>0</v>
      </c>
      <c r="K23" s="100">
        <v>0</v>
      </c>
      <c r="L23" s="100">
        <v>0</v>
      </c>
      <c r="M23" s="100">
        <v>0</v>
      </c>
      <c r="N23" s="100">
        <v>0</v>
      </c>
      <c r="O23" s="100">
        <v>0</v>
      </c>
      <c r="P23" s="179">
        <v>10547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v>3280</v>
      </c>
      <c r="E24" s="113">
        <v>1029</v>
      </c>
      <c r="F24" s="113">
        <v>0</v>
      </c>
      <c r="G24" s="113">
        <v>0</v>
      </c>
      <c r="H24" s="113">
        <v>0</v>
      </c>
      <c r="I24" s="113">
        <v>0</v>
      </c>
      <c r="J24" s="113">
        <v>0</v>
      </c>
      <c r="K24" s="113">
        <v>0</v>
      </c>
      <c r="L24" s="113">
        <v>0</v>
      </c>
      <c r="M24" s="113">
        <v>0</v>
      </c>
      <c r="N24" s="113">
        <v>0</v>
      </c>
      <c r="O24" s="113">
        <v>0</v>
      </c>
      <c r="P24" s="176">
        <v>4309</v>
      </c>
      <c r="Q24" s="197">
        <v>4309</v>
      </c>
      <c r="R24" s="197">
        <v>24000</v>
      </c>
    </row>
    <row r="25" spans="1:18" ht="10.5">
      <c r="A25" s="10"/>
      <c r="B25" s="30" t="s">
        <v>45</v>
      </c>
      <c r="C25" s="14" t="s">
        <v>46</v>
      </c>
      <c r="D25" s="112">
        <v>35200</v>
      </c>
      <c r="E25" s="112">
        <v>520</v>
      </c>
      <c r="F25" s="112">
        <v>0</v>
      </c>
      <c r="G25" s="112">
        <v>0</v>
      </c>
      <c r="H25" s="112">
        <v>10717</v>
      </c>
      <c r="I25" s="112">
        <v>0</v>
      </c>
      <c r="J25" s="112">
        <v>0</v>
      </c>
      <c r="K25" s="112">
        <v>0</v>
      </c>
      <c r="L25" s="112">
        <v>0</v>
      </c>
      <c r="M25" s="112">
        <v>0</v>
      </c>
      <c r="N25" s="112">
        <v>30000</v>
      </c>
      <c r="O25" s="112">
        <v>0</v>
      </c>
      <c r="P25" s="186">
        <v>76437</v>
      </c>
      <c r="Q25" s="198">
        <v>147217</v>
      </c>
      <c r="R25" s="198">
        <v>60000</v>
      </c>
    </row>
    <row r="26" spans="1:18" ht="10.5">
      <c r="A26" s="10"/>
      <c r="B26" s="31"/>
      <c r="C26" s="8" t="s">
        <v>47</v>
      </c>
      <c r="D26" s="113">
        <v>36619</v>
      </c>
      <c r="E26" s="113">
        <v>3050</v>
      </c>
      <c r="F26" s="113">
        <v>0</v>
      </c>
      <c r="G26" s="113">
        <v>0</v>
      </c>
      <c r="H26" s="113">
        <v>6111</v>
      </c>
      <c r="I26" s="113">
        <v>0</v>
      </c>
      <c r="J26" s="113">
        <v>0</v>
      </c>
      <c r="K26" s="113">
        <v>0</v>
      </c>
      <c r="L26" s="113">
        <v>0</v>
      </c>
      <c r="M26" s="113">
        <v>0</v>
      </c>
      <c r="N26" s="113">
        <v>0</v>
      </c>
      <c r="O26" s="113">
        <v>25000</v>
      </c>
      <c r="P26" s="176">
        <v>70780</v>
      </c>
      <c r="Q26" s="199"/>
      <c r="R26" s="199"/>
    </row>
    <row r="27" spans="1:18" ht="10.5">
      <c r="A27" s="16"/>
      <c r="B27" s="32" t="s">
        <v>48</v>
      </c>
      <c r="C27" s="33" t="s">
        <v>49</v>
      </c>
      <c r="D27" s="112">
        <v>0</v>
      </c>
      <c r="E27" s="112">
        <v>10547</v>
      </c>
      <c r="F27" s="112">
        <v>10547</v>
      </c>
      <c r="G27" s="112">
        <v>0</v>
      </c>
      <c r="H27" s="112">
        <v>0</v>
      </c>
      <c r="I27" s="112">
        <v>0</v>
      </c>
      <c r="J27" s="112">
        <v>0</v>
      </c>
      <c r="K27" s="112">
        <v>0</v>
      </c>
      <c r="L27" s="112">
        <v>0</v>
      </c>
      <c r="M27" s="112">
        <v>0</v>
      </c>
      <c r="N27" s="112">
        <v>0</v>
      </c>
      <c r="O27" s="112">
        <v>0</v>
      </c>
      <c r="P27" s="186">
        <v>21094</v>
      </c>
      <c r="Q27" s="200">
        <v>21094</v>
      </c>
      <c r="R27" s="200">
        <v>120000</v>
      </c>
    </row>
    <row r="28" spans="1:18" ht="10.5">
      <c r="A28" s="16"/>
      <c r="B28" s="34" t="s">
        <v>50</v>
      </c>
      <c r="C28" s="18" t="s">
        <v>51</v>
      </c>
      <c r="D28" s="112">
        <v>0</v>
      </c>
      <c r="E28" s="112">
        <v>0</v>
      </c>
      <c r="F28" s="112">
        <v>0</v>
      </c>
      <c r="G28" s="112">
        <v>0</v>
      </c>
      <c r="H28" s="112">
        <v>0</v>
      </c>
      <c r="I28" s="112">
        <v>0</v>
      </c>
      <c r="J28" s="112">
        <v>0</v>
      </c>
      <c r="K28" s="112">
        <v>0</v>
      </c>
      <c r="L28" s="112">
        <v>0</v>
      </c>
      <c r="M28" s="112">
        <v>0</v>
      </c>
      <c r="N28" s="112">
        <v>0</v>
      </c>
      <c r="O28" s="112">
        <v>0</v>
      </c>
      <c r="P28" s="186">
        <v>0</v>
      </c>
      <c r="Q28" s="201">
        <v>0</v>
      </c>
      <c r="R28" s="201">
        <v>120000</v>
      </c>
    </row>
    <row r="29" spans="1:18" ht="10.5">
      <c r="A29" s="16"/>
      <c r="B29" s="638" t="s">
        <v>52</v>
      </c>
      <c r="C29" s="219" t="s">
        <v>53</v>
      </c>
      <c r="D29" s="220">
        <v>23631</v>
      </c>
      <c r="E29" s="220">
        <v>23631</v>
      </c>
      <c r="F29" s="220">
        <v>24394</v>
      </c>
      <c r="G29" s="220">
        <v>24394</v>
      </c>
      <c r="H29" s="220">
        <v>24394</v>
      </c>
      <c r="I29" s="220">
        <v>104394</v>
      </c>
      <c r="J29" s="220">
        <v>24394</v>
      </c>
      <c r="K29" s="220">
        <v>84394</v>
      </c>
      <c r="L29" s="220">
        <v>24394</v>
      </c>
      <c r="M29" s="220">
        <v>24394</v>
      </c>
      <c r="N29" s="220">
        <v>24394</v>
      </c>
      <c r="O29" s="220">
        <v>24394</v>
      </c>
      <c r="P29" s="221">
        <v>431202</v>
      </c>
      <c r="Q29" s="641">
        <v>431202</v>
      </c>
      <c r="R29" s="641">
        <v>220000</v>
      </c>
    </row>
    <row r="30" spans="1:18">
      <c r="A30" s="16"/>
      <c r="B30" s="639"/>
      <c r="C30" s="222" t="s">
        <v>162</v>
      </c>
      <c r="D30" s="220">
        <v>0</v>
      </c>
      <c r="E30" s="220">
        <v>0</v>
      </c>
      <c r="F30" s="220">
        <v>0</v>
      </c>
      <c r="G30" s="220">
        <v>0</v>
      </c>
      <c r="H30" s="220">
        <v>0</v>
      </c>
      <c r="I30" s="220">
        <v>0</v>
      </c>
      <c r="J30" s="220">
        <v>0</v>
      </c>
      <c r="K30" s="220">
        <v>0</v>
      </c>
      <c r="L30" s="220">
        <v>0</v>
      </c>
      <c r="M30" s="220">
        <v>0</v>
      </c>
      <c r="N30" s="220">
        <v>0</v>
      </c>
      <c r="O30" s="220">
        <v>0</v>
      </c>
      <c r="P30" s="221"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v>0</v>
      </c>
      <c r="E31" s="220">
        <v>0</v>
      </c>
      <c r="F31" s="220">
        <v>0</v>
      </c>
      <c r="G31" s="220">
        <v>0</v>
      </c>
      <c r="H31" s="220">
        <v>0</v>
      </c>
      <c r="I31" s="220">
        <v>0</v>
      </c>
      <c r="J31" s="220">
        <v>0</v>
      </c>
      <c r="K31" s="220">
        <v>0</v>
      </c>
      <c r="L31" s="220">
        <v>0</v>
      </c>
      <c r="M31" s="220">
        <v>0</v>
      </c>
      <c r="N31" s="220">
        <v>0</v>
      </c>
      <c r="O31" s="220">
        <v>0</v>
      </c>
      <c r="P31" s="221"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v>0</v>
      </c>
      <c r="E32" s="112">
        <v>89</v>
      </c>
      <c r="F32" s="112">
        <v>0</v>
      </c>
      <c r="G32" s="112">
        <v>3000</v>
      </c>
      <c r="H32" s="112">
        <v>0</v>
      </c>
      <c r="I32" s="112">
        <v>0</v>
      </c>
      <c r="J32" s="112">
        <v>0</v>
      </c>
      <c r="K32" s="112">
        <v>0</v>
      </c>
      <c r="L32" s="112">
        <v>0</v>
      </c>
      <c r="M32" s="112">
        <v>0</v>
      </c>
      <c r="N32" s="112">
        <v>0</v>
      </c>
      <c r="O32" s="112">
        <v>0</v>
      </c>
      <c r="P32" s="186">
        <v>3089</v>
      </c>
      <c r="Q32" s="201">
        <v>3089</v>
      </c>
      <c r="R32" s="201">
        <v>24000</v>
      </c>
    </row>
    <row r="33" spans="1:18" ht="10.5">
      <c r="A33" s="16"/>
      <c r="B33" s="34" t="s">
        <v>56</v>
      </c>
      <c r="C33" s="18" t="s">
        <v>56</v>
      </c>
      <c r="D33" s="112">
        <v>10000</v>
      </c>
      <c r="E33" s="112">
        <v>10000</v>
      </c>
      <c r="F33" s="112">
        <v>8000</v>
      </c>
      <c r="G33" s="112">
        <v>7865</v>
      </c>
      <c r="H33" s="112">
        <v>7000</v>
      </c>
      <c r="I33" s="112">
        <v>7000</v>
      </c>
      <c r="J33" s="112">
        <v>7000</v>
      </c>
      <c r="K33" s="112">
        <v>7000</v>
      </c>
      <c r="L33" s="112">
        <v>7000</v>
      </c>
      <c r="M33" s="112">
        <v>7000</v>
      </c>
      <c r="N33" s="112">
        <v>7000</v>
      </c>
      <c r="O33" s="112">
        <v>7000</v>
      </c>
      <c r="P33" s="186">
        <v>91865</v>
      </c>
      <c r="Q33" s="201">
        <v>91865</v>
      </c>
      <c r="R33" s="201">
        <v>180000</v>
      </c>
    </row>
    <row r="34" spans="1:18" ht="10.5">
      <c r="A34" s="16"/>
      <c r="B34" s="35" t="s">
        <v>57</v>
      </c>
      <c r="C34" s="18" t="s">
        <v>57</v>
      </c>
      <c r="D34" s="113">
        <v>9700</v>
      </c>
      <c r="E34" s="113">
        <v>0</v>
      </c>
      <c r="F34" s="113">
        <v>7947</v>
      </c>
      <c r="G34" s="113">
        <v>0</v>
      </c>
      <c r="H34" s="113">
        <v>5355</v>
      </c>
      <c r="I34" s="113">
        <v>0</v>
      </c>
      <c r="J34" s="113">
        <v>0</v>
      </c>
      <c r="K34" s="113">
        <v>10000</v>
      </c>
      <c r="L34" s="113">
        <v>30000</v>
      </c>
      <c r="M34" s="113">
        <v>30000</v>
      </c>
      <c r="N34" s="113">
        <v>30000</v>
      </c>
      <c r="O34" s="113">
        <v>30000</v>
      </c>
      <c r="P34" s="176">
        <v>153002</v>
      </c>
      <c r="Q34" s="201">
        <v>153002</v>
      </c>
      <c r="R34" s="201">
        <v>24000</v>
      </c>
    </row>
    <row r="35" spans="1:18" ht="10.5">
      <c r="A35" s="10"/>
      <c r="B35" s="36" t="s">
        <v>58</v>
      </c>
      <c r="C35" s="14" t="s">
        <v>59</v>
      </c>
      <c r="D35" s="112">
        <v>0</v>
      </c>
      <c r="E35" s="112">
        <v>0</v>
      </c>
      <c r="F35" s="112">
        <v>1000</v>
      </c>
      <c r="G35" s="112">
        <v>0</v>
      </c>
      <c r="H35" s="112">
        <v>0</v>
      </c>
      <c r="I35" s="112">
        <v>0</v>
      </c>
      <c r="J35" s="112">
        <v>0</v>
      </c>
      <c r="K35" s="112">
        <v>0</v>
      </c>
      <c r="L35" s="112">
        <v>0</v>
      </c>
      <c r="M35" s="112">
        <v>0</v>
      </c>
      <c r="N35" s="112">
        <v>0</v>
      </c>
      <c r="O35" s="112">
        <v>0</v>
      </c>
      <c r="P35" s="186">
        <v>1000</v>
      </c>
      <c r="Q35" s="202">
        <v>199828</v>
      </c>
      <c r="R35" s="202">
        <v>100000</v>
      </c>
    </row>
    <row r="36" spans="1:18" ht="10.5">
      <c r="A36" s="10"/>
      <c r="B36" s="37"/>
      <c r="C36" s="8" t="s">
        <v>60</v>
      </c>
      <c r="D36" s="112">
        <v>54626</v>
      </c>
      <c r="E36" s="112">
        <v>49470</v>
      </c>
      <c r="F36" s="112">
        <v>45470</v>
      </c>
      <c r="G36" s="112">
        <v>17211</v>
      </c>
      <c r="H36" s="112">
        <v>17661</v>
      </c>
      <c r="I36" s="112">
        <v>7195</v>
      </c>
      <c r="J36" s="112">
        <v>7195</v>
      </c>
      <c r="K36" s="112">
        <v>0</v>
      </c>
      <c r="L36" s="112">
        <v>0</v>
      </c>
      <c r="M36" s="112">
        <v>0</v>
      </c>
      <c r="N36" s="112">
        <v>0</v>
      </c>
      <c r="O36" s="112">
        <v>0</v>
      </c>
      <c r="P36" s="203">
        <v>198828</v>
      </c>
      <c r="Q36" s="202"/>
      <c r="R36" s="202"/>
    </row>
    <row r="37" spans="1:18" ht="10.5">
      <c r="A37" s="38"/>
      <c r="B37" s="183" t="s">
        <v>61</v>
      </c>
      <c r="C37" s="13"/>
      <c r="D37" s="204">
        <v>273027</v>
      </c>
      <c r="E37" s="204">
        <v>274728</v>
      </c>
      <c r="F37" s="204">
        <v>160169</v>
      </c>
      <c r="G37" s="204">
        <v>114423</v>
      </c>
      <c r="H37" s="204">
        <v>246385</v>
      </c>
      <c r="I37" s="204">
        <v>232669</v>
      </c>
      <c r="J37" s="204">
        <v>442669</v>
      </c>
      <c r="K37" s="204">
        <v>153583</v>
      </c>
      <c r="L37" s="204">
        <v>138583</v>
      </c>
      <c r="M37" s="204">
        <v>123583</v>
      </c>
      <c r="N37" s="204">
        <v>143583</v>
      </c>
      <c r="O37" s="204">
        <v>191418</v>
      </c>
      <c r="P37" s="205">
        <v>2494820</v>
      </c>
      <c r="Q37" s="206">
        <v>2494820</v>
      </c>
      <c r="R37" s="206"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v>389852</v>
      </c>
      <c r="E39" s="113">
        <v>125864</v>
      </c>
      <c r="F39" s="113">
        <v>149931</v>
      </c>
      <c r="G39" s="113">
        <v>124864</v>
      </c>
      <c r="H39" s="113">
        <v>124864</v>
      </c>
      <c r="I39" s="113">
        <v>124847</v>
      </c>
      <c r="J39" s="113">
        <v>124847</v>
      </c>
      <c r="K39" s="113">
        <v>124847</v>
      </c>
      <c r="L39" s="113">
        <v>124847</v>
      </c>
      <c r="M39" s="113">
        <v>124847</v>
      </c>
      <c r="N39" s="113">
        <v>124847</v>
      </c>
      <c r="O39" s="113">
        <v>374541</v>
      </c>
      <c r="P39" s="207">
        <v>2038998</v>
      </c>
      <c r="Q39" s="208">
        <v>2156350</v>
      </c>
      <c r="R39" s="209"/>
    </row>
    <row r="40" spans="1:18" ht="10.5">
      <c r="A40" s="10"/>
      <c r="B40" s="44" t="s">
        <v>62</v>
      </c>
      <c r="C40" s="14" t="s">
        <v>65</v>
      </c>
      <c r="D40" s="112">
        <v>33018</v>
      </c>
      <c r="E40" s="112">
        <v>0</v>
      </c>
      <c r="F40" s="112">
        <v>23154</v>
      </c>
      <c r="G40" s="112">
        <v>23154</v>
      </c>
      <c r="H40" s="112">
        <v>8026</v>
      </c>
      <c r="I40" s="112">
        <v>0</v>
      </c>
      <c r="J40" s="112">
        <v>0</v>
      </c>
      <c r="K40" s="112">
        <v>0</v>
      </c>
      <c r="L40" s="112">
        <v>0</v>
      </c>
      <c r="M40" s="112">
        <v>0</v>
      </c>
      <c r="N40" s="112">
        <v>0</v>
      </c>
      <c r="O40" s="112">
        <v>0</v>
      </c>
      <c r="P40" s="176">
        <v>87352</v>
      </c>
      <c r="Q40" s="210"/>
      <c r="R40" s="211"/>
    </row>
    <row r="41" spans="1:18" ht="10.5">
      <c r="A41" s="10"/>
      <c r="B41" s="45"/>
      <c r="C41" s="18" t="s">
        <v>73</v>
      </c>
      <c r="D41" s="113">
        <v>30000</v>
      </c>
      <c r="E41" s="113">
        <v>0</v>
      </c>
      <c r="F41" s="113">
        <v>0</v>
      </c>
      <c r="G41" s="113">
        <v>0</v>
      </c>
      <c r="H41" s="113">
        <v>0</v>
      </c>
      <c r="I41" s="113">
        <v>0</v>
      </c>
      <c r="J41" s="113">
        <v>0</v>
      </c>
      <c r="K41" s="113">
        <v>0</v>
      </c>
      <c r="L41" s="113">
        <v>0</v>
      </c>
      <c r="M41" s="113">
        <v>0</v>
      </c>
      <c r="N41" s="113">
        <v>0</v>
      </c>
      <c r="O41" s="113">
        <v>0</v>
      </c>
      <c r="P41" s="176">
        <v>30000</v>
      </c>
      <c r="Q41" s="212"/>
      <c r="R41" s="213"/>
    </row>
    <row r="42" spans="1:18" ht="10.5">
      <c r="A42" s="16"/>
      <c r="B42" s="46"/>
      <c r="C42" s="47" t="s">
        <v>66</v>
      </c>
      <c r="D42" s="214">
        <v>0</v>
      </c>
      <c r="E42" s="214">
        <v>0</v>
      </c>
      <c r="F42" s="214">
        <v>1070</v>
      </c>
      <c r="G42" s="214">
        <v>0</v>
      </c>
      <c r="H42" s="214">
        <v>0</v>
      </c>
      <c r="I42" s="214">
        <v>0</v>
      </c>
      <c r="J42" s="214">
        <v>0</v>
      </c>
      <c r="K42" s="214">
        <v>0</v>
      </c>
      <c r="L42" s="214">
        <v>0</v>
      </c>
      <c r="M42" s="214">
        <v>0</v>
      </c>
      <c r="N42" s="214">
        <v>0</v>
      </c>
      <c r="O42" s="214">
        <v>0</v>
      </c>
      <c r="P42" s="215">
        <v>1070</v>
      </c>
      <c r="Q42" s="200">
        <v>1070</v>
      </c>
      <c r="R42" s="112"/>
    </row>
    <row r="43" spans="1:18" ht="10.5">
      <c r="A43" s="10"/>
      <c r="B43" s="48" t="s">
        <v>58</v>
      </c>
      <c r="C43" s="8" t="s">
        <v>67</v>
      </c>
      <c r="D43" s="112">
        <v>10800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186">
        <v>10800</v>
      </c>
      <c r="Q43" s="216">
        <v>10800</v>
      </c>
      <c r="R43" s="216"/>
    </row>
    <row r="44" spans="1:18" ht="10.5">
      <c r="A44" s="10"/>
      <c r="B44" s="49"/>
      <c r="C44" s="8" t="s">
        <v>58</v>
      </c>
      <c r="D44" s="112">
        <v>0</v>
      </c>
      <c r="E44" s="112">
        <v>0</v>
      </c>
      <c r="F44" s="112">
        <v>0</v>
      </c>
      <c r="G44" s="112">
        <v>0</v>
      </c>
      <c r="H44" s="112">
        <v>0</v>
      </c>
      <c r="I44" s="112">
        <v>0</v>
      </c>
      <c r="J44" s="112">
        <v>0</v>
      </c>
      <c r="K44" s="112">
        <v>0</v>
      </c>
      <c r="L44" s="112">
        <v>0</v>
      </c>
      <c r="M44" s="112">
        <v>0</v>
      </c>
      <c r="N44" s="112">
        <v>0</v>
      </c>
      <c r="O44" s="112">
        <v>0</v>
      </c>
      <c r="P44" s="186"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v>463670</v>
      </c>
      <c r="E45" s="204">
        <v>125864</v>
      </c>
      <c r="F45" s="204">
        <v>174155</v>
      </c>
      <c r="G45" s="204">
        <v>148018</v>
      </c>
      <c r="H45" s="204">
        <v>132890</v>
      </c>
      <c r="I45" s="204">
        <v>124847</v>
      </c>
      <c r="J45" s="204">
        <v>124847</v>
      </c>
      <c r="K45" s="204">
        <v>124847</v>
      </c>
      <c r="L45" s="204">
        <v>124847</v>
      </c>
      <c r="M45" s="204">
        <v>124847</v>
      </c>
      <c r="N45" s="204">
        <v>124847</v>
      </c>
      <c r="O45" s="204">
        <v>374541</v>
      </c>
      <c r="P45" s="205">
        <v>2168220</v>
      </c>
      <c r="Q45" s="206">
        <v>2168220</v>
      </c>
      <c r="R45" s="182"/>
    </row>
  </sheetData>
  <mergeCells count="3">
    <mergeCell ref="B29:B31"/>
    <mergeCell ref="Q29:Q31"/>
    <mergeCell ref="R29:R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4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500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500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500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502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501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499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45"/>
  <sheetViews>
    <sheetView workbookViewId="0">
      <selection sqref="A1:XFD1048576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42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f>一月!AI2</f>
        <v>0</v>
      </c>
      <c r="E2" s="113">
        <f>二月!AI2</f>
        <v>0</v>
      </c>
      <c r="F2" s="113">
        <f>三月!AI2</f>
        <v>0</v>
      </c>
      <c r="G2" s="113">
        <f>四月!AI2</f>
        <v>0</v>
      </c>
      <c r="H2" s="113">
        <f>五月!AI2</f>
        <v>0</v>
      </c>
      <c r="I2" s="113">
        <f>六月!AI2</f>
        <v>0</v>
      </c>
      <c r="J2" s="113">
        <f>七月!AI2</f>
        <v>0</v>
      </c>
      <c r="K2" s="113">
        <f>八月!AI2</f>
        <v>0</v>
      </c>
      <c r="L2" s="113">
        <f>九月!AI2</f>
        <v>0</v>
      </c>
      <c r="M2" s="113">
        <f>十月!AI2</f>
        <v>0</v>
      </c>
      <c r="N2" s="113">
        <f>十一月!AI2</f>
        <v>0</v>
      </c>
      <c r="O2" s="113">
        <f>十二月!AI2</f>
        <v>0</v>
      </c>
      <c r="P2" s="186">
        <f t="shared" ref="P2:P37" si="0">SUM(D2:O2)</f>
        <v>0</v>
      </c>
      <c r="Q2" s="187">
        <f>SUM(P2:P4)</f>
        <v>0</v>
      </c>
      <c r="R2" s="187">
        <f>一月!AK2+二月!AK2+三月!AK2+四月!AK2+五月!AK2+六月!AK2+七月!AK2+八月!AK2+九月!AK2+十月!AK2+十一月!AK2+十二月!AK2</f>
        <v>60000</v>
      </c>
    </row>
    <row r="3" spans="1:18" ht="10.5">
      <c r="A3" s="10"/>
      <c r="B3" s="11"/>
      <c r="C3" s="12" t="s">
        <v>21</v>
      </c>
      <c r="D3" s="127">
        <f>一月!AI3</f>
        <v>0</v>
      </c>
      <c r="E3" s="127">
        <f>二月!AI3</f>
        <v>0</v>
      </c>
      <c r="F3" s="127">
        <f>三月!AI3</f>
        <v>0</v>
      </c>
      <c r="G3" s="127">
        <f>四月!AI3</f>
        <v>0</v>
      </c>
      <c r="H3" s="127">
        <f>五月!AI3</f>
        <v>0</v>
      </c>
      <c r="I3" s="127">
        <f>六月!AI3</f>
        <v>0</v>
      </c>
      <c r="J3" s="127">
        <f>七月!AI3</f>
        <v>0</v>
      </c>
      <c r="K3" s="127">
        <f>八月!AI3</f>
        <v>0</v>
      </c>
      <c r="L3" s="127">
        <f>九月!AI3</f>
        <v>0</v>
      </c>
      <c r="M3" s="127">
        <f>十月!AI3</f>
        <v>0</v>
      </c>
      <c r="N3" s="127">
        <f>十一月!AI3</f>
        <v>0</v>
      </c>
      <c r="O3" s="127">
        <f>十二月!AI3</f>
        <v>0</v>
      </c>
      <c r="P3" s="178">
        <f t="shared" si="0"/>
        <v>0</v>
      </c>
      <c r="Q3" s="188"/>
      <c r="R3" s="188"/>
    </row>
    <row r="4" spans="1:18" ht="10.5">
      <c r="A4" s="10"/>
      <c r="B4" s="13"/>
      <c r="C4" s="14" t="s">
        <v>22</v>
      </c>
      <c r="D4" s="112">
        <f>一月!AI4</f>
        <v>0</v>
      </c>
      <c r="E4" s="112">
        <f>二月!AI4</f>
        <v>0</v>
      </c>
      <c r="F4" s="112">
        <f>三月!AI4</f>
        <v>0</v>
      </c>
      <c r="G4" s="112">
        <f>四月!AI4</f>
        <v>0</v>
      </c>
      <c r="H4" s="112">
        <f>五月!AI4</f>
        <v>0</v>
      </c>
      <c r="I4" s="112">
        <f>六月!AI4</f>
        <v>0</v>
      </c>
      <c r="J4" s="112">
        <f>七月!AI4</f>
        <v>0</v>
      </c>
      <c r="K4" s="112">
        <f>八月!AI4</f>
        <v>0</v>
      </c>
      <c r="L4" s="112">
        <f>九月!AI4</f>
        <v>0</v>
      </c>
      <c r="M4" s="112">
        <f>十月!AI4</f>
        <v>0</v>
      </c>
      <c r="N4" s="112">
        <f>十一月!AI4</f>
        <v>0</v>
      </c>
      <c r="O4" s="112">
        <f>十二月!AI4</f>
        <v>0</v>
      </c>
      <c r="P4" s="186">
        <f t="shared" si="0"/>
        <v>0</v>
      </c>
      <c r="Q4" s="188"/>
      <c r="R4" s="188"/>
    </row>
    <row r="5" spans="1:18" ht="10.5">
      <c r="A5" s="16"/>
      <c r="B5" s="622" t="s">
        <v>23</v>
      </c>
      <c r="C5" s="18" t="s">
        <v>24</v>
      </c>
      <c r="D5" s="113">
        <f>一月!AI5</f>
        <v>0</v>
      </c>
      <c r="E5" s="113">
        <f>二月!AI5</f>
        <v>0</v>
      </c>
      <c r="F5" s="113">
        <f>三月!AI5</f>
        <v>0</v>
      </c>
      <c r="G5" s="113">
        <f>四月!AI5</f>
        <v>0</v>
      </c>
      <c r="H5" s="113">
        <f>五月!AI5</f>
        <v>0</v>
      </c>
      <c r="I5" s="113">
        <f>六月!AI5</f>
        <v>0</v>
      </c>
      <c r="J5" s="113">
        <f>七月!AI5</f>
        <v>0</v>
      </c>
      <c r="K5" s="113">
        <f>八月!AI5</f>
        <v>0</v>
      </c>
      <c r="L5" s="113">
        <f>九月!AI5</f>
        <v>0</v>
      </c>
      <c r="M5" s="113">
        <f>十月!AI5</f>
        <v>0</v>
      </c>
      <c r="N5" s="113">
        <f>十一月!AI5</f>
        <v>0</v>
      </c>
      <c r="O5" s="113">
        <f>十二月!AI5</f>
        <v>0</v>
      </c>
      <c r="P5" s="249">
        <f t="shared" si="0"/>
        <v>0</v>
      </c>
      <c r="Q5" s="251">
        <f>SUM(P5:P7)</f>
        <v>0</v>
      </c>
      <c r="R5" s="248">
        <f>一月!AK5+二月!AK5+三月!AK5+四月!AK5+五月!AK5+六月!AK5+七月!AK5+八月!AK5+九月!AK5+十月!AK5+十一月!AK5+十二月!AK5</f>
        <v>31000</v>
      </c>
    </row>
    <row r="6" spans="1:18" ht="11.25" customHeight="1">
      <c r="A6" s="10"/>
      <c r="B6" s="622"/>
      <c r="C6" s="14" t="s">
        <v>76</v>
      </c>
      <c r="D6" s="113">
        <f>一月!AI6</f>
        <v>0</v>
      </c>
      <c r="E6" s="113">
        <f>二月!AI6</f>
        <v>0</v>
      </c>
      <c r="F6" s="113">
        <f>三月!AI6</f>
        <v>0</v>
      </c>
      <c r="G6" s="113">
        <f>四月!AI6</f>
        <v>0</v>
      </c>
      <c r="H6" s="113">
        <f>五月!AI6</f>
        <v>0</v>
      </c>
      <c r="I6" s="113">
        <f>六月!AI6</f>
        <v>0</v>
      </c>
      <c r="J6" s="113">
        <f>七月!AI6</f>
        <v>0</v>
      </c>
      <c r="K6" s="113">
        <f>八月!AI6</f>
        <v>0</v>
      </c>
      <c r="L6" s="113">
        <f>九月!AI6</f>
        <v>0</v>
      </c>
      <c r="M6" s="113">
        <f>十月!AI6</f>
        <v>0</v>
      </c>
      <c r="N6" s="113">
        <f>十一月!AI6</f>
        <v>0</v>
      </c>
      <c r="O6" s="113">
        <f>十二月!AI6</f>
        <v>0</v>
      </c>
      <c r="P6" s="249">
        <f>SUM(D6:O6)</f>
        <v>0</v>
      </c>
      <c r="Q6" s="252"/>
      <c r="R6" s="250"/>
    </row>
    <row r="7" spans="1:18" ht="11.25" customHeight="1">
      <c r="A7" s="10"/>
      <c r="B7" s="622"/>
      <c r="C7" s="14" t="s">
        <v>77</v>
      </c>
      <c r="D7" s="113">
        <f>一月!AI7</f>
        <v>0</v>
      </c>
      <c r="E7" s="113">
        <f>二月!AI7</f>
        <v>0</v>
      </c>
      <c r="F7" s="113">
        <f>三月!AI7</f>
        <v>0</v>
      </c>
      <c r="G7" s="113">
        <f>四月!AI7</f>
        <v>0</v>
      </c>
      <c r="H7" s="113">
        <f>五月!AI7</f>
        <v>0</v>
      </c>
      <c r="I7" s="113">
        <f>六月!AI7</f>
        <v>0</v>
      </c>
      <c r="J7" s="113">
        <f>七月!AI7</f>
        <v>0</v>
      </c>
      <c r="K7" s="113">
        <f>八月!AI7</f>
        <v>0</v>
      </c>
      <c r="L7" s="113">
        <f>九月!AI7</f>
        <v>0</v>
      </c>
      <c r="M7" s="113">
        <f>十月!AI7</f>
        <v>0</v>
      </c>
      <c r="N7" s="113">
        <f>十一月!AI7</f>
        <v>0</v>
      </c>
      <c r="O7" s="113">
        <f>十二月!AI7</f>
        <v>0</v>
      </c>
      <c r="P7" s="249">
        <f>SUM(D7:O7)</f>
        <v>0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f>一月!AI8</f>
        <v>0</v>
      </c>
      <c r="E8" s="246">
        <f>二月!AI8</f>
        <v>0</v>
      </c>
      <c r="F8" s="246">
        <f>三月!AI8</f>
        <v>0</v>
      </c>
      <c r="G8" s="246">
        <f>四月!AI8</f>
        <v>0</v>
      </c>
      <c r="H8" s="246">
        <f>五月!AI8</f>
        <v>0</v>
      </c>
      <c r="I8" s="246">
        <f>六月!AI8</f>
        <v>0</v>
      </c>
      <c r="J8" s="246">
        <f>七月!AI8</f>
        <v>0</v>
      </c>
      <c r="K8" s="246">
        <f>八月!AI8</f>
        <v>0</v>
      </c>
      <c r="L8" s="246">
        <f>九月!AI8</f>
        <v>0</v>
      </c>
      <c r="M8" s="246">
        <f>十月!AI8</f>
        <v>0</v>
      </c>
      <c r="N8" s="246">
        <f>十一月!AI8</f>
        <v>0</v>
      </c>
      <c r="O8" s="246">
        <f>十二月!AI8</f>
        <v>0</v>
      </c>
      <c r="P8" s="247">
        <f>SUM(D8:O8)</f>
        <v>0</v>
      </c>
      <c r="Q8" s="126">
        <f>SUM(P8:P14)</f>
        <v>0</v>
      </c>
      <c r="R8" s="126">
        <f>一月!AK8+二月!AK8+三月!AK8+四月!AK8+五月!AK8+六月!AK8+七月!AK8+八月!AK8+九月!AK8+十月!AK8+十一月!AK8+十二月!AK8</f>
        <v>180000</v>
      </c>
    </row>
    <row r="9" spans="1:18" ht="10.5">
      <c r="A9" s="10"/>
      <c r="B9" s="22"/>
      <c r="C9" s="8" t="s">
        <v>27</v>
      </c>
      <c r="D9" s="112">
        <f>一月!AI9</f>
        <v>0</v>
      </c>
      <c r="E9" s="112">
        <f>二月!AI9</f>
        <v>0</v>
      </c>
      <c r="F9" s="112">
        <f>三月!AI9</f>
        <v>0</v>
      </c>
      <c r="G9" s="112">
        <f>四月!AI9</f>
        <v>0</v>
      </c>
      <c r="H9" s="112">
        <f>五月!AI9</f>
        <v>0</v>
      </c>
      <c r="I9" s="112">
        <f>六月!AI9</f>
        <v>0</v>
      </c>
      <c r="J9" s="112">
        <f>七月!AI9</f>
        <v>0</v>
      </c>
      <c r="K9" s="112">
        <f>八月!AI9</f>
        <v>0</v>
      </c>
      <c r="L9" s="112">
        <f>九月!AI9</f>
        <v>0</v>
      </c>
      <c r="M9" s="112">
        <f>十月!AI9</f>
        <v>0</v>
      </c>
      <c r="N9" s="112">
        <f>十一月!AI9</f>
        <v>0</v>
      </c>
      <c r="O9" s="112">
        <f>十二月!AI9</f>
        <v>0</v>
      </c>
      <c r="P9" s="186">
        <f t="shared" si="0"/>
        <v>0</v>
      </c>
      <c r="Q9" s="125"/>
      <c r="R9" s="125"/>
    </row>
    <row r="10" spans="1:18" ht="10.5">
      <c r="A10" s="10"/>
      <c r="B10" s="22"/>
      <c r="C10" s="8" t="s">
        <v>28</v>
      </c>
      <c r="D10" s="112">
        <f>一月!AI10</f>
        <v>0</v>
      </c>
      <c r="E10" s="112">
        <f>二月!AI10</f>
        <v>0</v>
      </c>
      <c r="F10" s="112">
        <f>三月!AI10</f>
        <v>0</v>
      </c>
      <c r="G10" s="112">
        <f>四月!AI10</f>
        <v>0</v>
      </c>
      <c r="H10" s="112">
        <f>五月!AI10</f>
        <v>0</v>
      </c>
      <c r="I10" s="112">
        <f>六月!AI10</f>
        <v>0</v>
      </c>
      <c r="J10" s="112">
        <f>七月!AI10</f>
        <v>0</v>
      </c>
      <c r="K10" s="112">
        <f>八月!AI10</f>
        <v>0</v>
      </c>
      <c r="L10" s="112">
        <f>九月!AI10</f>
        <v>0</v>
      </c>
      <c r="M10" s="112">
        <f>十月!AI10</f>
        <v>0</v>
      </c>
      <c r="N10" s="112">
        <f>十一月!AI10</f>
        <v>0</v>
      </c>
      <c r="O10" s="112">
        <f>十二月!AI10</f>
        <v>0</v>
      </c>
      <c r="P10" s="186">
        <f t="shared" si="0"/>
        <v>0</v>
      </c>
      <c r="Q10" s="125"/>
      <c r="R10" s="125"/>
    </row>
    <row r="11" spans="1:18" ht="10.5">
      <c r="A11" s="10"/>
      <c r="B11" s="22"/>
      <c r="C11" s="8" t="s">
        <v>29</v>
      </c>
      <c r="D11" s="112">
        <f>一月!AI11</f>
        <v>0</v>
      </c>
      <c r="E11" s="112">
        <f>二月!AI11</f>
        <v>0</v>
      </c>
      <c r="F11" s="112">
        <f>三月!AI11</f>
        <v>0</v>
      </c>
      <c r="G11" s="112">
        <f>四月!AI11</f>
        <v>0</v>
      </c>
      <c r="H11" s="112">
        <f>五月!AI11</f>
        <v>0</v>
      </c>
      <c r="I11" s="112">
        <f>六月!AI11</f>
        <v>0</v>
      </c>
      <c r="J11" s="112">
        <f>七月!AI11</f>
        <v>0</v>
      </c>
      <c r="K11" s="112">
        <f>八月!AI11</f>
        <v>0</v>
      </c>
      <c r="L11" s="112">
        <f>九月!AI11</f>
        <v>0</v>
      </c>
      <c r="M11" s="112">
        <f>十月!AI11</f>
        <v>0</v>
      </c>
      <c r="N11" s="112">
        <f>十一月!AI11</f>
        <v>0</v>
      </c>
      <c r="O11" s="112">
        <f>十二月!AI11</f>
        <v>0</v>
      </c>
      <c r="P11" s="186">
        <f t="shared" si="0"/>
        <v>0</v>
      </c>
      <c r="Q11" s="125"/>
      <c r="R11" s="125"/>
    </row>
    <row r="12" spans="1:18" ht="10.5">
      <c r="A12" s="10"/>
      <c r="B12" s="22"/>
      <c r="C12" s="8" t="s">
        <v>30</v>
      </c>
      <c r="D12" s="112">
        <f>一月!AI12</f>
        <v>0</v>
      </c>
      <c r="E12" s="112">
        <f>二月!AI12</f>
        <v>0</v>
      </c>
      <c r="F12" s="112">
        <f>三月!AI12</f>
        <v>0</v>
      </c>
      <c r="G12" s="112">
        <f>四月!AI12</f>
        <v>0</v>
      </c>
      <c r="H12" s="112">
        <f>五月!AI12</f>
        <v>0</v>
      </c>
      <c r="I12" s="112">
        <f>六月!AI12</f>
        <v>0</v>
      </c>
      <c r="J12" s="112">
        <f>七月!AI12</f>
        <v>0</v>
      </c>
      <c r="K12" s="112">
        <f>八月!AI12</f>
        <v>0</v>
      </c>
      <c r="L12" s="112">
        <f>九月!AI12</f>
        <v>0</v>
      </c>
      <c r="M12" s="112">
        <f>十月!AI12</f>
        <v>0</v>
      </c>
      <c r="N12" s="112">
        <f>十一月!AI12</f>
        <v>0</v>
      </c>
      <c r="O12" s="112">
        <f>十二月!AI12</f>
        <v>0</v>
      </c>
      <c r="P12" s="186">
        <f t="shared" si="0"/>
        <v>0</v>
      </c>
      <c r="Q12" s="125"/>
      <c r="R12" s="125"/>
    </row>
    <row r="13" spans="1:18" ht="10.5">
      <c r="A13" s="10"/>
      <c r="B13" s="22"/>
      <c r="C13" s="8" t="s">
        <v>31</v>
      </c>
      <c r="D13" s="112">
        <f>一月!AI13</f>
        <v>0</v>
      </c>
      <c r="E13" s="112">
        <f>二月!AI13</f>
        <v>0</v>
      </c>
      <c r="F13" s="112">
        <f>三月!AI13</f>
        <v>0</v>
      </c>
      <c r="G13" s="112">
        <f>四月!AI13</f>
        <v>0</v>
      </c>
      <c r="H13" s="112">
        <f>五月!AI13</f>
        <v>0</v>
      </c>
      <c r="I13" s="112">
        <f>六月!AI13</f>
        <v>0</v>
      </c>
      <c r="J13" s="112">
        <f>七月!AI13</f>
        <v>0</v>
      </c>
      <c r="K13" s="112">
        <f>八月!AI13</f>
        <v>0</v>
      </c>
      <c r="L13" s="112">
        <f>九月!AI13</f>
        <v>0</v>
      </c>
      <c r="M13" s="112">
        <f>十月!AI13</f>
        <v>0</v>
      </c>
      <c r="N13" s="112">
        <f>十一月!AI13</f>
        <v>0</v>
      </c>
      <c r="O13" s="112">
        <f>十二月!AI13</f>
        <v>0</v>
      </c>
      <c r="P13" s="186">
        <f t="shared" si="0"/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f>一月!AI14</f>
        <v>0</v>
      </c>
      <c r="E14" s="113">
        <f>二月!AI14</f>
        <v>0</v>
      </c>
      <c r="F14" s="113">
        <f>三月!AI14</f>
        <v>0</v>
      </c>
      <c r="G14" s="113">
        <f>四月!AI14</f>
        <v>0</v>
      </c>
      <c r="H14" s="113">
        <f>五月!AI14</f>
        <v>0</v>
      </c>
      <c r="I14" s="113">
        <f>六月!AI14</f>
        <v>0</v>
      </c>
      <c r="J14" s="113">
        <f>七月!AI14</f>
        <v>0</v>
      </c>
      <c r="K14" s="113">
        <f>八月!AI14</f>
        <v>0</v>
      </c>
      <c r="L14" s="113">
        <f>九月!AI14</f>
        <v>0</v>
      </c>
      <c r="M14" s="113">
        <f>十月!AI14</f>
        <v>0</v>
      </c>
      <c r="N14" s="113">
        <f>十一月!AI14</f>
        <v>0</v>
      </c>
      <c r="O14" s="113">
        <f>十二月!AI14</f>
        <v>0</v>
      </c>
      <c r="P14" s="176">
        <f t="shared" si="0"/>
        <v>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f>一月!AI15</f>
        <v>0</v>
      </c>
      <c r="E15" s="112">
        <f>二月!AI15</f>
        <v>0</v>
      </c>
      <c r="F15" s="112">
        <f>三月!AI15</f>
        <v>0</v>
      </c>
      <c r="G15" s="112">
        <f>四月!AI15</f>
        <v>0</v>
      </c>
      <c r="H15" s="112">
        <f>五月!AI15</f>
        <v>0</v>
      </c>
      <c r="I15" s="112">
        <f>六月!AI15</f>
        <v>0</v>
      </c>
      <c r="J15" s="112">
        <f>七月!AI15</f>
        <v>0</v>
      </c>
      <c r="K15" s="112">
        <f>八月!AI15</f>
        <v>0</v>
      </c>
      <c r="L15" s="112">
        <f>九月!AI15</f>
        <v>0</v>
      </c>
      <c r="M15" s="112">
        <f>十月!AI15</f>
        <v>0</v>
      </c>
      <c r="N15" s="112">
        <f>十一月!AI15</f>
        <v>0</v>
      </c>
      <c r="O15" s="112">
        <f>十二月!AI15</f>
        <v>0</v>
      </c>
      <c r="P15" s="186">
        <f t="shared" si="0"/>
        <v>0</v>
      </c>
      <c r="Q15" s="190">
        <f>SUM(P15:P21)</f>
        <v>0</v>
      </c>
      <c r="R15" s="190">
        <f>一月!AK15+二月!AK15+三月!AK15+四月!AK15+五月!AK15+六月!AK15+七月!AK15+八月!AK15+九月!AK15+十月!AK15+十一月!AK15+十二月!AK15</f>
        <v>530000</v>
      </c>
    </row>
    <row r="16" spans="1:18" ht="10.5">
      <c r="A16" s="10"/>
      <c r="B16" s="24"/>
      <c r="C16" s="8" t="s">
        <v>35</v>
      </c>
      <c r="D16" s="112">
        <f>一月!AI16</f>
        <v>0</v>
      </c>
      <c r="E16" s="112">
        <f>二月!AI16</f>
        <v>0</v>
      </c>
      <c r="F16" s="112">
        <f>三月!AI16</f>
        <v>0</v>
      </c>
      <c r="G16" s="112">
        <f>四月!AI16</f>
        <v>0</v>
      </c>
      <c r="H16" s="112">
        <f>五月!AI16</f>
        <v>0</v>
      </c>
      <c r="I16" s="112">
        <f>六月!AI16</f>
        <v>0</v>
      </c>
      <c r="J16" s="112">
        <f>七月!AI16</f>
        <v>0</v>
      </c>
      <c r="K16" s="112">
        <f>八月!AI16</f>
        <v>0</v>
      </c>
      <c r="L16" s="112">
        <f>九月!AI16</f>
        <v>0</v>
      </c>
      <c r="M16" s="112">
        <f>十月!AI16</f>
        <v>0</v>
      </c>
      <c r="N16" s="112">
        <f>十一月!AI16</f>
        <v>0</v>
      </c>
      <c r="O16" s="112">
        <f>十二月!AI16</f>
        <v>0</v>
      </c>
      <c r="P16" s="186">
        <f t="shared" si="0"/>
        <v>0</v>
      </c>
      <c r="Q16" s="191"/>
      <c r="R16" s="191"/>
    </row>
    <row r="17" spans="1:18" ht="10.5">
      <c r="A17" s="10"/>
      <c r="B17" s="24"/>
      <c r="C17" s="25" t="s">
        <v>36</v>
      </c>
      <c r="D17" s="192">
        <f>一月!AI17</f>
        <v>0</v>
      </c>
      <c r="E17" s="192">
        <f>二月!AI17</f>
        <v>0</v>
      </c>
      <c r="F17" s="192">
        <f>三月!AI17</f>
        <v>0</v>
      </c>
      <c r="G17" s="192">
        <f>四月!AI17</f>
        <v>0</v>
      </c>
      <c r="H17" s="192">
        <f>五月!AI17</f>
        <v>0</v>
      </c>
      <c r="I17" s="192">
        <f>六月!AI17</f>
        <v>0</v>
      </c>
      <c r="J17" s="192">
        <f>七月!AI17</f>
        <v>0</v>
      </c>
      <c r="K17" s="192">
        <f>八月!AI17</f>
        <v>0</v>
      </c>
      <c r="L17" s="192">
        <f>九月!AI17</f>
        <v>0</v>
      </c>
      <c r="M17" s="192">
        <f>十月!AI17</f>
        <v>0</v>
      </c>
      <c r="N17" s="192">
        <f>十一月!AI17</f>
        <v>0</v>
      </c>
      <c r="O17" s="192">
        <f>十二月!AI17</f>
        <v>0</v>
      </c>
      <c r="P17" s="193">
        <f t="shared" si="0"/>
        <v>0</v>
      </c>
      <c r="Q17" s="191"/>
      <c r="R17" s="191"/>
    </row>
    <row r="18" spans="1:18" ht="10.5">
      <c r="A18" s="10"/>
      <c r="B18" s="24"/>
      <c r="C18" s="62" t="s">
        <v>166</v>
      </c>
      <c r="D18" s="192">
        <f>一月!AI18</f>
        <v>0</v>
      </c>
      <c r="E18" s="192">
        <f>二月!AI18</f>
        <v>0</v>
      </c>
      <c r="F18" s="192">
        <f>三月!AI18</f>
        <v>0</v>
      </c>
      <c r="G18" s="192">
        <f>四月!AI18</f>
        <v>0</v>
      </c>
      <c r="H18" s="192">
        <f>五月!AI18</f>
        <v>0</v>
      </c>
      <c r="I18" s="192">
        <f>六月!AI18</f>
        <v>0</v>
      </c>
      <c r="J18" s="192">
        <f>七月!AI18</f>
        <v>0</v>
      </c>
      <c r="K18" s="192">
        <f>八月!AI18</f>
        <v>0</v>
      </c>
      <c r="L18" s="192">
        <f>九月!AI18</f>
        <v>0</v>
      </c>
      <c r="M18" s="192">
        <f>十月!AI18</f>
        <v>0</v>
      </c>
      <c r="N18" s="192">
        <f>十一月!AI18</f>
        <v>0</v>
      </c>
      <c r="O18" s="192">
        <f>十二月!AI18</f>
        <v>0</v>
      </c>
      <c r="P18" s="193">
        <f>SUM(D18:O18)</f>
        <v>0</v>
      </c>
      <c r="Q18" s="191"/>
      <c r="R18" s="191"/>
    </row>
    <row r="19" spans="1:18" ht="10.5">
      <c r="A19" s="10"/>
      <c r="B19" s="24"/>
      <c r="C19" s="25" t="s">
        <v>37</v>
      </c>
      <c r="D19" s="181">
        <f>一月!AI19</f>
        <v>0</v>
      </c>
      <c r="E19" s="181">
        <f>二月!AI19</f>
        <v>0</v>
      </c>
      <c r="F19" s="181">
        <f>三月!AI19</f>
        <v>0</v>
      </c>
      <c r="G19" s="181">
        <f>四月!AI19</f>
        <v>0</v>
      </c>
      <c r="H19" s="181">
        <f>五月!AI19</f>
        <v>0</v>
      </c>
      <c r="I19" s="181">
        <f>六月!AI19</f>
        <v>0</v>
      </c>
      <c r="J19" s="181">
        <f>七月!AI19</f>
        <v>0</v>
      </c>
      <c r="K19" s="181">
        <f>八月!AI19</f>
        <v>0</v>
      </c>
      <c r="L19" s="181">
        <f>九月!AI19</f>
        <v>0</v>
      </c>
      <c r="M19" s="181">
        <f>十月!AI19</f>
        <v>0</v>
      </c>
      <c r="N19" s="181">
        <f>十一月!AI19</f>
        <v>0</v>
      </c>
      <c r="O19" s="181">
        <f>十二月!AI19</f>
        <v>0</v>
      </c>
      <c r="P19" s="180">
        <f t="shared" si="0"/>
        <v>0</v>
      </c>
      <c r="Q19" s="191"/>
      <c r="R19" s="191"/>
    </row>
    <row r="20" spans="1:18" ht="10.5">
      <c r="A20" s="10"/>
      <c r="B20" s="24"/>
      <c r="C20" s="14" t="s">
        <v>38</v>
      </c>
      <c r="D20" s="112">
        <f>一月!AI20</f>
        <v>0</v>
      </c>
      <c r="E20" s="112">
        <f>二月!AI20</f>
        <v>0</v>
      </c>
      <c r="F20" s="112">
        <f>三月!AI20</f>
        <v>0</v>
      </c>
      <c r="G20" s="112">
        <f>四月!AI20</f>
        <v>0</v>
      </c>
      <c r="H20" s="112">
        <f>五月!AI20</f>
        <v>0</v>
      </c>
      <c r="I20" s="112">
        <f>六月!AI20</f>
        <v>0</v>
      </c>
      <c r="J20" s="112">
        <f>七月!AI20</f>
        <v>0</v>
      </c>
      <c r="K20" s="112">
        <f>八月!AI20</f>
        <v>0</v>
      </c>
      <c r="L20" s="112">
        <f>九月!AI20</f>
        <v>0</v>
      </c>
      <c r="M20" s="112">
        <f>十月!AI20</f>
        <v>0</v>
      </c>
      <c r="N20" s="112">
        <f>十一月!AI20</f>
        <v>0</v>
      </c>
      <c r="O20" s="112">
        <f>十二月!AI20</f>
        <v>0</v>
      </c>
      <c r="P20" s="186">
        <f t="shared" si="0"/>
        <v>0</v>
      </c>
      <c r="Q20" s="191"/>
      <c r="R20" s="191"/>
    </row>
    <row r="21" spans="1:18" ht="10.5">
      <c r="A21" s="10"/>
      <c r="B21" s="26"/>
      <c r="C21" s="8" t="s">
        <v>39</v>
      </c>
      <c r="D21" s="113">
        <f>一月!AI21</f>
        <v>0</v>
      </c>
      <c r="E21" s="113">
        <f>二月!AI21</f>
        <v>0</v>
      </c>
      <c r="F21" s="113">
        <f>三月!AI21</f>
        <v>0</v>
      </c>
      <c r="G21" s="113">
        <f>四月!AI21</f>
        <v>0</v>
      </c>
      <c r="H21" s="113">
        <f>五月!AI21</f>
        <v>0</v>
      </c>
      <c r="I21" s="113">
        <f>六月!AI21</f>
        <v>0</v>
      </c>
      <c r="J21" s="113">
        <f>七月!AI21</f>
        <v>0</v>
      </c>
      <c r="K21" s="113">
        <f>八月!AI21</f>
        <v>0</v>
      </c>
      <c r="L21" s="113">
        <f>九月!AI21</f>
        <v>0</v>
      </c>
      <c r="M21" s="113">
        <f>十月!AI21</f>
        <v>0</v>
      </c>
      <c r="N21" s="113">
        <f>十一月!AI21</f>
        <v>0</v>
      </c>
      <c r="O21" s="113">
        <f>十二月!AI21</f>
        <v>0</v>
      </c>
      <c r="P21" s="176">
        <f t="shared" si="0"/>
        <v>0</v>
      </c>
      <c r="Q21" s="194"/>
      <c r="R21" s="194"/>
    </row>
    <row r="22" spans="1:18" ht="10.5">
      <c r="A22" s="16"/>
      <c r="B22" s="7" t="s">
        <v>40</v>
      </c>
      <c r="C22" s="27" t="s">
        <v>41</v>
      </c>
      <c r="D22" s="195">
        <f>一月!AI22</f>
        <v>0</v>
      </c>
      <c r="E22" s="195">
        <f>二月!AI22</f>
        <v>0</v>
      </c>
      <c r="F22" s="195">
        <f>三月!AI22</f>
        <v>0</v>
      </c>
      <c r="G22" s="195">
        <f>四月!AI22</f>
        <v>0</v>
      </c>
      <c r="H22" s="195">
        <f>五月!AI22</f>
        <v>0</v>
      </c>
      <c r="I22" s="195">
        <f>六月!AI22</f>
        <v>0</v>
      </c>
      <c r="J22" s="195">
        <f>七月!AI22</f>
        <v>0</v>
      </c>
      <c r="K22" s="195">
        <f>八月!AI22</f>
        <v>0</v>
      </c>
      <c r="L22" s="195">
        <f>九月!AI22</f>
        <v>0</v>
      </c>
      <c r="M22" s="195">
        <f>十月!AI22</f>
        <v>0</v>
      </c>
      <c r="N22" s="195">
        <f>十一月!AI22</f>
        <v>0</v>
      </c>
      <c r="O22" s="195">
        <f>十二月!AI22</f>
        <v>0</v>
      </c>
      <c r="P22" s="196">
        <f t="shared" si="0"/>
        <v>0</v>
      </c>
      <c r="Q22" s="187">
        <f>SUM(P22:P23)</f>
        <v>0</v>
      </c>
      <c r="R22" s="187">
        <f>一月!AK22+二月!AK22+三月!AK22+四月!AK22+五月!AK22+六月!AK22+七月!AK22+八月!AK22+九月!AK22+十月!AK22+十一月!AK22+十二月!AK22</f>
        <v>360000</v>
      </c>
    </row>
    <row r="23" spans="1:18" ht="10.5">
      <c r="A23" s="16"/>
      <c r="B23" s="13"/>
      <c r="C23" s="28" t="s">
        <v>42</v>
      </c>
      <c r="D23" s="100">
        <f>一月!AI23</f>
        <v>0</v>
      </c>
      <c r="E23" s="100">
        <f>二月!AI23</f>
        <v>0</v>
      </c>
      <c r="F23" s="100">
        <f>三月!AI23</f>
        <v>0</v>
      </c>
      <c r="G23" s="100">
        <f>四月!AI23</f>
        <v>0</v>
      </c>
      <c r="H23" s="100">
        <f>五月!AI23</f>
        <v>0</v>
      </c>
      <c r="I23" s="100">
        <f>六月!AI23</f>
        <v>0</v>
      </c>
      <c r="J23" s="100">
        <f>七月!AI23</f>
        <v>0</v>
      </c>
      <c r="K23" s="100">
        <f>八月!AI23</f>
        <v>0</v>
      </c>
      <c r="L23" s="100">
        <f>九月!AI23</f>
        <v>0</v>
      </c>
      <c r="M23" s="100">
        <f>十月!AI23</f>
        <v>0</v>
      </c>
      <c r="N23" s="100">
        <f>十一月!AI23</f>
        <v>0</v>
      </c>
      <c r="O23" s="100">
        <f>十二月!AI23</f>
        <v>0</v>
      </c>
      <c r="P23" s="179">
        <f t="shared" si="0"/>
        <v>0</v>
      </c>
      <c r="Q23" s="189"/>
      <c r="R23" s="189"/>
    </row>
    <row r="24" spans="1:18" ht="10.5">
      <c r="A24" s="16"/>
      <c r="B24" s="29" t="s">
        <v>43</v>
      </c>
      <c r="C24" s="18" t="s">
        <v>44</v>
      </c>
      <c r="D24" s="113">
        <f>一月!AI24</f>
        <v>0</v>
      </c>
      <c r="E24" s="113">
        <f>二月!AI24</f>
        <v>0</v>
      </c>
      <c r="F24" s="113">
        <f>三月!AI24</f>
        <v>0</v>
      </c>
      <c r="G24" s="113">
        <f>四月!AI24</f>
        <v>0</v>
      </c>
      <c r="H24" s="113">
        <f>五月!AI24</f>
        <v>0</v>
      </c>
      <c r="I24" s="113">
        <f>六月!AI24</f>
        <v>0</v>
      </c>
      <c r="J24" s="113">
        <f>七月!AI24</f>
        <v>0</v>
      </c>
      <c r="K24" s="113">
        <f>八月!AI24</f>
        <v>0</v>
      </c>
      <c r="L24" s="113">
        <f>九月!AI24</f>
        <v>0</v>
      </c>
      <c r="M24" s="113">
        <f>十月!AI24</f>
        <v>0</v>
      </c>
      <c r="N24" s="113">
        <f>十一月!AI24</f>
        <v>0</v>
      </c>
      <c r="O24" s="113">
        <f>十二月!AI24</f>
        <v>0</v>
      </c>
      <c r="P24" s="176">
        <f t="shared" si="0"/>
        <v>0</v>
      </c>
      <c r="Q24" s="197">
        <f>P24</f>
        <v>0</v>
      </c>
      <c r="R24" s="197">
        <f>一月!AK24+二月!AK24+三月!AK24+四月!AK24+五月!AK24+六月!AK24+七月!AK24+八月!AK24+九月!AK24+十月!AK24+十一月!AK24+十二月!AK24</f>
        <v>24000</v>
      </c>
    </row>
    <row r="25" spans="1:18" ht="10.5">
      <c r="A25" s="10"/>
      <c r="B25" s="30" t="s">
        <v>45</v>
      </c>
      <c r="C25" s="14" t="s">
        <v>46</v>
      </c>
      <c r="D25" s="112">
        <f>一月!AI25</f>
        <v>0</v>
      </c>
      <c r="E25" s="112">
        <f>二月!AI25</f>
        <v>0</v>
      </c>
      <c r="F25" s="112">
        <f>三月!AI25</f>
        <v>0</v>
      </c>
      <c r="G25" s="112">
        <f>四月!AI25</f>
        <v>0</v>
      </c>
      <c r="H25" s="112">
        <f>五月!AI25</f>
        <v>0</v>
      </c>
      <c r="I25" s="112">
        <f>六月!AI25</f>
        <v>0</v>
      </c>
      <c r="J25" s="112">
        <f>七月!AI25</f>
        <v>0</v>
      </c>
      <c r="K25" s="112">
        <f>八月!AI25</f>
        <v>0</v>
      </c>
      <c r="L25" s="112">
        <f>九月!AI25</f>
        <v>0</v>
      </c>
      <c r="M25" s="112">
        <f>十月!AI25</f>
        <v>0</v>
      </c>
      <c r="N25" s="112">
        <f>十一月!AI25</f>
        <v>0</v>
      </c>
      <c r="O25" s="112">
        <f>十二月!AI25</f>
        <v>0</v>
      </c>
      <c r="P25" s="186">
        <f t="shared" si="0"/>
        <v>0</v>
      </c>
      <c r="Q25" s="198">
        <f>SUM(P25:P26)</f>
        <v>0</v>
      </c>
      <c r="R25" s="198">
        <f>一月!AK25+二月!AK25+三月!AK25+四月!AK25+五月!AK25+六月!AK25+七月!AK25+八月!AK25+九月!AK25+十月!AK25+十一月!AK25+十二月!AK25</f>
        <v>60000</v>
      </c>
    </row>
    <row r="26" spans="1:18" ht="10.5">
      <c r="A26" s="10"/>
      <c r="B26" s="31"/>
      <c r="C26" s="8" t="s">
        <v>47</v>
      </c>
      <c r="D26" s="113">
        <f>一月!AI26</f>
        <v>0</v>
      </c>
      <c r="E26" s="113">
        <f>二月!AI26</f>
        <v>0</v>
      </c>
      <c r="F26" s="113">
        <f>三月!AI26</f>
        <v>0</v>
      </c>
      <c r="G26" s="113">
        <f>四月!AI26</f>
        <v>0</v>
      </c>
      <c r="H26" s="113">
        <f>五月!AI26</f>
        <v>0</v>
      </c>
      <c r="I26" s="113">
        <f>六月!AI26</f>
        <v>0</v>
      </c>
      <c r="J26" s="113">
        <f>七月!AI26</f>
        <v>0</v>
      </c>
      <c r="K26" s="113">
        <f>八月!AI26</f>
        <v>0</v>
      </c>
      <c r="L26" s="113">
        <f>九月!AI26</f>
        <v>0</v>
      </c>
      <c r="M26" s="113">
        <f>十月!AI26</f>
        <v>0</v>
      </c>
      <c r="N26" s="113">
        <f>十一月!AI26</f>
        <v>0</v>
      </c>
      <c r="O26" s="113">
        <f>十二月!AI26</f>
        <v>0</v>
      </c>
      <c r="P26" s="176">
        <f t="shared" si="0"/>
        <v>0</v>
      </c>
      <c r="Q26" s="199"/>
      <c r="R26" s="199"/>
    </row>
    <row r="27" spans="1:18" ht="10.5">
      <c r="A27" s="16"/>
      <c r="B27" s="624" t="s">
        <v>48</v>
      </c>
      <c r="C27" s="33" t="s">
        <v>49</v>
      </c>
      <c r="D27" s="112">
        <f>一月!AI27</f>
        <v>0</v>
      </c>
      <c r="E27" s="112">
        <f>二月!AI27</f>
        <v>0</v>
      </c>
      <c r="F27" s="112">
        <f>三月!AI27</f>
        <v>0</v>
      </c>
      <c r="G27" s="112">
        <f>四月!AI27</f>
        <v>0</v>
      </c>
      <c r="H27" s="112">
        <f>五月!AI27</f>
        <v>0</v>
      </c>
      <c r="I27" s="112">
        <f>六月!AI27</f>
        <v>0</v>
      </c>
      <c r="J27" s="112">
        <f>七月!AI27</f>
        <v>0</v>
      </c>
      <c r="K27" s="112">
        <f>八月!AI27</f>
        <v>0</v>
      </c>
      <c r="L27" s="112">
        <f>九月!AI27</f>
        <v>0</v>
      </c>
      <c r="M27" s="112">
        <f>十月!AI27</f>
        <v>0</v>
      </c>
      <c r="N27" s="112">
        <f>十一月!AI27</f>
        <v>0</v>
      </c>
      <c r="O27" s="112">
        <f>十二月!AI27</f>
        <v>0</v>
      </c>
      <c r="P27" s="186">
        <f t="shared" si="0"/>
        <v>0</v>
      </c>
      <c r="Q27" s="200">
        <f t="shared" ref="Q27:Q34" si="1">P27</f>
        <v>0</v>
      </c>
      <c r="R27" s="200">
        <f>一月!AK27+二月!AK27+三月!AK27+四月!AK27+五月!AK27+六月!AK27+七月!AK27+八月!AK27+九月!AK27+十月!AK27+十一月!AK27+十二月!AK27</f>
        <v>120000</v>
      </c>
    </row>
    <row r="28" spans="1:18" ht="10.5">
      <c r="A28" s="16"/>
      <c r="B28" s="34" t="s">
        <v>50</v>
      </c>
      <c r="C28" s="18" t="s">
        <v>51</v>
      </c>
      <c r="D28" s="112">
        <f>一月!AI28</f>
        <v>0</v>
      </c>
      <c r="E28" s="112">
        <f>二月!AI28</f>
        <v>0</v>
      </c>
      <c r="F28" s="112">
        <f>三月!AI28</f>
        <v>0</v>
      </c>
      <c r="G28" s="112">
        <f>四月!AI28</f>
        <v>0</v>
      </c>
      <c r="H28" s="112">
        <f>五月!AI28</f>
        <v>0</v>
      </c>
      <c r="I28" s="112">
        <f>六月!AI28</f>
        <v>0</v>
      </c>
      <c r="J28" s="112">
        <f>七月!AI28</f>
        <v>0</v>
      </c>
      <c r="K28" s="112">
        <f>八月!AI28</f>
        <v>0</v>
      </c>
      <c r="L28" s="112">
        <f>九月!AI28</f>
        <v>0</v>
      </c>
      <c r="M28" s="112">
        <f>十月!AI28</f>
        <v>0</v>
      </c>
      <c r="N28" s="112">
        <f>十一月!AI28</f>
        <v>0</v>
      </c>
      <c r="O28" s="112">
        <f>十二月!AI28</f>
        <v>0</v>
      </c>
      <c r="P28" s="186">
        <f t="shared" si="0"/>
        <v>0</v>
      </c>
      <c r="Q28" s="201">
        <f t="shared" si="1"/>
        <v>0</v>
      </c>
      <c r="R28" s="201">
        <f>一月!AK28+二月!AK28+三月!AK28+四月!AK28+五月!AK28+六月!AK28+七月!AK28+八月!AK28+九月!AK28+十月!AK28+十一月!AK28+十二月!AK28</f>
        <v>120000</v>
      </c>
    </row>
    <row r="29" spans="1:18" ht="10.5">
      <c r="A29" s="16"/>
      <c r="B29" s="638" t="s">
        <v>52</v>
      </c>
      <c r="C29" s="219" t="s">
        <v>53</v>
      </c>
      <c r="D29" s="220">
        <f>一月!AI29</f>
        <v>0</v>
      </c>
      <c r="E29" s="220">
        <f>二月!AI29</f>
        <v>0</v>
      </c>
      <c r="F29" s="220">
        <f>三月!AI29</f>
        <v>0</v>
      </c>
      <c r="G29" s="220">
        <f>四月!AI29</f>
        <v>0</v>
      </c>
      <c r="H29" s="220">
        <f>五月!AI29</f>
        <v>0</v>
      </c>
      <c r="I29" s="220">
        <f>六月!AI29</f>
        <v>0</v>
      </c>
      <c r="J29" s="220">
        <f>七月!AI29</f>
        <v>0</v>
      </c>
      <c r="K29" s="220">
        <f>八月!AI29</f>
        <v>0</v>
      </c>
      <c r="L29" s="220">
        <f>九月!AI29</f>
        <v>0</v>
      </c>
      <c r="M29" s="220">
        <f>十月!AI29</f>
        <v>0</v>
      </c>
      <c r="N29" s="220">
        <f>十一月!AI29</f>
        <v>0</v>
      </c>
      <c r="O29" s="220">
        <f>十二月!AI29</f>
        <v>0</v>
      </c>
      <c r="P29" s="221">
        <f t="shared" si="0"/>
        <v>0</v>
      </c>
      <c r="Q29" s="641">
        <f>SUM(P29:P31)</f>
        <v>0</v>
      </c>
      <c r="R29" s="641">
        <f>一月!AK29+二月!AK29+三月!AK29+四月!AK29+五月!AK29+六月!AK29+七月!AK29+八月!AK29+九月!AK29+十月!AK29+十一月!AK29+十二月!AK29</f>
        <v>220000</v>
      </c>
    </row>
    <row r="30" spans="1:18">
      <c r="A30" s="16"/>
      <c r="B30" s="639"/>
      <c r="C30" s="222" t="s">
        <v>162</v>
      </c>
      <c r="D30" s="220">
        <f>一月!AI30</f>
        <v>0</v>
      </c>
      <c r="E30" s="220">
        <f>二月!AI30</f>
        <v>0</v>
      </c>
      <c r="F30" s="220">
        <f>三月!AI30</f>
        <v>0</v>
      </c>
      <c r="G30" s="220">
        <f>四月!AI30</f>
        <v>0</v>
      </c>
      <c r="H30" s="220">
        <f>五月!AI30</f>
        <v>0</v>
      </c>
      <c r="I30" s="220">
        <f>六月!AI30</f>
        <v>0</v>
      </c>
      <c r="J30" s="220">
        <f>七月!AI30</f>
        <v>0</v>
      </c>
      <c r="K30" s="220">
        <f>八月!AI30</f>
        <v>0</v>
      </c>
      <c r="L30" s="220">
        <f>九月!AI30</f>
        <v>0</v>
      </c>
      <c r="M30" s="220">
        <f>十月!AI30</f>
        <v>0</v>
      </c>
      <c r="N30" s="220">
        <f>十一月!AI30</f>
        <v>0</v>
      </c>
      <c r="O30" s="220">
        <f>十二月!AI30</f>
        <v>0</v>
      </c>
      <c r="P30" s="221">
        <f t="shared" si="0"/>
        <v>0</v>
      </c>
      <c r="Q30" s="642"/>
      <c r="R30" s="642"/>
    </row>
    <row r="31" spans="1:18" ht="10.5">
      <c r="A31" s="16"/>
      <c r="B31" s="640"/>
      <c r="C31" s="219" t="s">
        <v>75</v>
      </c>
      <c r="D31" s="220">
        <f>一月!AI31</f>
        <v>0</v>
      </c>
      <c r="E31" s="220">
        <f>二月!AI31</f>
        <v>0</v>
      </c>
      <c r="F31" s="220">
        <f>三月!AI31</f>
        <v>0</v>
      </c>
      <c r="G31" s="220">
        <f>四月!AI31</f>
        <v>0</v>
      </c>
      <c r="H31" s="220">
        <f>五月!AI31</f>
        <v>0</v>
      </c>
      <c r="I31" s="220">
        <f>六月!AI31</f>
        <v>0</v>
      </c>
      <c r="J31" s="220">
        <f>七月!AI31</f>
        <v>0</v>
      </c>
      <c r="K31" s="220">
        <f>八月!AI31</f>
        <v>0</v>
      </c>
      <c r="L31" s="220">
        <f>九月!AI31</f>
        <v>0</v>
      </c>
      <c r="M31" s="220">
        <f>十月!AI31</f>
        <v>0</v>
      </c>
      <c r="N31" s="220">
        <f>十一月!AI31</f>
        <v>0</v>
      </c>
      <c r="O31" s="220">
        <f>十二月!AI31</f>
        <v>0</v>
      </c>
      <c r="P31" s="221">
        <f t="shared" si="0"/>
        <v>0</v>
      </c>
      <c r="Q31" s="643"/>
      <c r="R31" s="643"/>
    </row>
    <row r="32" spans="1:18" ht="10.5">
      <c r="A32" s="16"/>
      <c r="B32" s="34" t="s">
        <v>54</v>
      </c>
      <c r="C32" s="18" t="s">
        <v>55</v>
      </c>
      <c r="D32" s="112">
        <f>一月!AI32</f>
        <v>0</v>
      </c>
      <c r="E32" s="112">
        <f>二月!AI32</f>
        <v>0</v>
      </c>
      <c r="F32" s="112">
        <f>三月!AI32</f>
        <v>0</v>
      </c>
      <c r="G32" s="112">
        <f>四月!AI32</f>
        <v>0</v>
      </c>
      <c r="H32" s="112">
        <f>五月!AI32</f>
        <v>0</v>
      </c>
      <c r="I32" s="112">
        <f>六月!AI32</f>
        <v>0</v>
      </c>
      <c r="J32" s="112">
        <f>七月!AI32</f>
        <v>0</v>
      </c>
      <c r="K32" s="112">
        <f>八月!AI32</f>
        <v>0</v>
      </c>
      <c r="L32" s="112">
        <f>九月!AI32</f>
        <v>0</v>
      </c>
      <c r="M32" s="112">
        <f>十月!AI32</f>
        <v>0</v>
      </c>
      <c r="N32" s="112">
        <f>十一月!AI32</f>
        <v>0</v>
      </c>
      <c r="O32" s="112">
        <f>十二月!AI32</f>
        <v>0</v>
      </c>
      <c r="P32" s="186">
        <f t="shared" si="0"/>
        <v>0</v>
      </c>
      <c r="Q32" s="201">
        <f t="shared" si="1"/>
        <v>0</v>
      </c>
      <c r="R32" s="201">
        <f>一月!AK32+二月!AK32+三月!AK32+四月!AK32+五月!AK32+六月!AK32+七月!AK32+八月!AK32+九月!AK32+十月!AK32+十一月!AK32+十二月!AK32</f>
        <v>24000</v>
      </c>
    </row>
    <row r="33" spans="1:18" ht="10.5">
      <c r="A33" s="16"/>
      <c r="B33" s="34" t="s">
        <v>56</v>
      </c>
      <c r="C33" s="18" t="s">
        <v>56</v>
      </c>
      <c r="D33" s="112">
        <f>一月!AI33</f>
        <v>0</v>
      </c>
      <c r="E33" s="112">
        <f>二月!AI33</f>
        <v>0</v>
      </c>
      <c r="F33" s="112">
        <f>三月!AI33</f>
        <v>0</v>
      </c>
      <c r="G33" s="112">
        <f>四月!AI33</f>
        <v>0</v>
      </c>
      <c r="H33" s="112">
        <f>五月!AI33</f>
        <v>0</v>
      </c>
      <c r="I33" s="112">
        <f>六月!AI33</f>
        <v>0</v>
      </c>
      <c r="J33" s="112">
        <f>七月!AI33</f>
        <v>0</v>
      </c>
      <c r="K33" s="112">
        <f>八月!AI33</f>
        <v>0</v>
      </c>
      <c r="L33" s="112">
        <f>九月!AI33</f>
        <v>0</v>
      </c>
      <c r="M33" s="112">
        <f>十月!AI33</f>
        <v>0</v>
      </c>
      <c r="N33" s="112">
        <f>十一月!AI33</f>
        <v>0</v>
      </c>
      <c r="O33" s="112">
        <f>十二月!AI33</f>
        <v>0</v>
      </c>
      <c r="P33" s="186">
        <f t="shared" si="0"/>
        <v>0</v>
      </c>
      <c r="Q33" s="201">
        <f t="shared" si="1"/>
        <v>0</v>
      </c>
      <c r="R33" s="201">
        <f>一月!AK33+二月!AK33+三月!AK33+四月!AK33+五月!AK33+六月!AK33+七月!AK33+八月!AK33+九月!AK33+十月!AK33+十一月!AK33+十二月!AK33</f>
        <v>180000</v>
      </c>
    </row>
    <row r="34" spans="1:18" ht="10.5">
      <c r="A34" s="16"/>
      <c r="B34" s="623" t="s">
        <v>57</v>
      </c>
      <c r="C34" s="18" t="s">
        <v>57</v>
      </c>
      <c r="D34" s="113">
        <f>一月!AI34</f>
        <v>0</v>
      </c>
      <c r="E34" s="113">
        <f>二月!AI34</f>
        <v>0</v>
      </c>
      <c r="F34" s="113">
        <f>三月!AI34</f>
        <v>0</v>
      </c>
      <c r="G34" s="113">
        <f>四月!AI34</f>
        <v>0</v>
      </c>
      <c r="H34" s="113">
        <f>五月!AI34</f>
        <v>0</v>
      </c>
      <c r="I34" s="113">
        <f>六月!AI34</f>
        <v>0</v>
      </c>
      <c r="J34" s="113">
        <f>七月!AI34</f>
        <v>0</v>
      </c>
      <c r="K34" s="113">
        <f>八月!AI34</f>
        <v>0</v>
      </c>
      <c r="L34" s="113">
        <f>九月!AI34</f>
        <v>0</v>
      </c>
      <c r="M34" s="113">
        <f>十月!AI34</f>
        <v>0</v>
      </c>
      <c r="N34" s="113">
        <f>十一月!AI34</f>
        <v>0</v>
      </c>
      <c r="O34" s="113">
        <f>十二月!AI34</f>
        <v>0</v>
      </c>
      <c r="P34" s="176">
        <f t="shared" si="0"/>
        <v>0</v>
      </c>
      <c r="Q34" s="201">
        <f t="shared" si="1"/>
        <v>0</v>
      </c>
      <c r="R34" s="201">
        <f>一月!AK34+二月!AK34+三月!AK34+四月!AK34+五月!AK34+六月!AK34+七月!AK34+八月!AK34+九月!AK34+十月!AK34+十一月!AK34+十二月!AK34</f>
        <v>24000</v>
      </c>
    </row>
    <row r="35" spans="1:18" ht="10.5">
      <c r="A35" s="10"/>
      <c r="B35" s="621" t="s">
        <v>58</v>
      </c>
      <c r="C35" s="14" t="s">
        <v>59</v>
      </c>
      <c r="D35" s="112">
        <f>一月!AI35</f>
        <v>0</v>
      </c>
      <c r="E35" s="112">
        <f>二月!AI35</f>
        <v>0</v>
      </c>
      <c r="F35" s="112">
        <f>三月!AI35</f>
        <v>0</v>
      </c>
      <c r="G35" s="112">
        <f>四月!AI35</f>
        <v>0</v>
      </c>
      <c r="H35" s="112">
        <f>五月!AI35</f>
        <v>0</v>
      </c>
      <c r="I35" s="112">
        <f>六月!AI35</f>
        <v>0</v>
      </c>
      <c r="J35" s="112">
        <f>七月!AI35</f>
        <v>0</v>
      </c>
      <c r="K35" s="112">
        <f>八月!AI35</f>
        <v>0</v>
      </c>
      <c r="L35" s="112">
        <f>九月!AI35</f>
        <v>0</v>
      </c>
      <c r="M35" s="112">
        <f>十月!AI35</f>
        <v>0</v>
      </c>
      <c r="N35" s="112">
        <f>十一月!AI35</f>
        <v>0</v>
      </c>
      <c r="O35" s="112">
        <f>十二月!AI35</f>
        <v>0</v>
      </c>
      <c r="P35" s="186">
        <f t="shared" si="0"/>
        <v>0</v>
      </c>
      <c r="Q35" s="202">
        <f>SUM(P35:P36)</f>
        <v>0</v>
      </c>
      <c r="R35" s="202">
        <f>一月!AK35+二月!AK35+三月!AK35+四月!AK35+五月!AK35+六月!AK35+七月!AK35+八月!AK35+九月!AK35+十月!AK35+十一月!AK35+十二月!AK35</f>
        <v>100000</v>
      </c>
    </row>
    <row r="36" spans="1:18" ht="10.5">
      <c r="A36" s="10"/>
      <c r="B36" s="37"/>
      <c r="C36" s="8" t="s">
        <v>60</v>
      </c>
      <c r="D36" s="112">
        <f>一月!AI36</f>
        <v>0</v>
      </c>
      <c r="E36" s="112">
        <f>二月!AI36</f>
        <v>0</v>
      </c>
      <c r="F36" s="112">
        <f>三月!AI36</f>
        <v>0</v>
      </c>
      <c r="G36" s="112">
        <f>四月!AI36</f>
        <v>0</v>
      </c>
      <c r="H36" s="112">
        <f>五月!AI36</f>
        <v>0</v>
      </c>
      <c r="I36" s="112">
        <f>六月!AI36</f>
        <v>0</v>
      </c>
      <c r="J36" s="112">
        <f>七月!AI36</f>
        <v>0</v>
      </c>
      <c r="K36" s="112">
        <f>八月!AI36</f>
        <v>0</v>
      </c>
      <c r="L36" s="112">
        <f>九月!AI36</f>
        <v>0</v>
      </c>
      <c r="M36" s="112">
        <f>十月!AI36</f>
        <v>0</v>
      </c>
      <c r="N36" s="112">
        <f>十一月!AI36</f>
        <v>0</v>
      </c>
      <c r="O36" s="112">
        <f>十二月!AI36</f>
        <v>0</v>
      </c>
      <c r="P36" s="203">
        <f t="shared" si="0"/>
        <v>0</v>
      </c>
      <c r="Q36" s="202"/>
      <c r="R36" s="202"/>
    </row>
    <row r="37" spans="1:18" ht="10.5">
      <c r="A37" s="38"/>
      <c r="B37" s="183" t="s">
        <v>61</v>
      </c>
      <c r="C37" s="13"/>
      <c r="D37" s="204">
        <f t="shared" ref="D37:O37" si="2">SUM(D2:D36)</f>
        <v>0</v>
      </c>
      <c r="E37" s="204">
        <f t="shared" si="2"/>
        <v>0</v>
      </c>
      <c r="F37" s="204">
        <f t="shared" si="2"/>
        <v>0</v>
      </c>
      <c r="G37" s="204">
        <f t="shared" si="2"/>
        <v>0</v>
      </c>
      <c r="H37" s="204">
        <f t="shared" si="2"/>
        <v>0</v>
      </c>
      <c r="I37" s="204">
        <f t="shared" si="2"/>
        <v>0</v>
      </c>
      <c r="J37" s="204">
        <f t="shared" si="2"/>
        <v>0</v>
      </c>
      <c r="K37" s="204">
        <f t="shared" si="2"/>
        <v>0</v>
      </c>
      <c r="L37" s="204">
        <f t="shared" si="2"/>
        <v>0</v>
      </c>
      <c r="M37" s="204">
        <f t="shared" si="2"/>
        <v>0</v>
      </c>
      <c r="N37" s="204">
        <f t="shared" si="2"/>
        <v>0</v>
      </c>
      <c r="O37" s="204">
        <f t="shared" si="2"/>
        <v>0</v>
      </c>
      <c r="P37" s="205">
        <f t="shared" si="0"/>
        <v>0</v>
      </c>
      <c r="Q37" s="206">
        <f>SUM(Q2:Q36)</f>
        <v>0</v>
      </c>
      <c r="R37" s="206">
        <f>SUM(R2:R36)</f>
        <v>2033000</v>
      </c>
    </row>
    <row r="38" spans="1:18">
      <c r="B38" s="41"/>
      <c r="Q38" s="42"/>
    </row>
    <row r="39" spans="1:18" ht="10.5">
      <c r="A39" s="6" t="s">
        <v>62</v>
      </c>
      <c r="B39" s="43" t="s">
        <v>63</v>
      </c>
      <c r="C39" s="8" t="s">
        <v>64</v>
      </c>
      <c r="D39" s="113">
        <f>一月!AI39</f>
        <v>0</v>
      </c>
      <c r="E39" s="113">
        <f>二月!AI39</f>
        <v>0</v>
      </c>
      <c r="F39" s="113">
        <f>三月!AI39</f>
        <v>0</v>
      </c>
      <c r="G39" s="113">
        <f>四月!AI39</f>
        <v>0</v>
      </c>
      <c r="H39" s="113">
        <f>五月!AI39</f>
        <v>0</v>
      </c>
      <c r="I39" s="113">
        <f>六月!AI39</f>
        <v>0</v>
      </c>
      <c r="J39" s="113">
        <f>七月!AI39</f>
        <v>0</v>
      </c>
      <c r="K39" s="113">
        <f>八月!AI39</f>
        <v>0</v>
      </c>
      <c r="L39" s="113">
        <f>九月!AI39</f>
        <v>0</v>
      </c>
      <c r="M39" s="113">
        <f>十月!AI39</f>
        <v>0</v>
      </c>
      <c r="N39" s="113">
        <f>十一月!AI39</f>
        <v>0</v>
      </c>
      <c r="O39" s="113">
        <f>十二月!AI39</f>
        <v>0</v>
      </c>
      <c r="P39" s="207">
        <f t="shared" ref="P39:P45" si="3">SUM(D39:O39)</f>
        <v>0</v>
      </c>
      <c r="Q39" s="208">
        <f>SUM(P39:P41)</f>
        <v>0</v>
      </c>
      <c r="R39" s="209"/>
    </row>
    <row r="40" spans="1:18" ht="10.5">
      <c r="A40" s="10"/>
      <c r="B40" s="44" t="s">
        <v>62</v>
      </c>
      <c r="C40" s="14" t="s">
        <v>65</v>
      </c>
      <c r="D40" s="112">
        <f>一月!AI40</f>
        <v>0</v>
      </c>
      <c r="E40" s="112">
        <f>二月!AI40</f>
        <v>0</v>
      </c>
      <c r="F40" s="112">
        <f>三月!AI40</f>
        <v>0</v>
      </c>
      <c r="G40" s="112">
        <f>四月!AI40</f>
        <v>0</v>
      </c>
      <c r="H40" s="112">
        <f>五月!AI40</f>
        <v>0</v>
      </c>
      <c r="I40" s="112">
        <f>六月!AI40</f>
        <v>0</v>
      </c>
      <c r="J40" s="112">
        <f>七月!AI40</f>
        <v>0</v>
      </c>
      <c r="K40" s="112">
        <f>八月!AI40</f>
        <v>0</v>
      </c>
      <c r="L40" s="112">
        <f>九月!AI40</f>
        <v>0</v>
      </c>
      <c r="M40" s="112">
        <f>十月!AI40</f>
        <v>0</v>
      </c>
      <c r="N40" s="112">
        <f>十一月!AI40</f>
        <v>0</v>
      </c>
      <c r="O40" s="112">
        <f>十二月!AI40</f>
        <v>0</v>
      </c>
      <c r="P40" s="176">
        <f t="shared" si="3"/>
        <v>0</v>
      </c>
      <c r="Q40" s="210"/>
      <c r="R40" s="211"/>
    </row>
    <row r="41" spans="1:18" ht="10.5">
      <c r="A41" s="10"/>
      <c r="B41" s="45"/>
      <c r="C41" s="18" t="s">
        <v>73</v>
      </c>
      <c r="D41" s="113">
        <f>一月!AI41</f>
        <v>0</v>
      </c>
      <c r="E41" s="113">
        <f>二月!AI41</f>
        <v>0</v>
      </c>
      <c r="F41" s="113">
        <f>三月!AI41</f>
        <v>0</v>
      </c>
      <c r="G41" s="113">
        <f>四月!AI41</f>
        <v>0</v>
      </c>
      <c r="H41" s="113">
        <f>五月!AI41</f>
        <v>0</v>
      </c>
      <c r="I41" s="113">
        <f>六月!AI41</f>
        <v>0</v>
      </c>
      <c r="J41" s="113">
        <f>七月!AI41</f>
        <v>0</v>
      </c>
      <c r="K41" s="113">
        <f>八月!AI41</f>
        <v>0</v>
      </c>
      <c r="L41" s="113">
        <f>九月!AI41</f>
        <v>0</v>
      </c>
      <c r="M41" s="113">
        <f>十月!AI41</f>
        <v>0</v>
      </c>
      <c r="N41" s="113">
        <f>十一月!AI41</f>
        <v>0</v>
      </c>
      <c r="O41" s="113">
        <f>十二月!AI41</f>
        <v>0</v>
      </c>
      <c r="P41" s="176">
        <f t="shared" si="3"/>
        <v>0</v>
      </c>
      <c r="Q41" s="212"/>
      <c r="R41" s="213"/>
    </row>
    <row r="42" spans="1:18" ht="10.5">
      <c r="A42" s="16"/>
      <c r="B42" s="46"/>
      <c r="C42" s="47" t="s">
        <v>66</v>
      </c>
      <c r="D42" s="214">
        <f>一月!AI42</f>
        <v>0</v>
      </c>
      <c r="E42" s="214">
        <f>二月!AI42</f>
        <v>0</v>
      </c>
      <c r="F42" s="214">
        <f>三月!AI42</f>
        <v>0</v>
      </c>
      <c r="G42" s="214">
        <f>四月!AI42</f>
        <v>0</v>
      </c>
      <c r="H42" s="214">
        <f>五月!AI42</f>
        <v>0</v>
      </c>
      <c r="I42" s="214">
        <f>六月!AI42</f>
        <v>0</v>
      </c>
      <c r="J42" s="214">
        <f>七月!AI42</f>
        <v>0</v>
      </c>
      <c r="K42" s="214">
        <f>八月!AI42</f>
        <v>0</v>
      </c>
      <c r="L42" s="214">
        <f>九月!AI42</f>
        <v>0</v>
      </c>
      <c r="M42" s="214">
        <f>十月!AI42</f>
        <v>0</v>
      </c>
      <c r="N42" s="214">
        <f>十一月!AI42</f>
        <v>0</v>
      </c>
      <c r="O42" s="214">
        <f>十二月!AI42</f>
        <v>0</v>
      </c>
      <c r="P42" s="215">
        <f t="shared" si="3"/>
        <v>0</v>
      </c>
      <c r="Q42" s="200">
        <f>P42</f>
        <v>0</v>
      </c>
      <c r="R42" s="112"/>
    </row>
    <row r="43" spans="1:18" ht="10.5">
      <c r="A43" s="10"/>
      <c r="B43" s="48" t="s">
        <v>58</v>
      </c>
      <c r="C43" s="8" t="s">
        <v>67</v>
      </c>
      <c r="D43" s="112">
        <f>一月!AI43</f>
        <v>0</v>
      </c>
      <c r="E43" s="112">
        <f>二月!AI43</f>
        <v>0</v>
      </c>
      <c r="F43" s="112">
        <f>三月!AI43</f>
        <v>0</v>
      </c>
      <c r="G43" s="112">
        <f>四月!AI43</f>
        <v>0</v>
      </c>
      <c r="H43" s="112">
        <f>五月!AI43</f>
        <v>0</v>
      </c>
      <c r="I43" s="112">
        <f>六月!AI43</f>
        <v>0</v>
      </c>
      <c r="J43" s="112">
        <f>七月!AI43</f>
        <v>0</v>
      </c>
      <c r="K43" s="112">
        <f>八月!AI43</f>
        <v>0</v>
      </c>
      <c r="L43" s="112">
        <f>九月!AI43</f>
        <v>0</v>
      </c>
      <c r="M43" s="112">
        <f>十月!AI43</f>
        <v>0</v>
      </c>
      <c r="N43" s="112">
        <f>十一月!AI43</f>
        <v>0</v>
      </c>
      <c r="O43" s="112">
        <f>十二月!AI43</f>
        <v>0</v>
      </c>
      <c r="P43" s="186">
        <f t="shared" si="3"/>
        <v>0</v>
      </c>
      <c r="Q43" s="216">
        <f>SUM(P43:P44)</f>
        <v>0</v>
      </c>
      <c r="R43" s="216"/>
    </row>
    <row r="44" spans="1:18" ht="10.5">
      <c r="A44" s="10"/>
      <c r="B44" s="49"/>
      <c r="C44" s="8" t="s">
        <v>58</v>
      </c>
      <c r="D44" s="112">
        <f>一月!AI44</f>
        <v>0</v>
      </c>
      <c r="E44" s="112">
        <f>二月!AI44</f>
        <v>0</v>
      </c>
      <c r="F44" s="112">
        <f>三月!AI44</f>
        <v>0</v>
      </c>
      <c r="G44" s="112">
        <f>四月!AI44</f>
        <v>0</v>
      </c>
      <c r="H44" s="112">
        <f>五月!AI44</f>
        <v>0</v>
      </c>
      <c r="I44" s="112">
        <f>六月!AI44</f>
        <v>0</v>
      </c>
      <c r="J44" s="112">
        <f>七月!AI44</f>
        <v>0</v>
      </c>
      <c r="K44" s="112">
        <f>八月!AI44</f>
        <v>0</v>
      </c>
      <c r="L44" s="112">
        <f>九月!AI44</f>
        <v>0</v>
      </c>
      <c r="M44" s="112">
        <f>十月!AI44</f>
        <v>0</v>
      </c>
      <c r="N44" s="112">
        <f>十一月!AI44</f>
        <v>0</v>
      </c>
      <c r="O44" s="112">
        <f>十二月!AI44</f>
        <v>0</v>
      </c>
      <c r="P44" s="186">
        <f t="shared" si="3"/>
        <v>0</v>
      </c>
      <c r="Q44" s="217"/>
      <c r="R44" s="217"/>
    </row>
    <row r="45" spans="1:18" ht="10.5">
      <c r="A45" s="38"/>
      <c r="B45" s="184" t="s">
        <v>68</v>
      </c>
      <c r="C45" s="185"/>
      <c r="D45" s="204">
        <f t="shared" ref="D45:O45" si="4">SUM(D39:D44)</f>
        <v>0</v>
      </c>
      <c r="E45" s="204">
        <f t="shared" si="4"/>
        <v>0</v>
      </c>
      <c r="F45" s="204">
        <f t="shared" si="4"/>
        <v>0</v>
      </c>
      <c r="G45" s="204">
        <f t="shared" si="4"/>
        <v>0</v>
      </c>
      <c r="H45" s="204">
        <f t="shared" si="4"/>
        <v>0</v>
      </c>
      <c r="I45" s="204">
        <f t="shared" si="4"/>
        <v>0</v>
      </c>
      <c r="J45" s="204">
        <f t="shared" si="4"/>
        <v>0</v>
      </c>
      <c r="K45" s="204">
        <f t="shared" si="4"/>
        <v>0</v>
      </c>
      <c r="L45" s="204">
        <f t="shared" si="4"/>
        <v>0</v>
      </c>
      <c r="M45" s="204">
        <f t="shared" si="4"/>
        <v>0</v>
      </c>
      <c r="N45" s="204">
        <f t="shared" si="4"/>
        <v>0</v>
      </c>
      <c r="O45" s="204">
        <f t="shared" si="4"/>
        <v>0</v>
      </c>
      <c r="P45" s="205">
        <f t="shared" si="3"/>
        <v>0</v>
      </c>
      <c r="Q45" s="206">
        <f>SUM(P39:P44)</f>
        <v>0</v>
      </c>
      <c r="R45" s="182"/>
    </row>
  </sheetData>
  <mergeCells count="3">
    <mergeCell ref="B29:B31"/>
    <mergeCell ref="Q29:Q31"/>
    <mergeCell ref="R29:R31"/>
  </mergeCells>
  <phoneticPr fontId="6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AK48"/>
  <sheetViews>
    <sheetView workbookViewId="0">
      <pane xSplit="3" ySplit="1" topLeftCell="D2" activePane="bottomRight" state="frozen"/>
      <selection activeCell="J3" sqref="J3"/>
      <selection pane="topRight"/>
      <selection pane="bottomLeft"/>
      <selection pane="bottomRight" activeCell="A47" sqref="A47:XFD48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26" width="6.265625" style="5" customWidth="1"/>
    <col min="27" max="27" width="6.73046875" style="5" bestFit="1" customWidth="1"/>
    <col min="28" max="28" width="7.59765625" style="5" bestFit="1" customWidth="1"/>
    <col min="29" max="30" width="6.73046875" style="5" bestFit="1" customWidth="1"/>
    <col min="31" max="31" width="9" style="5" bestFit="1" customWidth="1"/>
    <col min="32" max="32" width="6" style="5" bestFit="1" customWidth="1"/>
    <col min="33" max="33" width="4.3984375" style="5" bestFit="1" customWidth="1"/>
    <col min="34" max="34" width="6.73046875" style="5" bestFit="1" customWidth="1"/>
    <col min="35" max="35" width="8.3984375" style="108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3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51" t="s">
        <v>15</v>
      </c>
      <c r="AJ1" s="51" t="s">
        <v>16</v>
      </c>
      <c r="AK1" s="51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2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2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2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2">
        <f t="shared" si="1"/>
        <v>0</v>
      </c>
      <c r="AJ15" s="130">
        <f>SUM(AI15:AI21)</f>
        <v>0</v>
      </c>
      <c r="AK15" s="130">
        <v>100000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2">
        <f t="shared" si="1"/>
        <v>0</v>
      </c>
      <c r="AJ29" s="647">
        <f>SUM(AI29:AI31)</f>
        <v>0</v>
      </c>
      <c r="AK29" s="647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2">
        <f t="shared" si="1"/>
        <v>0</v>
      </c>
      <c r="AJ35" s="147">
        <f>SUM(AI35:AI36)</f>
        <v>0</v>
      </c>
      <c r="AK35" s="147">
        <v>100000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26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332000</v>
      </c>
    </row>
    <row r="38" spans="1:37" ht="10.5">
      <c r="B38" s="41"/>
      <c r="H38" s="90"/>
      <c r="I38" s="90"/>
      <c r="N38" s="90"/>
      <c r="Q38" s="90"/>
      <c r="W38" s="90"/>
      <c r="AE38" s="90"/>
      <c r="AF38" s="90"/>
      <c r="AG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AK48"/>
  <sheetViews>
    <sheetView workbookViewId="0">
      <pane xSplit="3" ySplit="1" topLeftCell="D2" activePane="bottomRight" state="frozen"/>
      <selection activeCell="AE12" sqref="AE12"/>
      <selection pane="topRight"/>
      <selection pane="bottomLeft"/>
      <selection pane="bottomRight" activeCell="E33" sqref="E3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3" width="7.3984375" style="5" bestFit="1" customWidth="1"/>
    <col min="14" max="14" width="6.73046875" style="5" bestFit="1" customWidth="1"/>
    <col min="15" max="15" width="7.59765625" style="5" bestFit="1" customWidth="1"/>
    <col min="16" max="16" width="6.73046875" style="5" bestFit="1" customWidth="1"/>
    <col min="17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3984375" style="5" bestFit="1" customWidth="1"/>
    <col min="24" max="24" width="6.73046875" style="5" bestFit="1" customWidth="1"/>
    <col min="25" max="25" width="5.3984375" style="5" bestFit="1" customWidth="1"/>
    <col min="26" max="28" width="6.73046875" style="5" bestFit="1" customWidth="1"/>
    <col min="29" max="29" width="5.3984375" style="5" bestFit="1" customWidth="1"/>
    <col min="30" max="30" width="6" style="5" bestFit="1" customWidth="1"/>
    <col min="31" max="31" width="9" style="5" bestFit="1" customWidth="1"/>
    <col min="32" max="33" width="5" style="5" bestFit="1" customWidth="1"/>
    <col min="34" max="34" width="5.13281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4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1">
        <f t="shared" si="0"/>
        <v>29</v>
      </c>
      <c r="AG1" s="51">
        <f t="shared" si="0"/>
        <v>30</v>
      </c>
      <c r="AH1" s="51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352"/>
      <c r="AG2" s="352"/>
      <c r="AH2" s="35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352"/>
      <c r="AG3" s="352"/>
      <c r="AH3" s="352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352"/>
      <c r="AG4" s="352"/>
      <c r="AH4" s="352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352"/>
      <c r="AG5" s="352"/>
      <c r="AH5" s="352"/>
      <c r="AI5" s="113">
        <f t="shared" si="1"/>
        <v>0</v>
      </c>
      <c r="AJ5" s="122">
        <f>SUM(AI5:AI7)</f>
        <v>0</v>
      </c>
      <c r="AK5" s="122">
        <v>20000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352"/>
      <c r="AG6" s="352"/>
      <c r="AH6" s="352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352"/>
      <c r="AG7" s="352"/>
      <c r="AH7" s="352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352"/>
      <c r="AG8" s="352"/>
      <c r="AH8" s="352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352"/>
      <c r="AG9" s="352"/>
      <c r="AH9" s="352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352"/>
      <c r="AG10" s="352"/>
      <c r="AH10" s="352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352"/>
      <c r="AG11" s="352"/>
      <c r="AH11" s="352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352"/>
      <c r="AG12" s="352"/>
      <c r="AH12" s="352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352"/>
      <c r="AG13" s="352"/>
      <c r="AH13" s="352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352"/>
      <c r="AG14" s="352"/>
      <c r="AH14" s="352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352"/>
      <c r="AG15" s="352"/>
      <c r="AH15" s="352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352"/>
      <c r="AG16" s="352"/>
      <c r="AH16" s="352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352"/>
      <c r="AG17" s="352"/>
      <c r="AH17" s="352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352"/>
      <c r="AG18" s="352"/>
      <c r="AH18" s="352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352"/>
      <c r="AG19" s="352"/>
      <c r="AH19" s="352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352"/>
      <c r="AG20" s="352"/>
      <c r="AH20" s="352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352"/>
      <c r="AG21" s="352"/>
      <c r="AH21" s="352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352"/>
      <c r="AG22" s="352"/>
      <c r="AH22" s="35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352"/>
      <c r="AG23" s="352"/>
      <c r="AH23" s="352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352"/>
      <c r="AG24" s="352"/>
      <c r="AH24" s="35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352"/>
      <c r="AG25" s="352"/>
      <c r="AH25" s="35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352"/>
      <c r="AG26" s="352"/>
      <c r="AH26" s="352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352"/>
      <c r="AG27" s="352"/>
      <c r="AH27" s="35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352"/>
      <c r="AG28" s="352"/>
      <c r="AH28" s="35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352"/>
      <c r="AG29" s="352"/>
      <c r="AH29" s="352"/>
      <c r="AI29" s="113">
        <f t="shared" si="1"/>
        <v>0</v>
      </c>
      <c r="AJ29" s="647">
        <f>SUM(AI29:AI31)</f>
        <v>0</v>
      </c>
      <c r="AK29" s="650">
        <v>30000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352"/>
      <c r="AG30" s="352"/>
      <c r="AH30" s="352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352"/>
      <c r="AG31" s="352"/>
      <c r="AH31" s="352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352"/>
      <c r="AG32" s="352"/>
      <c r="AH32" s="35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352"/>
      <c r="AG33" s="352"/>
      <c r="AH33" s="35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352"/>
      <c r="AG34" s="352"/>
      <c r="AH34" s="35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352"/>
      <c r="AG35" s="352"/>
      <c r="AH35" s="35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352"/>
      <c r="AG36" s="352"/>
      <c r="AH36" s="352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261000</v>
      </c>
    </row>
    <row r="38" spans="1:37" ht="10.5">
      <c r="B38" s="41"/>
      <c r="H38" s="90"/>
      <c r="I38" s="90"/>
      <c r="O38" s="90"/>
      <c r="Q38" s="90"/>
      <c r="AD38" s="90"/>
      <c r="AJ38" s="156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>SUM(D39:D44)</f>
        <v>0</v>
      </c>
      <c r="E45" s="15">
        <f t="shared" ref="E45:AH45" si="5">SUM(E39:E44)</f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174">
        <f>SUM(AI39:AI44)</f>
        <v>0</v>
      </c>
      <c r="AK45" s="175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177"/>
      <c r="AK47" s="113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ignoredErrors>
    <ignoredError sqref="D37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AK48"/>
  <sheetViews>
    <sheetView workbookViewId="0">
      <pane xSplit="3" ySplit="1" topLeftCell="D2" activePane="bottomRight" state="frozen"/>
      <selection activeCell="D1" sqref="D1:D65536"/>
      <selection pane="topRight"/>
      <selection pane="bottomLeft"/>
      <selection pane="bottomRight" activeCell="W43" sqref="W39:AH43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7" width="6.73046875" style="5" bestFit="1" customWidth="1"/>
    <col min="8" max="8" width="9" style="5" bestFit="1" customWidth="1"/>
    <col min="9" max="9" width="7.59765625" style="5" bestFit="1" customWidth="1"/>
    <col min="10" max="10" width="7.398437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6" width="5.3984375" style="5" bestFit="1" customWidth="1"/>
    <col min="17" max="17" width="6.73046875" style="5" bestFit="1" customWidth="1"/>
    <col min="18" max="18" width="7.59765625" style="5" bestFit="1" customWidth="1"/>
    <col min="19" max="19" width="6.73046875" style="5" bestFit="1" customWidth="1"/>
    <col min="20" max="20" width="5.3984375" style="5" bestFit="1" customWidth="1"/>
    <col min="21" max="21" width="6.73046875" style="5" bestFit="1" customWidth="1"/>
    <col min="22" max="22" width="7.59765625" style="5" bestFit="1" customWidth="1"/>
    <col min="23" max="23" width="8.3984375" style="5" bestFit="1" customWidth="1"/>
    <col min="24" max="25" width="6.73046875" style="5" bestFit="1" customWidth="1"/>
    <col min="26" max="26" width="7.59765625" style="5" bestFit="1" customWidth="1"/>
    <col min="27" max="27" width="6.73046875" style="5" bestFit="1" customWidth="1"/>
    <col min="28" max="28" width="6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2" width="5.3984375" style="5" bestFit="1" customWidth="1"/>
    <col min="33" max="33" width="5.1328125" style="5" bestFit="1" customWidth="1"/>
    <col min="34" max="34" width="7.59765625" style="5" bestFit="1" customWidth="1"/>
    <col min="35" max="35" width="8.3984375" style="5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5</v>
      </c>
      <c r="B1" s="93" t="s">
        <v>1</v>
      </c>
      <c r="C1" s="1" t="s">
        <v>69</v>
      </c>
      <c r="D1" s="53">
        <v>1</v>
      </c>
      <c r="E1" s="51">
        <f t="shared" ref="E1:AH1" si="0">1+D1</f>
        <v>2</v>
      </c>
      <c r="F1" s="51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2">
        <f t="shared" si="0"/>
        <v>7</v>
      </c>
      <c r="K1" s="53">
        <f t="shared" si="0"/>
        <v>8</v>
      </c>
      <c r="L1" s="51">
        <f t="shared" si="0"/>
        <v>9</v>
      </c>
      <c r="M1" s="51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2">
        <f t="shared" si="0"/>
        <v>14</v>
      </c>
      <c r="R1" s="53">
        <f t="shared" si="0"/>
        <v>15</v>
      </c>
      <c r="S1" s="51">
        <f t="shared" si="0"/>
        <v>16</v>
      </c>
      <c r="T1" s="51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2">
        <f t="shared" si="0"/>
        <v>21</v>
      </c>
      <c r="Y1" s="53">
        <f t="shared" si="0"/>
        <v>22</v>
      </c>
      <c r="Z1" s="51">
        <f t="shared" si="0"/>
        <v>23</v>
      </c>
      <c r="AA1" s="51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2">
        <f t="shared" si="0"/>
        <v>28</v>
      </c>
      <c r="AF1" s="53">
        <f t="shared" si="0"/>
        <v>29</v>
      </c>
      <c r="AG1" s="51">
        <f t="shared" si="0"/>
        <v>30</v>
      </c>
      <c r="AH1" s="51">
        <f t="shared" si="0"/>
        <v>31</v>
      </c>
      <c r="AI1" s="51" t="s">
        <v>15</v>
      </c>
      <c r="AJ1" s="104" t="s">
        <v>16</v>
      </c>
      <c r="AK1" s="104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5"/>
      <c r="E2" s="15"/>
      <c r="F2" s="15"/>
      <c r="G2" s="15"/>
      <c r="H2" s="95"/>
      <c r="I2" s="15"/>
      <c r="J2" s="15"/>
      <c r="K2" s="22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27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9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9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37" customFormat="1" ht="12.75">
      <c r="A38" s="5"/>
      <c r="B38" s="41"/>
      <c r="C38" s="5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56"/>
      <c r="AK38" s="108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</row>
    <row r="47" spans="1:37" ht="10.5">
      <c r="A47" s="80"/>
      <c r="C47" s="18" t="s">
        <v>70</v>
      </c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  <c r="AE47" s="113"/>
      <c r="AF47" s="113"/>
      <c r="AG47" s="113"/>
      <c r="AH47" s="113"/>
      <c r="AI47" s="113"/>
      <c r="AJ47" s="177"/>
      <c r="AK47" s="113"/>
    </row>
    <row r="48" spans="1:37" ht="10.5">
      <c r="A48" s="80"/>
      <c r="C48" s="18" t="s">
        <v>71</v>
      </c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0"/>
  <dimension ref="A1:IV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:Z41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6.73046875" style="5" bestFit="1" customWidth="1"/>
    <col min="6" max="6" width="6.86328125" style="5" bestFit="1" customWidth="1"/>
    <col min="7" max="7" width="5.3984375" style="5" bestFit="1" customWidth="1"/>
    <col min="8" max="8" width="7.59765625" style="5" customWidth="1"/>
    <col min="9" max="9" width="6.73046875" style="5" bestFit="1" customWidth="1"/>
    <col min="10" max="11" width="6" style="5" bestFit="1" customWidth="1"/>
    <col min="12" max="12" width="7.59765625" style="5" bestFit="1" customWidth="1"/>
    <col min="13" max="13" width="7.3984375" style="5" bestFit="1" customWidth="1"/>
    <col min="14" max="14" width="6.73046875" style="5" bestFit="1" customWidth="1"/>
    <col min="15" max="17" width="5.3984375" style="5" bestFit="1" customWidth="1"/>
    <col min="18" max="20" width="7.59765625" style="5" bestFit="1" customWidth="1"/>
    <col min="21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6" style="5" bestFit="1" customWidth="1"/>
    <col min="27" max="28" width="6.73046875" style="5" bestFit="1" customWidth="1"/>
    <col min="29" max="29" width="5.3984375" style="5" bestFit="1" customWidth="1"/>
    <col min="30" max="30" width="6.73046875" style="5" bestFit="1" customWidth="1"/>
    <col min="31" max="31" width="9" style="5" bestFit="1" customWidth="1"/>
    <col min="32" max="33" width="6.73046875" style="5" bestFit="1" customWidth="1"/>
    <col min="34" max="34" width="3" style="5" bestFit="1" customWidth="1"/>
    <col min="35" max="35" width="8.3984375" style="113" bestFit="1" customWidth="1"/>
    <col min="36" max="37" width="10.59765625" style="108" bestFit="1" customWidth="1"/>
    <col min="38" max="38" width="9" style="5" bestFit="1"/>
    <col min="39" max="16384" width="9" style="5"/>
  </cols>
  <sheetData>
    <row r="1" spans="1:37" ht="10.5">
      <c r="A1" s="34" t="s">
        <v>6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1">
        <f t="shared" si="0"/>
        <v>3</v>
      </c>
      <c r="G1" s="52">
        <f t="shared" si="0"/>
        <v>4</v>
      </c>
      <c r="H1" s="53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1">
        <f t="shared" si="0"/>
        <v>10</v>
      </c>
      <c r="N1" s="52">
        <f t="shared" si="0"/>
        <v>11</v>
      </c>
      <c r="O1" s="53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1">
        <f t="shared" si="0"/>
        <v>17</v>
      </c>
      <c r="U1" s="52">
        <f t="shared" si="0"/>
        <v>18</v>
      </c>
      <c r="V1" s="53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1">
        <f t="shared" si="0"/>
        <v>24</v>
      </c>
      <c r="AB1" s="52">
        <f t="shared" si="0"/>
        <v>25</v>
      </c>
      <c r="AC1" s="53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96">
        <f t="shared" si="0"/>
        <v>31</v>
      </c>
      <c r="AI1" s="113" t="s">
        <v>15</v>
      </c>
      <c r="AJ1" s="107" t="s">
        <v>16</v>
      </c>
      <c r="AK1" s="107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97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97"/>
      <c r="AI3" s="113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98"/>
      <c r="AI4" s="113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98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98"/>
      <c r="AI6" s="113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98"/>
      <c r="AI7" s="113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98"/>
      <c r="AI8" s="113">
        <f t="shared" si="1"/>
        <v>0</v>
      </c>
      <c r="AJ8" s="124">
        <f>SUM(AI8:AI14)</f>
        <v>0</v>
      </c>
      <c r="AK8" s="124">
        <v>20000</v>
      </c>
    </row>
    <row r="9" spans="1:37" ht="10.5">
      <c r="A9" s="16"/>
      <c r="B9" s="22"/>
      <c r="C9" s="18" t="s">
        <v>72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98"/>
      <c r="AI9" s="113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98"/>
      <c r="AI10" s="113">
        <f t="shared" si="1"/>
        <v>0</v>
      </c>
      <c r="AJ10" s="126"/>
      <c r="AK10" s="126"/>
    </row>
    <row r="11" spans="1:37" ht="10.5">
      <c r="A11" s="16"/>
      <c r="B11" s="22"/>
      <c r="C11" s="18" t="s">
        <v>29</v>
      </c>
      <c r="D11" s="113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98"/>
      <c r="AI11" s="113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98"/>
      <c r="AI12" s="113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98"/>
      <c r="AI13" s="113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98"/>
      <c r="AI14" s="113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98"/>
      <c r="AI15" s="113">
        <f t="shared" si="1"/>
        <v>0</v>
      </c>
      <c r="AJ15" s="130">
        <f>SUM(AI15:AI21)</f>
        <v>0</v>
      </c>
      <c r="AK15" s="130">
        <v>110000</v>
      </c>
    </row>
    <row r="16" spans="1:37" ht="10.5">
      <c r="A16" s="16"/>
      <c r="B16" s="24"/>
      <c r="C16" s="18" t="s">
        <v>35</v>
      </c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98"/>
      <c r="AI16" s="113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98"/>
      <c r="AI17" s="113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98"/>
      <c r="AI18" s="113">
        <f t="shared" si="1"/>
        <v>0</v>
      </c>
      <c r="AJ18" s="132"/>
      <c r="AK18" s="132"/>
    </row>
    <row r="19" spans="1:37" ht="10.5">
      <c r="A19" s="16"/>
      <c r="B19" s="24"/>
      <c r="C19" s="62" t="s">
        <v>37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98"/>
      <c r="AI19" s="113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98"/>
      <c r="AI20" s="113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98"/>
      <c r="AI21" s="113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98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98"/>
      <c r="AI23" s="113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98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98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98"/>
      <c r="AI26" s="113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98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98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98"/>
      <c r="AI29" s="113">
        <f t="shared" si="1"/>
        <v>0</v>
      </c>
      <c r="AJ29" s="647">
        <f>SUM(AI29:AI31)</f>
        <v>0</v>
      </c>
      <c r="AK29" s="650">
        <v>10000</v>
      </c>
    </row>
    <row r="30" spans="1:37">
      <c r="A30" s="16"/>
      <c r="B30" s="645"/>
      <c r="C30" s="218" t="s">
        <v>74</v>
      </c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98"/>
      <c r="AI30" s="113">
        <f t="shared" si="1"/>
        <v>0</v>
      </c>
      <c r="AJ30" s="648"/>
      <c r="AK30" s="651"/>
    </row>
    <row r="31" spans="1:37" ht="10.5">
      <c r="A31" s="16"/>
      <c r="B31" s="646"/>
      <c r="C31" s="18" t="s">
        <v>75</v>
      </c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98"/>
      <c r="AI31" s="113">
        <f t="shared" si="1"/>
        <v>0</v>
      </c>
      <c r="AJ31" s="649"/>
      <c r="AK31" s="652"/>
    </row>
    <row r="32" spans="1:37" ht="10.5">
      <c r="A32" s="16"/>
      <c r="B32" s="34" t="s">
        <v>54</v>
      </c>
      <c r="C32" s="18" t="s">
        <v>55</v>
      </c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98"/>
      <c r="AI32" s="113">
        <f t="shared" si="1"/>
        <v>0</v>
      </c>
      <c r="AJ32" s="144">
        <f t="shared" si="2"/>
        <v>0</v>
      </c>
      <c r="AK32" s="144">
        <v>2000</v>
      </c>
    </row>
    <row r="33" spans="1:256" ht="10.5">
      <c r="A33" s="16"/>
      <c r="B33" s="34" t="s">
        <v>56</v>
      </c>
      <c r="C33" s="18" t="s">
        <v>56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98"/>
      <c r="AI33" s="113">
        <f t="shared" si="1"/>
        <v>0</v>
      </c>
      <c r="AJ33" s="144">
        <f t="shared" si="2"/>
        <v>0</v>
      </c>
      <c r="AK33" s="144">
        <v>15000</v>
      </c>
    </row>
    <row r="34" spans="1:256" ht="10.5">
      <c r="A34" s="16"/>
      <c r="B34" s="35" t="s">
        <v>57</v>
      </c>
      <c r="C34" s="18" t="s">
        <v>57</v>
      </c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98"/>
      <c r="AI34" s="113">
        <f t="shared" si="1"/>
        <v>0</v>
      </c>
      <c r="AJ34" s="145">
        <f t="shared" si="2"/>
        <v>0</v>
      </c>
      <c r="AK34" s="145">
        <v>2000</v>
      </c>
    </row>
    <row r="35" spans="1:256" ht="10.5">
      <c r="A35" s="16"/>
      <c r="B35" s="36" t="s">
        <v>58</v>
      </c>
      <c r="C35" s="18" t="s">
        <v>59</v>
      </c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98"/>
      <c r="AI35" s="113">
        <f t="shared" si="1"/>
        <v>0</v>
      </c>
      <c r="AJ35" s="147">
        <f>SUM(AI35:AI36)</f>
        <v>0</v>
      </c>
      <c r="AK35" s="147">
        <v>0</v>
      </c>
    </row>
    <row r="36" spans="1:256" ht="10.5">
      <c r="A36" s="16"/>
      <c r="B36" s="37"/>
      <c r="C36" s="18" t="s">
        <v>60</v>
      </c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98"/>
      <c r="AI36" s="113">
        <f t="shared" si="1"/>
        <v>0</v>
      </c>
      <c r="AJ36" s="149"/>
      <c r="AK36" s="149"/>
    </row>
    <row r="37" spans="1:256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 t="shared" si="3"/>
        <v>0</v>
      </c>
      <c r="AF37" s="113">
        <f t="shared" si="3"/>
        <v>0</v>
      </c>
      <c r="AG37" s="113">
        <f t="shared" si="3"/>
        <v>0</v>
      </c>
      <c r="AH37" s="99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222000</v>
      </c>
    </row>
    <row r="38" spans="1:256" ht="12.75">
      <c r="B38" s="41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J38" s="156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10.5">
      <c r="A39" s="35" t="s">
        <v>62</v>
      </c>
      <c r="B39" s="43" t="s">
        <v>63</v>
      </c>
      <c r="C39" s="18" t="s">
        <v>64</v>
      </c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"/>
      <c r="AI39" s="113">
        <f t="shared" ref="AI39:AI45" si="4">SUM(D39:AH39)</f>
        <v>0</v>
      </c>
      <c r="AJ39" s="158">
        <f>SUM(AI39:AI41)</f>
        <v>0</v>
      </c>
      <c r="AK39" s="159"/>
    </row>
    <row r="40" spans="1:256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5"/>
      <c r="AI40" s="113">
        <f t="shared" si="4"/>
        <v>0</v>
      </c>
      <c r="AJ40" s="162"/>
      <c r="AK40" s="163"/>
    </row>
    <row r="41" spans="1:256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"/>
      <c r="AI41" s="113">
        <f t="shared" si="4"/>
        <v>0</v>
      </c>
      <c r="AJ41" s="165"/>
      <c r="AK41" s="164"/>
    </row>
    <row r="42" spans="1:256" ht="10.5">
      <c r="A42" s="16"/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"/>
      <c r="AI42" s="113">
        <f t="shared" si="4"/>
        <v>0</v>
      </c>
      <c r="AJ42" s="167">
        <f>AI42</f>
        <v>0</v>
      </c>
      <c r="AK42" s="166"/>
    </row>
    <row r="43" spans="1:256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"/>
      <c r="AI43" s="113">
        <f t="shared" si="4"/>
        <v>0</v>
      </c>
      <c r="AJ43" s="169">
        <f>SUM(AI43:AI44)</f>
        <v>0</v>
      </c>
      <c r="AK43" s="170"/>
    </row>
    <row r="44" spans="1:256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"/>
      <c r="AI44" s="113">
        <f t="shared" si="4"/>
        <v>0</v>
      </c>
      <c r="AJ44" s="172"/>
      <c r="AK44" s="171"/>
    </row>
    <row r="45" spans="1:256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5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256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J47" s="177"/>
      <c r="AK47" s="113"/>
    </row>
    <row r="48" spans="1:256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J48" s="177"/>
      <c r="AK48" s="113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1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K25" sqref="K25"/>
    </sheetView>
  </sheetViews>
  <sheetFormatPr defaultColWidth="9" defaultRowHeight="10.15"/>
  <cols>
    <col min="1" max="1" width="4.132812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6.73046875" style="5" bestFit="1" customWidth="1"/>
    <col min="7" max="7" width="7.59765625" style="5" bestFit="1" customWidth="1"/>
    <col min="8" max="9" width="6.73046875" style="5" bestFit="1" customWidth="1"/>
    <col min="10" max="10" width="7.59765625" style="5" bestFit="1" customWidth="1"/>
    <col min="11" max="12" width="6.73046875" style="5" bestFit="1" customWidth="1"/>
    <col min="13" max="13" width="7.3984375" style="5" bestFit="1" customWidth="1"/>
    <col min="14" max="14" width="6.73046875" style="5" bestFit="1" customWidth="1"/>
    <col min="15" max="15" width="7.3984375" style="5" bestFit="1" customWidth="1"/>
    <col min="16" max="17" width="5.1328125" style="5" bestFit="1" customWidth="1"/>
    <col min="18" max="18" width="7.59765625" style="5" bestFit="1" customWidth="1"/>
    <col min="19" max="20" width="6.73046875" style="5" bestFit="1" customWidth="1"/>
    <col min="21" max="21" width="5.1328125" style="5" bestFit="1" customWidth="1"/>
    <col min="22" max="22" width="7.59765625" style="5" bestFit="1" customWidth="1"/>
    <col min="23" max="23" width="5.1328125" style="5" bestFit="1" customWidth="1"/>
    <col min="24" max="25" width="6.73046875" style="5" bestFit="1" customWidth="1"/>
    <col min="26" max="26" width="7.59765625" style="5" bestFit="1" customWidth="1"/>
    <col min="27" max="29" width="6.73046875" style="5" bestFit="1" customWidth="1"/>
    <col min="30" max="30" width="5.1328125" style="5" bestFit="1" customWidth="1"/>
    <col min="31" max="31" width="9" style="5" bestFit="1" customWidth="1"/>
    <col min="32" max="32" width="6.73046875" style="5" bestFit="1" customWidth="1"/>
    <col min="33" max="33" width="5.3984375" style="5" bestFit="1" customWidth="1"/>
    <col min="34" max="34" width="6.73046875" style="5" bestFit="1" customWidth="1"/>
    <col min="35" max="35" width="7.5976562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7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 t="s">
        <v>18</v>
      </c>
      <c r="B2" s="7" t="s">
        <v>19</v>
      </c>
      <c r="C2" s="18" t="s">
        <v>20</v>
      </c>
      <c r="D2" s="112"/>
      <c r="E2" s="226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12"/>
      <c r="AG2" s="112"/>
      <c r="AH2" s="112"/>
      <c r="AI2" s="112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12"/>
      <c r="E3" s="226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12"/>
      <c r="AG3" s="112"/>
      <c r="AH3" s="112"/>
      <c r="AI3" s="112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112"/>
      <c r="E4" s="226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12"/>
      <c r="AG4" s="112"/>
      <c r="AH4" s="112"/>
      <c r="AI4" s="112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112"/>
      <c r="E5" s="226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12"/>
      <c r="AG5" s="112"/>
      <c r="AH5" s="112"/>
      <c r="AI5" s="112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112"/>
      <c r="E6" s="226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12"/>
      <c r="AG6" s="112"/>
      <c r="AH6" s="112"/>
      <c r="AI6" s="112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12"/>
      <c r="AG7" s="112"/>
      <c r="AH7" s="112"/>
      <c r="AI7" s="112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12"/>
      <c r="AG8" s="112"/>
      <c r="AH8" s="112"/>
      <c r="AI8" s="112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12"/>
      <c r="AG9" s="112"/>
      <c r="AH9" s="112"/>
      <c r="AI9" s="112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12"/>
      <c r="AG10" s="112"/>
      <c r="AH10" s="112"/>
      <c r="AI10" s="112">
        <f t="shared" si="1"/>
        <v>0</v>
      </c>
      <c r="AJ10" s="59"/>
      <c r="AK10" s="59"/>
    </row>
    <row r="11" spans="1:37" ht="10.5">
      <c r="A11" s="16"/>
      <c r="B11" s="22"/>
      <c r="C11" s="18" t="s">
        <v>29</v>
      </c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112"/>
      <c r="AG11" s="112"/>
      <c r="AH11" s="112"/>
      <c r="AI11" s="112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113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112"/>
      <c r="AG12" s="112"/>
      <c r="AH12" s="112"/>
      <c r="AI12" s="112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112"/>
      <c r="AG13" s="112"/>
      <c r="AH13" s="112"/>
      <c r="AI13" s="112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12"/>
      <c r="AG14" s="112"/>
      <c r="AH14" s="112"/>
      <c r="AI14" s="112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112"/>
      <c r="E15" s="112"/>
      <c r="F15" s="112"/>
      <c r="G15" s="112"/>
      <c r="H15" s="112"/>
      <c r="I15" s="112"/>
      <c r="J15" s="112"/>
      <c r="K15" s="112"/>
      <c r="L15" s="112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112"/>
      <c r="AG15" s="112"/>
      <c r="AH15" s="112"/>
      <c r="AI15" s="112">
        <f t="shared" si="1"/>
        <v>0</v>
      </c>
      <c r="AJ15" s="60">
        <f>SUM(AI15:AI21)</f>
        <v>0</v>
      </c>
      <c r="AK15" s="60">
        <v>30000</v>
      </c>
    </row>
    <row r="16" spans="1:37" ht="10.5">
      <c r="A16" s="16"/>
      <c r="B16" s="24"/>
      <c r="C16" s="18" t="s">
        <v>35</v>
      </c>
      <c r="D16" s="112"/>
      <c r="E16" s="112"/>
      <c r="F16" s="112"/>
      <c r="G16" s="112"/>
      <c r="H16" s="112"/>
      <c r="I16" s="112"/>
      <c r="J16" s="112"/>
      <c r="K16" s="112"/>
      <c r="L16" s="112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112"/>
      <c r="AG16" s="112"/>
      <c r="AH16" s="112"/>
      <c r="AI16" s="112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112"/>
      <c r="E17" s="112"/>
      <c r="F17" s="112"/>
      <c r="G17" s="112"/>
      <c r="H17" s="112"/>
      <c r="I17" s="112"/>
      <c r="J17" s="112"/>
      <c r="K17" s="112"/>
      <c r="L17" s="112"/>
      <c r="M17" s="22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12"/>
      <c r="AG17" s="112"/>
      <c r="AH17" s="112"/>
      <c r="AI17" s="112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5"/>
      <c r="X18" s="15"/>
      <c r="Y18" s="15"/>
      <c r="Z18" s="15"/>
      <c r="AA18" s="15"/>
      <c r="AB18" s="15"/>
      <c r="AC18" s="15"/>
      <c r="AD18" s="15"/>
      <c r="AE18" s="15"/>
      <c r="AF18" s="112"/>
      <c r="AG18" s="112"/>
      <c r="AH18" s="112"/>
      <c r="AI18" s="112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112"/>
      <c r="E19" s="112"/>
      <c r="F19" s="112"/>
      <c r="G19" s="112"/>
      <c r="H19" s="112"/>
      <c r="I19" s="112"/>
      <c r="J19" s="112"/>
      <c r="K19" s="112"/>
      <c r="L19" s="112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12"/>
      <c r="AG19" s="112"/>
      <c r="AH19" s="112"/>
      <c r="AI19" s="112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112"/>
      <c r="E20" s="112"/>
      <c r="F20" s="112"/>
      <c r="G20" s="112"/>
      <c r="H20" s="112"/>
      <c r="I20" s="112"/>
      <c r="J20" s="112"/>
      <c r="K20" s="112"/>
      <c r="L20" s="112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12"/>
      <c r="AG20" s="112"/>
      <c r="AH20" s="112"/>
      <c r="AI20" s="112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112"/>
      <c r="E21" s="112"/>
      <c r="F21" s="112"/>
      <c r="G21" s="112"/>
      <c r="H21" s="112"/>
      <c r="I21" s="112"/>
      <c r="J21" s="112"/>
      <c r="K21" s="112"/>
      <c r="L21" s="112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12"/>
      <c r="AG21" s="112"/>
      <c r="AH21" s="112"/>
      <c r="AI21" s="112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112"/>
      <c r="F22" s="112"/>
      <c r="G22" s="112"/>
      <c r="H22" s="112"/>
      <c r="I22" s="112"/>
      <c r="J22" s="112"/>
      <c r="K22" s="112"/>
      <c r="L22" s="112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12"/>
      <c r="AG22" s="112"/>
      <c r="AH22" s="112"/>
      <c r="AI22" s="112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112"/>
      <c r="F23" s="112"/>
      <c r="G23" s="112"/>
      <c r="H23" s="112"/>
      <c r="I23" s="112"/>
      <c r="J23" s="112"/>
      <c r="K23" s="112"/>
      <c r="L23" s="112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112"/>
      <c r="AG23" s="112"/>
      <c r="AH23" s="112"/>
      <c r="AI23" s="112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112"/>
      <c r="F24" s="112"/>
      <c r="G24" s="112"/>
      <c r="H24" s="112"/>
      <c r="I24" s="112"/>
      <c r="J24" s="112"/>
      <c r="K24" s="112"/>
      <c r="L24" s="112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112"/>
      <c r="AG24" s="112"/>
      <c r="AH24" s="112"/>
      <c r="AI24" s="112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112"/>
      <c r="F25" s="112"/>
      <c r="G25" s="112"/>
      <c r="H25" s="112"/>
      <c r="I25" s="112"/>
      <c r="J25" s="112"/>
      <c r="K25" s="112"/>
      <c r="L25" s="112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112"/>
      <c r="AG25" s="112"/>
      <c r="AH25" s="112"/>
      <c r="AI25" s="112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112"/>
      <c r="F26" s="112"/>
      <c r="G26" s="112"/>
      <c r="H26" s="112"/>
      <c r="I26" s="112"/>
      <c r="J26" s="112"/>
      <c r="K26" s="112"/>
      <c r="L26" s="112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112"/>
      <c r="AG26" s="112"/>
      <c r="AH26" s="112"/>
      <c r="AI26" s="112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112"/>
      <c r="F27" s="112"/>
      <c r="G27" s="112"/>
      <c r="H27" s="112"/>
      <c r="I27" s="112"/>
      <c r="J27" s="112"/>
      <c r="K27" s="112"/>
      <c r="L27" s="112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112"/>
      <c r="AG27" s="112"/>
      <c r="AH27" s="112"/>
      <c r="AI27" s="112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112"/>
      <c r="F28" s="112"/>
      <c r="G28" s="112"/>
      <c r="H28" s="112"/>
      <c r="I28" s="112"/>
      <c r="J28" s="112"/>
      <c r="K28" s="112"/>
      <c r="L28" s="112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112"/>
      <c r="AG28" s="112"/>
      <c r="AH28" s="112"/>
      <c r="AI28" s="112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26"/>
      <c r="K29" s="112"/>
      <c r="L29" s="226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112"/>
      <c r="AG29" s="112"/>
      <c r="AH29" s="112"/>
      <c r="AI29" s="112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26"/>
      <c r="K30" s="226"/>
      <c r="L30" s="22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112"/>
      <c r="AG30" s="112"/>
      <c r="AH30" s="112"/>
      <c r="AI30" s="112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26"/>
      <c r="K31" s="226"/>
      <c r="L31" s="226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112"/>
      <c r="AG31" s="112"/>
      <c r="AH31" s="112"/>
      <c r="AI31" s="112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112"/>
      <c r="AG32" s="112"/>
      <c r="AH32" s="112"/>
      <c r="AI32" s="112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112"/>
      <c r="AG33" s="112"/>
      <c r="AH33" s="112"/>
      <c r="AI33" s="112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112"/>
      <c r="E34" s="23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112"/>
      <c r="AG34" s="112"/>
      <c r="AH34" s="112"/>
      <c r="AI34" s="112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112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112"/>
      <c r="AG35" s="112"/>
      <c r="AH35" s="112"/>
      <c r="AI35" s="112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 t="shared" si="3"/>
        <v>0</v>
      </c>
      <c r="AF37" s="112">
        <f t="shared" si="3"/>
        <v>0</v>
      </c>
      <c r="AG37" s="112">
        <f t="shared" si="3"/>
        <v>0</v>
      </c>
      <c r="AH37" s="112">
        <f t="shared" si="3"/>
        <v>0</v>
      </c>
      <c r="AI37" s="112">
        <f t="shared" si="1"/>
        <v>0</v>
      </c>
      <c r="AJ37" s="74">
        <f>SUM(AJ2:AJ36)</f>
        <v>0</v>
      </c>
      <c r="AK37" s="74">
        <f>SUM(AK2:AK36)</f>
        <v>142000</v>
      </c>
    </row>
    <row r="38" spans="1:37">
      <c r="B38" s="41"/>
      <c r="D38" s="112"/>
      <c r="AJ38" s="42"/>
    </row>
    <row r="39" spans="1:37" ht="10.5">
      <c r="A39" s="35" t="s">
        <v>62</v>
      </c>
      <c r="B39" s="43" t="s">
        <v>63</v>
      </c>
      <c r="C39" s="18" t="s">
        <v>64</v>
      </c>
      <c r="D39" s="113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2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16"/>
      <c r="B42" s="46"/>
      <c r="C42" s="62" t="s">
        <v>66</v>
      </c>
      <c r="D42" s="112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2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2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2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6" spans="1:37">
      <c r="D46" s="112"/>
    </row>
    <row r="47" spans="1:37" ht="10.5">
      <c r="A47" s="80"/>
      <c r="C47" s="18" t="s">
        <v>70</v>
      </c>
      <c r="D47" s="113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12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2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52" sqref="AI52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7.59765625" style="5" bestFit="1" customWidth="1"/>
    <col min="5" max="5" width="5.1328125" style="5" bestFit="1" customWidth="1"/>
    <col min="6" max="7" width="3.73046875" style="5" bestFit="1" customWidth="1"/>
    <col min="8" max="8" width="6" style="5" bestFit="1" customWidth="1"/>
    <col min="9" max="10" width="5.1328125" style="5" bestFit="1" customWidth="1"/>
    <col min="11" max="11" width="6.73046875" style="5" bestFit="1" customWidth="1"/>
    <col min="12" max="12" width="3.73046875" style="5" bestFit="1" customWidth="1"/>
    <col min="13" max="13" width="7.3984375" style="5" bestFit="1" customWidth="1"/>
    <col min="14" max="14" width="6.73046875" style="5" bestFit="1" customWidth="1"/>
    <col min="15" max="15" width="5.3984375" style="5" bestFit="1" customWidth="1"/>
    <col min="16" max="16" width="5.1328125" style="5" bestFit="1" customWidth="1"/>
    <col min="17" max="17" width="3.73046875" style="5" bestFit="1" customWidth="1"/>
    <col min="18" max="18" width="7.59765625" style="5" bestFit="1" customWidth="1"/>
    <col min="19" max="19" width="6.73046875" style="5" bestFit="1" customWidth="1"/>
    <col min="20" max="21" width="3.73046875" style="5" bestFit="1" customWidth="1"/>
    <col min="22" max="22" width="7.59765625" style="5" bestFit="1" customWidth="1"/>
    <col min="23" max="23" width="3.73046875" style="5" bestFit="1" customWidth="1"/>
    <col min="24" max="24" width="3" style="5" bestFit="1" customWidth="1"/>
    <col min="25" max="26" width="6" style="5" bestFit="1" customWidth="1"/>
    <col min="27" max="27" width="6.73046875" style="5" bestFit="1" customWidth="1"/>
    <col min="28" max="29" width="3" style="5" bestFit="1" customWidth="1"/>
    <col min="30" max="30" width="4.3984375" style="5" bestFit="1" customWidth="1"/>
    <col min="31" max="31" width="9" style="5" bestFit="1" customWidth="1"/>
    <col min="32" max="32" width="3.73046875" style="5" bestFit="1" customWidth="1"/>
    <col min="33" max="33" width="5.1328125" style="5" bestFit="1" customWidth="1"/>
    <col min="34" max="34" width="3" style="5" bestFit="1" customWidth="1"/>
    <col min="35" max="35" width="6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8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97"/>
      <c r="AI2" s="15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97"/>
      <c r="AI3" s="15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8"/>
      <c r="AI4" s="15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8"/>
      <c r="AI5" s="15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9"/>
      <c r="G6" s="9"/>
      <c r="H6" s="9"/>
      <c r="I6" s="9"/>
      <c r="J6" s="9"/>
      <c r="K6" s="9"/>
      <c r="L6" s="9"/>
      <c r="M6" s="9"/>
      <c r="N6" s="226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8"/>
      <c r="AI6" s="15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8"/>
      <c r="AI7" s="15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8"/>
      <c r="AI8" s="15">
        <f t="shared" si="1"/>
        <v>0</v>
      </c>
      <c r="AJ8" s="21">
        <f>SUM(AI8:AI14)</f>
        <v>0</v>
      </c>
      <c r="AK8" s="21">
        <v>20000</v>
      </c>
    </row>
    <row r="9" spans="1:37" ht="10.5">
      <c r="A9" s="16"/>
      <c r="B9" s="22"/>
      <c r="C9" s="18" t="s">
        <v>27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8"/>
      <c r="AI9" s="15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8"/>
      <c r="AI10" s="15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8"/>
      <c r="AI11" s="15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8"/>
      <c r="AI12" s="15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8"/>
      <c r="AI13" s="15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8"/>
      <c r="AI14" s="15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13"/>
      <c r="AB15" s="9"/>
      <c r="AC15" s="9"/>
      <c r="AD15" s="9"/>
      <c r="AE15" s="9"/>
      <c r="AF15" s="9"/>
      <c r="AG15" s="9"/>
      <c r="AH15" s="98"/>
      <c r="AI15" s="15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8"/>
      <c r="AI16" s="15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8"/>
      <c r="AI17" s="15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9"/>
      <c r="E19" s="9"/>
      <c r="F19" s="9"/>
      <c r="G19" s="9"/>
      <c r="H19" s="9"/>
      <c r="I19" s="9"/>
      <c r="J19" s="9"/>
      <c r="K19" s="226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8"/>
      <c r="AI19" s="15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9"/>
      <c r="E20" s="9"/>
      <c r="F20" s="9"/>
      <c r="G20" s="9"/>
      <c r="H20" s="9"/>
      <c r="I20" s="9"/>
      <c r="J20" s="9"/>
      <c r="K20" s="226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8"/>
      <c r="AI20" s="15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9"/>
      <c r="E21" s="9"/>
      <c r="F21" s="9"/>
      <c r="G21" s="9"/>
      <c r="H21" s="9"/>
      <c r="I21" s="9"/>
      <c r="J21" s="9"/>
      <c r="K21" s="226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8"/>
      <c r="AI21" s="15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9"/>
      <c r="G22" s="9"/>
      <c r="H22" s="9"/>
      <c r="I22" s="9"/>
      <c r="J22" s="9"/>
      <c r="K22" s="226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8"/>
      <c r="AI22" s="15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9"/>
      <c r="K23" s="226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8"/>
      <c r="AI23" s="15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9"/>
      <c r="K24" s="226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8"/>
      <c r="AI24" s="15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9"/>
      <c r="K25" s="226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8"/>
      <c r="AI25" s="15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9"/>
      <c r="K26" s="226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8"/>
      <c r="AI26" s="15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9"/>
      <c r="K27" s="226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8"/>
      <c r="AI27" s="15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9"/>
      <c r="K28" s="226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8"/>
      <c r="AI28" s="15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9"/>
      <c r="G29" s="9"/>
      <c r="H29" s="9"/>
      <c r="I29" s="9"/>
      <c r="J29" s="9"/>
      <c r="K29" s="112"/>
      <c r="L29" s="9"/>
      <c r="M29" s="226"/>
      <c r="N29" s="9"/>
      <c r="O29" s="9"/>
      <c r="P29" s="9"/>
      <c r="Q29" s="9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226"/>
      <c r="AF29" s="9"/>
      <c r="AG29" s="9"/>
      <c r="AH29" s="98"/>
      <c r="AI29" s="15">
        <f t="shared" si="1"/>
        <v>0</v>
      </c>
      <c r="AJ29" s="647">
        <f>SUM(AI29:AI31)</f>
        <v>0</v>
      </c>
      <c r="AK29" s="653">
        <v>10000</v>
      </c>
    </row>
    <row r="30" spans="1:37">
      <c r="A30" s="16"/>
      <c r="B30" s="645"/>
      <c r="C30" s="218" t="s">
        <v>74</v>
      </c>
      <c r="D30" s="112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8"/>
      <c r="AI30" s="15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8"/>
      <c r="AI31" s="15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8"/>
      <c r="AI32" s="15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232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5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226"/>
      <c r="AF34" s="9"/>
      <c r="AG34" s="9"/>
      <c r="AH34" s="98"/>
      <c r="AI34" s="15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5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3"/>
      <c r="T36" s="9"/>
      <c r="U36" s="9"/>
      <c r="V36" s="9"/>
      <c r="W36" s="9"/>
      <c r="X36" s="9"/>
      <c r="Y36" s="9"/>
      <c r="Z36" s="15"/>
      <c r="AA36" s="9"/>
      <c r="AB36" s="9"/>
      <c r="AC36" s="9"/>
      <c r="AD36" s="9"/>
      <c r="AE36" s="226"/>
      <c r="AF36" s="9"/>
      <c r="AG36" s="9"/>
      <c r="AH36" s="98"/>
      <c r="AI36" s="71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5">
        <f t="shared" ref="D37:AH37" si="3">SUM(D2:D36)</f>
        <v>0</v>
      </c>
      <c r="E37" s="15">
        <f t="shared" si="3"/>
        <v>0</v>
      </c>
      <c r="F37" s="15">
        <f t="shared" si="3"/>
        <v>0</v>
      </c>
      <c r="G37" s="15">
        <f t="shared" si="3"/>
        <v>0</v>
      </c>
      <c r="H37" s="15">
        <f t="shared" si="3"/>
        <v>0</v>
      </c>
      <c r="I37" s="15">
        <f t="shared" si="3"/>
        <v>0</v>
      </c>
      <c r="J37" s="15">
        <f t="shared" si="3"/>
        <v>0</v>
      </c>
      <c r="K37" s="15">
        <f t="shared" si="3"/>
        <v>0</v>
      </c>
      <c r="L37" s="15">
        <f t="shared" si="3"/>
        <v>0</v>
      </c>
      <c r="M37" s="15">
        <f t="shared" si="3"/>
        <v>0</v>
      </c>
      <c r="N37" s="15">
        <f t="shared" si="3"/>
        <v>0</v>
      </c>
      <c r="O37" s="15">
        <f t="shared" si="3"/>
        <v>0</v>
      </c>
      <c r="P37" s="15">
        <f t="shared" si="3"/>
        <v>0</v>
      </c>
      <c r="Q37" s="15">
        <f t="shared" si="3"/>
        <v>0</v>
      </c>
      <c r="R37" s="15">
        <f t="shared" si="3"/>
        <v>0</v>
      </c>
      <c r="S37" s="15">
        <f t="shared" si="3"/>
        <v>0</v>
      </c>
      <c r="T37" s="15">
        <f t="shared" si="3"/>
        <v>0</v>
      </c>
      <c r="U37" s="15">
        <f t="shared" si="3"/>
        <v>0</v>
      </c>
      <c r="V37" s="15">
        <f t="shared" si="3"/>
        <v>0</v>
      </c>
      <c r="W37" s="15">
        <f t="shared" si="3"/>
        <v>0</v>
      </c>
      <c r="X37" s="15">
        <f t="shared" si="3"/>
        <v>0</v>
      </c>
      <c r="Y37" s="15">
        <f t="shared" si="3"/>
        <v>0</v>
      </c>
      <c r="Z37" s="15">
        <f t="shared" si="3"/>
        <v>0</v>
      </c>
      <c r="AA37" s="15">
        <f t="shared" si="3"/>
        <v>0</v>
      </c>
      <c r="AB37" s="15">
        <f t="shared" si="3"/>
        <v>0</v>
      </c>
      <c r="AC37" s="15">
        <f t="shared" si="3"/>
        <v>0</v>
      </c>
      <c r="AD37" s="15">
        <f t="shared" si="3"/>
        <v>0</v>
      </c>
      <c r="AE37" s="15">
        <f t="shared" si="3"/>
        <v>0</v>
      </c>
      <c r="AF37" s="15">
        <f t="shared" si="3"/>
        <v>0</v>
      </c>
      <c r="AG37" s="15">
        <f t="shared" si="3"/>
        <v>0</v>
      </c>
      <c r="AH37" s="73">
        <f t="shared" si="3"/>
        <v>0</v>
      </c>
      <c r="AI37" s="9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5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9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15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5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15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5">
        <f t="shared" ref="D45:AH45" si="5">SUM(D39:D44)</f>
        <v>0</v>
      </c>
      <c r="E45" s="15">
        <f t="shared" si="5"/>
        <v>0</v>
      </c>
      <c r="F45" s="15">
        <f t="shared" si="5"/>
        <v>0</v>
      </c>
      <c r="G45" s="15">
        <f t="shared" si="5"/>
        <v>0</v>
      </c>
      <c r="H45" s="15">
        <f t="shared" si="5"/>
        <v>0</v>
      </c>
      <c r="I45" s="15">
        <f t="shared" si="5"/>
        <v>0</v>
      </c>
      <c r="J45" s="15">
        <f t="shared" si="5"/>
        <v>0</v>
      </c>
      <c r="K45" s="15">
        <f t="shared" si="5"/>
        <v>0</v>
      </c>
      <c r="L45" s="15">
        <f t="shared" si="5"/>
        <v>0</v>
      </c>
      <c r="M45" s="15">
        <f t="shared" si="5"/>
        <v>0</v>
      </c>
      <c r="N45" s="15">
        <f t="shared" si="5"/>
        <v>0</v>
      </c>
      <c r="O45" s="15">
        <f t="shared" si="5"/>
        <v>0</v>
      </c>
      <c r="P45" s="15">
        <f t="shared" si="5"/>
        <v>0</v>
      </c>
      <c r="Q45" s="15">
        <f t="shared" si="5"/>
        <v>0</v>
      </c>
      <c r="R45" s="15">
        <f t="shared" si="5"/>
        <v>0</v>
      </c>
      <c r="S45" s="15">
        <f t="shared" si="5"/>
        <v>0</v>
      </c>
      <c r="T45" s="15">
        <f t="shared" si="5"/>
        <v>0</v>
      </c>
      <c r="U45" s="15">
        <f t="shared" si="5"/>
        <v>0</v>
      </c>
      <c r="V45" s="15">
        <f t="shared" si="5"/>
        <v>0</v>
      </c>
      <c r="W45" s="15">
        <f t="shared" si="5"/>
        <v>0</v>
      </c>
      <c r="X45" s="15">
        <f t="shared" si="5"/>
        <v>0</v>
      </c>
      <c r="Y45" s="15">
        <f t="shared" si="5"/>
        <v>0</v>
      </c>
      <c r="Z45" s="15">
        <f t="shared" si="5"/>
        <v>0</v>
      </c>
      <c r="AA45" s="15">
        <f t="shared" si="5"/>
        <v>0</v>
      </c>
      <c r="AB45" s="15">
        <f t="shared" si="5"/>
        <v>0</v>
      </c>
      <c r="AC45" s="15">
        <f t="shared" si="5"/>
        <v>0</v>
      </c>
      <c r="AD45" s="15">
        <f t="shared" si="5"/>
        <v>0</v>
      </c>
      <c r="AE45" s="15">
        <f t="shared" si="5"/>
        <v>0</v>
      </c>
      <c r="AF45" s="15">
        <f t="shared" si="5"/>
        <v>0</v>
      </c>
      <c r="AG45" s="15">
        <f t="shared" si="5"/>
        <v>0</v>
      </c>
      <c r="AH45" s="15">
        <f t="shared" si="5"/>
        <v>0</v>
      </c>
      <c r="AI45" s="9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3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5.1328125" style="108" customWidth="1"/>
    <col min="2" max="2" width="5.3984375" style="108" customWidth="1"/>
    <col min="3" max="3" width="10.73046875" style="108" customWidth="1"/>
    <col min="4" max="34" width="6.59765625" style="108" customWidth="1"/>
    <col min="35" max="35" width="8.3984375" style="108" bestFit="1" customWidth="1"/>
    <col min="36" max="37" width="10.59765625" style="108" bestFit="1" customWidth="1"/>
    <col min="38" max="38" width="9" style="108" bestFit="1"/>
    <col min="39" max="16384" width="9" style="108"/>
  </cols>
  <sheetData>
    <row r="1" spans="1:37" ht="10.5">
      <c r="A1" s="101" t="s">
        <v>9</v>
      </c>
      <c r="B1" s="102" t="s">
        <v>1</v>
      </c>
      <c r="C1" s="103" t="s">
        <v>69</v>
      </c>
      <c r="D1" s="105">
        <v>1</v>
      </c>
      <c r="E1" s="106">
        <f t="shared" ref="E1:AH1" si="0">1+D1</f>
        <v>2</v>
      </c>
      <c r="F1" s="223">
        <f t="shared" si="0"/>
        <v>3</v>
      </c>
      <c r="G1" s="223">
        <f t="shared" si="0"/>
        <v>4</v>
      </c>
      <c r="H1" s="104">
        <f t="shared" si="0"/>
        <v>5</v>
      </c>
      <c r="I1" s="104">
        <f t="shared" si="0"/>
        <v>6</v>
      </c>
      <c r="J1" s="104">
        <f t="shared" si="0"/>
        <v>7</v>
      </c>
      <c r="K1" s="105">
        <f t="shared" si="0"/>
        <v>8</v>
      </c>
      <c r="L1" s="106">
        <f t="shared" si="0"/>
        <v>9</v>
      </c>
      <c r="M1" s="223">
        <f t="shared" si="0"/>
        <v>10</v>
      </c>
      <c r="N1" s="223">
        <f t="shared" si="0"/>
        <v>11</v>
      </c>
      <c r="O1" s="104">
        <f t="shared" si="0"/>
        <v>12</v>
      </c>
      <c r="P1" s="104">
        <f t="shared" si="0"/>
        <v>13</v>
      </c>
      <c r="Q1" s="104">
        <f t="shared" si="0"/>
        <v>14</v>
      </c>
      <c r="R1" s="105">
        <f t="shared" si="0"/>
        <v>15</v>
      </c>
      <c r="S1" s="106">
        <f t="shared" si="0"/>
        <v>16</v>
      </c>
      <c r="T1" s="223">
        <f t="shared" si="0"/>
        <v>17</v>
      </c>
      <c r="U1" s="223">
        <f t="shared" si="0"/>
        <v>18</v>
      </c>
      <c r="V1" s="104">
        <f t="shared" si="0"/>
        <v>19</v>
      </c>
      <c r="W1" s="104">
        <f t="shared" si="0"/>
        <v>20</v>
      </c>
      <c r="X1" s="104">
        <f t="shared" si="0"/>
        <v>21</v>
      </c>
      <c r="Y1" s="105">
        <f t="shared" si="0"/>
        <v>22</v>
      </c>
      <c r="Z1" s="106">
        <f t="shared" si="0"/>
        <v>23</v>
      </c>
      <c r="AA1" s="223">
        <f t="shared" si="0"/>
        <v>24</v>
      </c>
      <c r="AB1" s="223">
        <f t="shared" si="0"/>
        <v>25</v>
      </c>
      <c r="AC1" s="104">
        <f t="shared" si="0"/>
        <v>26</v>
      </c>
      <c r="AD1" s="104">
        <f t="shared" si="0"/>
        <v>27</v>
      </c>
      <c r="AE1" s="104">
        <f t="shared" si="0"/>
        <v>28</v>
      </c>
      <c r="AF1" s="105">
        <f t="shared" si="0"/>
        <v>29</v>
      </c>
      <c r="AG1" s="106">
        <f t="shared" si="0"/>
        <v>30</v>
      </c>
      <c r="AH1" s="223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227"/>
      <c r="E2" s="227"/>
      <c r="F2" s="228"/>
      <c r="G2" s="228"/>
      <c r="H2" s="228"/>
      <c r="I2" s="228"/>
      <c r="J2" s="228"/>
      <c r="K2" s="227"/>
      <c r="L2" s="227"/>
      <c r="M2" s="227"/>
      <c r="N2" s="229"/>
      <c r="O2" s="227"/>
      <c r="P2" s="227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7"/>
      <c r="AE2" s="228"/>
      <c r="AF2" s="227"/>
      <c r="AG2" s="225"/>
      <c r="AH2" s="228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227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9"/>
      <c r="U3" s="227"/>
      <c r="V3" s="227"/>
      <c r="W3" s="227"/>
      <c r="X3" s="227"/>
      <c r="Y3" s="227"/>
      <c r="Z3" s="229"/>
      <c r="AA3" s="227"/>
      <c r="AB3" s="227"/>
      <c r="AC3" s="227"/>
      <c r="AD3" s="227"/>
      <c r="AE3" s="227"/>
      <c r="AF3" s="229"/>
      <c r="AG3" s="227"/>
      <c r="AH3" s="245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230"/>
      <c r="E4" s="230"/>
      <c r="F4" s="231"/>
      <c r="G4" s="224"/>
      <c r="H4" s="225"/>
      <c r="I4" s="231"/>
      <c r="J4" s="231"/>
      <c r="K4" s="230"/>
      <c r="L4" s="230"/>
      <c r="M4" s="231"/>
      <c r="N4" s="230"/>
      <c r="O4" s="230"/>
      <c r="P4" s="231"/>
      <c r="Q4" s="230"/>
      <c r="R4" s="230"/>
      <c r="S4" s="225"/>
      <c r="T4" s="231"/>
      <c r="U4" s="230"/>
      <c r="V4" s="225"/>
      <c r="W4" s="230"/>
      <c r="X4" s="230"/>
      <c r="Y4" s="231"/>
      <c r="Z4" s="225"/>
      <c r="AA4" s="230"/>
      <c r="AB4" s="225"/>
      <c r="AC4" s="230"/>
      <c r="AD4" s="226"/>
      <c r="AE4" s="226"/>
      <c r="AF4" s="230"/>
      <c r="AG4" s="234"/>
      <c r="AH4" s="230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8" t="s">
        <v>24</v>
      </c>
      <c r="D5" s="230"/>
      <c r="E5" s="225"/>
      <c r="F5" s="230"/>
      <c r="G5" s="230"/>
      <c r="H5" s="230"/>
      <c r="I5" s="230"/>
      <c r="J5" s="225"/>
      <c r="K5" s="230"/>
      <c r="L5" s="230"/>
      <c r="M5" s="230"/>
      <c r="N5" s="231"/>
      <c r="O5" s="230"/>
      <c r="P5" s="230"/>
      <c r="Q5" s="230"/>
      <c r="R5" s="226"/>
      <c r="S5" s="225"/>
      <c r="T5" s="230"/>
      <c r="U5" s="230"/>
      <c r="V5" s="225"/>
      <c r="W5" s="225"/>
      <c r="X5" s="225"/>
      <c r="Y5" s="230"/>
      <c r="Z5" s="230"/>
      <c r="AA5" s="230"/>
      <c r="AB5" s="230"/>
      <c r="AC5" s="225"/>
      <c r="AD5" s="226"/>
      <c r="AE5" s="226"/>
      <c r="AF5" s="230"/>
      <c r="AG5" s="225"/>
      <c r="AH5" s="230"/>
      <c r="AI5" s="113">
        <f t="shared" si="1"/>
        <v>0</v>
      </c>
      <c r="AJ5" s="58">
        <f>SUM(AI5:AI7)</f>
        <v>0</v>
      </c>
      <c r="AK5" s="122">
        <v>1000</v>
      </c>
    </row>
    <row r="6" spans="1:37" ht="10.5">
      <c r="A6" s="115"/>
      <c r="B6" s="121"/>
      <c r="C6" s="14" t="s">
        <v>76</v>
      </c>
      <c r="D6" s="230"/>
      <c r="E6" s="225"/>
      <c r="F6" s="230"/>
      <c r="G6" s="230"/>
      <c r="H6" s="230"/>
      <c r="I6" s="230"/>
      <c r="J6" s="225"/>
      <c r="K6" s="230"/>
      <c r="L6" s="230"/>
      <c r="M6" s="230"/>
      <c r="N6" s="231"/>
      <c r="O6" s="230"/>
      <c r="P6" s="230"/>
      <c r="Q6" s="230"/>
      <c r="R6" s="226"/>
      <c r="S6" s="225"/>
      <c r="T6" s="230"/>
      <c r="U6" s="230"/>
      <c r="V6" s="225"/>
      <c r="W6" s="225"/>
      <c r="X6" s="225"/>
      <c r="Y6" s="230"/>
      <c r="Z6" s="230"/>
      <c r="AA6" s="230"/>
      <c r="AB6" s="230"/>
      <c r="AC6" s="225"/>
      <c r="AD6" s="226"/>
      <c r="AE6" s="226"/>
      <c r="AF6" s="230"/>
      <c r="AG6" s="225"/>
      <c r="AH6" s="230"/>
      <c r="AI6" s="113">
        <f t="shared" si="1"/>
        <v>0</v>
      </c>
      <c r="AJ6" s="122"/>
      <c r="AK6" s="122"/>
    </row>
    <row r="7" spans="1:37" ht="10.5">
      <c r="A7" s="115"/>
      <c r="B7" s="121"/>
      <c r="C7" s="14" t="s">
        <v>77</v>
      </c>
      <c r="D7" s="230"/>
      <c r="E7" s="225"/>
      <c r="F7" s="230"/>
      <c r="G7" s="230"/>
      <c r="H7" s="230"/>
      <c r="I7" s="230"/>
      <c r="J7" s="225"/>
      <c r="K7" s="230"/>
      <c r="L7" s="230"/>
      <c r="M7" s="230"/>
      <c r="N7" s="231"/>
      <c r="O7" s="230"/>
      <c r="P7" s="230"/>
      <c r="Q7" s="230"/>
      <c r="R7" s="226"/>
      <c r="S7" s="225"/>
      <c r="T7" s="230"/>
      <c r="U7" s="230"/>
      <c r="V7" s="225"/>
      <c r="W7" s="225"/>
      <c r="X7" s="225"/>
      <c r="Y7" s="230"/>
      <c r="Z7" s="230"/>
      <c r="AA7" s="230"/>
      <c r="AB7" s="230"/>
      <c r="AC7" s="225"/>
      <c r="AD7" s="226"/>
      <c r="AE7" s="226"/>
      <c r="AF7" s="230"/>
      <c r="AG7" s="225"/>
      <c r="AH7" s="230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230"/>
      <c r="E8" s="230"/>
      <c r="F8" s="230"/>
      <c r="G8" s="230"/>
      <c r="H8" s="112"/>
      <c r="I8" s="226"/>
      <c r="J8" s="226"/>
      <c r="K8" s="226"/>
      <c r="L8" s="226"/>
      <c r="M8" s="9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26"/>
      <c r="AE8" s="226"/>
      <c r="AF8" s="230"/>
      <c r="AG8" s="230"/>
      <c r="AH8" s="230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26"/>
      <c r="AE9" s="226"/>
      <c r="AF9" s="230"/>
      <c r="AG9" s="230"/>
      <c r="AH9" s="230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30"/>
      <c r="E10" s="9"/>
      <c r="F10" s="225"/>
      <c r="G10" s="225"/>
      <c r="H10" s="230"/>
      <c r="I10" s="225"/>
      <c r="J10" s="231"/>
      <c r="K10" s="230"/>
      <c r="L10" s="230"/>
      <c r="M10" s="230"/>
      <c r="N10" s="230"/>
      <c r="O10" s="230"/>
      <c r="P10" s="230"/>
      <c r="Q10" s="230"/>
      <c r="R10" s="230"/>
      <c r="S10" s="230"/>
      <c r="T10" s="225"/>
      <c r="U10" s="230"/>
      <c r="V10" s="230"/>
      <c r="W10" s="230"/>
      <c r="X10" s="230"/>
      <c r="Y10" s="230"/>
      <c r="Z10" s="230"/>
      <c r="AA10" s="230"/>
      <c r="AB10" s="230"/>
      <c r="AC10" s="230"/>
      <c r="AD10" s="226"/>
      <c r="AE10" s="226"/>
      <c r="AF10" s="230"/>
      <c r="AG10" s="230"/>
      <c r="AH10" s="230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26"/>
      <c r="AE11" s="226"/>
      <c r="AF11" s="230"/>
      <c r="AG11" s="230"/>
      <c r="AH11" s="230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30"/>
      <c r="E12" s="230"/>
      <c r="F12" s="230"/>
      <c r="G12" s="230"/>
      <c r="H12" s="230"/>
      <c r="I12" s="230"/>
      <c r="J12" s="225"/>
      <c r="K12" s="224"/>
      <c r="L12" s="230"/>
      <c r="M12" s="230"/>
      <c r="N12" s="230"/>
      <c r="O12" s="230"/>
      <c r="P12" s="230"/>
      <c r="Q12" s="230"/>
      <c r="R12" s="230"/>
      <c r="S12" s="230"/>
      <c r="T12" s="230"/>
      <c r="U12" s="230"/>
      <c r="V12" s="230"/>
      <c r="W12" s="225"/>
      <c r="X12" s="230"/>
      <c r="Y12" s="225"/>
      <c r="Z12" s="225"/>
      <c r="AA12" s="230"/>
      <c r="AB12" s="225"/>
      <c r="AC12" s="230"/>
      <c r="AD12" s="226"/>
      <c r="AE12" s="226"/>
      <c r="AF12" s="230"/>
      <c r="AG12" s="226"/>
      <c r="AH12" s="230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  <c r="R13" s="230"/>
      <c r="S13" s="230"/>
      <c r="T13" s="230"/>
      <c r="U13" s="230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30"/>
      <c r="E14" s="230"/>
      <c r="F14" s="230"/>
      <c r="G14" s="230"/>
      <c r="H14" s="230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0"/>
      <c r="X14" s="230"/>
      <c r="Y14" s="230"/>
      <c r="Z14" s="230"/>
      <c r="AA14" s="230"/>
      <c r="AB14" s="230"/>
      <c r="AC14" s="230"/>
      <c r="AD14" s="230"/>
      <c r="AE14" s="230"/>
      <c r="AF14" s="230"/>
      <c r="AG14" s="230"/>
      <c r="AH14" s="230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30"/>
      <c r="E15" s="230"/>
      <c r="F15" s="230"/>
      <c r="G15" s="230"/>
      <c r="H15" s="224"/>
      <c r="I15" s="230"/>
      <c r="J15" s="230"/>
      <c r="K15" s="230"/>
      <c r="L15" s="230"/>
      <c r="M15" s="230"/>
      <c r="N15" s="230"/>
      <c r="O15" s="230"/>
      <c r="P15" s="230"/>
      <c r="Q15" s="230"/>
      <c r="R15" s="230"/>
      <c r="S15" s="230"/>
      <c r="T15" s="230"/>
      <c r="U15" s="230"/>
      <c r="V15" s="230"/>
      <c r="W15" s="230"/>
      <c r="X15" s="230"/>
      <c r="Y15" s="230"/>
      <c r="Z15" s="230"/>
      <c r="AA15" s="113"/>
      <c r="AB15" s="230"/>
      <c r="AC15" s="230"/>
      <c r="AD15" s="230"/>
      <c r="AE15" s="230"/>
      <c r="AF15" s="230"/>
      <c r="AG15" s="230"/>
      <c r="AH15" s="230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30"/>
      <c r="E16" s="230"/>
      <c r="F16" s="231"/>
      <c r="G16" s="230"/>
      <c r="H16" s="230"/>
      <c r="I16" s="230"/>
      <c r="J16" s="231"/>
      <c r="K16" s="230"/>
      <c r="L16" s="230"/>
      <c r="M16" s="230"/>
      <c r="N16" s="230"/>
      <c r="O16" s="230"/>
      <c r="P16" s="230"/>
      <c r="Q16" s="230"/>
      <c r="R16" s="230"/>
      <c r="S16" s="230"/>
      <c r="T16" s="230"/>
      <c r="U16" s="230"/>
      <c r="V16" s="230"/>
      <c r="W16" s="230"/>
      <c r="X16" s="230"/>
      <c r="Y16" s="230"/>
      <c r="Z16" s="230"/>
      <c r="AA16" s="226"/>
      <c r="AB16" s="226"/>
      <c r="AC16" s="226"/>
      <c r="AD16" s="226"/>
      <c r="AE16" s="226"/>
      <c r="AF16" s="230"/>
      <c r="AG16" s="230"/>
      <c r="AH16" s="230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30"/>
      <c r="E17" s="230"/>
      <c r="F17" s="231"/>
      <c r="G17" s="230"/>
      <c r="H17" s="231"/>
      <c r="I17" s="230"/>
      <c r="J17" s="231"/>
      <c r="K17" s="230"/>
      <c r="L17" s="230"/>
      <c r="M17" s="230"/>
      <c r="N17" s="231"/>
      <c r="O17" s="231"/>
      <c r="P17" s="231"/>
      <c r="Q17" s="230"/>
      <c r="R17" s="230"/>
      <c r="S17" s="230"/>
      <c r="T17" s="231"/>
      <c r="U17" s="230"/>
      <c r="V17" s="230"/>
      <c r="W17" s="231"/>
      <c r="X17" s="230"/>
      <c r="Y17" s="230"/>
      <c r="Z17" s="230"/>
      <c r="AA17" s="226"/>
      <c r="AB17" s="226"/>
      <c r="AC17" s="226"/>
      <c r="AD17" s="226"/>
      <c r="AE17" s="226"/>
      <c r="AF17" s="230"/>
      <c r="AG17" s="226"/>
      <c r="AH17" s="230"/>
      <c r="AI17" s="113">
        <f t="shared" si="1"/>
        <v>0</v>
      </c>
      <c r="AJ17" s="132"/>
      <c r="AK17" s="132"/>
    </row>
    <row r="18" spans="1:37" s="5" customFormat="1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15"/>
      <c r="B19" s="131"/>
      <c r="C19" s="133" t="s">
        <v>37</v>
      </c>
      <c r="D19" s="230"/>
      <c r="E19" s="230"/>
      <c r="F19" s="231"/>
      <c r="G19" s="231"/>
      <c r="H19" s="231"/>
      <c r="I19" s="231"/>
      <c r="J19" s="231"/>
      <c r="K19" s="226"/>
      <c r="L19" s="230"/>
      <c r="M19" s="231"/>
      <c r="N19" s="230"/>
      <c r="O19" s="230"/>
      <c r="P19" s="230"/>
      <c r="Q19" s="230"/>
      <c r="R19" s="230"/>
      <c r="S19" s="230"/>
      <c r="T19" s="230"/>
      <c r="U19" s="230"/>
      <c r="V19" s="231"/>
      <c r="W19" s="231"/>
      <c r="X19" s="231"/>
      <c r="Y19" s="230"/>
      <c r="Z19" s="230"/>
      <c r="AA19" s="226"/>
      <c r="AB19" s="226"/>
      <c r="AC19" s="226"/>
      <c r="AD19" s="226"/>
      <c r="AE19" s="226"/>
      <c r="AF19" s="230"/>
      <c r="AG19" s="226"/>
      <c r="AH19" s="226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30"/>
      <c r="E20" s="230"/>
      <c r="F20" s="231"/>
      <c r="G20" s="231"/>
      <c r="H20" s="230"/>
      <c r="I20" s="230"/>
      <c r="J20" s="231"/>
      <c r="K20" s="226"/>
      <c r="L20" s="230"/>
      <c r="M20" s="230"/>
      <c r="N20" s="230"/>
      <c r="O20" s="231"/>
      <c r="P20" s="230"/>
      <c r="Q20" s="230"/>
      <c r="R20" s="230"/>
      <c r="S20" s="231"/>
      <c r="T20" s="230"/>
      <c r="U20" s="231"/>
      <c r="V20" s="231"/>
      <c r="W20" s="230"/>
      <c r="X20" s="230"/>
      <c r="Y20" s="230"/>
      <c r="Z20" s="230"/>
      <c r="AA20" s="235"/>
      <c r="AB20" s="226"/>
      <c r="AC20" s="226"/>
      <c r="AD20" s="226"/>
      <c r="AE20" s="226"/>
      <c r="AF20" s="230"/>
      <c r="AG20" s="230"/>
      <c r="AH20" s="230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30"/>
      <c r="E21" s="230"/>
      <c r="F21" s="230"/>
      <c r="G21" s="231"/>
      <c r="H21" s="230"/>
      <c r="I21" s="230"/>
      <c r="J21" s="230"/>
      <c r="K21" s="226"/>
      <c r="L21" s="230"/>
      <c r="M21" s="230"/>
      <c r="N21" s="230"/>
      <c r="O21" s="230"/>
      <c r="P21" s="230"/>
      <c r="Q21" s="230"/>
      <c r="R21" s="230"/>
      <c r="S21" s="230"/>
      <c r="T21" s="230"/>
      <c r="U21" s="230"/>
      <c r="V21" s="230"/>
      <c r="W21" s="230"/>
      <c r="X21" s="230"/>
      <c r="Y21" s="230"/>
      <c r="Z21" s="230"/>
      <c r="AA21" s="230"/>
      <c r="AB21" s="230"/>
      <c r="AC21" s="230"/>
      <c r="AD21" s="230"/>
      <c r="AE21" s="230"/>
      <c r="AF21" s="230"/>
      <c r="AG21" s="230"/>
      <c r="AH21" s="230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230"/>
      <c r="F22" s="230"/>
      <c r="G22" s="224"/>
      <c r="H22" s="230"/>
      <c r="I22" s="230"/>
      <c r="J22" s="230"/>
      <c r="K22" s="226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0"/>
      <c r="X22" s="230"/>
      <c r="Y22" s="230"/>
      <c r="Z22" s="230"/>
      <c r="AA22" s="230"/>
      <c r="AB22" s="230"/>
      <c r="AC22" s="230"/>
      <c r="AD22" s="230"/>
      <c r="AE22" s="230"/>
      <c r="AF22" s="230"/>
      <c r="AG22" s="230"/>
      <c r="AH22" s="230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230"/>
      <c r="F23" s="230"/>
      <c r="G23" s="230"/>
      <c r="H23" s="230"/>
      <c r="I23" s="230"/>
      <c r="J23" s="224"/>
      <c r="K23" s="226"/>
      <c r="L23" s="230"/>
      <c r="M23" s="230"/>
      <c r="N23" s="230"/>
      <c r="O23" s="230"/>
      <c r="P23" s="230"/>
      <c r="Q23" s="230"/>
      <c r="R23" s="230"/>
      <c r="S23" s="230"/>
      <c r="T23" s="230"/>
      <c r="U23" s="230"/>
      <c r="V23" s="230"/>
      <c r="W23" s="230"/>
      <c r="X23" s="230"/>
      <c r="Y23" s="230"/>
      <c r="Z23" s="230"/>
      <c r="AA23" s="230"/>
      <c r="AB23" s="230"/>
      <c r="AC23" s="230"/>
      <c r="AD23" s="230"/>
      <c r="AE23" s="230"/>
      <c r="AF23" s="230"/>
      <c r="AG23" s="230"/>
      <c r="AH23" s="230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230"/>
      <c r="F24" s="230"/>
      <c r="G24" s="230"/>
      <c r="H24" s="230"/>
      <c r="I24" s="230"/>
      <c r="J24" s="224"/>
      <c r="K24" s="226"/>
      <c r="L24" s="230"/>
      <c r="M24" s="230"/>
      <c r="N24" s="230"/>
      <c r="O24" s="230"/>
      <c r="P24" s="230"/>
      <c r="Q24" s="230"/>
      <c r="R24" s="230"/>
      <c r="S24" s="230"/>
      <c r="T24" s="230"/>
      <c r="U24" s="230"/>
      <c r="V24" s="230"/>
      <c r="W24" s="230"/>
      <c r="X24" s="230"/>
      <c r="Y24" s="230"/>
      <c r="Z24" s="230"/>
      <c r="AA24" s="230"/>
      <c r="AB24" s="230"/>
      <c r="AC24" s="230"/>
      <c r="AD24" s="230"/>
      <c r="AE24" s="230"/>
      <c r="AF24" s="230"/>
      <c r="AG24" s="230"/>
      <c r="AH24" s="230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230"/>
      <c r="F25" s="230"/>
      <c r="G25" s="230"/>
      <c r="H25" s="230"/>
      <c r="I25" s="230"/>
      <c r="J25" s="230"/>
      <c r="K25" s="226"/>
      <c r="L25" s="230"/>
      <c r="M25" s="230"/>
      <c r="N25" s="230"/>
      <c r="O25" s="230"/>
      <c r="P25" s="230"/>
      <c r="Q25" s="230"/>
      <c r="R25" s="230"/>
      <c r="S25" s="230"/>
      <c r="T25" s="225"/>
      <c r="U25" s="230"/>
      <c r="V25" s="230"/>
      <c r="W25" s="230"/>
      <c r="X25" s="230"/>
      <c r="Y25" s="230"/>
      <c r="Z25" s="230"/>
      <c r="AA25" s="230"/>
      <c r="AB25" s="230"/>
      <c r="AC25" s="230"/>
      <c r="AD25" s="230"/>
      <c r="AE25" s="230"/>
      <c r="AF25" s="230"/>
      <c r="AG25" s="226"/>
      <c r="AH25" s="230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230"/>
      <c r="F26" s="230"/>
      <c r="G26" s="230"/>
      <c r="H26" s="225"/>
      <c r="I26" s="230"/>
      <c r="J26" s="230"/>
      <c r="K26" s="226"/>
      <c r="L26" s="230"/>
      <c r="M26" s="230"/>
      <c r="N26" s="230"/>
      <c r="O26" s="230"/>
      <c r="P26" s="231"/>
      <c r="Q26" s="230"/>
      <c r="R26" s="230"/>
      <c r="S26" s="230"/>
      <c r="T26" s="230"/>
      <c r="U26" s="230"/>
      <c r="V26" s="230"/>
      <c r="W26" s="230"/>
      <c r="X26" s="225"/>
      <c r="Y26" s="230"/>
      <c r="Z26" s="230"/>
      <c r="AA26" s="230"/>
      <c r="AB26" s="230"/>
      <c r="AC26" s="230"/>
      <c r="AD26" s="230"/>
      <c r="AE26" s="225"/>
      <c r="AF26" s="230"/>
      <c r="AG26" s="230"/>
      <c r="AH26" s="230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230"/>
      <c r="F27" s="230"/>
      <c r="G27" s="230"/>
      <c r="H27" s="230"/>
      <c r="I27" s="230"/>
      <c r="J27" s="230"/>
      <c r="K27" s="226"/>
      <c r="L27" s="230"/>
      <c r="M27" s="230"/>
      <c r="N27" s="231"/>
      <c r="O27" s="230"/>
      <c r="P27" s="230"/>
      <c r="Q27" s="230"/>
      <c r="R27" s="230"/>
      <c r="S27" s="230"/>
      <c r="T27" s="230"/>
      <c r="U27" s="230"/>
      <c r="V27" s="230"/>
      <c r="W27" s="230"/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230"/>
      <c r="F28" s="230"/>
      <c r="G28" s="230"/>
      <c r="H28" s="230"/>
      <c r="I28" s="230"/>
      <c r="J28" s="231"/>
      <c r="K28" s="226"/>
      <c r="L28" s="230"/>
      <c r="M28" s="230"/>
      <c r="N28" s="230"/>
      <c r="O28" s="230"/>
      <c r="P28" s="230"/>
      <c r="Q28" s="230"/>
      <c r="R28" s="230"/>
      <c r="S28" s="230"/>
      <c r="T28" s="226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8" t="s">
        <v>53</v>
      </c>
      <c r="D29" s="112"/>
      <c r="E29" s="230"/>
      <c r="F29" s="230"/>
      <c r="G29" s="231"/>
      <c r="H29" s="230"/>
      <c r="I29" s="230"/>
      <c r="J29" s="230"/>
      <c r="K29" s="112"/>
      <c r="L29" s="230"/>
      <c r="M29" s="230"/>
      <c r="N29" s="230"/>
      <c r="O29" s="230"/>
      <c r="P29" s="230"/>
      <c r="Q29" s="230"/>
      <c r="R29" s="113"/>
      <c r="S29" s="230"/>
      <c r="T29" s="230"/>
      <c r="U29" s="230"/>
      <c r="V29" s="230"/>
      <c r="W29" s="230"/>
      <c r="X29" s="230"/>
      <c r="Y29" s="230"/>
      <c r="Z29" s="230"/>
      <c r="AA29" s="230"/>
      <c r="AB29" s="230"/>
      <c r="AC29" s="230"/>
      <c r="AD29" s="230"/>
      <c r="AE29" s="226"/>
      <c r="AF29" s="230"/>
      <c r="AG29" s="230"/>
      <c r="AH29" s="230"/>
      <c r="AI29" s="113">
        <f t="shared" si="1"/>
        <v>0</v>
      </c>
      <c r="AJ29" s="647">
        <f>SUM(AI29:AI31)</f>
        <v>0</v>
      </c>
      <c r="AK29" s="650">
        <v>20000</v>
      </c>
    </row>
    <row r="30" spans="1:37">
      <c r="A30" s="115"/>
      <c r="B30" s="657"/>
      <c r="C30" s="218" t="s">
        <v>74</v>
      </c>
      <c r="D30" s="112"/>
      <c r="E30" s="230"/>
      <c r="F30" s="230"/>
      <c r="G30" s="231"/>
      <c r="H30" s="230"/>
      <c r="I30" s="230"/>
      <c r="J30" s="230"/>
      <c r="K30" s="230"/>
      <c r="L30" s="230"/>
      <c r="M30" s="230"/>
      <c r="N30" s="230"/>
      <c r="O30" s="230"/>
      <c r="P30" s="230"/>
      <c r="Q30" s="230"/>
      <c r="R30" s="230"/>
      <c r="S30" s="230"/>
      <c r="T30" s="230"/>
      <c r="U30" s="230"/>
      <c r="V30" s="230"/>
      <c r="W30" s="230"/>
      <c r="X30" s="230"/>
      <c r="Y30" s="230"/>
      <c r="Z30" s="230"/>
      <c r="AA30" s="230"/>
      <c r="AB30" s="230"/>
      <c r="AC30" s="230"/>
      <c r="AD30" s="230"/>
      <c r="AE30" s="226"/>
      <c r="AF30" s="230"/>
      <c r="AG30" s="230"/>
      <c r="AH30" s="230"/>
      <c r="AI30" s="113">
        <f t="shared" si="1"/>
        <v>0</v>
      </c>
      <c r="AJ30" s="648"/>
      <c r="AK30" s="651"/>
    </row>
    <row r="31" spans="1:37" ht="10.5">
      <c r="A31" s="115"/>
      <c r="B31" s="658"/>
      <c r="C31" s="18" t="s">
        <v>75</v>
      </c>
      <c r="D31" s="112"/>
      <c r="E31" s="230"/>
      <c r="F31" s="230"/>
      <c r="G31" s="231"/>
      <c r="H31" s="230"/>
      <c r="I31" s="230"/>
      <c r="J31" s="230"/>
      <c r="K31" s="230"/>
      <c r="L31" s="230"/>
      <c r="M31" s="230"/>
      <c r="N31" s="230"/>
      <c r="O31" s="230"/>
      <c r="P31" s="230"/>
      <c r="Q31" s="230"/>
      <c r="R31" s="230"/>
      <c r="S31" s="230"/>
      <c r="T31" s="230"/>
      <c r="U31" s="230"/>
      <c r="V31" s="230"/>
      <c r="W31" s="230"/>
      <c r="X31" s="230"/>
      <c r="Y31" s="230"/>
      <c r="Z31" s="230"/>
      <c r="AA31" s="230"/>
      <c r="AB31" s="230"/>
      <c r="AC31" s="230"/>
      <c r="AD31" s="230"/>
      <c r="AE31" s="226"/>
      <c r="AF31" s="230"/>
      <c r="AG31" s="230"/>
      <c r="AH31" s="230"/>
      <c r="AI31" s="113">
        <f t="shared" si="1"/>
        <v>0</v>
      </c>
      <c r="AJ31" s="649"/>
      <c r="AK31" s="652"/>
    </row>
    <row r="32" spans="1:37" ht="10.5">
      <c r="A32" s="115"/>
      <c r="B32" s="101" t="s">
        <v>54</v>
      </c>
      <c r="C32" s="111" t="s">
        <v>55</v>
      </c>
      <c r="D32" s="112"/>
      <c r="E32" s="230"/>
      <c r="F32" s="230"/>
      <c r="G32" s="230"/>
      <c r="H32" s="230"/>
      <c r="I32" s="230"/>
      <c r="J32" s="230"/>
      <c r="K32" s="230"/>
      <c r="L32" s="230"/>
      <c r="M32" s="230"/>
      <c r="N32" s="230"/>
      <c r="O32" s="230"/>
      <c r="P32" s="231"/>
      <c r="Q32" s="230"/>
      <c r="R32" s="230"/>
      <c r="S32" s="230"/>
      <c r="T32" s="230"/>
      <c r="U32" s="230"/>
      <c r="V32" s="230"/>
      <c r="W32" s="230"/>
      <c r="X32" s="230"/>
      <c r="Y32" s="230"/>
      <c r="Z32" s="225"/>
      <c r="AA32" s="230"/>
      <c r="AB32" s="230"/>
      <c r="AC32" s="230"/>
      <c r="AD32" s="230"/>
      <c r="AE32" s="226"/>
      <c r="AF32" s="230"/>
      <c r="AG32" s="230"/>
      <c r="AH32" s="230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230"/>
      <c r="F33" s="230"/>
      <c r="G33" s="230"/>
      <c r="H33" s="230"/>
      <c r="I33" s="230"/>
      <c r="J33" s="230"/>
      <c r="K33" s="230"/>
      <c r="L33" s="230"/>
      <c r="M33" s="230"/>
      <c r="N33" s="230"/>
      <c r="O33" s="230"/>
      <c r="P33" s="230"/>
      <c r="Q33" s="230"/>
      <c r="R33" s="230"/>
      <c r="S33" s="230"/>
      <c r="T33" s="230"/>
      <c r="U33" s="230"/>
      <c r="V33" s="232"/>
      <c r="W33" s="231"/>
      <c r="X33" s="230"/>
      <c r="Y33" s="230"/>
      <c r="Z33" s="230"/>
      <c r="AA33" s="230"/>
      <c r="AB33" s="230"/>
      <c r="AC33" s="230"/>
      <c r="AD33" s="230"/>
      <c r="AE33" s="226"/>
      <c r="AF33" s="230"/>
      <c r="AG33" s="230"/>
      <c r="AH33" s="230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31"/>
      <c r="E34" s="230"/>
      <c r="F34" s="230"/>
      <c r="G34" s="230"/>
      <c r="H34" s="230"/>
      <c r="I34" s="230"/>
      <c r="J34" s="230"/>
      <c r="K34" s="231"/>
      <c r="L34" s="231"/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1"/>
      <c r="X34" s="230"/>
      <c r="Y34" s="230"/>
      <c r="Z34" s="230"/>
      <c r="AA34" s="230"/>
      <c r="AB34" s="230"/>
      <c r="AC34" s="230"/>
      <c r="AD34" s="230"/>
      <c r="AE34" s="226"/>
      <c r="AF34" s="231"/>
      <c r="AG34" s="226"/>
      <c r="AH34" s="225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30"/>
      <c r="E35" s="230"/>
      <c r="F35" s="230"/>
      <c r="G35" s="230"/>
      <c r="H35" s="230"/>
      <c r="I35" s="230"/>
      <c r="J35" s="230"/>
      <c r="K35" s="230"/>
      <c r="L35" s="230"/>
      <c r="M35" s="230"/>
      <c r="N35" s="231"/>
      <c r="O35" s="230"/>
      <c r="P35" s="230"/>
      <c r="Q35" s="230"/>
      <c r="R35" s="230"/>
      <c r="S35" s="230"/>
      <c r="T35" s="230"/>
      <c r="U35" s="230"/>
      <c r="V35" s="230"/>
      <c r="W35" s="230"/>
      <c r="X35" s="230"/>
      <c r="Y35" s="230"/>
      <c r="Z35" s="230"/>
      <c r="AA35" s="230"/>
      <c r="AB35" s="230"/>
      <c r="AC35" s="230"/>
      <c r="AD35" s="230"/>
      <c r="AE35" s="226"/>
      <c r="AF35" s="230"/>
      <c r="AG35" s="230"/>
      <c r="AH35" s="230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230"/>
      <c r="E36" s="230"/>
      <c r="F36" s="230"/>
      <c r="G36" s="230"/>
      <c r="H36" s="230"/>
      <c r="I36" s="230"/>
      <c r="J36" s="230"/>
      <c r="K36" s="230"/>
      <c r="L36" s="230"/>
      <c r="M36" s="230"/>
      <c r="N36" s="231"/>
      <c r="O36" s="230"/>
      <c r="P36" s="230"/>
      <c r="Q36" s="230"/>
      <c r="R36" s="230"/>
      <c r="S36" s="113"/>
      <c r="T36" s="230"/>
      <c r="U36" s="230"/>
      <c r="V36" s="230"/>
      <c r="W36" s="230"/>
      <c r="X36" s="230"/>
      <c r="Y36" s="230"/>
      <c r="Z36" s="230"/>
      <c r="AA36" s="230"/>
      <c r="AB36" s="230"/>
      <c r="AC36" s="230"/>
      <c r="AD36" s="230"/>
      <c r="AE36" s="226"/>
      <c r="AF36" s="113"/>
      <c r="AG36" s="230"/>
      <c r="AH36" s="230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2">
        <f t="shared" ref="D37:AH37" si="3">SUM(D2:D36)</f>
        <v>0</v>
      </c>
      <c r="E37" s="112">
        <f t="shared" si="3"/>
        <v>0</v>
      </c>
      <c r="F37" s="113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 t="shared" si="3"/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 t="shared" si="3"/>
        <v>0</v>
      </c>
      <c r="AG37" s="112">
        <f>SUM(AG2:AG36)</f>
        <v>0</v>
      </c>
      <c r="AH37" s="15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>
      <c r="B38" s="155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3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K41" s="113"/>
      <c r="L41" s="113"/>
      <c r="M41" s="113"/>
      <c r="N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 t="shared" ref="D45:AH45" si="5">SUM(D39:D44)</f>
        <v>0</v>
      </c>
      <c r="E45" s="112">
        <f t="shared" si="5"/>
        <v>0</v>
      </c>
      <c r="F45" s="113">
        <f t="shared" si="5"/>
        <v>0</v>
      </c>
      <c r="G45" s="112">
        <f t="shared" si="5"/>
        <v>0</v>
      </c>
      <c r="H45" s="112">
        <f t="shared" si="5"/>
        <v>0</v>
      </c>
      <c r="I45" s="112">
        <f t="shared" si="5"/>
        <v>0</v>
      </c>
      <c r="J45" s="112">
        <f t="shared" si="5"/>
        <v>0</v>
      </c>
      <c r="K45" s="112">
        <f t="shared" si="5"/>
        <v>0</v>
      </c>
      <c r="L45" s="112">
        <f t="shared" si="5"/>
        <v>0</v>
      </c>
      <c r="M45" s="112">
        <f t="shared" si="5"/>
        <v>0</v>
      </c>
      <c r="N45" s="112">
        <f t="shared" si="5"/>
        <v>0</v>
      </c>
      <c r="O45" s="112">
        <f t="shared" si="5"/>
        <v>0</v>
      </c>
      <c r="P45" s="112">
        <f t="shared" si="5"/>
        <v>0</v>
      </c>
      <c r="Q45" s="112">
        <f t="shared" si="5"/>
        <v>0</v>
      </c>
      <c r="R45" s="112">
        <f t="shared" si="5"/>
        <v>0</v>
      </c>
      <c r="S45" s="112">
        <f t="shared" si="5"/>
        <v>0</v>
      </c>
      <c r="T45" s="112">
        <f t="shared" si="5"/>
        <v>0</v>
      </c>
      <c r="U45" s="112">
        <f t="shared" si="5"/>
        <v>0</v>
      </c>
      <c r="V45" s="112">
        <f t="shared" si="5"/>
        <v>0</v>
      </c>
      <c r="W45" s="112">
        <f t="shared" si="5"/>
        <v>0</v>
      </c>
      <c r="X45" s="112">
        <f t="shared" si="5"/>
        <v>0</v>
      </c>
      <c r="Y45" s="112">
        <f t="shared" si="5"/>
        <v>0</v>
      </c>
      <c r="Z45" s="112">
        <f t="shared" si="5"/>
        <v>0</v>
      </c>
      <c r="AA45" s="112">
        <f t="shared" si="5"/>
        <v>0</v>
      </c>
      <c r="AB45" s="112">
        <f t="shared" si="5"/>
        <v>0</v>
      </c>
      <c r="AC45" s="112">
        <f t="shared" si="5"/>
        <v>0</v>
      </c>
      <c r="AD45" s="112">
        <f t="shared" si="5"/>
        <v>0</v>
      </c>
      <c r="AE45" s="112">
        <f t="shared" si="5"/>
        <v>0</v>
      </c>
      <c r="AF45" s="112">
        <f t="shared" si="5"/>
        <v>0</v>
      </c>
      <c r="AG45" s="112">
        <f t="shared" si="5"/>
        <v>0</v>
      </c>
      <c r="AH45" s="112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6" spans="1:37">
      <c r="F46" s="113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2"/>
  <sheetViews>
    <sheetView workbookViewId="0">
      <pane ySplit="1" topLeftCell="A86" activePane="bottomLeft" state="frozen"/>
      <selection pane="bottomLeft" activeCell="F103" sqref="F103"/>
    </sheetView>
  </sheetViews>
  <sheetFormatPr defaultRowHeight="16.149999999999999"/>
  <cols>
    <col min="1" max="1" width="11.265625" style="476" bestFit="1" customWidth="1"/>
    <col min="2" max="2" width="13.59765625" style="590" bestFit="1" customWidth="1"/>
    <col min="3" max="3" width="12.3984375" style="590" customWidth="1"/>
    <col min="4" max="4" width="10.59765625" style="590" bestFit="1" customWidth="1"/>
    <col min="5" max="5" width="12.73046875" style="591" bestFit="1" customWidth="1"/>
    <col min="6" max="6" width="43.1328125" bestFit="1" customWidth="1"/>
    <col min="10" max="10" width="19.59765625" customWidth="1"/>
    <col min="12" max="12" width="61.1328125" customWidth="1"/>
    <col min="257" max="257" width="11.265625" bestFit="1" customWidth="1"/>
    <col min="258" max="258" width="13.59765625" bestFit="1" customWidth="1"/>
    <col min="259" max="259" width="12.3984375" customWidth="1"/>
    <col min="260" max="260" width="10.59765625" bestFit="1" customWidth="1"/>
    <col min="261" max="261" width="12.73046875" bestFit="1" customWidth="1"/>
    <col min="262" max="262" width="43.1328125" bestFit="1" customWidth="1"/>
    <col min="266" max="266" width="19.59765625" customWidth="1"/>
    <col min="268" max="268" width="61.1328125" customWidth="1"/>
    <col min="513" max="513" width="11.265625" bestFit="1" customWidth="1"/>
    <col min="514" max="514" width="13.59765625" bestFit="1" customWidth="1"/>
    <col min="515" max="515" width="12.3984375" customWidth="1"/>
    <col min="516" max="516" width="10.59765625" bestFit="1" customWidth="1"/>
    <col min="517" max="517" width="12.73046875" bestFit="1" customWidth="1"/>
    <col min="518" max="518" width="43.1328125" bestFit="1" customWidth="1"/>
    <col min="522" max="522" width="19.59765625" customWidth="1"/>
    <col min="524" max="524" width="61.1328125" customWidth="1"/>
    <col min="769" max="769" width="11.265625" bestFit="1" customWidth="1"/>
    <col min="770" max="770" width="13.59765625" bestFit="1" customWidth="1"/>
    <col min="771" max="771" width="12.3984375" customWidth="1"/>
    <col min="772" max="772" width="10.59765625" bestFit="1" customWidth="1"/>
    <col min="773" max="773" width="12.73046875" bestFit="1" customWidth="1"/>
    <col min="774" max="774" width="43.1328125" bestFit="1" customWidth="1"/>
    <col min="778" max="778" width="19.59765625" customWidth="1"/>
    <col min="780" max="780" width="61.1328125" customWidth="1"/>
    <col min="1025" max="1025" width="11.265625" bestFit="1" customWidth="1"/>
    <col min="1026" max="1026" width="13.59765625" bestFit="1" customWidth="1"/>
    <col min="1027" max="1027" width="12.3984375" customWidth="1"/>
    <col min="1028" max="1028" width="10.59765625" bestFit="1" customWidth="1"/>
    <col min="1029" max="1029" width="12.73046875" bestFit="1" customWidth="1"/>
    <col min="1030" max="1030" width="43.1328125" bestFit="1" customWidth="1"/>
    <col min="1034" max="1034" width="19.59765625" customWidth="1"/>
    <col min="1036" max="1036" width="61.1328125" customWidth="1"/>
    <col min="1281" max="1281" width="11.265625" bestFit="1" customWidth="1"/>
    <col min="1282" max="1282" width="13.59765625" bestFit="1" customWidth="1"/>
    <col min="1283" max="1283" width="12.3984375" customWidth="1"/>
    <col min="1284" max="1284" width="10.59765625" bestFit="1" customWidth="1"/>
    <col min="1285" max="1285" width="12.73046875" bestFit="1" customWidth="1"/>
    <col min="1286" max="1286" width="43.1328125" bestFit="1" customWidth="1"/>
    <col min="1290" max="1290" width="19.59765625" customWidth="1"/>
    <col min="1292" max="1292" width="61.1328125" customWidth="1"/>
    <col min="1537" max="1537" width="11.265625" bestFit="1" customWidth="1"/>
    <col min="1538" max="1538" width="13.59765625" bestFit="1" customWidth="1"/>
    <col min="1539" max="1539" width="12.3984375" customWidth="1"/>
    <col min="1540" max="1540" width="10.59765625" bestFit="1" customWidth="1"/>
    <col min="1541" max="1541" width="12.73046875" bestFit="1" customWidth="1"/>
    <col min="1542" max="1542" width="43.1328125" bestFit="1" customWidth="1"/>
    <col min="1546" max="1546" width="19.59765625" customWidth="1"/>
    <col min="1548" max="1548" width="61.1328125" customWidth="1"/>
    <col min="1793" max="1793" width="11.265625" bestFit="1" customWidth="1"/>
    <col min="1794" max="1794" width="13.59765625" bestFit="1" customWidth="1"/>
    <col min="1795" max="1795" width="12.3984375" customWidth="1"/>
    <col min="1796" max="1796" width="10.59765625" bestFit="1" customWidth="1"/>
    <col min="1797" max="1797" width="12.73046875" bestFit="1" customWidth="1"/>
    <col min="1798" max="1798" width="43.1328125" bestFit="1" customWidth="1"/>
    <col min="1802" max="1802" width="19.59765625" customWidth="1"/>
    <col min="1804" max="1804" width="61.1328125" customWidth="1"/>
    <col min="2049" max="2049" width="11.265625" bestFit="1" customWidth="1"/>
    <col min="2050" max="2050" width="13.59765625" bestFit="1" customWidth="1"/>
    <col min="2051" max="2051" width="12.3984375" customWidth="1"/>
    <col min="2052" max="2052" width="10.59765625" bestFit="1" customWidth="1"/>
    <col min="2053" max="2053" width="12.73046875" bestFit="1" customWidth="1"/>
    <col min="2054" max="2054" width="43.1328125" bestFit="1" customWidth="1"/>
    <col min="2058" max="2058" width="19.59765625" customWidth="1"/>
    <col min="2060" max="2060" width="61.1328125" customWidth="1"/>
    <col min="2305" max="2305" width="11.265625" bestFit="1" customWidth="1"/>
    <col min="2306" max="2306" width="13.59765625" bestFit="1" customWidth="1"/>
    <col min="2307" max="2307" width="12.3984375" customWidth="1"/>
    <col min="2308" max="2308" width="10.59765625" bestFit="1" customWidth="1"/>
    <col min="2309" max="2309" width="12.73046875" bestFit="1" customWidth="1"/>
    <col min="2310" max="2310" width="43.1328125" bestFit="1" customWidth="1"/>
    <col min="2314" max="2314" width="19.59765625" customWidth="1"/>
    <col min="2316" max="2316" width="61.1328125" customWidth="1"/>
    <col min="2561" max="2561" width="11.265625" bestFit="1" customWidth="1"/>
    <col min="2562" max="2562" width="13.59765625" bestFit="1" customWidth="1"/>
    <col min="2563" max="2563" width="12.3984375" customWidth="1"/>
    <col min="2564" max="2564" width="10.59765625" bestFit="1" customWidth="1"/>
    <col min="2565" max="2565" width="12.73046875" bestFit="1" customWidth="1"/>
    <col min="2566" max="2566" width="43.1328125" bestFit="1" customWidth="1"/>
    <col min="2570" max="2570" width="19.59765625" customWidth="1"/>
    <col min="2572" max="2572" width="61.1328125" customWidth="1"/>
    <col min="2817" max="2817" width="11.265625" bestFit="1" customWidth="1"/>
    <col min="2818" max="2818" width="13.59765625" bestFit="1" customWidth="1"/>
    <col min="2819" max="2819" width="12.3984375" customWidth="1"/>
    <col min="2820" max="2820" width="10.59765625" bestFit="1" customWidth="1"/>
    <col min="2821" max="2821" width="12.73046875" bestFit="1" customWidth="1"/>
    <col min="2822" max="2822" width="43.1328125" bestFit="1" customWidth="1"/>
    <col min="2826" max="2826" width="19.59765625" customWidth="1"/>
    <col min="2828" max="2828" width="61.1328125" customWidth="1"/>
    <col min="3073" max="3073" width="11.265625" bestFit="1" customWidth="1"/>
    <col min="3074" max="3074" width="13.59765625" bestFit="1" customWidth="1"/>
    <col min="3075" max="3075" width="12.3984375" customWidth="1"/>
    <col min="3076" max="3076" width="10.59765625" bestFit="1" customWidth="1"/>
    <col min="3077" max="3077" width="12.73046875" bestFit="1" customWidth="1"/>
    <col min="3078" max="3078" width="43.1328125" bestFit="1" customWidth="1"/>
    <col min="3082" max="3082" width="19.59765625" customWidth="1"/>
    <col min="3084" max="3084" width="61.1328125" customWidth="1"/>
    <col min="3329" max="3329" width="11.265625" bestFit="1" customWidth="1"/>
    <col min="3330" max="3330" width="13.59765625" bestFit="1" customWidth="1"/>
    <col min="3331" max="3331" width="12.3984375" customWidth="1"/>
    <col min="3332" max="3332" width="10.59765625" bestFit="1" customWidth="1"/>
    <col min="3333" max="3333" width="12.73046875" bestFit="1" customWidth="1"/>
    <col min="3334" max="3334" width="43.1328125" bestFit="1" customWidth="1"/>
    <col min="3338" max="3338" width="19.59765625" customWidth="1"/>
    <col min="3340" max="3340" width="61.1328125" customWidth="1"/>
    <col min="3585" max="3585" width="11.265625" bestFit="1" customWidth="1"/>
    <col min="3586" max="3586" width="13.59765625" bestFit="1" customWidth="1"/>
    <col min="3587" max="3587" width="12.3984375" customWidth="1"/>
    <col min="3588" max="3588" width="10.59765625" bestFit="1" customWidth="1"/>
    <col min="3589" max="3589" width="12.73046875" bestFit="1" customWidth="1"/>
    <col min="3590" max="3590" width="43.1328125" bestFit="1" customWidth="1"/>
    <col min="3594" max="3594" width="19.59765625" customWidth="1"/>
    <col min="3596" max="3596" width="61.1328125" customWidth="1"/>
    <col min="3841" max="3841" width="11.265625" bestFit="1" customWidth="1"/>
    <col min="3842" max="3842" width="13.59765625" bestFit="1" customWidth="1"/>
    <col min="3843" max="3843" width="12.3984375" customWidth="1"/>
    <col min="3844" max="3844" width="10.59765625" bestFit="1" customWidth="1"/>
    <col min="3845" max="3845" width="12.73046875" bestFit="1" customWidth="1"/>
    <col min="3846" max="3846" width="43.1328125" bestFit="1" customWidth="1"/>
    <col min="3850" max="3850" width="19.59765625" customWidth="1"/>
    <col min="3852" max="3852" width="61.1328125" customWidth="1"/>
    <col min="4097" max="4097" width="11.265625" bestFit="1" customWidth="1"/>
    <col min="4098" max="4098" width="13.59765625" bestFit="1" customWidth="1"/>
    <col min="4099" max="4099" width="12.3984375" customWidth="1"/>
    <col min="4100" max="4100" width="10.59765625" bestFit="1" customWidth="1"/>
    <col min="4101" max="4101" width="12.73046875" bestFit="1" customWidth="1"/>
    <col min="4102" max="4102" width="43.1328125" bestFit="1" customWidth="1"/>
    <col min="4106" max="4106" width="19.59765625" customWidth="1"/>
    <col min="4108" max="4108" width="61.1328125" customWidth="1"/>
    <col min="4353" max="4353" width="11.265625" bestFit="1" customWidth="1"/>
    <col min="4354" max="4354" width="13.59765625" bestFit="1" customWidth="1"/>
    <col min="4355" max="4355" width="12.3984375" customWidth="1"/>
    <col min="4356" max="4356" width="10.59765625" bestFit="1" customWidth="1"/>
    <col min="4357" max="4357" width="12.73046875" bestFit="1" customWidth="1"/>
    <col min="4358" max="4358" width="43.1328125" bestFit="1" customWidth="1"/>
    <col min="4362" max="4362" width="19.59765625" customWidth="1"/>
    <col min="4364" max="4364" width="61.1328125" customWidth="1"/>
    <col min="4609" max="4609" width="11.265625" bestFit="1" customWidth="1"/>
    <col min="4610" max="4610" width="13.59765625" bestFit="1" customWidth="1"/>
    <col min="4611" max="4611" width="12.3984375" customWidth="1"/>
    <col min="4612" max="4612" width="10.59765625" bestFit="1" customWidth="1"/>
    <col min="4613" max="4613" width="12.73046875" bestFit="1" customWidth="1"/>
    <col min="4614" max="4614" width="43.1328125" bestFit="1" customWidth="1"/>
    <col min="4618" max="4618" width="19.59765625" customWidth="1"/>
    <col min="4620" max="4620" width="61.1328125" customWidth="1"/>
    <col min="4865" max="4865" width="11.265625" bestFit="1" customWidth="1"/>
    <col min="4866" max="4866" width="13.59765625" bestFit="1" customWidth="1"/>
    <col min="4867" max="4867" width="12.3984375" customWidth="1"/>
    <col min="4868" max="4868" width="10.59765625" bestFit="1" customWidth="1"/>
    <col min="4869" max="4869" width="12.73046875" bestFit="1" customWidth="1"/>
    <col min="4870" max="4870" width="43.1328125" bestFit="1" customWidth="1"/>
    <col min="4874" max="4874" width="19.59765625" customWidth="1"/>
    <col min="4876" max="4876" width="61.1328125" customWidth="1"/>
    <col min="5121" max="5121" width="11.265625" bestFit="1" customWidth="1"/>
    <col min="5122" max="5122" width="13.59765625" bestFit="1" customWidth="1"/>
    <col min="5123" max="5123" width="12.3984375" customWidth="1"/>
    <col min="5124" max="5124" width="10.59765625" bestFit="1" customWidth="1"/>
    <col min="5125" max="5125" width="12.73046875" bestFit="1" customWidth="1"/>
    <col min="5126" max="5126" width="43.1328125" bestFit="1" customWidth="1"/>
    <col min="5130" max="5130" width="19.59765625" customWidth="1"/>
    <col min="5132" max="5132" width="61.1328125" customWidth="1"/>
    <col min="5377" max="5377" width="11.265625" bestFit="1" customWidth="1"/>
    <col min="5378" max="5378" width="13.59765625" bestFit="1" customWidth="1"/>
    <col min="5379" max="5379" width="12.3984375" customWidth="1"/>
    <col min="5380" max="5380" width="10.59765625" bestFit="1" customWidth="1"/>
    <col min="5381" max="5381" width="12.73046875" bestFit="1" customWidth="1"/>
    <col min="5382" max="5382" width="43.1328125" bestFit="1" customWidth="1"/>
    <col min="5386" max="5386" width="19.59765625" customWidth="1"/>
    <col min="5388" max="5388" width="61.1328125" customWidth="1"/>
    <col min="5633" max="5633" width="11.265625" bestFit="1" customWidth="1"/>
    <col min="5634" max="5634" width="13.59765625" bestFit="1" customWidth="1"/>
    <col min="5635" max="5635" width="12.3984375" customWidth="1"/>
    <col min="5636" max="5636" width="10.59765625" bestFit="1" customWidth="1"/>
    <col min="5637" max="5637" width="12.73046875" bestFit="1" customWidth="1"/>
    <col min="5638" max="5638" width="43.1328125" bestFit="1" customWidth="1"/>
    <col min="5642" max="5642" width="19.59765625" customWidth="1"/>
    <col min="5644" max="5644" width="61.1328125" customWidth="1"/>
    <col min="5889" max="5889" width="11.265625" bestFit="1" customWidth="1"/>
    <col min="5890" max="5890" width="13.59765625" bestFit="1" customWidth="1"/>
    <col min="5891" max="5891" width="12.3984375" customWidth="1"/>
    <col min="5892" max="5892" width="10.59765625" bestFit="1" customWidth="1"/>
    <col min="5893" max="5893" width="12.73046875" bestFit="1" customWidth="1"/>
    <col min="5894" max="5894" width="43.1328125" bestFit="1" customWidth="1"/>
    <col min="5898" max="5898" width="19.59765625" customWidth="1"/>
    <col min="5900" max="5900" width="61.1328125" customWidth="1"/>
    <col min="6145" max="6145" width="11.265625" bestFit="1" customWidth="1"/>
    <col min="6146" max="6146" width="13.59765625" bestFit="1" customWidth="1"/>
    <col min="6147" max="6147" width="12.3984375" customWidth="1"/>
    <col min="6148" max="6148" width="10.59765625" bestFit="1" customWidth="1"/>
    <col min="6149" max="6149" width="12.73046875" bestFit="1" customWidth="1"/>
    <col min="6150" max="6150" width="43.1328125" bestFit="1" customWidth="1"/>
    <col min="6154" max="6154" width="19.59765625" customWidth="1"/>
    <col min="6156" max="6156" width="61.1328125" customWidth="1"/>
    <col min="6401" max="6401" width="11.265625" bestFit="1" customWidth="1"/>
    <col min="6402" max="6402" width="13.59765625" bestFit="1" customWidth="1"/>
    <col min="6403" max="6403" width="12.3984375" customWidth="1"/>
    <col min="6404" max="6404" width="10.59765625" bestFit="1" customWidth="1"/>
    <col min="6405" max="6405" width="12.73046875" bestFit="1" customWidth="1"/>
    <col min="6406" max="6406" width="43.1328125" bestFit="1" customWidth="1"/>
    <col min="6410" max="6410" width="19.59765625" customWidth="1"/>
    <col min="6412" max="6412" width="61.1328125" customWidth="1"/>
    <col min="6657" max="6657" width="11.265625" bestFit="1" customWidth="1"/>
    <col min="6658" max="6658" width="13.59765625" bestFit="1" customWidth="1"/>
    <col min="6659" max="6659" width="12.3984375" customWidth="1"/>
    <col min="6660" max="6660" width="10.59765625" bestFit="1" customWidth="1"/>
    <col min="6661" max="6661" width="12.73046875" bestFit="1" customWidth="1"/>
    <col min="6662" max="6662" width="43.1328125" bestFit="1" customWidth="1"/>
    <col min="6666" max="6666" width="19.59765625" customWidth="1"/>
    <col min="6668" max="6668" width="61.1328125" customWidth="1"/>
    <col min="6913" max="6913" width="11.265625" bestFit="1" customWidth="1"/>
    <col min="6914" max="6914" width="13.59765625" bestFit="1" customWidth="1"/>
    <col min="6915" max="6915" width="12.3984375" customWidth="1"/>
    <col min="6916" max="6916" width="10.59765625" bestFit="1" customWidth="1"/>
    <col min="6917" max="6917" width="12.73046875" bestFit="1" customWidth="1"/>
    <col min="6918" max="6918" width="43.1328125" bestFit="1" customWidth="1"/>
    <col min="6922" max="6922" width="19.59765625" customWidth="1"/>
    <col min="6924" max="6924" width="61.1328125" customWidth="1"/>
    <col min="7169" max="7169" width="11.265625" bestFit="1" customWidth="1"/>
    <col min="7170" max="7170" width="13.59765625" bestFit="1" customWidth="1"/>
    <col min="7171" max="7171" width="12.3984375" customWidth="1"/>
    <col min="7172" max="7172" width="10.59765625" bestFit="1" customWidth="1"/>
    <col min="7173" max="7173" width="12.73046875" bestFit="1" customWidth="1"/>
    <col min="7174" max="7174" width="43.1328125" bestFit="1" customWidth="1"/>
    <col min="7178" max="7178" width="19.59765625" customWidth="1"/>
    <col min="7180" max="7180" width="61.1328125" customWidth="1"/>
    <col min="7425" max="7425" width="11.265625" bestFit="1" customWidth="1"/>
    <col min="7426" max="7426" width="13.59765625" bestFit="1" customWidth="1"/>
    <col min="7427" max="7427" width="12.3984375" customWidth="1"/>
    <col min="7428" max="7428" width="10.59765625" bestFit="1" customWidth="1"/>
    <col min="7429" max="7429" width="12.73046875" bestFit="1" customWidth="1"/>
    <col min="7430" max="7430" width="43.1328125" bestFit="1" customWidth="1"/>
    <col min="7434" max="7434" width="19.59765625" customWidth="1"/>
    <col min="7436" max="7436" width="61.1328125" customWidth="1"/>
    <col min="7681" max="7681" width="11.265625" bestFit="1" customWidth="1"/>
    <col min="7682" max="7682" width="13.59765625" bestFit="1" customWidth="1"/>
    <col min="7683" max="7683" width="12.3984375" customWidth="1"/>
    <col min="7684" max="7684" width="10.59765625" bestFit="1" customWidth="1"/>
    <col min="7685" max="7685" width="12.73046875" bestFit="1" customWidth="1"/>
    <col min="7686" max="7686" width="43.1328125" bestFit="1" customWidth="1"/>
    <col min="7690" max="7690" width="19.59765625" customWidth="1"/>
    <col min="7692" max="7692" width="61.1328125" customWidth="1"/>
    <col min="7937" max="7937" width="11.265625" bestFit="1" customWidth="1"/>
    <col min="7938" max="7938" width="13.59765625" bestFit="1" customWidth="1"/>
    <col min="7939" max="7939" width="12.3984375" customWidth="1"/>
    <col min="7940" max="7940" width="10.59765625" bestFit="1" customWidth="1"/>
    <col min="7941" max="7941" width="12.73046875" bestFit="1" customWidth="1"/>
    <col min="7942" max="7942" width="43.1328125" bestFit="1" customWidth="1"/>
    <col min="7946" max="7946" width="19.59765625" customWidth="1"/>
    <col min="7948" max="7948" width="61.1328125" customWidth="1"/>
    <col min="8193" max="8193" width="11.265625" bestFit="1" customWidth="1"/>
    <col min="8194" max="8194" width="13.59765625" bestFit="1" customWidth="1"/>
    <col min="8195" max="8195" width="12.3984375" customWidth="1"/>
    <col min="8196" max="8196" width="10.59765625" bestFit="1" customWidth="1"/>
    <col min="8197" max="8197" width="12.73046875" bestFit="1" customWidth="1"/>
    <col min="8198" max="8198" width="43.1328125" bestFit="1" customWidth="1"/>
    <col min="8202" max="8202" width="19.59765625" customWidth="1"/>
    <col min="8204" max="8204" width="61.1328125" customWidth="1"/>
    <col min="8449" max="8449" width="11.265625" bestFit="1" customWidth="1"/>
    <col min="8450" max="8450" width="13.59765625" bestFit="1" customWidth="1"/>
    <col min="8451" max="8451" width="12.3984375" customWidth="1"/>
    <col min="8452" max="8452" width="10.59765625" bestFit="1" customWidth="1"/>
    <col min="8453" max="8453" width="12.73046875" bestFit="1" customWidth="1"/>
    <col min="8454" max="8454" width="43.1328125" bestFit="1" customWidth="1"/>
    <col min="8458" max="8458" width="19.59765625" customWidth="1"/>
    <col min="8460" max="8460" width="61.1328125" customWidth="1"/>
    <col min="8705" max="8705" width="11.265625" bestFit="1" customWidth="1"/>
    <col min="8706" max="8706" width="13.59765625" bestFit="1" customWidth="1"/>
    <col min="8707" max="8707" width="12.3984375" customWidth="1"/>
    <col min="8708" max="8708" width="10.59765625" bestFit="1" customWidth="1"/>
    <col min="8709" max="8709" width="12.73046875" bestFit="1" customWidth="1"/>
    <col min="8710" max="8710" width="43.1328125" bestFit="1" customWidth="1"/>
    <col min="8714" max="8714" width="19.59765625" customWidth="1"/>
    <col min="8716" max="8716" width="61.1328125" customWidth="1"/>
    <col min="8961" max="8961" width="11.265625" bestFit="1" customWidth="1"/>
    <col min="8962" max="8962" width="13.59765625" bestFit="1" customWidth="1"/>
    <col min="8963" max="8963" width="12.3984375" customWidth="1"/>
    <col min="8964" max="8964" width="10.59765625" bestFit="1" customWidth="1"/>
    <col min="8965" max="8965" width="12.73046875" bestFit="1" customWidth="1"/>
    <col min="8966" max="8966" width="43.1328125" bestFit="1" customWidth="1"/>
    <col min="8970" max="8970" width="19.59765625" customWidth="1"/>
    <col min="8972" max="8972" width="61.1328125" customWidth="1"/>
    <col min="9217" max="9217" width="11.265625" bestFit="1" customWidth="1"/>
    <col min="9218" max="9218" width="13.59765625" bestFit="1" customWidth="1"/>
    <col min="9219" max="9219" width="12.3984375" customWidth="1"/>
    <col min="9220" max="9220" width="10.59765625" bestFit="1" customWidth="1"/>
    <col min="9221" max="9221" width="12.73046875" bestFit="1" customWidth="1"/>
    <col min="9222" max="9222" width="43.1328125" bestFit="1" customWidth="1"/>
    <col min="9226" max="9226" width="19.59765625" customWidth="1"/>
    <col min="9228" max="9228" width="61.1328125" customWidth="1"/>
    <col min="9473" max="9473" width="11.265625" bestFit="1" customWidth="1"/>
    <col min="9474" max="9474" width="13.59765625" bestFit="1" customWidth="1"/>
    <col min="9475" max="9475" width="12.3984375" customWidth="1"/>
    <col min="9476" max="9476" width="10.59765625" bestFit="1" customWidth="1"/>
    <col min="9477" max="9477" width="12.73046875" bestFit="1" customWidth="1"/>
    <col min="9478" max="9478" width="43.1328125" bestFit="1" customWidth="1"/>
    <col min="9482" max="9482" width="19.59765625" customWidth="1"/>
    <col min="9484" max="9484" width="61.1328125" customWidth="1"/>
    <col min="9729" max="9729" width="11.265625" bestFit="1" customWidth="1"/>
    <col min="9730" max="9730" width="13.59765625" bestFit="1" customWidth="1"/>
    <col min="9731" max="9731" width="12.3984375" customWidth="1"/>
    <col min="9732" max="9732" width="10.59765625" bestFit="1" customWidth="1"/>
    <col min="9733" max="9733" width="12.73046875" bestFit="1" customWidth="1"/>
    <col min="9734" max="9734" width="43.1328125" bestFit="1" customWidth="1"/>
    <col min="9738" max="9738" width="19.59765625" customWidth="1"/>
    <col min="9740" max="9740" width="61.1328125" customWidth="1"/>
    <col min="9985" max="9985" width="11.265625" bestFit="1" customWidth="1"/>
    <col min="9986" max="9986" width="13.59765625" bestFit="1" customWidth="1"/>
    <col min="9987" max="9987" width="12.3984375" customWidth="1"/>
    <col min="9988" max="9988" width="10.59765625" bestFit="1" customWidth="1"/>
    <col min="9989" max="9989" width="12.73046875" bestFit="1" customWidth="1"/>
    <col min="9990" max="9990" width="43.1328125" bestFit="1" customWidth="1"/>
    <col min="9994" max="9994" width="19.59765625" customWidth="1"/>
    <col min="9996" max="9996" width="61.1328125" customWidth="1"/>
    <col min="10241" max="10241" width="11.265625" bestFit="1" customWidth="1"/>
    <col min="10242" max="10242" width="13.59765625" bestFit="1" customWidth="1"/>
    <col min="10243" max="10243" width="12.3984375" customWidth="1"/>
    <col min="10244" max="10244" width="10.59765625" bestFit="1" customWidth="1"/>
    <col min="10245" max="10245" width="12.73046875" bestFit="1" customWidth="1"/>
    <col min="10246" max="10246" width="43.1328125" bestFit="1" customWidth="1"/>
    <col min="10250" max="10250" width="19.59765625" customWidth="1"/>
    <col min="10252" max="10252" width="61.1328125" customWidth="1"/>
    <col min="10497" max="10497" width="11.265625" bestFit="1" customWidth="1"/>
    <col min="10498" max="10498" width="13.59765625" bestFit="1" customWidth="1"/>
    <col min="10499" max="10499" width="12.3984375" customWidth="1"/>
    <col min="10500" max="10500" width="10.59765625" bestFit="1" customWidth="1"/>
    <col min="10501" max="10501" width="12.73046875" bestFit="1" customWidth="1"/>
    <col min="10502" max="10502" width="43.1328125" bestFit="1" customWidth="1"/>
    <col min="10506" max="10506" width="19.59765625" customWidth="1"/>
    <col min="10508" max="10508" width="61.1328125" customWidth="1"/>
    <col min="10753" max="10753" width="11.265625" bestFit="1" customWidth="1"/>
    <col min="10754" max="10754" width="13.59765625" bestFit="1" customWidth="1"/>
    <col min="10755" max="10755" width="12.3984375" customWidth="1"/>
    <col min="10756" max="10756" width="10.59765625" bestFit="1" customWidth="1"/>
    <col min="10757" max="10757" width="12.73046875" bestFit="1" customWidth="1"/>
    <col min="10758" max="10758" width="43.1328125" bestFit="1" customWidth="1"/>
    <col min="10762" max="10762" width="19.59765625" customWidth="1"/>
    <col min="10764" max="10764" width="61.1328125" customWidth="1"/>
    <col min="11009" max="11009" width="11.265625" bestFit="1" customWidth="1"/>
    <col min="11010" max="11010" width="13.59765625" bestFit="1" customWidth="1"/>
    <col min="11011" max="11011" width="12.3984375" customWidth="1"/>
    <col min="11012" max="11012" width="10.59765625" bestFit="1" customWidth="1"/>
    <col min="11013" max="11013" width="12.73046875" bestFit="1" customWidth="1"/>
    <col min="11014" max="11014" width="43.1328125" bestFit="1" customWidth="1"/>
    <col min="11018" max="11018" width="19.59765625" customWidth="1"/>
    <col min="11020" max="11020" width="61.1328125" customWidth="1"/>
    <col min="11265" max="11265" width="11.265625" bestFit="1" customWidth="1"/>
    <col min="11266" max="11266" width="13.59765625" bestFit="1" customWidth="1"/>
    <col min="11267" max="11267" width="12.3984375" customWidth="1"/>
    <col min="11268" max="11268" width="10.59765625" bestFit="1" customWidth="1"/>
    <col min="11269" max="11269" width="12.73046875" bestFit="1" customWidth="1"/>
    <col min="11270" max="11270" width="43.1328125" bestFit="1" customWidth="1"/>
    <col min="11274" max="11274" width="19.59765625" customWidth="1"/>
    <col min="11276" max="11276" width="61.1328125" customWidth="1"/>
    <col min="11521" max="11521" width="11.265625" bestFit="1" customWidth="1"/>
    <col min="11522" max="11522" width="13.59765625" bestFit="1" customWidth="1"/>
    <col min="11523" max="11523" width="12.3984375" customWidth="1"/>
    <col min="11524" max="11524" width="10.59765625" bestFit="1" customWidth="1"/>
    <col min="11525" max="11525" width="12.73046875" bestFit="1" customWidth="1"/>
    <col min="11526" max="11526" width="43.1328125" bestFit="1" customWidth="1"/>
    <col min="11530" max="11530" width="19.59765625" customWidth="1"/>
    <col min="11532" max="11532" width="61.1328125" customWidth="1"/>
    <col min="11777" max="11777" width="11.265625" bestFit="1" customWidth="1"/>
    <col min="11778" max="11778" width="13.59765625" bestFit="1" customWidth="1"/>
    <col min="11779" max="11779" width="12.3984375" customWidth="1"/>
    <col min="11780" max="11780" width="10.59765625" bestFit="1" customWidth="1"/>
    <col min="11781" max="11781" width="12.73046875" bestFit="1" customWidth="1"/>
    <col min="11782" max="11782" width="43.1328125" bestFit="1" customWidth="1"/>
    <col min="11786" max="11786" width="19.59765625" customWidth="1"/>
    <col min="11788" max="11788" width="61.1328125" customWidth="1"/>
    <col min="12033" max="12033" width="11.265625" bestFit="1" customWidth="1"/>
    <col min="12034" max="12034" width="13.59765625" bestFit="1" customWidth="1"/>
    <col min="12035" max="12035" width="12.3984375" customWidth="1"/>
    <col min="12036" max="12036" width="10.59765625" bestFit="1" customWidth="1"/>
    <col min="12037" max="12037" width="12.73046875" bestFit="1" customWidth="1"/>
    <col min="12038" max="12038" width="43.1328125" bestFit="1" customWidth="1"/>
    <col min="12042" max="12042" width="19.59765625" customWidth="1"/>
    <col min="12044" max="12044" width="61.1328125" customWidth="1"/>
    <col min="12289" max="12289" width="11.265625" bestFit="1" customWidth="1"/>
    <col min="12290" max="12290" width="13.59765625" bestFit="1" customWidth="1"/>
    <col min="12291" max="12291" width="12.3984375" customWidth="1"/>
    <col min="12292" max="12292" width="10.59765625" bestFit="1" customWidth="1"/>
    <col min="12293" max="12293" width="12.73046875" bestFit="1" customWidth="1"/>
    <col min="12294" max="12294" width="43.1328125" bestFit="1" customWidth="1"/>
    <col min="12298" max="12298" width="19.59765625" customWidth="1"/>
    <col min="12300" max="12300" width="61.1328125" customWidth="1"/>
    <col min="12545" max="12545" width="11.265625" bestFit="1" customWidth="1"/>
    <col min="12546" max="12546" width="13.59765625" bestFit="1" customWidth="1"/>
    <col min="12547" max="12547" width="12.3984375" customWidth="1"/>
    <col min="12548" max="12548" width="10.59765625" bestFit="1" customWidth="1"/>
    <col min="12549" max="12549" width="12.73046875" bestFit="1" customWidth="1"/>
    <col min="12550" max="12550" width="43.1328125" bestFit="1" customWidth="1"/>
    <col min="12554" max="12554" width="19.59765625" customWidth="1"/>
    <col min="12556" max="12556" width="61.1328125" customWidth="1"/>
    <col min="12801" max="12801" width="11.265625" bestFit="1" customWidth="1"/>
    <col min="12802" max="12802" width="13.59765625" bestFit="1" customWidth="1"/>
    <col min="12803" max="12803" width="12.3984375" customWidth="1"/>
    <col min="12804" max="12804" width="10.59765625" bestFit="1" customWidth="1"/>
    <col min="12805" max="12805" width="12.73046875" bestFit="1" customWidth="1"/>
    <col min="12806" max="12806" width="43.1328125" bestFit="1" customWidth="1"/>
    <col min="12810" max="12810" width="19.59765625" customWidth="1"/>
    <col min="12812" max="12812" width="61.1328125" customWidth="1"/>
    <col min="13057" max="13057" width="11.265625" bestFit="1" customWidth="1"/>
    <col min="13058" max="13058" width="13.59765625" bestFit="1" customWidth="1"/>
    <col min="13059" max="13059" width="12.3984375" customWidth="1"/>
    <col min="13060" max="13060" width="10.59765625" bestFit="1" customWidth="1"/>
    <col min="13061" max="13061" width="12.73046875" bestFit="1" customWidth="1"/>
    <col min="13062" max="13062" width="43.1328125" bestFit="1" customWidth="1"/>
    <col min="13066" max="13066" width="19.59765625" customWidth="1"/>
    <col min="13068" max="13068" width="61.1328125" customWidth="1"/>
    <col min="13313" max="13313" width="11.265625" bestFit="1" customWidth="1"/>
    <col min="13314" max="13314" width="13.59765625" bestFit="1" customWidth="1"/>
    <col min="13315" max="13315" width="12.3984375" customWidth="1"/>
    <col min="13316" max="13316" width="10.59765625" bestFit="1" customWidth="1"/>
    <col min="13317" max="13317" width="12.73046875" bestFit="1" customWidth="1"/>
    <col min="13318" max="13318" width="43.1328125" bestFit="1" customWidth="1"/>
    <col min="13322" max="13322" width="19.59765625" customWidth="1"/>
    <col min="13324" max="13324" width="61.1328125" customWidth="1"/>
    <col min="13569" max="13569" width="11.265625" bestFit="1" customWidth="1"/>
    <col min="13570" max="13570" width="13.59765625" bestFit="1" customWidth="1"/>
    <col min="13571" max="13571" width="12.3984375" customWidth="1"/>
    <col min="13572" max="13572" width="10.59765625" bestFit="1" customWidth="1"/>
    <col min="13573" max="13573" width="12.73046875" bestFit="1" customWidth="1"/>
    <col min="13574" max="13574" width="43.1328125" bestFit="1" customWidth="1"/>
    <col min="13578" max="13578" width="19.59765625" customWidth="1"/>
    <col min="13580" max="13580" width="61.1328125" customWidth="1"/>
    <col min="13825" max="13825" width="11.265625" bestFit="1" customWidth="1"/>
    <col min="13826" max="13826" width="13.59765625" bestFit="1" customWidth="1"/>
    <col min="13827" max="13827" width="12.3984375" customWidth="1"/>
    <col min="13828" max="13828" width="10.59765625" bestFit="1" customWidth="1"/>
    <col min="13829" max="13829" width="12.73046875" bestFit="1" customWidth="1"/>
    <col min="13830" max="13830" width="43.1328125" bestFit="1" customWidth="1"/>
    <col min="13834" max="13834" width="19.59765625" customWidth="1"/>
    <col min="13836" max="13836" width="61.1328125" customWidth="1"/>
    <col min="14081" max="14081" width="11.265625" bestFit="1" customWidth="1"/>
    <col min="14082" max="14082" width="13.59765625" bestFit="1" customWidth="1"/>
    <col min="14083" max="14083" width="12.3984375" customWidth="1"/>
    <col min="14084" max="14084" width="10.59765625" bestFit="1" customWidth="1"/>
    <col min="14085" max="14085" width="12.73046875" bestFit="1" customWidth="1"/>
    <col min="14086" max="14086" width="43.1328125" bestFit="1" customWidth="1"/>
    <col min="14090" max="14090" width="19.59765625" customWidth="1"/>
    <col min="14092" max="14092" width="61.1328125" customWidth="1"/>
    <col min="14337" max="14337" width="11.265625" bestFit="1" customWidth="1"/>
    <col min="14338" max="14338" width="13.59765625" bestFit="1" customWidth="1"/>
    <col min="14339" max="14339" width="12.3984375" customWidth="1"/>
    <col min="14340" max="14340" width="10.59765625" bestFit="1" customWidth="1"/>
    <col min="14341" max="14341" width="12.73046875" bestFit="1" customWidth="1"/>
    <col min="14342" max="14342" width="43.1328125" bestFit="1" customWidth="1"/>
    <col min="14346" max="14346" width="19.59765625" customWidth="1"/>
    <col min="14348" max="14348" width="61.1328125" customWidth="1"/>
    <col min="14593" max="14593" width="11.265625" bestFit="1" customWidth="1"/>
    <col min="14594" max="14594" width="13.59765625" bestFit="1" customWidth="1"/>
    <col min="14595" max="14595" width="12.3984375" customWidth="1"/>
    <col min="14596" max="14596" width="10.59765625" bestFit="1" customWidth="1"/>
    <col min="14597" max="14597" width="12.73046875" bestFit="1" customWidth="1"/>
    <col min="14598" max="14598" width="43.1328125" bestFit="1" customWidth="1"/>
    <col min="14602" max="14602" width="19.59765625" customWidth="1"/>
    <col min="14604" max="14604" width="61.1328125" customWidth="1"/>
    <col min="14849" max="14849" width="11.265625" bestFit="1" customWidth="1"/>
    <col min="14850" max="14850" width="13.59765625" bestFit="1" customWidth="1"/>
    <col min="14851" max="14851" width="12.3984375" customWidth="1"/>
    <col min="14852" max="14852" width="10.59765625" bestFit="1" customWidth="1"/>
    <col min="14853" max="14853" width="12.73046875" bestFit="1" customWidth="1"/>
    <col min="14854" max="14854" width="43.1328125" bestFit="1" customWidth="1"/>
    <col min="14858" max="14858" width="19.59765625" customWidth="1"/>
    <col min="14860" max="14860" width="61.1328125" customWidth="1"/>
    <col min="15105" max="15105" width="11.265625" bestFit="1" customWidth="1"/>
    <col min="15106" max="15106" width="13.59765625" bestFit="1" customWidth="1"/>
    <col min="15107" max="15107" width="12.3984375" customWidth="1"/>
    <col min="15108" max="15108" width="10.59765625" bestFit="1" customWidth="1"/>
    <col min="15109" max="15109" width="12.73046875" bestFit="1" customWidth="1"/>
    <col min="15110" max="15110" width="43.1328125" bestFit="1" customWidth="1"/>
    <col min="15114" max="15114" width="19.59765625" customWidth="1"/>
    <col min="15116" max="15116" width="61.1328125" customWidth="1"/>
    <col min="15361" max="15361" width="11.265625" bestFit="1" customWidth="1"/>
    <col min="15362" max="15362" width="13.59765625" bestFit="1" customWidth="1"/>
    <col min="15363" max="15363" width="12.3984375" customWidth="1"/>
    <col min="15364" max="15364" width="10.59765625" bestFit="1" customWidth="1"/>
    <col min="15365" max="15365" width="12.73046875" bestFit="1" customWidth="1"/>
    <col min="15366" max="15366" width="43.1328125" bestFit="1" customWidth="1"/>
    <col min="15370" max="15370" width="19.59765625" customWidth="1"/>
    <col min="15372" max="15372" width="61.1328125" customWidth="1"/>
    <col min="15617" max="15617" width="11.265625" bestFit="1" customWidth="1"/>
    <col min="15618" max="15618" width="13.59765625" bestFit="1" customWidth="1"/>
    <col min="15619" max="15619" width="12.3984375" customWidth="1"/>
    <col min="15620" max="15620" width="10.59765625" bestFit="1" customWidth="1"/>
    <col min="15621" max="15621" width="12.73046875" bestFit="1" customWidth="1"/>
    <col min="15622" max="15622" width="43.1328125" bestFit="1" customWidth="1"/>
    <col min="15626" max="15626" width="19.59765625" customWidth="1"/>
    <col min="15628" max="15628" width="61.1328125" customWidth="1"/>
    <col min="15873" max="15873" width="11.265625" bestFit="1" customWidth="1"/>
    <col min="15874" max="15874" width="13.59765625" bestFit="1" customWidth="1"/>
    <col min="15875" max="15875" width="12.3984375" customWidth="1"/>
    <col min="15876" max="15876" width="10.59765625" bestFit="1" customWidth="1"/>
    <col min="15877" max="15877" width="12.73046875" bestFit="1" customWidth="1"/>
    <col min="15878" max="15878" width="43.1328125" bestFit="1" customWidth="1"/>
    <col min="15882" max="15882" width="19.59765625" customWidth="1"/>
    <col min="15884" max="15884" width="61.1328125" customWidth="1"/>
    <col min="16129" max="16129" width="11.265625" bestFit="1" customWidth="1"/>
    <col min="16130" max="16130" width="13.59765625" bestFit="1" customWidth="1"/>
    <col min="16131" max="16131" width="12.3984375" customWidth="1"/>
    <col min="16132" max="16132" width="10.59765625" bestFit="1" customWidth="1"/>
    <col min="16133" max="16133" width="12.73046875" bestFit="1" customWidth="1"/>
    <col min="16134" max="16134" width="43.1328125" bestFit="1" customWidth="1"/>
    <col min="16138" max="16138" width="19.59765625" customWidth="1"/>
    <col min="16140" max="16140" width="61.1328125" customWidth="1"/>
  </cols>
  <sheetData>
    <row r="1" spans="1:6">
      <c r="A1" s="476" t="s">
        <v>309</v>
      </c>
      <c r="B1" s="590" t="s">
        <v>310</v>
      </c>
      <c r="C1" s="590" t="s">
        <v>311</v>
      </c>
      <c r="D1" s="590" t="s">
        <v>312</v>
      </c>
      <c r="E1" s="591" t="s">
        <v>296</v>
      </c>
      <c r="F1" s="590" t="s">
        <v>313</v>
      </c>
    </row>
    <row r="2" spans="1:6">
      <c r="A2" s="476">
        <v>39448</v>
      </c>
      <c r="B2" s="590">
        <v>362500</v>
      </c>
      <c r="C2" s="590">
        <v>0</v>
      </c>
      <c r="D2" s="590">
        <v>12500</v>
      </c>
      <c r="E2" s="591">
        <f>B2+C2-D2</f>
        <v>350000</v>
      </c>
      <c r="F2" t="s">
        <v>314</v>
      </c>
    </row>
    <row r="3" spans="1:6">
      <c r="A3" s="476">
        <v>39479</v>
      </c>
      <c r="B3" s="590">
        <f t="shared" ref="B3:B45" si="0">E2</f>
        <v>350000</v>
      </c>
      <c r="C3" s="590">
        <v>0</v>
      </c>
      <c r="D3" s="590">
        <v>12500</v>
      </c>
      <c r="E3" s="591">
        <f t="shared" ref="E3:E45" si="1">B3+C3-D3</f>
        <v>337500</v>
      </c>
      <c r="F3" t="s">
        <v>315</v>
      </c>
    </row>
    <row r="4" spans="1:6">
      <c r="A4" s="476">
        <v>39508</v>
      </c>
      <c r="B4" s="590">
        <f t="shared" si="0"/>
        <v>337500</v>
      </c>
      <c r="C4" s="590">
        <v>0</v>
      </c>
      <c r="D4" s="590">
        <v>12500</v>
      </c>
      <c r="E4" s="591">
        <f t="shared" si="1"/>
        <v>325000</v>
      </c>
      <c r="F4" t="s">
        <v>314</v>
      </c>
    </row>
    <row r="5" spans="1:6">
      <c r="A5" s="476">
        <v>39539</v>
      </c>
      <c r="B5" s="590">
        <f t="shared" si="0"/>
        <v>325000</v>
      </c>
      <c r="C5" s="590">
        <v>0</v>
      </c>
      <c r="D5" s="590">
        <v>12500</v>
      </c>
      <c r="E5" s="591">
        <f t="shared" si="1"/>
        <v>312500</v>
      </c>
      <c r="F5" t="s">
        <v>314</v>
      </c>
    </row>
    <row r="6" spans="1:6">
      <c r="A6" s="476">
        <v>39569</v>
      </c>
      <c r="B6" s="590">
        <f t="shared" si="0"/>
        <v>312500</v>
      </c>
      <c r="C6" s="590">
        <v>0</v>
      </c>
      <c r="D6" s="590">
        <v>12500</v>
      </c>
      <c r="E6" s="591">
        <f t="shared" si="1"/>
        <v>300000</v>
      </c>
      <c r="F6" t="s">
        <v>314</v>
      </c>
    </row>
    <row r="7" spans="1:6">
      <c r="A7" s="476">
        <v>39600</v>
      </c>
      <c r="B7" s="590">
        <f t="shared" si="0"/>
        <v>300000</v>
      </c>
      <c r="C7" s="590">
        <v>0</v>
      </c>
      <c r="D7" s="590">
        <v>12500</v>
      </c>
      <c r="E7" s="591">
        <f t="shared" si="1"/>
        <v>287500</v>
      </c>
      <c r="F7" t="s">
        <v>314</v>
      </c>
    </row>
    <row r="8" spans="1:6">
      <c r="A8" s="476">
        <v>39630</v>
      </c>
      <c r="B8" s="590">
        <f t="shared" si="0"/>
        <v>287500</v>
      </c>
      <c r="C8" s="590">
        <v>0</v>
      </c>
      <c r="D8" s="590">
        <v>12500</v>
      </c>
      <c r="E8" s="591">
        <f t="shared" si="1"/>
        <v>275000</v>
      </c>
      <c r="F8" t="s">
        <v>297</v>
      </c>
    </row>
    <row r="9" spans="1:6">
      <c r="A9" s="476">
        <v>39661</v>
      </c>
      <c r="B9" s="590">
        <f t="shared" si="0"/>
        <v>275000</v>
      </c>
      <c r="C9" s="590">
        <v>0</v>
      </c>
      <c r="D9" s="590">
        <v>12500</v>
      </c>
      <c r="E9" s="591">
        <f t="shared" si="1"/>
        <v>262500</v>
      </c>
      <c r="F9" t="s">
        <v>297</v>
      </c>
    </row>
    <row r="10" spans="1:6">
      <c r="A10" s="476">
        <v>39692</v>
      </c>
      <c r="B10" s="590">
        <f t="shared" si="0"/>
        <v>262500</v>
      </c>
      <c r="C10" s="590">
        <v>30366</v>
      </c>
      <c r="D10" s="590">
        <v>12500</v>
      </c>
      <c r="E10" s="591">
        <f t="shared" si="1"/>
        <v>280366</v>
      </c>
      <c r="F10" t="s">
        <v>316</v>
      </c>
    </row>
    <row r="11" spans="1:6">
      <c r="A11" s="476">
        <v>39722</v>
      </c>
      <c r="B11" s="590">
        <f t="shared" si="0"/>
        <v>280366</v>
      </c>
      <c r="C11" s="590">
        <v>0</v>
      </c>
      <c r="D11" s="590">
        <v>12500</v>
      </c>
      <c r="E11" s="591">
        <f t="shared" si="1"/>
        <v>267866</v>
      </c>
      <c r="F11" t="s">
        <v>297</v>
      </c>
    </row>
    <row r="12" spans="1:6">
      <c r="A12" s="476">
        <v>39753</v>
      </c>
      <c r="B12" s="590">
        <f t="shared" si="0"/>
        <v>267866</v>
      </c>
      <c r="C12" s="590">
        <v>0</v>
      </c>
      <c r="D12" s="590">
        <v>12500</v>
      </c>
      <c r="E12" s="591">
        <f t="shared" si="1"/>
        <v>255366</v>
      </c>
      <c r="F12" t="s">
        <v>315</v>
      </c>
    </row>
    <row r="13" spans="1:6">
      <c r="A13" s="476">
        <v>39783</v>
      </c>
      <c r="B13" s="590">
        <f t="shared" si="0"/>
        <v>255366</v>
      </c>
      <c r="C13" s="590">
        <v>0</v>
      </c>
      <c r="D13" s="590">
        <v>12500</v>
      </c>
      <c r="E13" s="591">
        <f t="shared" si="1"/>
        <v>242866</v>
      </c>
      <c r="F13" t="s">
        <v>314</v>
      </c>
    </row>
    <row r="14" spans="1:6">
      <c r="A14" s="476">
        <v>39814</v>
      </c>
      <c r="B14" s="590">
        <f t="shared" si="0"/>
        <v>242866</v>
      </c>
      <c r="C14" s="590">
        <v>0</v>
      </c>
      <c r="D14" s="590">
        <v>12500</v>
      </c>
      <c r="E14" s="591">
        <f t="shared" si="1"/>
        <v>230366</v>
      </c>
      <c r="F14" t="s">
        <v>315</v>
      </c>
    </row>
    <row r="15" spans="1:6">
      <c r="A15" s="476">
        <v>39845</v>
      </c>
      <c r="B15" s="590">
        <f t="shared" si="0"/>
        <v>230366</v>
      </c>
      <c r="C15" s="590">
        <v>5000</v>
      </c>
      <c r="D15" s="590">
        <v>12500</v>
      </c>
      <c r="E15" s="591">
        <f t="shared" si="1"/>
        <v>222866</v>
      </c>
      <c r="F15" t="s">
        <v>317</v>
      </c>
    </row>
    <row r="16" spans="1:6">
      <c r="A16" s="476">
        <v>39873</v>
      </c>
      <c r="B16" s="590">
        <f t="shared" si="0"/>
        <v>222866</v>
      </c>
      <c r="C16" s="590">
        <v>18000</v>
      </c>
      <c r="D16" s="590">
        <v>12500</v>
      </c>
      <c r="E16" s="591">
        <f t="shared" si="1"/>
        <v>228366</v>
      </c>
      <c r="F16" t="s">
        <v>318</v>
      </c>
    </row>
    <row r="17" spans="1:6">
      <c r="A17" s="476">
        <v>39904</v>
      </c>
      <c r="B17" s="590">
        <f t="shared" si="0"/>
        <v>228366</v>
      </c>
      <c r="C17" s="590">
        <v>11000</v>
      </c>
      <c r="D17" s="590">
        <v>12500</v>
      </c>
      <c r="E17" s="591">
        <f t="shared" si="1"/>
        <v>226866</v>
      </c>
      <c r="F17" t="s">
        <v>298</v>
      </c>
    </row>
    <row r="18" spans="1:6">
      <c r="A18" s="476">
        <v>39934</v>
      </c>
      <c r="B18" s="590">
        <f t="shared" si="0"/>
        <v>226866</v>
      </c>
      <c r="C18" s="590">
        <v>0</v>
      </c>
      <c r="D18" s="590">
        <v>4000</v>
      </c>
      <c r="E18" s="591">
        <f t="shared" si="1"/>
        <v>222866</v>
      </c>
      <c r="F18" t="s">
        <v>319</v>
      </c>
    </row>
    <row r="19" spans="1:6">
      <c r="A19" s="476">
        <v>40026</v>
      </c>
      <c r="B19" s="590">
        <f t="shared" si="0"/>
        <v>222866</v>
      </c>
      <c r="C19" s="590">
        <v>11000</v>
      </c>
      <c r="D19" s="590">
        <v>0</v>
      </c>
      <c r="E19" s="591">
        <f t="shared" si="1"/>
        <v>233866</v>
      </c>
      <c r="F19" t="s">
        <v>320</v>
      </c>
    </row>
    <row r="20" spans="1:6">
      <c r="A20" s="476">
        <v>40057</v>
      </c>
      <c r="B20" s="590">
        <f t="shared" si="0"/>
        <v>233866</v>
      </c>
      <c r="C20" s="590">
        <v>0</v>
      </c>
      <c r="D20" s="590">
        <v>4900</v>
      </c>
      <c r="E20" s="591">
        <f t="shared" si="1"/>
        <v>228966</v>
      </c>
      <c r="F20" t="s">
        <v>321</v>
      </c>
    </row>
    <row r="21" spans="1:6">
      <c r="A21" s="476">
        <v>40087</v>
      </c>
      <c r="B21" s="590">
        <f t="shared" si="0"/>
        <v>228966</v>
      </c>
      <c r="C21" s="590">
        <v>5100</v>
      </c>
      <c r="D21" s="590">
        <v>0</v>
      </c>
      <c r="E21" s="591">
        <f t="shared" si="1"/>
        <v>234066</v>
      </c>
      <c r="F21" t="s">
        <v>299</v>
      </c>
    </row>
    <row r="22" spans="1:6">
      <c r="A22" s="476">
        <v>40118</v>
      </c>
      <c r="B22" s="590">
        <f t="shared" si="0"/>
        <v>234066</v>
      </c>
      <c r="C22" s="590">
        <v>0</v>
      </c>
      <c r="D22" s="590">
        <v>4900</v>
      </c>
      <c r="E22" s="591">
        <f t="shared" si="1"/>
        <v>229166</v>
      </c>
      <c r="F22" t="s">
        <v>300</v>
      </c>
    </row>
    <row r="23" spans="1:6">
      <c r="A23" s="476">
        <v>40148</v>
      </c>
      <c r="B23" s="590">
        <f t="shared" si="0"/>
        <v>229166</v>
      </c>
      <c r="C23" s="590">
        <v>0</v>
      </c>
      <c r="D23" s="590">
        <v>4900</v>
      </c>
      <c r="E23" s="592">
        <f t="shared" si="1"/>
        <v>224266</v>
      </c>
      <c r="F23" t="s">
        <v>300</v>
      </c>
    </row>
    <row r="24" spans="1:6">
      <c r="A24" s="476">
        <v>40179</v>
      </c>
      <c r="B24" s="590">
        <f t="shared" si="0"/>
        <v>224266</v>
      </c>
      <c r="C24" s="590">
        <v>0</v>
      </c>
      <c r="D24" s="590">
        <v>4900</v>
      </c>
      <c r="E24" s="591">
        <f t="shared" si="1"/>
        <v>219366</v>
      </c>
      <c r="F24" t="s">
        <v>300</v>
      </c>
    </row>
    <row r="25" spans="1:6">
      <c r="A25" s="476">
        <v>40210</v>
      </c>
      <c r="B25" s="590">
        <f t="shared" si="0"/>
        <v>219366</v>
      </c>
      <c r="C25" s="590">
        <v>0</v>
      </c>
      <c r="D25" s="590">
        <f>4900+3600/2+8000/2</f>
        <v>10700</v>
      </c>
      <c r="E25" s="591">
        <f t="shared" si="1"/>
        <v>208666</v>
      </c>
      <c r="F25" t="s">
        <v>301</v>
      </c>
    </row>
    <row r="26" spans="1:6">
      <c r="A26" s="476">
        <v>40238</v>
      </c>
      <c r="B26" s="590">
        <f t="shared" si="0"/>
        <v>208666</v>
      </c>
      <c r="C26" s="590">
        <v>0</v>
      </c>
      <c r="D26" s="590">
        <v>4900</v>
      </c>
      <c r="E26" s="593">
        <f t="shared" si="1"/>
        <v>203766</v>
      </c>
      <c r="F26" t="s">
        <v>300</v>
      </c>
    </row>
    <row r="27" spans="1:6">
      <c r="A27" s="476">
        <v>40269</v>
      </c>
      <c r="B27" s="590">
        <f t="shared" si="0"/>
        <v>203766</v>
      </c>
      <c r="C27" s="590">
        <v>0</v>
      </c>
      <c r="D27" s="590">
        <v>7100</v>
      </c>
      <c r="E27" s="591">
        <f t="shared" si="1"/>
        <v>196666</v>
      </c>
      <c r="F27" t="s">
        <v>302</v>
      </c>
    </row>
    <row r="28" spans="1:6">
      <c r="A28" s="476">
        <v>40299</v>
      </c>
      <c r="B28" s="590">
        <f t="shared" si="0"/>
        <v>196666</v>
      </c>
      <c r="C28" s="590">
        <v>0</v>
      </c>
      <c r="D28" s="590">
        <v>7100</v>
      </c>
      <c r="E28" s="591">
        <f t="shared" si="1"/>
        <v>189566</v>
      </c>
      <c r="F28" t="s">
        <v>302</v>
      </c>
    </row>
    <row r="29" spans="1:6">
      <c r="A29" s="476">
        <v>40330</v>
      </c>
      <c r="B29" s="590">
        <f t="shared" si="0"/>
        <v>189566</v>
      </c>
      <c r="C29" s="590">
        <v>0</v>
      </c>
      <c r="D29" s="590">
        <v>7100</v>
      </c>
      <c r="E29" s="591">
        <f t="shared" si="1"/>
        <v>182466</v>
      </c>
      <c r="F29" t="s">
        <v>302</v>
      </c>
    </row>
    <row r="30" spans="1:6">
      <c r="A30" s="476">
        <v>40360</v>
      </c>
      <c r="B30" s="590">
        <f t="shared" si="0"/>
        <v>182466</v>
      </c>
      <c r="C30" s="590">
        <v>0</v>
      </c>
      <c r="D30" s="590">
        <v>7100</v>
      </c>
      <c r="E30" s="591">
        <f t="shared" si="1"/>
        <v>175366</v>
      </c>
      <c r="F30" t="s">
        <v>302</v>
      </c>
    </row>
    <row r="31" spans="1:6">
      <c r="A31" s="476">
        <v>40391</v>
      </c>
      <c r="B31" s="590">
        <f t="shared" si="0"/>
        <v>175366</v>
      </c>
      <c r="C31" s="590">
        <v>0</v>
      </c>
      <c r="D31" s="590">
        <v>7100</v>
      </c>
      <c r="E31" s="591">
        <f t="shared" si="1"/>
        <v>168266</v>
      </c>
      <c r="F31" t="s">
        <v>302</v>
      </c>
    </row>
    <row r="32" spans="1:6">
      <c r="A32" s="476">
        <v>40422</v>
      </c>
      <c r="B32" s="590">
        <f t="shared" si="0"/>
        <v>168266</v>
      </c>
      <c r="C32" s="590">
        <v>0</v>
      </c>
      <c r="D32" s="590">
        <v>7100</v>
      </c>
      <c r="E32" s="591">
        <f t="shared" si="1"/>
        <v>161166</v>
      </c>
      <c r="F32" t="s">
        <v>302</v>
      </c>
    </row>
    <row r="33" spans="1:8">
      <c r="A33" s="476">
        <v>40452</v>
      </c>
      <c r="B33" s="590">
        <f t="shared" si="0"/>
        <v>161166</v>
      </c>
      <c r="C33" s="590">
        <v>0</v>
      </c>
      <c r="D33" s="590">
        <v>7100</v>
      </c>
      <c r="E33" s="591">
        <f t="shared" si="1"/>
        <v>154066</v>
      </c>
      <c r="F33" t="s">
        <v>302</v>
      </c>
    </row>
    <row r="34" spans="1:8">
      <c r="A34" s="476">
        <v>40483</v>
      </c>
      <c r="B34" s="590">
        <f t="shared" si="0"/>
        <v>154066</v>
      </c>
      <c r="C34" s="590">
        <v>0</v>
      </c>
      <c r="D34" s="590">
        <v>7100</v>
      </c>
      <c r="E34" s="591">
        <f t="shared" si="1"/>
        <v>146966</v>
      </c>
      <c r="F34" t="s">
        <v>302</v>
      </c>
    </row>
    <row r="35" spans="1:8">
      <c r="A35" s="476">
        <v>40513</v>
      </c>
      <c r="B35" s="590">
        <f t="shared" si="0"/>
        <v>146966</v>
      </c>
      <c r="C35" s="590">
        <v>0</v>
      </c>
      <c r="D35" s="590">
        <v>7100</v>
      </c>
      <c r="E35" s="591">
        <f t="shared" si="1"/>
        <v>139866</v>
      </c>
      <c r="F35" t="s">
        <v>302</v>
      </c>
      <c r="G35" t="s">
        <v>303</v>
      </c>
      <c r="H35" s="594">
        <f>D35*12</f>
        <v>85200</v>
      </c>
    </row>
    <row r="36" spans="1:8">
      <c r="A36" s="476">
        <v>40539</v>
      </c>
      <c r="B36" s="590">
        <f t="shared" si="0"/>
        <v>139866</v>
      </c>
      <c r="C36" s="590">
        <f>'[1]2011 更新'!C11+'[1]2011 更新'!C16</f>
        <v>96260</v>
      </c>
      <c r="D36" s="590">
        <v>0</v>
      </c>
      <c r="E36" s="591">
        <f t="shared" si="1"/>
        <v>236126</v>
      </c>
      <c r="F36" t="s">
        <v>304</v>
      </c>
    </row>
    <row r="37" spans="1:8">
      <c r="A37" s="476">
        <v>40540</v>
      </c>
      <c r="B37" s="590">
        <f t="shared" si="0"/>
        <v>236126</v>
      </c>
      <c r="C37" s="590">
        <f>(G37-H37)*9*2</f>
        <v>2448</v>
      </c>
      <c r="D37" s="590">
        <v>0</v>
      </c>
      <c r="E37" s="591">
        <f t="shared" si="1"/>
        <v>238574</v>
      </c>
      <c r="F37" t="s">
        <v>305</v>
      </c>
      <c r="G37">
        <v>859</v>
      </c>
      <c r="H37">
        <v>723</v>
      </c>
    </row>
    <row r="38" spans="1:8">
      <c r="A38" s="476">
        <v>40544</v>
      </c>
      <c r="B38" s="590">
        <f t="shared" si="0"/>
        <v>238574</v>
      </c>
      <c r="C38" s="590">
        <v>0</v>
      </c>
      <c r="D38" s="590">
        <v>6800</v>
      </c>
      <c r="E38" s="591">
        <f t="shared" si="1"/>
        <v>231774</v>
      </c>
      <c r="F38" t="s">
        <v>306</v>
      </c>
    </row>
    <row r="39" spans="1:8">
      <c r="A39" s="476">
        <v>40575</v>
      </c>
      <c r="B39" s="590">
        <f t="shared" si="0"/>
        <v>231774</v>
      </c>
      <c r="C39" s="590">
        <v>0</v>
      </c>
      <c r="D39" s="590">
        <v>6800</v>
      </c>
      <c r="E39" s="591">
        <f t="shared" si="1"/>
        <v>224974</v>
      </c>
      <c r="F39" t="s">
        <v>306</v>
      </c>
    </row>
    <row r="40" spans="1:8">
      <c r="A40" s="476">
        <v>40603</v>
      </c>
      <c r="B40" s="590">
        <f t="shared" si="0"/>
        <v>224974</v>
      </c>
      <c r="C40" s="590">
        <v>0</v>
      </c>
      <c r="D40" s="590">
        <v>6800</v>
      </c>
      <c r="E40" s="591">
        <f t="shared" si="1"/>
        <v>218174</v>
      </c>
      <c r="F40" t="s">
        <v>306</v>
      </c>
    </row>
    <row r="41" spans="1:8">
      <c r="A41" s="476">
        <v>40634</v>
      </c>
      <c r="B41" s="590">
        <f t="shared" si="0"/>
        <v>218174</v>
      </c>
      <c r="C41" s="590">
        <v>0</v>
      </c>
      <c r="D41" s="590">
        <v>6800</v>
      </c>
      <c r="E41" s="591">
        <f t="shared" si="1"/>
        <v>211374</v>
      </c>
      <c r="F41" t="s">
        <v>306</v>
      </c>
    </row>
    <row r="42" spans="1:8">
      <c r="A42" s="476">
        <v>40664</v>
      </c>
      <c r="B42" s="590">
        <f t="shared" si="0"/>
        <v>211374</v>
      </c>
      <c r="C42" s="590">
        <v>0</v>
      </c>
      <c r="D42" s="590">
        <v>6800</v>
      </c>
      <c r="E42" s="591">
        <f t="shared" si="1"/>
        <v>204574</v>
      </c>
      <c r="F42" t="s">
        <v>306</v>
      </c>
    </row>
    <row r="43" spans="1:8">
      <c r="A43" s="476">
        <v>40695</v>
      </c>
      <c r="B43" s="590">
        <f t="shared" si="0"/>
        <v>204574</v>
      </c>
      <c r="C43" s="590">
        <v>0</v>
      </c>
      <c r="D43" s="590">
        <v>6800</v>
      </c>
      <c r="E43" s="591">
        <f t="shared" si="1"/>
        <v>197774</v>
      </c>
      <c r="F43" t="s">
        <v>306</v>
      </c>
    </row>
    <row r="44" spans="1:8">
      <c r="A44" s="476">
        <v>40725</v>
      </c>
      <c r="B44" s="590">
        <f t="shared" si="0"/>
        <v>197774</v>
      </c>
      <c r="C44" s="590">
        <v>0</v>
      </c>
      <c r="D44" s="590">
        <v>6800</v>
      </c>
      <c r="E44" s="591">
        <f t="shared" si="1"/>
        <v>190974</v>
      </c>
      <c r="F44" s="595" t="s">
        <v>307</v>
      </c>
    </row>
    <row r="45" spans="1:8">
      <c r="A45" s="476">
        <v>40756</v>
      </c>
      <c r="B45" s="590">
        <f t="shared" si="0"/>
        <v>190974</v>
      </c>
      <c r="C45" s="590">
        <v>0</v>
      </c>
      <c r="D45" s="590">
        <v>6800</v>
      </c>
      <c r="E45" s="596">
        <f t="shared" si="1"/>
        <v>184174</v>
      </c>
      <c r="F45" t="s">
        <v>306</v>
      </c>
    </row>
    <row r="46" spans="1:8">
      <c r="A46" s="476">
        <v>40787</v>
      </c>
      <c r="B46" s="590">
        <f>E45</f>
        <v>184174</v>
      </c>
      <c r="C46" s="590">
        <v>0</v>
      </c>
      <c r="D46" s="590">
        <v>6800</v>
      </c>
      <c r="E46" s="596">
        <f>B46+C46-D46</f>
        <v>177374</v>
      </c>
      <c r="F46" t="s">
        <v>306</v>
      </c>
    </row>
    <row r="47" spans="1:8">
      <c r="A47" s="476">
        <v>40817</v>
      </c>
      <c r="B47" s="590">
        <f>E46</f>
        <v>177374</v>
      </c>
      <c r="C47" s="590">
        <v>0</v>
      </c>
      <c r="D47" s="590">
        <v>6800</v>
      </c>
      <c r="E47" s="596">
        <f>B47+C47-D47</f>
        <v>170574</v>
      </c>
      <c r="F47" t="s">
        <v>306</v>
      </c>
    </row>
    <row r="48" spans="1:8">
      <c r="A48" s="476">
        <v>40848</v>
      </c>
      <c r="B48" s="590">
        <f>E47</f>
        <v>170574</v>
      </c>
      <c r="C48" s="590">
        <v>0</v>
      </c>
      <c r="D48" s="590">
        <v>6800</v>
      </c>
      <c r="E48" s="596">
        <f>B48+C48-D48</f>
        <v>163774</v>
      </c>
      <c r="F48" t="s">
        <v>306</v>
      </c>
    </row>
    <row r="49" spans="1:12">
      <c r="A49" s="476">
        <v>40878</v>
      </c>
      <c r="B49" s="590">
        <f>E48</f>
        <v>163774</v>
      </c>
      <c r="C49" s="590">
        <v>0</v>
      </c>
      <c r="D49" s="590">
        <v>6800</v>
      </c>
      <c r="E49" s="596">
        <f>B49+C49-D49</f>
        <v>156974</v>
      </c>
      <c r="F49" t="s">
        <v>306</v>
      </c>
    </row>
    <row r="50" spans="1:12">
      <c r="A50" s="476">
        <v>40909</v>
      </c>
      <c r="B50" s="590">
        <f t="shared" ref="B50:B102" si="2">E49</f>
        <v>156974</v>
      </c>
      <c r="C50" s="590">
        <v>0</v>
      </c>
      <c r="D50" s="590">
        <v>6800</v>
      </c>
      <c r="E50" s="596">
        <f t="shared" ref="E50:E102" si="3">B50+C50-D50</f>
        <v>150174</v>
      </c>
      <c r="F50" t="s">
        <v>306</v>
      </c>
    </row>
    <row r="51" spans="1:12">
      <c r="A51" s="476">
        <v>40940</v>
      </c>
      <c r="B51" s="590">
        <f t="shared" si="2"/>
        <v>150174</v>
      </c>
      <c r="C51" s="590">
        <v>0</v>
      </c>
      <c r="D51" s="590">
        <v>6800</v>
      </c>
      <c r="E51" s="596">
        <f t="shared" si="3"/>
        <v>143374</v>
      </c>
      <c r="F51" t="s">
        <v>306</v>
      </c>
    </row>
    <row r="52" spans="1:12">
      <c r="A52" s="476">
        <v>40969</v>
      </c>
      <c r="B52" s="590">
        <f t="shared" si="2"/>
        <v>143374</v>
      </c>
      <c r="C52" s="590">
        <v>0</v>
      </c>
      <c r="D52" s="590">
        <v>6800</v>
      </c>
      <c r="E52" s="596">
        <f t="shared" si="3"/>
        <v>136574</v>
      </c>
      <c r="F52" t="s">
        <v>306</v>
      </c>
    </row>
    <row r="53" spans="1:12">
      <c r="A53" s="476">
        <v>41000</v>
      </c>
      <c r="B53" s="590">
        <f t="shared" si="2"/>
        <v>136574</v>
      </c>
      <c r="C53" s="590">
        <v>0</v>
      </c>
      <c r="D53" s="590">
        <v>6800</v>
      </c>
      <c r="E53" s="596">
        <f t="shared" si="3"/>
        <v>129774</v>
      </c>
      <c r="F53" t="s">
        <v>306</v>
      </c>
    </row>
    <row r="54" spans="1:12">
      <c r="A54" s="476">
        <v>41030</v>
      </c>
      <c r="B54" s="590">
        <f t="shared" si="2"/>
        <v>129774</v>
      </c>
      <c r="C54" s="590">
        <v>0</v>
      </c>
      <c r="D54" s="590">
        <v>6800</v>
      </c>
      <c r="E54" s="596">
        <f t="shared" si="3"/>
        <v>122974</v>
      </c>
      <c r="F54" t="s">
        <v>306</v>
      </c>
    </row>
    <row r="55" spans="1:12">
      <c r="A55" s="476">
        <v>41061</v>
      </c>
      <c r="B55" s="590">
        <f t="shared" si="2"/>
        <v>122974</v>
      </c>
      <c r="C55" s="590">
        <v>0</v>
      </c>
      <c r="D55" s="590">
        <v>6800</v>
      </c>
      <c r="E55" s="596">
        <f t="shared" si="3"/>
        <v>116174</v>
      </c>
      <c r="F55" t="s">
        <v>306</v>
      </c>
    </row>
    <row r="56" spans="1:12" ht="16.5" thickBot="1">
      <c r="A56" s="478">
        <v>41091</v>
      </c>
      <c r="B56" s="597">
        <f t="shared" si="2"/>
        <v>116174</v>
      </c>
      <c r="C56" s="597">
        <v>0</v>
      </c>
      <c r="D56" s="597">
        <v>6800</v>
      </c>
      <c r="E56" s="598">
        <f t="shared" si="3"/>
        <v>109374</v>
      </c>
      <c r="F56" s="599" t="s">
        <v>306</v>
      </c>
      <c r="G56" s="599"/>
      <c r="H56" s="599"/>
    </row>
    <row r="57" spans="1:12" ht="16.5" thickTop="1">
      <c r="A57" s="476">
        <v>41122</v>
      </c>
      <c r="B57" s="590">
        <f t="shared" si="2"/>
        <v>109374</v>
      </c>
      <c r="C57" s="600">
        <f>K73</f>
        <v>187170</v>
      </c>
      <c r="D57" s="590">
        <v>10000</v>
      </c>
      <c r="E57" s="596">
        <f t="shared" si="3"/>
        <v>286544</v>
      </c>
      <c r="F57" t="s">
        <v>308</v>
      </c>
      <c r="J57" s="631" t="s">
        <v>322</v>
      </c>
      <c r="K57" s="632"/>
      <c r="L57" s="633"/>
    </row>
    <row r="58" spans="1:12">
      <c r="A58" s="476">
        <v>41153</v>
      </c>
      <c r="B58" s="590">
        <f t="shared" si="2"/>
        <v>286544</v>
      </c>
      <c r="C58" s="590">
        <v>0</v>
      </c>
      <c r="D58" s="590">
        <v>10000</v>
      </c>
      <c r="E58" s="596">
        <f t="shared" si="3"/>
        <v>276544</v>
      </c>
      <c r="F58" t="s">
        <v>308</v>
      </c>
      <c r="J58" s="601" t="s">
        <v>323</v>
      </c>
      <c r="K58" s="602">
        <v>7500</v>
      </c>
      <c r="L58" s="603" t="s">
        <v>324</v>
      </c>
    </row>
    <row r="59" spans="1:12">
      <c r="A59" s="476">
        <v>41183</v>
      </c>
      <c r="B59" s="590">
        <f t="shared" si="2"/>
        <v>276544</v>
      </c>
      <c r="C59" s="590">
        <v>0</v>
      </c>
      <c r="D59" s="590">
        <v>10000</v>
      </c>
      <c r="E59" s="596">
        <f t="shared" si="3"/>
        <v>266544</v>
      </c>
      <c r="F59" t="s">
        <v>308</v>
      </c>
      <c r="J59" s="604">
        <v>41153</v>
      </c>
      <c r="K59" s="602">
        <v>4749</v>
      </c>
      <c r="L59" s="603" t="s">
        <v>325</v>
      </c>
    </row>
    <row r="60" spans="1:12">
      <c r="A60" s="476">
        <v>41214</v>
      </c>
      <c r="B60" s="590">
        <f t="shared" si="2"/>
        <v>266544</v>
      </c>
      <c r="C60" s="590">
        <v>0</v>
      </c>
      <c r="D60" s="590">
        <v>10000</v>
      </c>
      <c r="E60" s="596">
        <f t="shared" si="3"/>
        <v>256544</v>
      </c>
      <c r="F60" t="s">
        <v>308</v>
      </c>
      <c r="J60" s="601" t="s">
        <v>326</v>
      </c>
      <c r="K60" s="602">
        <f>3200+4500*5</f>
        <v>25700</v>
      </c>
      <c r="L60" s="603" t="s">
        <v>327</v>
      </c>
    </row>
    <row r="61" spans="1:12" ht="16.5" thickBot="1">
      <c r="A61" s="478">
        <v>41244</v>
      </c>
      <c r="B61" s="597">
        <f t="shared" si="2"/>
        <v>256544</v>
      </c>
      <c r="C61" s="597">
        <v>0</v>
      </c>
      <c r="D61" s="597">
        <v>10000</v>
      </c>
      <c r="E61" s="598">
        <f t="shared" si="3"/>
        <v>246544</v>
      </c>
      <c r="F61" s="599" t="s">
        <v>308</v>
      </c>
      <c r="G61" s="599"/>
      <c r="H61" s="599"/>
      <c r="J61" s="604">
        <v>41325</v>
      </c>
      <c r="K61" s="602">
        <v>6993</v>
      </c>
      <c r="L61" s="603" t="s">
        <v>328</v>
      </c>
    </row>
    <row r="62" spans="1:12" ht="16.5" thickTop="1">
      <c r="A62" s="476">
        <v>41275</v>
      </c>
      <c r="B62" s="590">
        <f t="shared" si="2"/>
        <v>246544</v>
      </c>
      <c r="C62" s="590">
        <v>0</v>
      </c>
      <c r="D62" s="590">
        <v>10000</v>
      </c>
      <c r="E62" s="596">
        <f t="shared" si="3"/>
        <v>236544</v>
      </c>
      <c r="F62" t="s">
        <v>308</v>
      </c>
      <c r="J62" s="601" t="s">
        <v>329</v>
      </c>
      <c r="K62" s="602">
        <f>3200+4500*5</f>
        <v>25700</v>
      </c>
      <c r="L62" s="603" t="s">
        <v>330</v>
      </c>
    </row>
    <row r="63" spans="1:12">
      <c r="A63" s="476">
        <v>41306</v>
      </c>
      <c r="B63" s="590">
        <f t="shared" si="2"/>
        <v>236544</v>
      </c>
      <c r="C63" s="590">
        <v>0</v>
      </c>
      <c r="D63" s="590">
        <v>10000</v>
      </c>
      <c r="E63" s="596">
        <f t="shared" si="3"/>
        <v>226544</v>
      </c>
      <c r="F63" t="s">
        <v>308</v>
      </c>
      <c r="J63" s="601" t="s">
        <v>331</v>
      </c>
      <c r="K63" s="602">
        <f>4000*7</f>
        <v>28000</v>
      </c>
      <c r="L63" s="605" t="s">
        <v>332</v>
      </c>
    </row>
    <row r="64" spans="1:12">
      <c r="A64" s="476">
        <v>41334</v>
      </c>
      <c r="B64" s="590">
        <f t="shared" si="2"/>
        <v>226544</v>
      </c>
      <c r="C64" s="590">
        <v>0</v>
      </c>
      <c r="D64" s="590">
        <v>10000</v>
      </c>
      <c r="E64" s="596">
        <f t="shared" si="3"/>
        <v>216544</v>
      </c>
      <c r="F64" t="s">
        <v>308</v>
      </c>
      <c r="J64" s="601" t="s">
        <v>333</v>
      </c>
      <c r="K64" s="602">
        <f>5500*2</f>
        <v>11000</v>
      </c>
      <c r="L64" s="605" t="s">
        <v>334</v>
      </c>
    </row>
    <row r="65" spans="1:12">
      <c r="A65" s="476">
        <v>41365</v>
      </c>
      <c r="B65" s="590">
        <f t="shared" si="2"/>
        <v>216544</v>
      </c>
      <c r="C65" s="590">
        <v>0</v>
      </c>
      <c r="D65" s="590">
        <v>10000</v>
      </c>
      <c r="E65" s="596">
        <f t="shared" si="3"/>
        <v>206544</v>
      </c>
      <c r="F65" t="s">
        <v>308</v>
      </c>
      <c r="J65" s="604">
        <v>41518</v>
      </c>
      <c r="K65" s="602">
        <v>5314</v>
      </c>
      <c r="L65" s="603" t="s">
        <v>335</v>
      </c>
    </row>
    <row r="66" spans="1:12">
      <c r="A66" s="476">
        <v>41395</v>
      </c>
      <c r="B66" s="590">
        <f t="shared" si="2"/>
        <v>206544</v>
      </c>
      <c r="C66" s="590">
        <v>0</v>
      </c>
      <c r="D66" s="590">
        <v>10000</v>
      </c>
      <c r="E66" s="596">
        <f t="shared" si="3"/>
        <v>196544</v>
      </c>
      <c r="F66" t="s">
        <v>308</v>
      </c>
      <c r="J66" s="604">
        <v>41518</v>
      </c>
      <c r="K66" s="602">
        <v>4550</v>
      </c>
      <c r="L66" s="603" t="s">
        <v>336</v>
      </c>
    </row>
    <row r="67" spans="1:12">
      <c r="A67" s="476">
        <v>41426</v>
      </c>
      <c r="B67" s="590">
        <f t="shared" si="2"/>
        <v>196544</v>
      </c>
      <c r="C67" s="590">
        <v>0</v>
      </c>
      <c r="D67" s="590">
        <v>10000</v>
      </c>
      <c r="E67" s="596">
        <f t="shared" si="3"/>
        <v>186544</v>
      </c>
      <c r="F67" t="s">
        <v>308</v>
      </c>
      <c r="J67" s="601" t="s">
        <v>337</v>
      </c>
      <c r="K67" s="602">
        <f>5000*4</f>
        <v>20000</v>
      </c>
      <c r="L67" s="605" t="s">
        <v>338</v>
      </c>
    </row>
    <row r="68" spans="1:12">
      <c r="A68" s="476">
        <v>41456</v>
      </c>
      <c r="B68" s="590">
        <f t="shared" si="2"/>
        <v>186544</v>
      </c>
      <c r="C68" s="590">
        <v>0</v>
      </c>
      <c r="D68" s="590">
        <v>10000</v>
      </c>
      <c r="E68" s="596">
        <f t="shared" si="3"/>
        <v>176544</v>
      </c>
      <c r="F68" t="s">
        <v>308</v>
      </c>
      <c r="J68" s="606" t="s">
        <v>339</v>
      </c>
      <c r="K68" s="607">
        <f>SUM(K58:K67)</f>
        <v>139506</v>
      </c>
      <c r="L68" s="605"/>
    </row>
    <row r="69" spans="1:12">
      <c r="A69" s="476">
        <v>41487</v>
      </c>
      <c r="B69" s="590">
        <f t="shared" si="2"/>
        <v>176544</v>
      </c>
      <c r="C69" s="590">
        <v>0</v>
      </c>
      <c r="D69" s="590">
        <v>10000</v>
      </c>
      <c r="E69" s="596">
        <f t="shared" si="3"/>
        <v>166544</v>
      </c>
      <c r="F69" t="s">
        <v>308</v>
      </c>
      <c r="J69" s="608" t="s">
        <v>340</v>
      </c>
      <c r="K69" s="602">
        <f>859*14*2</f>
        <v>24052</v>
      </c>
      <c r="L69" s="603" t="s">
        <v>341</v>
      </c>
    </row>
    <row r="70" spans="1:12">
      <c r="A70" s="476">
        <v>41518</v>
      </c>
      <c r="B70" s="590">
        <f t="shared" si="2"/>
        <v>166544</v>
      </c>
      <c r="C70" s="590">
        <v>0</v>
      </c>
      <c r="D70" s="590">
        <v>10000</v>
      </c>
      <c r="E70" s="596">
        <f t="shared" si="3"/>
        <v>156544</v>
      </c>
      <c r="F70" t="s">
        <v>308</v>
      </c>
      <c r="J70" s="608" t="s">
        <v>342</v>
      </c>
      <c r="K70" s="602">
        <f>896*3*2</f>
        <v>5376</v>
      </c>
      <c r="L70" s="603" t="s">
        <v>343</v>
      </c>
    </row>
    <row r="71" spans="1:12">
      <c r="A71" s="476">
        <v>41548</v>
      </c>
      <c r="B71" s="590">
        <f t="shared" si="2"/>
        <v>156544</v>
      </c>
      <c r="C71" s="590">
        <v>0</v>
      </c>
      <c r="D71" s="590">
        <v>10000</v>
      </c>
      <c r="E71" s="596">
        <f t="shared" si="3"/>
        <v>146544</v>
      </c>
      <c r="F71" t="s">
        <v>308</v>
      </c>
      <c r="J71" s="608" t="s">
        <v>344</v>
      </c>
      <c r="K71" s="602">
        <v>18236</v>
      </c>
      <c r="L71" s="603" t="s">
        <v>345</v>
      </c>
    </row>
    <row r="72" spans="1:12">
      <c r="A72" s="476">
        <v>41579</v>
      </c>
      <c r="B72" s="590">
        <f t="shared" si="2"/>
        <v>146544</v>
      </c>
      <c r="C72" s="590">
        <v>0</v>
      </c>
      <c r="D72" s="590">
        <v>10000</v>
      </c>
      <c r="E72" s="596">
        <f t="shared" si="3"/>
        <v>136544</v>
      </c>
      <c r="F72" t="s">
        <v>308</v>
      </c>
      <c r="J72" s="606" t="s">
        <v>346</v>
      </c>
      <c r="K72" s="607">
        <f>SUM(K69:K71)</f>
        <v>47664</v>
      </c>
      <c r="L72" s="603"/>
    </row>
    <row r="73" spans="1:12" ht="16.5" thickBot="1">
      <c r="A73" s="478">
        <v>41609</v>
      </c>
      <c r="B73" s="597">
        <f t="shared" si="2"/>
        <v>136544</v>
      </c>
      <c r="C73" s="597">
        <v>0</v>
      </c>
      <c r="D73" s="597">
        <v>10000</v>
      </c>
      <c r="E73" s="598">
        <f t="shared" si="3"/>
        <v>126544</v>
      </c>
      <c r="F73" s="599" t="s">
        <v>308</v>
      </c>
      <c r="G73" s="599"/>
      <c r="H73" s="599"/>
      <c r="I73" s="599"/>
      <c r="J73" s="609" t="s">
        <v>347</v>
      </c>
      <c r="K73" s="610">
        <f>K68+K72</f>
        <v>187170</v>
      </c>
      <c r="L73" s="611"/>
    </row>
    <row r="74" spans="1:12" ht="16.5" thickTop="1">
      <c r="A74" s="476">
        <v>41640</v>
      </c>
      <c r="B74" s="590">
        <f t="shared" si="2"/>
        <v>126544</v>
      </c>
      <c r="C74" s="590">
        <v>0</v>
      </c>
      <c r="D74" s="590">
        <v>10000</v>
      </c>
      <c r="E74" s="596">
        <f t="shared" si="3"/>
        <v>116544</v>
      </c>
      <c r="F74" t="s">
        <v>308</v>
      </c>
      <c r="J74" s="634" t="s">
        <v>348</v>
      </c>
      <c r="K74" s="635"/>
      <c r="L74" s="636"/>
    </row>
    <row r="75" spans="1:12">
      <c r="A75" s="476">
        <v>41671</v>
      </c>
      <c r="B75" s="590">
        <f t="shared" si="2"/>
        <v>116544</v>
      </c>
      <c r="C75" s="590">
        <v>0</v>
      </c>
      <c r="D75" s="590">
        <v>10000</v>
      </c>
      <c r="E75" s="596">
        <f t="shared" si="3"/>
        <v>106544</v>
      </c>
      <c r="F75" t="s">
        <v>308</v>
      </c>
      <c r="J75" s="604">
        <v>41671</v>
      </c>
      <c r="K75" s="612">
        <f>4711+2000+1000</f>
        <v>7711</v>
      </c>
      <c r="L75" s="603" t="s">
        <v>349</v>
      </c>
    </row>
    <row r="76" spans="1:12">
      <c r="A76" s="476">
        <v>41699</v>
      </c>
      <c r="B76" s="590">
        <f t="shared" si="2"/>
        <v>106544</v>
      </c>
      <c r="C76" s="590">
        <v>0</v>
      </c>
      <c r="D76" s="590">
        <v>10000</v>
      </c>
      <c r="E76" s="596">
        <f t="shared" si="3"/>
        <v>96544</v>
      </c>
      <c r="F76" t="s">
        <v>308</v>
      </c>
      <c r="J76" s="601" t="s">
        <v>350</v>
      </c>
      <c r="K76" s="612">
        <f>5000*6</f>
        <v>30000</v>
      </c>
      <c r="L76" s="605" t="s">
        <v>351</v>
      </c>
    </row>
    <row r="77" spans="1:12">
      <c r="A77" s="476">
        <v>41730</v>
      </c>
      <c r="B77" s="590">
        <f t="shared" si="2"/>
        <v>96544</v>
      </c>
      <c r="C77" s="590">
        <v>0</v>
      </c>
      <c r="D77" s="590">
        <v>10000</v>
      </c>
      <c r="E77" s="596">
        <f t="shared" si="3"/>
        <v>86544</v>
      </c>
      <c r="F77" t="s">
        <v>308</v>
      </c>
      <c r="J77" s="604">
        <v>41883</v>
      </c>
      <c r="K77" s="612">
        <f>4457+2700+450+600</f>
        <v>8207</v>
      </c>
      <c r="L77" s="603" t="s">
        <v>352</v>
      </c>
    </row>
    <row r="78" spans="1:12">
      <c r="A78" s="476">
        <v>41760</v>
      </c>
      <c r="B78" s="590">
        <f t="shared" si="2"/>
        <v>86544</v>
      </c>
      <c r="C78" s="590">
        <v>0</v>
      </c>
      <c r="D78" s="590">
        <v>10000</v>
      </c>
      <c r="E78" s="596">
        <f t="shared" si="3"/>
        <v>76544</v>
      </c>
      <c r="F78" t="s">
        <v>308</v>
      </c>
      <c r="J78" s="601" t="s">
        <v>353</v>
      </c>
      <c r="K78" s="612">
        <f>5000*2</f>
        <v>10000</v>
      </c>
      <c r="L78" s="605" t="s">
        <v>354</v>
      </c>
    </row>
    <row r="79" spans="1:12">
      <c r="A79" s="476">
        <v>41791</v>
      </c>
      <c r="B79" s="590">
        <f t="shared" si="2"/>
        <v>76544</v>
      </c>
      <c r="C79" s="590">
        <v>0</v>
      </c>
      <c r="D79" s="590">
        <v>10000</v>
      </c>
      <c r="E79" s="596">
        <f t="shared" si="3"/>
        <v>66544</v>
      </c>
      <c r="F79" t="s">
        <v>308</v>
      </c>
      <c r="J79" s="601" t="s">
        <v>355</v>
      </c>
      <c r="K79" s="612">
        <f>6800*4</f>
        <v>27200</v>
      </c>
      <c r="L79" s="603" t="s">
        <v>356</v>
      </c>
    </row>
    <row r="80" spans="1:12">
      <c r="A80" s="476">
        <v>41821</v>
      </c>
      <c r="B80" s="590">
        <f t="shared" si="2"/>
        <v>66544</v>
      </c>
      <c r="C80" s="590">
        <v>0</v>
      </c>
      <c r="D80" s="590">
        <v>10000</v>
      </c>
      <c r="E80" s="596">
        <f t="shared" si="3"/>
        <v>56544</v>
      </c>
      <c r="F80" t="s">
        <v>308</v>
      </c>
      <c r="J80" s="601" t="s">
        <v>357</v>
      </c>
      <c r="K80" s="612">
        <f>550*26</f>
        <v>14300</v>
      </c>
      <c r="L80" s="605" t="s">
        <v>358</v>
      </c>
    </row>
    <row r="81" spans="1:12">
      <c r="A81" s="476">
        <v>41852</v>
      </c>
      <c r="B81" s="590">
        <f t="shared" si="2"/>
        <v>56544</v>
      </c>
      <c r="C81" s="590">
        <v>0</v>
      </c>
      <c r="D81" s="590">
        <v>10000</v>
      </c>
      <c r="E81" s="596">
        <f t="shared" si="3"/>
        <v>46544</v>
      </c>
      <c r="F81" t="s">
        <v>308</v>
      </c>
      <c r="J81" s="608" t="s">
        <v>359</v>
      </c>
      <c r="K81" s="612">
        <f>896*12*2</f>
        <v>21504</v>
      </c>
      <c r="L81" s="603" t="s">
        <v>360</v>
      </c>
    </row>
    <row r="82" spans="1:12">
      <c r="A82" s="476">
        <v>41883</v>
      </c>
      <c r="B82" s="590">
        <f t="shared" si="2"/>
        <v>46544</v>
      </c>
      <c r="C82" s="590">
        <v>0</v>
      </c>
      <c r="D82" s="590">
        <v>10000</v>
      </c>
      <c r="E82" s="596">
        <f t="shared" si="3"/>
        <v>36544</v>
      </c>
      <c r="F82" t="s">
        <v>308</v>
      </c>
      <c r="J82" s="608" t="s">
        <v>361</v>
      </c>
      <c r="K82" s="612">
        <v>18236</v>
      </c>
      <c r="L82" s="603" t="s">
        <v>362</v>
      </c>
    </row>
    <row r="83" spans="1:12" ht="16.5" thickBot="1">
      <c r="A83" s="476">
        <v>41913</v>
      </c>
      <c r="B83" s="590">
        <f t="shared" si="2"/>
        <v>36544</v>
      </c>
      <c r="C83" s="590">
        <v>0</v>
      </c>
      <c r="D83" s="590">
        <v>10000</v>
      </c>
      <c r="E83" s="596">
        <f t="shared" si="3"/>
        <v>26544</v>
      </c>
      <c r="F83" t="s">
        <v>308</v>
      </c>
      <c r="J83" s="613" t="s">
        <v>363</v>
      </c>
      <c r="K83" s="614">
        <f>SUM(K75:K82)</f>
        <v>137158</v>
      </c>
      <c r="L83" s="611"/>
    </row>
    <row r="84" spans="1:12" ht="16.5" thickTop="1">
      <c r="A84" s="476">
        <v>41944</v>
      </c>
      <c r="B84" s="590">
        <f t="shared" si="2"/>
        <v>26544</v>
      </c>
      <c r="C84" s="590">
        <v>0</v>
      </c>
      <c r="D84" s="590">
        <v>10000</v>
      </c>
      <c r="E84" s="596">
        <f t="shared" si="3"/>
        <v>16544</v>
      </c>
      <c r="F84" t="s">
        <v>308</v>
      </c>
      <c r="J84" s="634" t="s">
        <v>364</v>
      </c>
      <c r="K84" s="635"/>
      <c r="L84" s="636"/>
    </row>
    <row r="85" spans="1:12" ht="16.5" thickBot="1">
      <c r="A85" s="478">
        <v>41974</v>
      </c>
      <c r="B85" s="597">
        <f t="shared" si="2"/>
        <v>16544</v>
      </c>
      <c r="C85" s="615">
        <f>K83</f>
        <v>137158</v>
      </c>
      <c r="D85" s="597">
        <v>10000</v>
      </c>
      <c r="E85" s="598">
        <f t="shared" si="3"/>
        <v>143702</v>
      </c>
      <c r="F85" s="599" t="s">
        <v>308</v>
      </c>
      <c r="G85" s="599"/>
      <c r="H85" s="599"/>
      <c r="J85" s="604">
        <v>42036</v>
      </c>
      <c r="K85" s="612">
        <v>6544</v>
      </c>
      <c r="L85" s="603" t="s">
        <v>365</v>
      </c>
    </row>
    <row r="86" spans="1:12" ht="16.5" thickTop="1">
      <c r="A86" s="476">
        <v>42005</v>
      </c>
      <c r="B86" s="590">
        <f t="shared" si="2"/>
        <v>143702</v>
      </c>
      <c r="C86" s="590">
        <v>0</v>
      </c>
      <c r="D86" s="590">
        <v>10000</v>
      </c>
      <c r="E86" s="596">
        <f t="shared" si="3"/>
        <v>133702</v>
      </c>
      <c r="F86" t="s">
        <v>308</v>
      </c>
      <c r="J86" s="601">
        <v>42036</v>
      </c>
      <c r="K86" s="612">
        <v>1850</v>
      </c>
      <c r="L86" s="605" t="s">
        <v>366</v>
      </c>
    </row>
    <row r="87" spans="1:12">
      <c r="A87" s="476">
        <v>42036</v>
      </c>
      <c r="B87" s="590">
        <f t="shared" si="2"/>
        <v>133702</v>
      </c>
      <c r="C87" s="590">
        <v>0</v>
      </c>
      <c r="D87" s="590">
        <v>10000</v>
      </c>
      <c r="E87" s="596">
        <f t="shared" si="3"/>
        <v>123702</v>
      </c>
      <c r="F87" t="s">
        <v>308</v>
      </c>
      <c r="J87" s="601" t="s">
        <v>367</v>
      </c>
      <c r="K87" s="612">
        <f>550*8</f>
        <v>4400</v>
      </c>
      <c r="L87" s="605" t="s">
        <v>368</v>
      </c>
    </row>
    <row r="88" spans="1:12">
      <c r="A88" s="476">
        <v>42064</v>
      </c>
      <c r="B88" s="590">
        <f t="shared" si="2"/>
        <v>123702</v>
      </c>
      <c r="C88" s="590">
        <v>0</v>
      </c>
      <c r="D88" s="590">
        <v>10000</v>
      </c>
      <c r="E88" s="596">
        <f t="shared" si="3"/>
        <v>113702</v>
      </c>
      <c r="F88" t="s">
        <v>308</v>
      </c>
      <c r="J88" s="604" t="s">
        <v>369</v>
      </c>
      <c r="K88" s="612">
        <f>6800*6</f>
        <v>40800</v>
      </c>
      <c r="L88" s="603" t="s">
        <v>356</v>
      </c>
    </row>
    <row r="89" spans="1:12">
      <c r="A89" s="476">
        <v>42095</v>
      </c>
      <c r="B89" s="590">
        <f t="shared" si="2"/>
        <v>113702</v>
      </c>
      <c r="C89" s="590">
        <v>0</v>
      </c>
      <c r="D89" s="590">
        <v>10000</v>
      </c>
      <c r="E89" s="596">
        <f t="shared" si="3"/>
        <v>103702</v>
      </c>
      <c r="F89" t="s">
        <v>308</v>
      </c>
      <c r="J89" s="604">
        <v>42156</v>
      </c>
      <c r="K89" s="612">
        <v>4230</v>
      </c>
      <c r="L89" s="603" t="s">
        <v>370</v>
      </c>
    </row>
    <row r="90" spans="1:12">
      <c r="A90" s="476">
        <v>42125</v>
      </c>
      <c r="B90" s="590">
        <f t="shared" si="2"/>
        <v>103702</v>
      </c>
      <c r="C90" s="590">
        <v>0</v>
      </c>
      <c r="D90" s="590">
        <v>10000</v>
      </c>
      <c r="E90" s="596">
        <f t="shared" si="3"/>
        <v>93702</v>
      </c>
      <c r="F90" t="s">
        <v>308</v>
      </c>
      <c r="J90" s="604" t="s">
        <v>371</v>
      </c>
      <c r="K90" s="612">
        <v>24000</v>
      </c>
      <c r="L90" s="603" t="s">
        <v>372</v>
      </c>
    </row>
    <row r="91" spans="1:12">
      <c r="A91" s="476">
        <v>42156</v>
      </c>
      <c r="B91" s="590">
        <f t="shared" si="2"/>
        <v>93702</v>
      </c>
      <c r="C91" s="590">
        <v>0</v>
      </c>
      <c r="D91" s="590">
        <v>10000</v>
      </c>
      <c r="E91" s="596">
        <f t="shared" si="3"/>
        <v>83702</v>
      </c>
      <c r="F91" t="s">
        <v>308</v>
      </c>
      <c r="J91" s="604" t="s">
        <v>373</v>
      </c>
      <c r="K91" s="612">
        <v>39000</v>
      </c>
      <c r="L91" s="603" t="s">
        <v>374</v>
      </c>
    </row>
    <row r="92" spans="1:12">
      <c r="A92" s="476">
        <v>42186</v>
      </c>
      <c r="B92" s="590">
        <f t="shared" si="2"/>
        <v>83702</v>
      </c>
      <c r="C92" s="590">
        <v>0</v>
      </c>
      <c r="D92" s="590">
        <v>10000</v>
      </c>
      <c r="E92" s="596">
        <f t="shared" si="3"/>
        <v>73702</v>
      </c>
      <c r="F92" t="s">
        <v>308</v>
      </c>
      <c r="J92" s="604">
        <v>42248</v>
      </c>
      <c r="K92" s="616">
        <v>8619</v>
      </c>
      <c r="L92" s="603" t="s">
        <v>375</v>
      </c>
    </row>
    <row r="93" spans="1:12">
      <c r="A93" s="476">
        <v>42217</v>
      </c>
      <c r="B93" s="590">
        <f t="shared" si="2"/>
        <v>73702</v>
      </c>
      <c r="C93" s="590">
        <v>0</v>
      </c>
      <c r="D93" s="590">
        <v>10000</v>
      </c>
      <c r="E93" s="596">
        <f t="shared" si="3"/>
        <v>63702</v>
      </c>
      <c r="F93" t="s">
        <v>308</v>
      </c>
      <c r="J93" s="604" t="s">
        <v>376</v>
      </c>
      <c r="K93" s="612">
        <f>6800*4</f>
        <v>27200</v>
      </c>
      <c r="L93" s="603" t="s">
        <v>356</v>
      </c>
    </row>
    <row r="94" spans="1:12">
      <c r="A94" s="476">
        <v>42248</v>
      </c>
      <c r="B94" s="590">
        <f t="shared" si="2"/>
        <v>63702</v>
      </c>
      <c r="C94" s="590">
        <v>0</v>
      </c>
      <c r="D94" s="590">
        <v>10000</v>
      </c>
      <c r="E94" s="596">
        <f t="shared" si="3"/>
        <v>53702</v>
      </c>
      <c r="F94" t="s">
        <v>308</v>
      </c>
      <c r="J94" s="608" t="s">
        <v>377</v>
      </c>
      <c r="K94" s="612">
        <f>896*2*8</f>
        <v>14336</v>
      </c>
      <c r="L94" s="603" t="s">
        <v>378</v>
      </c>
    </row>
    <row r="95" spans="1:12">
      <c r="A95" s="476">
        <v>42278</v>
      </c>
      <c r="B95" s="590">
        <f t="shared" si="2"/>
        <v>53702</v>
      </c>
      <c r="C95" s="590">
        <v>0</v>
      </c>
      <c r="D95" s="590">
        <v>10000</v>
      </c>
      <c r="E95" s="596">
        <f t="shared" si="3"/>
        <v>43702</v>
      </c>
      <c r="F95" t="s">
        <v>308</v>
      </c>
      <c r="J95" s="608" t="s">
        <v>376</v>
      </c>
      <c r="K95" s="612">
        <f>940*2*4</f>
        <v>7520</v>
      </c>
      <c r="L95" s="603" t="s">
        <v>379</v>
      </c>
    </row>
    <row r="96" spans="1:12">
      <c r="A96" s="476">
        <v>42309</v>
      </c>
      <c r="B96" s="590">
        <f t="shared" si="2"/>
        <v>43702</v>
      </c>
      <c r="C96" s="590">
        <v>0</v>
      </c>
      <c r="D96" s="590">
        <v>10000</v>
      </c>
      <c r="E96" s="596">
        <f t="shared" si="3"/>
        <v>33702</v>
      </c>
      <c r="F96" t="s">
        <v>308</v>
      </c>
      <c r="J96" s="608" t="s">
        <v>380</v>
      </c>
      <c r="K96" s="612">
        <v>18236</v>
      </c>
      <c r="L96" s="603" t="s">
        <v>381</v>
      </c>
    </row>
    <row r="97" spans="1:12" ht="16.5" thickBot="1">
      <c r="A97" s="478">
        <v>42339</v>
      </c>
      <c r="B97" s="597">
        <f t="shared" si="2"/>
        <v>33702</v>
      </c>
      <c r="C97" s="615">
        <f>K97</f>
        <v>196735</v>
      </c>
      <c r="D97" s="597">
        <v>10000</v>
      </c>
      <c r="E97" s="598">
        <f t="shared" si="3"/>
        <v>220437</v>
      </c>
      <c r="F97" s="599" t="s">
        <v>308</v>
      </c>
      <c r="G97" s="599"/>
      <c r="H97" s="599"/>
      <c r="I97" s="599"/>
      <c r="J97" s="613" t="s">
        <v>363</v>
      </c>
      <c r="K97" s="614">
        <f>SUM(K85:K96)</f>
        <v>196735</v>
      </c>
      <c r="L97" s="611"/>
    </row>
    <row r="98" spans="1:12" ht="16.5" thickTop="1">
      <c r="A98" s="476">
        <v>42370</v>
      </c>
      <c r="B98" s="590">
        <f t="shared" si="2"/>
        <v>220437</v>
      </c>
      <c r="C98" s="590">
        <v>0</v>
      </c>
      <c r="D98" s="590">
        <v>10000</v>
      </c>
      <c r="E98" s="596">
        <f t="shared" si="3"/>
        <v>210437</v>
      </c>
      <c r="F98" t="s">
        <v>308</v>
      </c>
    </row>
    <row r="99" spans="1:12">
      <c r="A99" s="476">
        <v>42401</v>
      </c>
      <c r="B99" s="590">
        <f t="shared" si="2"/>
        <v>210437</v>
      </c>
      <c r="C99" s="590">
        <v>0</v>
      </c>
      <c r="D99" s="590">
        <v>10000</v>
      </c>
      <c r="E99" s="596">
        <f t="shared" si="3"/>
        <v>200437</v>
      </c>
      <c r="F99" t="s">
        <v>308</v>
      </c>
    </row>
    <row r="100" spans="1:12">
      <c r="A100" s="476">
        <v>42430</v>
      </c>
      <c r="B100" s="590">
        <f t="shared" si="2"/>
        <v>200437</v>
      </c>
      <c r="C100" s="590">
        <v>0</v>
      </c>
      <c r="D100" s="590">
        <v>10000</v>
      </c>
      <c r="E100" s="596">
        <f t="shared" si="3"/>
        <v>190437</v>
      </c>
      <c r="F100" t="s">
        <v>308</v>
      </c>
    </row>
    <row r="101" spans="1:12">
      <c r="A101" s="476">
        <v>42461</v>
      </c>
      <c r="B101" s="590">
        <f t="shared" si="2"/>
        <v>190437</v>
      </c>
      <c r="C101" s="590">
        <v>0</v>
      </c>
      <c r="D101" s="590">
        <v>10000</v>
      </c>
      <c r="E101" s="596">
        <f t="shared" si="3"/>
        <v>180437</v>
      </c>
      <c r="F101" t="s">
        <v>308</v>
      </c>
    </row>
    <row r="102" spans="1:12">
      <c r="A102" s="476">
        <v>42491</v>
      </c>
      <c r="B102" s="590">
        <f t="shared" si="2"/>
        <v>180437</v>
      </c>
      <c r="C102" s="590">
        <v>0</v>
      </c>
      <c r="D102" s="590">
        <v>10000</v>
      </c>
      <c r="E102" s="596">
        <f t="shared" si="3"/>
        <v>170437</v>
      </c>
      <c r="F102" t="s">
        <v>308</v>
      </c>
    </row>
  </sheetData>
  <mergeCells count="3">
    <mergeCell ref="J57:L57"/>
    <mergeCell ref="J74:L74"/>
    <mergeCell ref="J84:L84"/>
  </mergeCells>
  <phoneticPr fontId="6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11" width="7.59765625" style="5" bestFit="1" customWidth="1"/>
    <col min="12" max="12" width="6.73046875" style="5" bestFit="1" customWidth="1"/>
    <col min="13" max="14" width="7.59765625" style="5" bestFit="1" customWidth="1"/>
    <col min="15" max="15" width="6.73046875" style="5" bestFit="1" customWidth="1"/>
    <col min="16" max="16" width="7.3984375" style="5" bestFit="1" customWidth="1"/>
    <col min="17" max="17" width="6.73046875" style="5" bestFit="1" customWidth="1"/>
    <col min="18" max="18" width="7.59765625" style="5" bestFit="1" customWidth="1"/>
    <col min="19" max="21" width="6.73046875" style="5" bestFit="1" customWidth="1"/>
    <col min="22" max="22" width="7.59765625" style="5" bestFit="1" customWidth="1"/>
    <col min="23" max="28" width="6.73046875" style="5" bestFit="1" customWidth="1"/>
    <col min="29" max="29" width="5.1328125" style="5" bestFit="1" customWidth="1"/>
    <col min="30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s="241" customFormat="1" ht="10.5">
      <c r="A1" s="237" t="s">
        <v>10</v>
      </c>
      <c r="B1" s="238" t="s">
        <v>1</v>
      </c>
      <c r="C1" s="239" t="s">
        <v>69</v>
      </c>
      <c r="D1" s="236">
        <v>1</v>
      </c>
      <c r="E1" s="236">
        <f t="shared" ref="E1:AH1" si="0">1+D1</f>
        <v>2</v>
      </c>
      <c r="F1" s="236">
        <f t="shared" si="0"/>
        <v>3</v>
      </c>
      <c r="G1" s="236">
        <f t="shared" si="0"/>
        <v>4</v>
      </c>
      <c r="H1" s="105">
        <f t="shared" si="0"/>
        <v>5</v>
      </c>
      <c r="I1" s="106">
        <f t="shared" si="0"/>
        <v>6</v>
      </c>
      <c r="J1" s="236">
        <f t="shared" si="0"/>
        <v>7</v>
      </c>
      <c r="K1" s="236">
        <f t="shared" si="0"/>
        <v>8</v>
      </c>
      <c r="L1" s="236">
        <f t="shared" si="0"/>
        <v>9</v>
      </c>
      <c r="M1" s="236">
        <f t="shared" si="0"/>
        <v>10</v>
      </c>
      <c r="N1" s="236">
        <f t="shared" si="0"/>
        <v>11</v>
      </c>
      <c r="O1" s="105">
        <f t="shared" si="0"/>
        <v>12</v>
      </c>
      <c r="P1" s="106">
        <f t="shared" si="0"/>
        <v>13</v>
      </c>
      <c r="Q1" s="236">
        <f t="shared" si="0"/>
        <v>14</v>
      </c>
      <c r="R1" s="236">
        <f t="shared" si="0"/>
        <v>15</v>
      </c>
      <c r="S1" s="236">
        <f t="shared" si="0"/>
        <v>16</v>
      </c>
      <c r="T1" s="236">
        <f t="shared" si="0"/>
        <v>17</v>
      </c>
      <c r="U1" s="236">
        <f t="shared" si="0"/>
        <v>18</v>
      </c>
      <c r="V1" s="105">
        <f t="shared" si="0"/>
        <v>19</v>
      </c>
      <c r="W1" s="106">
        <f t="shared" si="0"/>
        <v>20</v>
      </c>
      <c r="X1" s="236">
        <f t="shared" si="0"/>
        <v>21</v>
      </c>
      <c r="Y1" s="236">
        <f t="shared" si="0"/>
        <v>22</v>
      </c>
      <c r="Z1" s="236">
        <f t="shared" si="0"/>
        <v>23</v>
      </c>
      <c r="AA1" s="236">
        <f t="shared" si="0"/>
        <v>24</v>
      </c>
      <c r="AB1" s="236">
        <f t="shared" si="0"/>
        <v>25</v>
      </c>
      <c r="AC1" s="105">
        <f t="shared" si="0"/>
        <v>26</v>
      </c>
      <c r="AD1" s="106">
        <f t="shared" si="0"/>
        <v>27</v>
      </c>
      <c r="AE1" s="236">
        <f t="shared" si="0"/>
        <v>28</v>
      </c>
      <c r="AF1" s="236">
        <f t="shared" si="0"/>
        <v>29</v>
      </c>
      <c r="AG1" s="236">
        <f t="shared" si="0"/>
        <v>30</v>
      </c>
      <c r="AH1" s="236">
        <f t="shared" si="0"/>
        <v>31</v>
      </c>
      <c r="AI1" s="240" t="s">
        <v>15</v>
      </c>
      <c r="AJ1" s="240" t="s">
        <v>16</v>
      </c>
      <c r="AK1" s="240" t="s">
        <v>17</v>
      </c>
    </row>
    <row r="2" spans="1:37" ht="10.5">
      <c r="A2" s="35"/>
      <c r="B2" s="7" t="s">
        <v>19</v>
      </c>
      <c r="C2" s="18" t="s">
        <v>20</v>
      </c>
      <c r="D2" s="242"/>
      <c r="E2" s="225"/>
      <c r="F2" s="225"/>
      <c r="G2" s="225"/>
      <c r="H2" s="242"/>
      <c r="I2" s="226"/>
      <c r="J2" s="225"/>
      <c r="K2" s="226"/>
      <c r="L2" s="226"/>
      <c r="M2" s="226"/>
      <c r="N2" s="226"/>
      <c r="O2" s="226"/>
      <c r="P2" s="226"/>
      <c r="Q2" s="226"/>
      <c r="R2" s="226"/>
      <c r="S2" s="226"/>
      <c r="T2" s="226"/>
      <c r="U2" s="224"/>
      <c r="V2" s="225"/>
      <c r="W2" s="242"/>
      <c r="X2" s="242"/>
      <c r="Y2" s="242"/>
      <c r="Z2" s="242"/>
      <c r="AA2" s="242"/>
      <c r="AB2" s="242"/>
      <c r="AC2" s="242"/>
      <c r="AD2" s="224"/>
      <c r="AE2" s="226"/>
      <c r="AF2" s="225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242"/>
      <c r="E3" s="226"/>
      <c r="F3" s="226"/>
      <c r="G3" s="226"/>
      <c r="H3" s="242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42"/>
      <c r="W3" s="242"/>
      <c r="X3" s="242"/>
      <c r="Y3" s="242"/>
      <c r="Z3" s="242"/>
      <c r="AA3" s="242"/>
      <c r="AB3" s="242"/>
      <c r="AC3" s="242"/>
      <c r="AD3" s="242"/>
      <c r="AE3" s="242"/>
      <c r="AF3" s="242"/>
      <c r="AG3" s="242"/>
      <c r="AH3" s="242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243"/>
      <c r="E4" s="226"/>
      <c r="F4" s="226"/>
      <c r="G4" s="226"/>
      <c r="H4" s="243"/>
      <c r="I4" s="225"/>
      <c r="J4" s="226"/>
      <c r="K4" s="225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5"/>
      <c r="W4" s="226"/>
      <c r="X4" s="243"/>
      <c r="Y4" s="226"/>
      <c r="Z4" s="226"/>
      <c r="AA4" s="243"/>
      <c r="AB4" s="243"/>
      <c r="AC4" s="243"/>
      <c r="AD4" s="243"/>
      <c r="AE4" s="243"/>
      <c r="AF4" s="226"/>
      <c r="AG4" s="243"/>
      <c r="AH4" s="243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243"/>
      <c r="E5" s="226"/>
      <c r="F5" s="226"/>
      <c r="G5" s="226"/>
      <c r="H5" s="243"/>
      <c r="I5" s="226"/>
      <c r="J5" s="226"/>
      <c r="K5" s="226"/>
      <c r="L5" s="226"/>
      <c r="M5" s="226"/>
      <c r="N5" s="226"/>
      <c r="O5" s="226"/>
      <c r="P5" s="226"/>
      <c r="Q5" s="225"/>
      <c r="R5" s="226"/>
      <c r="S5" s="226"/>
      <c r="T5" s="226"/>
      <c r="U5" s="226"/>
      <c r="V5" s="243"/>
      <c r="W5" s="243"/>
      <c r="X5" s="243"/>
      <c r="Y5" s="226"/>
      <c r="Z5" s="243"/>
      <c r="AA5" s="243"/>
      <c r="AB5" s="243"/>
      <c r="AC5" s="243"/>
      <c r="AD5" s="243"/>
      <c r="AE5" s="243"/>
      <c r="AF5" s="243"/>
      <c r="AG5" s="243"/>
      <c r="AH5" s="243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243"/>
      <c r="E6" s="226"/>
      <c r="F6" s="226"/>
      <c r="G6" s="226"/>
      <c r="H6" s="243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43"/>
      <c r="W6" s="243"/>
      <c r="X6" s="243"/>
      <c r="Y6" s="243"/>
      <c r="Z6" s="243"/>
      <c r="AA6" s="226"/>
      <c r="AB6" s="243"/>
      <c r="AC6" s="243"/>
      <c r="AD6" s="243"/>
      <c r="AE6" s="243"/>
      <c r="AF6" s="243"/>
      <c r="AG6" s="243"/>
      <c r="AH6" s="243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243"/>
      <c r="E7" s="226"/>
      <c r="F7" s="226"/>
      <c r="G7" s="226"/>
      <c r="H7" s="243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43"/>
      <c r="W7" s="243"/>
      <c r="X7" s="225"/>
      <c r="Y7" s="243"/>
      <c r="Z7" s="243"/>
      <c r="AA7" s="243"/>
      <c r="AB7" s="243"/>
      <c r="AC7" s="243"/>
      <c r="AD7" s="243"/>
      <c r="AE7" s="243"/>
      <c r="AF7" s="243"/>
      <c r="AG7" s="243"/>
      <c r="AH7" s="243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243"/>
      <c r="E8" s="226"/>
      <c r="F8" s="226"/>
      <c r="G8" s="226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43"/>
      <c r="W8" s="243"/>
      <c r="X8" s="243"/>
      <c r="Y8" s="243"/>
      <c r="Z8" s="243"/>
      <c r="AA8" s="243"/>
      <c r="AB8" s="243"/>
      <c r="AC8" s="243"/>
      <c r="AD8" s="243"/>
      <c r="AE8" s="243"/>
      <c r="AF8" s="243"/>
      <c r="AG8" s="243"/>
      <c r="AH8" s="243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226"/>
      <c r="F9" s="226"/>
      <c r="G9" s="226"/>
      <c r="H9" s="243"/>
      <c r="I9" s="226"/>
      <c r="J9" s="243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43"/>
      <c r="W9" s="243"/>
      <c r="X9" s="243"/>
      <c r="Y9" s="243"/>
      <c r="Z9" s="243"/>
      <c r="AA9" s="243"/>
      <c r="AB9" s="226"/>
      <c r="AC9" s="243"/>
      <c r="AD9" s="243"/>
      <c r="AE9" s="243"/>
      <c r="AF9" s="243"/>
      <c r="AG9" s="243"/>
      <c r="AH9" s="243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5"/>
      <c r="P10" s="226"/>
      <c r="Q10" s="226"/>
      <c r="R10" s="226"/>
      <c r="S10" s="226"/>
      <c r="T10" s="226"/>
      <c r="U10" s="226"/>
      <c r="V10" s="243"/>
      <c r="W10" s="243"/>
      <c r="X10" s="243"/>
      <c r="Y10" s="243"/>
      <c r="Z10" s="243"/>
      <c r="AA10" s="225"/>
      <c r="AB10" s="243"/>
      <c r="AC10" s="243"/>
      <c r="AD10" s="243"/>
      <c r="AE10" s="226"/>
      <c r="AF10" s="243"/>
      <c r="AG10" s="243"/>
      <c r="AH10" s="243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226"/>
      <c r="F11" s="226"/>
      <c r="G11" s="226"/>
      <c r="H11" s="243"/>
      <c r="I11" s="226"/>
      <c r="J11" s="243"/>
      <c r="K11" s="226"/>
      <c r="L11" s="226"/>
      <c r="M11" s="226"/>
      <c r="N11" s="226"/>
      <c r="O11" s="226"/>
      <c r="P11" s="224"/>
      <c r="Q11" s="226"/>
      <c r="R11" s="226"/>
      <c r="S11" s="226"/>
      <c r="T11" s="226"/>
      <c r="U11" s="226"/>
      <c r="V11" s="243"/>
      <c r="W11" s="243"/>
      <c r="X11" s="224"/>
      <c r="Y11" s="243"/>
      <c r="Z11" s="243"/>
      <c r="AA11" s="226"/>
      <c r="AB11" s="243"/>
      <c r="AC11" s="243"/>
      <c r="AD11" s="243"/>
      <c r="AE11" s="243"/>
      <c r="AF11" s="243"/>
      <c r="AG11" s="243"/>
      <c r="AH11" s="243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226"/>
      <c r="F12" s="226"/>
      <c r="G12" s="226"/>
      <c r="H12" s="243"/>
      <c r="I12" s="224"/>
      <c r="J12" s="243"/>
      <c r="K12" s="226"/>
      <c r="L12" s="226"/>
      <c r="M12" s="226"/>
      <c r="N12" s="226"/>
      <c r="O12" s="226"/>
      <c r="P12" s="224"/>
      <c r="Q12" s="226"/>
      <c r="R12" s="226"/>
      <c r="S12" s="226"/>
      <c r="T12" s="225"/>
      <c r="U12" s="226"/>
      <c r="V12" s="225"/>
      <c r="W12" s="243"/>
      <c r="X12" s="226"/>
      <c r="Y12" s="243"/>
      <c r="Z12" s="243"/>
      <c r="AA12" s="243"/>
      <c r="AB12" s="225"/>
      <c r="AC12" s="243"/>
      <c r="AD12" s="243"/>
      <c r="AE12" s="243"/>
      <c r="AF12" s="243"/>
      <c r="AG12" s="243"/>
      <c r="AH12" s="243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226"/>
      <c r="F13" s="226"/>
      <c r="G13" s="226"/>
      <c r="H13" s="243"/>
      <c r="I13" s="226"/>
      <c r="J13" s="243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43"/>
      <c r="W13" s="243"/>
      <c r="X13" s="226"/>
      <c r="Y13" s="243"/>
      <c r="Z13" s="243"/>
      <c r="AA13" s="243"/>
      <c r="AB13" s="243"/>
      <c r="AC13" s="243"/>
      <c r="AD13" s="243"/>
      <c r="AE13" s="243"/>
      <c r="AF13" s="243"/>
      <c r="AG13" s="243"/>
      <c r="AH13" s="243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226"/>
      <c r="F14" s="226"/>
      <c r="G14" s="226"/>
      <c r="H14" s="243"/>
      <c r="I14" s="226"/>
      <c r="J14" s="243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43"/>
      <c r="W14" s="243"/>
      <c r="X14" s="226"/>
      <c r="Y14" s="243"/>
      <c r="Z14" s="243"/>
      <c r="AA14" s="243"/>
      <c r="AB14" s="243"/>
      <c r="AC14" s="243"/>
      <c r="AD14" s="243"/>
      <c r="AE14" s="243"/>
      <c r="AF14" s="243"/>
      <c r="AG14" s="243"/>
      <c r="AH14" s="243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226"/>
      <c r="F15" s="226"/>
      <c r="G15" s="226"/>
      <c r="H15" s="224"/>
      <c r="I15" s="226"/>
      <c r="J15" s="243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43"/>
      <c r="W15" s="243"/>
      <c r="X15" s="226"/>
      <c r="Y15" s="243"/>
      <c r="Z15" s="243"/>
      <c r="AA15" s="113"/>
      <c r="AB15" s="243"/>
      <c r="AC15" s="243"/>
      <c r="AD15" s="243"/>
      <c r="AE15" s="243"/>
      <c r="AF15" s="243"/>
      <c r="AG15" s="243"/>
      <c r="AH15" s="243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226"/>
      <c r="F16" s="226"/>
      <c r="G16" s="226"/>
      <c r="H16" s="226"/>
      <c r="I16" s="226"/>
      <c r="J16" s="243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43"/>
      <c r="W16" s="243"/>
      <c r="X16" s="226"/>
      <c r="Y16" s="243"/>
      <c r="Z16" s="243"/>
      <c r="AA16" s="243"/>
      <c r="AB16" s="243"/>
      <c r="AC16" s="243"/>
      <c r="AD16" s="243"/>
      <c r="AE16" s="243"/>
      <c r="AF16" s="243"/>
      <c r="AG16" s="243"/>
      <c r="AH16" s="243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43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43"/>
      <c r="X17" s="226"/>
      <c r="Y17" s="243"/>
      <c r="Z17" s="226"/>
      <c r="AA17" s="243"/>
      <c r="AB17" s="226"/>
      <c r="AC17" s="243"/>
      <c r="AD17" s="226"/>
      <c r="AE17" s="243"/>
      <c r="AF17" s="226"/>
      <c r="AG17" s="243"/>
      <c r="AH17" s="243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43"/>
      <c r="X19" s="226"/>
      <c r="Y19" s="226"/>
      <c r="Z19" s="226"/>
      <c r="AA19" s="226"/>
      <c r="AB19" s="226"/>
      <c r="AC19" s="243"/>
      <c r="AD19" s="243"/>
      <c r="AE19" s="243"/>
      <c r="AF19" s="243"/>
      <c r="AG19" s="243"/>
      <c r="AH19" s="243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226"/>
      <c r="F20" s="226"/>
      <c r="G20" s="226"/>
      <c r="H20" s="226"/>
      <c r="I20" s="226"/>
      <c r="J20" s="243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43"/>
      <c r="W20" s="243"/>
      <c r="X20" s="226"/>
      <c r="Y20" s="243"/>
      <c r="Z20" s="243"/>
      <c r="AA20" s="243"/>
      <c r="AB20" s="243"/>
      <c r="AC20" s="243"/>
      <c r="AD20" s="243"/>
      <c r="AE20" s="243"/>
      <c r="AF20" s="243"/>
      <c r="AG20" s="243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226"/>
      <c r="F21" s="226"/>
      <c r="G21" s="226"/>
      <c r="H21" s="226"/>
      <c r="I21" s="226"/>
      <c r="J21" s="243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43"/>
      <c r="W21" s="243"/>
      <c r="X21" s="226"/>
      <c r="Y21" s="243"/>
      <c r="Z21" s="243"/>
      <c r="AA21" s="243"/>
      <c r="AB21" s="243"/>
      <c r="AC21" s="243"/>
      <c r="AD21" s="243"/>
      <c r="AE21" s="243"/>
      <c r="AF21" s="243"/>
      <c r="AG21" s="243"/>
      <c r="AH21" s="243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224"/>
      <c r="F22" s="224"/>
      <c r="G22" s="224"/>
      <c r="H22" s="226"/>
      <c r="I22" s="226"/>
      <c r="J22" s="243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43"/>
      <c r="W22" s="243"/>
      <c r="X22" s="226"/>
      <c r="Y22" s="243"/>
      <c r="Z22" s="243"/>
      <c r="AA22" s="243"/>
      <c r="AB22" s="243"/>
      <c r="AC22" s="243"/>
      <c r="AD22" s="243"/>
      <c r="AE22" s="243"/>
      <c r="AF22" s="243"/>
      <c r="AG22" s="243"/>
      <c r="AH22" s="243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226"/>
      <c r="F23" s="226"/>
      <c r="G23" s="226"/>
      <c r="H23" s="226"/>
      <c r="I23" s="226"/>
      <c r="J23" s="243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43"/>
      <c r="W23" s="243"/>
      <c r="X23" s="226"/>
      <c r="Y23" s="243"/>
      <c r="Z23" s="243"/>
      <c r="AA23" s="243"/>
      <c r="AB23" s="243"/>
      <c r="AC23" s="243"/>
      <c r="AD23" s="243"/>
      <c r="AE23" s="243"/>
      <c r="AF23" s="243"/>
      <c r="AG23" s="243"/>
      <c r="AH23" s="243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226"/>
      <c r="F24" s="226"/>
      <c r="G24" s="226"/>
      <c r="H24" s="226"/>
      <c r="I24" s="224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5"/>
      <c r="V24" s="243"/>
      <c r="W24" s="224"/>
      <c r="X24" s="226"/>
      <c r="Y24" s="243"/>
      <c r="Z24" s="243"/>
      <c r="AA24" s="243"/>
      <c r="AB24" s="243"/>
      <c r="AC24" s="243"/>
      <c r="AD24" s="224"/>
      <c r="AE24" s="243"/>
      <c r="AF24" s="243"/>
      <c r="AG24" s="243"/>
      <c r="AH24" s="243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26"/>
      <c r="G25" s="226"/>
      <c r="H25" s="226"/>
      <c r="I25" s="226"/>
      <c r="J25" s="244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43"/>
      <c r="W25" s="243"/>
      <c r="X25" s="226"/>
      <c r="Y25" s="243"/>
      <c r="Z25" s="243"/>
      <c r="AA25" s="243"/>
      <c r="AB25" s="243"/>
      <c r="AC25" s="243"/>
      <c r="AD25" s="243"/>
      <c r="AE25" s="243"/>
      <c r="AF25" s="243"/>
      <c r="AG25" s="243"/>
      <c r="AH25" s="243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26"/>
      <c r="R26" s="226"/>
      <c r="S26" s="226"/>
      <c r="T26" s="226"/>
      <c r="U26" s="226"/>
      <c r="V26" s="243"/>
      <c r="W26" s="243"/>
      <c r="X26" s="226"/>
      <c r="Y26" s="243"/>
      <c r="Z26" s="243"/>
      <c r="AA26" s="243"/>
      <c r="AB26" s="243"/>
      <c r="AC26" s="243"/>
      <c r="AD26" s="243"/>
      <c r="AE26" s="243"/>
      <c r="AF26" s="243"/>
      <c r="AG26" s="243"/>
      <c r="AH26" s="243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226"/>
      <c r="F27" s="226"/>
      <c r="G27" s="226"/>
      <c r="H27" s="226"/>
      <c r="I27" s="226"/>
      <c r="J27" s="244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43"/>
      <c r="W27" s="243"/>
      <c r="X27" s="226"/>
      <c r="Y27" s="243"/>
      <c r="Z27" s="243"/>
      <c r="AA27" s="243"/>
      <c r="AB27" s="243"/>
      <c r="AC27" s="243"/>
      <c r="AD27" s="243"/>
      <c r="AE27" s="243"/>
      <c r="AF27" s="243"/>
      <c r="AG27" s="243"/>
      <c r="AH27" s="243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43"/>
      <c r="W28" s="243"/>
      <c r="X28" s="226"/>
      <c r="Y28" s="243"/>
      <c r="Z28" s="243"/>
      <c r="AA28" s="243"/>
      <c r="AB28" s="243"/>
      <c r="AC28" s="243"/>
      <c r="AD28" s="243"/>
      <c r="AE28" s="243"/>
      <c r="AF28" s="243"/>
      <c r="AG28" s="243"/>
      <c r="AH28" s="243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6"/>
      <c r="F29" s="226"/>
      <c r="G29" s="226"/>
      <c r="H29" s="226"/>
      <c r="I29" s="226"/>
      <c r="J29" s="244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43"/>
      <c r="W29" s="243"/>
      <c r="X29" s="226"/>
      <c r="Y29" s="243"/>
      <c r="Z29" s="243"/>
      <c r="AA29" s="243"/>
      <c r="AB29" s="243"/>
      <c r="AC29" s="243"/>
      <c r="AD29" s="243"/>
      <c r="AE29" s="231"/>
      <c r="AF29" s="243"/>
      <c r="AG29" s="243"/>
      <c r="AH29" s="243"/>
      <c r="AI29" s="113">
        <f t="shared" si="1"/>
        <v>0</v>
      </c>
      <c r="AJ29" s="647">
        <f>SUM(AI29:AI31)</f>
        <v>0</v>
      </c>
      <c r="AK29" s="653">
        <v>20000</v>
      </c>
    </row>
    <row r="30" spans="1:37">
      <c r="A30" s="16"/>
      <c r="B30" s="645"/>
      <c r="C30" s="218" t="s">
        <v>74</v>
      </c>
      <c r="D30" s="112"/>
      <c r="E30" s="226"/>
      <c r="F30" s="226"/>
      <c r="G30" s="226"/>
      <c r="H30" s="226"/>
      <c r="I30" s="226"/>
      <c r="J30" s="244"/>
      <c r="K30" s="226"/>
      <c r="L30" s="226"/>
      <c r="M30" s="226"/>
      <c r="N30" s="226"/>
      <c r="O30" s="226"/>
      <c r="P30" s="226"/>
      <c r="Q30" s="226"/>
      <c r="R30" s="226"/>
      <c r="S30" s="226"/>
      <c r="T30" s="226"/>
      <c r="U30" s="226"/>
      <c r="V30" s="243"/>
      <c r="W30" s="243"/>
      <c r="X30" s="243"/>
      <c r="Y30" s="243"/>
      <c r="Z30" s="243"/>
      <c r="AA30" s="243"/>
      <c r="AB30" s="243"/>
      <c r="AC30" s="243"/>
      <c r="AD30" s="243"/>
      <c r="AE30" s="243"/>
      <c r="AF30" s="243"/>
      <c r="AG30" s="243"/>
      <c r="AH30" s="243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226"/>
      <c r="F31" s="226"/>
      <c r="G31" s="226"/>
      <c r="H31" s="226"/>
      <c r="I31" s="226"/>
      <c r="J31" s="244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43"/>
      <c r="W31" s="243"/>
      <c r="X31" s="243"/>
      <c r="Y31" s="243"/>
      <c r="Z31" s="243"/>
      <c r="AA31" s="243"/>
      <c r="AB31" s="243"/>
      <c r="AC31" s="243"/>
      <c r="AD31" s="243"/>
      <c r="AE31" s="243"/>
      <c r="AF31" s="243"/>
      <c r="AG31" s="243"/>
      <c r="AH31" s="243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226"/>
      <c r="F32" s="226"/>
      <c r="G32" s="226"/>
      <c r="H32" s="225"/>
      <c r="I32" s="226"/>
      <c r="J32" s="244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43"/>
      <c r="W32" s="243"/>
      <c r="X32" s="243"/>
      <c r="Y32" s="243"/>
      <c r="Z32" s="243"/>
      <c r="AA32" s="243"/>
      <c r="AB32" s="243"/>
      <c r="AC32" s="243"/>
      <c r="AD32" s="243"/>
      <c r="AE32" s="243"/>
      <c r="AF32" s="243"/>
      <c r="AG32" s="243"/>
      <c r="AH32" s="243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226"/>
      <c r="F33" s="226"/>
      <c r="G33" s="226"/>
      <c r="H33" s="244"/>
      <c r="I33" s="226"/>
      <c r="J33" s="244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4"/>
      <c r="W33" s="243"/>
      <c r="X33" s="243"/>
      <c r="Y33" s="243"/>
      <c r="Z33" s="243"/>
      <c r="AA33" s="243"/>
      <c r="AB33" s="243"/>
      <c r="AC33" s="243"/>
      <c r="AD33" s="243"/>
      <c r="AE33" s="243"/>
      <c r="AF33" s="243"/>
      <c r="AG33" s="243"/>
      <c r="AH33" s="243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26"/>
      <c r="F34" s="226"/>
      <c r="G34" s="226"/>
      <c r="H34" s="226"/>
      <c r="I34" s="226"/>
      <c r="J34" s="225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43"/>
      <c r="W34" s="243"/>
      <c r="X34" s="243"/>
      <c r="Y34" s="225"/>
      <c r="Z34" s="243"/>
      <c r="AA34" s="243"/>
      <c r="AB34" s="243"/>
      <c r="AC34" s="243"/>
      <c r="AD34" s="243"/>
      <c r="AE34" s="243"/>
      <c r="AF34" s="225"/>
      <c r="AG34" s="225"/>
      <c r="AH34" s="225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43"/>
      <c r="E35" s="226"/>
      <c r="F35" s="226"/>
      <c r="G35" s="226"/>
      <c r="H35" s="243"/>
      <c r="I35" s="226"/>
      <c r="J35" s="243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43"/>
      <c r="W35" s="243"/>
      <c r="X35" s="243"/>
      <c r="Y35" s="243"/>
      <c r="Z35" s="243"/>
      <c r="AA35" s="243"/>
      <c r="AB35" s="243"/>
      <c r="AC35" s="243"/>
      <c r="AD35" s="243"/>
      <c r="AE35" s="243"/>
      <c r="AF35" s="243"/>
      <c r="AG35" s="243"/>
      <c r="AH35" s="243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243"/>
      <c r="E36" s="226"/>
      <c r="F36" s="226"/>
      <c r="G36" s="226"/>
      <c r="H36" s="243"/>
      <c r="I36" s="226"/>
      <c r="J36" s="243"/>
      <c r="K36" s="226"/>
      <c r="L36" s="226"/>
      <c r="M36" s="226"/>
      <c r="N36" s="226"/>
      <c r="O36" s="226"/>
      <c r="P36" s="226"/>
      <c r="Q36" s="226"/>
      <c r="R36" s="226"/>
      <c r="S36" s="226"/>
      <c r="T36" s="226"/>
      <c r="U36" s="226"/>
      <c r="V36" s="243"/>
      <c r="W36" s="243"/>
      <c r="X36" s="243"/>
      <c r="Y36" s="243"/>
      <c r="Z36" s="243"/>
      <c r="AA36" s="243"/>
      <c r="AB36" s="243"/>
      <c r="AC36" s="243"/>
      <c r="AD36" s="243"/>
      <c r="AE36" s="231"/>
      <c r="AF36" s="243"/>
      <c r="AG36" s="243"/>
      <c r="AH36" s="243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 t="shared" ref="D37:AH37" si="3">SUM(D2:D36)</f>
        <v>0</v>
      </c>
      <c r="E37" s="113">
        <f t="shared" si="3"/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>
      <c r="B38" s="41"/>
      <c r="AJ38" s="42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I45" sqref="AI45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5" width="7.59765625" style="5" bestFit="1" customWidth="1"/>
    <col min="6" max="6" width="5.1328125" style="5" bestFit="1" customWidth="1"/>
    <col min="7" max="7" width="6.73046875" style="5" bestFit="1" customWidth="1"/>
    <col min="8" max="8" width="7.59765625" style="5" bestFit="1" customWidth="1"/>
    <col min="9" max="9" width="5.3984375" style="5" bestFit="1" customWidth="1"/>
    <col min="10" max="10" width="7.59765625" style="5" bestFit="1" customWidth="1"/>
    <col min="11" max="13" width="6.73046875" style="5" bestFit="1" customWidth="1"/>
    <col min="14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5.3984375" style="5" bestFit="1" customWidth="1"/>
    <col min="20" max="21" width="6.73046875" style="5" bestFit="1" customWidth="1"/>
    <col min="22" max="22" width="7.59765625" style="5" bestFit="1" customWidth="1"/>
    <col min="23" max="23" width="7.3984375" style="5" bestFit="1" customWidth="1"/>
    <col min="24" max="24" width="5.3984375" style="5" bestFit="1" customWidth="1"/>
    <col min="25" max="25" width="6.73046875" style="5" bestFit="1" customWidth="1"/>
    <col min="26" max="26" width="5.1328125" style="5" bestFit="1" customWidth="1"/>
    <col min="27" max="30" width="6.73046875" style="5" bestFit="1" customWidth="1"/>
    <col min="31" max="31" width="9" style="5" bestFit="1" customWidth="1"/>
    <col min="32" max="32" width="5.3984375" style="5" bestFit="1" customWidth="1"/>
    <col min="33" max="33" width="6.1328125" style="5" bestFit="1" customWidth="1"/>
    <col min="34" max="34" width="5.1328125" style="5" bestFit="1" customWidth="1"/>
    <col min="35" max="35" width="8.3984375" style="5" bestFit="1" customWidth="1"/>
    <col min="36" max="37" width="10.1328125" style="108" bestFit="1" customWidth="1"/>
    <col min="38" max="38" width="9" style="5" bestFit="1"/>
    <col min="39" max="16384" width="9" style="5"/>
  </cols>
  <sheetData>
    <row r="1" spans="1:37" ht="10.5">
      <c r="A1" s="34" t="s">
        <v>11</v>
      </c>
      <c r="B1" s="93" t="s">
        <v>1</v>
      </c>
      <c r="C1" s="1" t="s">
        <v>69</v>
      </c>
      <c r="D1" s="51">
        <v>1</v>
      </c>
      <c r="E1" s="52">
        <f t="shared" ref="E1:AH1" si="0">1+D1</f>
        <v>2</v>
      </c>
      <c r="F1" s="53">
        <f t="shared" si="0"/>
        <v>3</v>
      </c>
      <c r="G1" s="51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2">
        <f t="shared" si="0"/>
        <v>9</v>
      </c>
      <c r="M1" s="53">
        <f t="shared" si="0"/>
        <v>10</v>
      </c>
      <c r="N1" s="51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2">
        <f t="shared" si="0"/>
        <v>16</v>
      </c>
      <c r="T1" s="53">
        <f t="shared" si="0"/>
        <v>17</v>
      </c>
      <c r="U1" s="51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2">
        <f t="shared" si="0"/>
        <v>23</v>
      </c>
      <c r="AA1" s="53">
        <f t="shared" si="0"/>
        <v>24</v>
      </c>
      <c r="AB1" s="51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2">
        <f t="shared" si="0"/>
        <v>30</v>
      </c>
      <c r="AH1" s="53">
        <f t="shared" si="0"/>
        <v>31</v>
      </c>
      <c r="AI1" s="3" t="s">
        <v>15</v>
      </c>
      <c r="AJ1" s="107" t="s">
        <v>16</v>
      </c>
      <c r="AK1" s="107" t="s">
        <v>17</v>
      </c>
    </row>
    <row r="2" spans="1:37" ht="10.5">
      <c r="A2" s="35"/>
      <c r="B2" s="7" t="s">
        <v>19</v>
      </c>
      <c r="C2" s="18" t="s">
        <v>20</v>
      </c>
      <c r="D2" s="226"/>
      <c r="E2" s="226"/>
      <c r="F2" s="15"/>
      <c r="G2" s="226"/>
      <c r="H2" s="15"/>
      <c r="I2" s="15"/>
      <c r="J2" s="15"/>
      <c r="K2" s="15"/>
      <c r="L2" s="226"/>
      <c r="M2" s="15"/>
      <c r="N2" s="9"/>
      <c r="O2" s="226"/>
      <c r="P2" s="225"/>
      <c r="Q2" s="15"/>
      <c r="R2" s="15"/>
      <c r="S2" s="226"/>
      <c r="T2" s="15"/>
      <c r="U2" s="15"/>
      <c r="V2" s="15"/>
      <c r="W2" s="15"/>
      <c r="X2" s="226"/>
      <c r="Y2" s="226"/>
      <c r="Z2" s="15"/>
      <c r="AA2" s="15"/>
      <c r="AB2" s="15"/>
      <c r="AC2" s="226"/>
      <c r="AD2" s="225"/>
      <c r="AE2" s="225"/>
      <c r="AF2" s="226"/>
      <c r="AG2" s="226"/>
      <c r="AH2" s="97"/>
      <c r="AI2" s="112">
        <f t="shared" ref="AI2:AI36" si="1">SUM(D2:AH2)</f>
        <v>0</v>
      </c>
      <c r="AJ2" s="114">
        <f>SUM(AI2:AI4)</f>
        <v>0</v>
      </c>
      <c r="AK2" s="114">
        <v>5000</v>
      </c>
    </row>
    <row r="3" spans="1:37" ht="10.5">
      <c r="A3" s="16"/>
      <c r="B3" s="11"/>
      <c r="C3" s="55" t="s">
        <v>21</v>
      </c>
      <c r="D3" s="226"/>
      <c r="E3" s="226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226"/>
      <c r="AD3" s="226"/>
      <c r="AE3" s="226"/>
      <c r="AF3" s="226"/>
      <c r="AG3" s="226"/>
      <c r="AH3" s="97"/>
      <c r="AI3" s="112">
        <f t="shared" si="1"/>
        <v>0</v>
      </c>
      <c r="AJ3" s="118"/>
      <c r="AK3" s="118"/>
    </row>
    <row r="4" spans="1:37" ht="10.5">
      <c r="A4" s="16"/>
      <c r="B4" s="13"/>
      <c r="C4" s="18" t="s">
        <v>22</v>
      </c>
      <c r="D4" s="226"/>
      <c r="E4" s="226"/>
      <c r="F4" s="9"/>
      <c r="G4" s="9"/>
      <c r="H4" s="9"/>
      <c r="I4" s="226"/>
      <c r="J4" s="9"/>
      <c r="K4" s="9"/>
      <c r="L4" s="9"/>
      <c r="M4" s="226"/>
      <c r="N4" s="9"/>
      <c r="O4" s="226"/>
      <c r="P4" s="225"/>
      <c r="Q4" s="9"/>
      <c r="R4" s="9"/>
      <c r="S4" s="9"/>
      <c r="T4" s="226"/>
      <c r="U4" s="9"/>
      <c r="V4" s="9"/>
      <c r="W4" s="9"/>
      <c r="X4" s="225"/>
      <c r="Y4" s="9"/>
      <c r="Z4" s="9"/>
      <c r="AA4" s="226"/>
      <c r="AB4" s="9"/>
      <c r="AC4" s="226"/>
      <c r="AD4" s="226"/>
      <c r="AE4" s="226"/>
      <c r="AF4" s="226"/>
      <c r="AG4" s="226"/>
      <c r="AH4" s="98"/>
      <c r="AI4" s="112">
        <f t="shared" si="1"/>
        <v>0</v>
      </c>
      <c r="AJ4" s="120"/>
      <c r="AK4" s="120"/>
    </row>
    <row r="5" spans="1:37" ht="10.5">
      <c r="A5" s="16"/>
      <c r="B5" s="17" t="s">
        <v>23</v>
      </c>
      <c r="C5" s="18" t="s">
        <v>24</v>
      </c>
      <c r="D5" s="226"/>
      <c r="E5" s="226"/>
      <c r="F5" s="9"/>
      <c r="G5" s="9"/>
      <c r="H5" s="9"/>
      <c r="I5" s="9"/>
      <c r="J5" s="9"/>
      <c r="K5" s="9"/>
      <c r="L5" s="9"/>
      <c r="M5" s="226"/>
      <c r="N5" s="9"/>
      <c r="O5" s="9"/>
      <c r="P5" s="225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226"/>
      <c r="AD5" s="226"/>
      <c r="AE5" s="226"/>
      <c r="AF5" s="226"/>
      <c r="AG5" s="226"/>
      <c r="AH5" s="98"/>
      <c r="AI5" s="112">
        <f t="shared" si="1"/>
        <v>0</v>
      </c>
      <c r="AJ5" s="122">
        <f>SUM(AI5:AI7)</f>
        <v>0</v>
      </c>
      <c r="AK5" s="122">
        <v>1000</v>
      </c>
    </row>
    <row r="6" spans="1:37" ht="10.5">
      <c r="A6" s="16"/>
      <c r="B6" s="17"/>
      <c r="C6" s="14" t="s">
        <v>76</v>
      </c>
      <c r="D6" s="226"/>
      <c r="E6" s="226"/>
      <c r="F6" s="243"/>
      <c r="G6" s="243"/>
      <c r="H6" s="243"/>
      <c r="I6" s="243"/>
      <c r="J6" s="243"/>
      <c r="K6" s="243"/>
      <c r="L6" s="226"/>
      <c r="M6" s="243"/>
      <c r="N6" s="243"/>
      <c r="O6" s="243"/>
      <c r="P6" s="225"/>
      <c r="Q6" s="243"/>
      <c r="R6" s="243"/>
      <c r="S6" s="9"/>
      <c r="T6" s="9"/>
      <c r="U6" s="9"/>
      <c r="V6" s="9"/>
      <c r="W6" s="9"/>
      <c r="X6" s="9"/>
      <c r="Y6" s="9"/>
      <c r="Z6" s="9"/>
      <c r="AA6" s="9"/>
      <c r="AB6" s="224"/>
      <c r="AC6" s="226"/>
      <c r="AD6" s="226"/>
      <c r="AE6" s="226"/>
      <c r="AF6" s="226"/>
      <c r="AG6" s="226"/>
      <c r="AH6" s="98"/>
      <c r="AI6" s="112">
        <f t="shared" si="1"/>
        <v>0</v>
      </c>
      <c r="AJ6" s="122"/>
      <c r="AK6" s="122"/>
    </row>
    <row r="7" spans="1:37" ht="10.5">
      <c r="A7" s="16"/>
      <c r="B7" s="17"/>
      <c r="C7" s="14" t="s">
        <v>77</v>
      </c>
      <c r="D7" s="226"/>
      <c r="E7" s="226"/>
      <c r="F7" s="243"/>
      <c r="G7" s="243"/>
      <c r="H7" s="243"/>
      <c r="I7" s="243"/>
      <c r="J7" s="243"/>
      <c r="K7" s="243"/>
      <c r="L7" s="243"/>
      <c r="M7" s="243"/>
      <c r="N7" s="243"/>
      <c r="O7" s="243"/>
      <c r="P7" s="243"/>
      <c r="Q7" s="243"/>
      <c r="R7" s="243"/>
      <c r="S7" s="9"/>
      <c r="T7" s="9"/>
      <c r="U7" s="9"/>
      <c r="V7" s="9"/>
      <c r="W7" s="9"/>
      <c r="X7" s="9"/>
      <c r="Y7" s="9"/>
      <c r="Z7" s="9"/>
      <c r="AA7" s="9"/>
      <c r="AB7" s="9"/>
      <c r="AC7" s="226"/>
      <c r="AD7" s="226"/>
      <c r="AE7" s="226"/>
      <c r="AF7" s="226"/>
      <c r="AG7" s="226"/>
      <c r="AH7" s="98"/>
      <c r="AI7" s="112">
        <f t="shared" si="1"/>
        <v>0</v>
      </c>
      <c r="AJ7" s="122"/>
      <c r="AK7" s="122"/>
    </row>
    <row r="8" spans="1:37" ht="10.5">
      <c r="A8" s="16"/>
      <c r="B8" s="20" t="s">
        <v>25</v>
      </c>
      <c r="C8" s="18" t="s">
        <v>26</v>
      </c>
      <c r="D8" s="243"/>
      <c r="E8" s="243"/>
      <c r="F8" s="243"/>
      <c r="G8" s="243"/>
      <c r="H8" s="112"/>
      <c r="I8" s="226"/>
      <c r="J8" s="226"/>
      <c r="K8" s="226"/>
      <c r="L8" s="226"/>
      <c r="M8" s="9"/>
      <c r="N8" s="243"/>
      <c r="O8" s="243"/>
      <c r="P8" s="243"/>
      <c r="Q8" s="243"/>
      <c r="R8" s="243"/>
      <c r="S8" s="9"/>
      <c r="T8" s="9"/>
      <c r="U8" s="9"/>
      <c r="V8" s="9"/>
      <c r="W8" s="9"/>
      <c r="X8" s="9"/>
      <c r="Y8" s="9"/>
      <c r="Z8" s="9"/>
      <c r="AA8" s="9"/>
      <c r="AB8" s="9"/>
      <c r="AC8" s="226"/>
      <c r="AD8" s="226"/>
      <c r="AE8" s="226"/>
      <c r="AF8" s="226"/>
      <c r="AG8" s="226"/>
      <c r="AH8" s="98"/>
      <c r="AI8" s="112">
        <f t="shared" si="1"/>
        <v>0</v>
      </c>
      <c r="AJ8" s="124">
        <f>SUM(AI8:AI14)</f>
        <v>0</v>
      </c>
      <c r="AK8" s="124">
        <v>10000</v>
      </c>
    </row>
    <row r="9" spans="1:37" ht="10.5">
      <c r="A9" s="16"/>
      <c r="B9" s="22"/>
      <c r="C9" s="18" t="s">
        <v>27</v>
      </c>
      <c r="D9" s="225"/>
      <c r="E9" s="243"/>
      <c r="F9" s="243"/>
      <c r="G9" s="243"/>
      <c r="H9" s="226"/>
      <c r="I9" s="243"/>
      <c r="J9" s="243"/>
      <c r="K9" s="243"/>
      <c r="L9" s="243"/>
      <c r="M9" s="243"/>
      <c r="N9" s="243"/>
      <c r="O9" s="243"/>
      <c r="P9" s="243"/>
      <c r="Q9" s="243"/>
      <c r="R9" s="243"/>
      <c r="S9" s="9"/>
      <c r="T9" s="9"/>
      <c r="U9" s="9"/>
      <c r="V9" s="9"/>
      <c r="W9" s="9"/>
      <c r="X9" s="9"/>
      <c r="Y9" s="9"/>
      <c r="Z9" s="9"/>
      <c r="AA9" s="9"/>
      <c r="AB9" s="9"/>
      <c r="AC9" s="226"/>
      <c r="AD9" s="226"/>
      <c r="AE9" s="226"/>
      <c r="AF9" s="226"/>
      <c r="AG9" s="226"/>
      <c r="AH9" s="98"/>
      <c r="AI9" s="112">
        <f t="shared" si="1"/>
        <v>0</v>
      </c>
      <c r="AJ9" s="126"/>
      <c r="AK9" s="126"/>
    </row>
    <row r="10" spans="1:37" ht="10.5">
      <c r="A10" s="16"/>
      <c r="B10" s="22"/>
      <c r="C10" s="18" t="s">
        <v>28</v>
      </c>
      <c r="D10" s="226"/>
      <c r="E10" s="243"/>
      <c r="F10" s="243"/>
      <c r="G10" s="243"/>
      <c r="H10" s="226"/>
      <c r="I10" s="243"/>
      <c r="J10" s="243"/>
      <c r="K10" s="243"/>
      <c r="L10" s="243"/>
      <c r="M10" s="243"/>
      <c r="N10" s="225"/>
      <c r="O10" s="243"/>
      <c r="P10" s="243"/>
      <c r="Q10" s="243"/>
      <c r="R10" s="243"/>
      <c r="S10" s="9"/>
      <c r="T10" s="9"/>
      <c r="U10" s="9"/>
      <c r="V10" s="226"/>
      <c r="W10" s="9"/>
      <c r="X10" s="9"/>
      <c r="Y10" s="9"/>
      <c r="Z10" s="9"/>
      <c r="AA10" s="9"/>
      <c r="AB10" s="9"/>
      <c r="AC10" s="226"/>
      <c r="AD10" s="224"/>
      <c r="AE10" s="225"/>
      <c r="AF10" s="226"/>
      <c r="AG10" s="226"/>
      <c r="AH10" s="98"/>
      <c r="AI10" s="112">
        <f t="shared" si="1"/>
        <v>0</v>
      </c>
      <c r="AJ10" s="126"/>
      <c r="AK10" s="126"/>
    </row>
    <row r="11" spans="1:37" ht="10.5">
      <c r="A11" s="94" t="s">
        <v>18</v>
      </c>
      <c r="B11" s="22"/>
      <c r="C11" s="18" t="s">
        <v>29</v>
      </c>
      <c r="D11" s="243"/>
      <c r="E11" s="243"/>
      <c r="F11" s="243"/>
      <c r="G11" s="243"/>
      <c r="H11" s="226"/>
      <c r="I11" s="243"/>
      <c r="J11" s="243"/>
      <c r="K11" s="243"/>
      <c r="L11" s="243"/>
      <c r="M11" s="243"/>
      <c r="N11" s="243"/>
      <c r="O11" s="243"/>
      <c r="P11" s="243"/>
      <c r="Q11" s="243"/>
      <c r="R11" s="243"/>
      <c r="S11" s="9"/>
      <c r="T11" s="9"/>
      <c r="U11" s="9"/>
      <c r="V11" s="9"/>
      <c r="W11" s="9"/>
      <c r="X11" s="9"/>
      <c r="Y11" s="9"/>
      <c r="Z11" s="9"/>
      <c r="AA11" s="9"/>
      <c r="AB11" s="9"/>
      <c r="AC11" s="226"/>
      <c r="AD11" s="226"/>
      <c r="AE11" s="226"/>
      <c r="AF11" s="226"/>
      <c r="AG11" s="226"/>
      <c r="AH11" s="98"/>
      <c r="AI11" s="112">
        <f t="shared" si="1"/>
        <v>0</v>
      </c>
      <c r="AJ11" s="126"/>
      <c r="AK11" s="126"/>
    </row>
    <row r="12" spans="1:37" ht="10.5">
      <c r="A12" s="16"/>
      <c r="B12" s="22"/>
      <c r="C12" s="18" t="s">
        <v>30</v>
      </c>
      <c r="D12" s="243"/>
      <c r="E12" s="243"/>
      <c r="F12" s="243"/>
      <c r="G12" s="243"/>
      <c r="H12" s="226"/>
      <c r="I12" s="243"/>
      <c r="J12" s="243"/>
      <c r="K12" s="243"/>
      <c r="L12" s="243"/>
      <c r="M12" s="243"/>
      <c r="N12" s="225"/>
      <c r="O12" s="243"/>
      <c r="P12" s="243"/>
      <c r="Q12" s="243"/>
      <c r="R12" s="243"/>
      <c r="S12" s="9"/>
      <c r="T12" s="9"/>
      <c r="U12" s="9"/>
      <c r="V12" s="9"/>
      <c r="W12" s="9"/>
      <c r="X12" s="9"/>
      <c r="Y12" s="9"/>
      <c r="Z12" s="9"/>
      <c r="AA12" s="226"/>
      <c r="AB12" s="9"/>
      <c r="AC12" s="226"/>
      <c r="AD12" s="226"/>
      <c r="AE12" s="226"/>
      <c r="AF12" s="226"/>
      <c r="AG12" s="226"/>
      <c r="AH12" s="98"/>
      <c r="AI12" s="112">
        <f t="shared" si="1"/>
        <v>0</v>
      </c>
      <c r="AJ12" s="126"/>
      <c r="AK12" s="126"/>
    </row>
    <row r="13" spans="1:37" ht="10.5">
      <c r="A13" s="16"/>
      <c r="B13" s="22"/>
      <c r="C13" s="18" t="s">
        <v>31</v>
      </c>
      <c r="D13" s="226"/>
      <c r="E13" s="243"/>
      <c r="F13" s="243"/>
      <c r="G13" s="243"/>
      <c r="H13" s="226"/>
      <c r="I13" s="243"/>
      <c r="J13" s="243"/>
      <c r="K13" s="243"/>
      <c r="L13" s="243"/>
      <c r="M13" s="243"/>
      <c r="N13" s="243"/>
      <c r="O13" s="243"/>
      <c r="P13" s="243"/>
      <c r="Q13" s="243"/>
      <c r="R13" s="243"/>
      <c r="S13" s="9"/>
      <c r="T13" s="9"/>
      <c r="U13" s="9"/>
      <c r="V13" s="9"/>
      <c r="W13" s="9"/>
      <c r="X13" s="9"/>
      <c r="Y13" s="9"/>
      <c r="Z13" s="9"/>
      <c r="AA13" s="9"/>
      <c r="AB13" s="9"/>
      <c r="AC13" s="226"/>
      <c r="AD13" s="226"/>
      <c r="AE13" s="226"/>
      <c r="AF13" s="226"/>
      <c r="AG13" s="226"/>
      <c r="AH13" s="98"/>
      <c r="AI13" s="112">
        <f t="shared" si="1"/>
        <v>0</v>
      </c>
      <c r="AJ13" s="126"/>
      <c r="AK13" s="126"/>
    </row>
    <row r="14" spans="1:37" ht="10.5">
      <c r="A14" s="16"/>
      <c r="B14" s="22"/>
      <c r="C14" s="18" t="s">
        <v>32</v>
      </c>
      <c r="D14" s="226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43"/>
      <c r="S14" s="9"/>
      <c r="T14" s="9"/>
      <c r="U14" s="9"/>
      <c r="V14" s="9"/>
      <c r="W14" s="9"/>
      <c r="X14" s="9"/>
      <c r="Y14" s="9"/>
      <c r="Z14" s="9"/>
      <c r="AA14" s="9"/>
      <c r="AB14" s="9"/>
      <c r="AC14" s="226"/>
      <c r="AD14" s="226"/>
      <c r="AE14" s="226"/>
      <c r="AF14" s="226"/>
      <c r="AG14" s="226"/>
      <c r="AH14" s="98"/>
      <c r="AI14" s="112">
        <f t="shared" si="1"/>
        <v>0</v>
      </c>
      <c r="AJ14" s="126"/>
      <c r="AK14" s="126"/>
    </row>
    <row r="15" spans="1:37" ht="10.5">
      <c r="A15" s="16"/>
      <c r="B15" s="23" t="s">
        <v>33</v>
      </c>
      <c r="C15" s="18" t="s">
        <v>34</v>
      </c>
      <c r="D15" s="226"/>
      <c r="E15" s="243"/>
      <c r="F15" s="243"/>
      <c r="G15" s="243"/>
      <c r="H15" s="224"/>
      <c r="I15" s="243"/>
      <c r="J15" s="243"/>
      <c r="K15" s="243"/>
      <c r="L15" s="243"/>
      <c r="M15" s="243"/>
      <c r="N15" s="243"/>
      <c r="O15" s="243"/>
      <c r="P15" s="243"/>
      <c r="Q15" s="243"/>
      <c r="R15" s="243"/>
      <c r="S15" s="9"/>
      <c r="T15" s="9"/>
      <c r="U15" s="9"/>
      <c r="V15" s="9"/>
      <c r="W15" s="9"/>
      <c r="X15" s="9"/>
      <c r="Y15" s="226"/>
      <c r="Z15" s="226"/>
      <c r="AA15" s="113"/>
      <c r="AB15" s="226"/>
      <c r="AC15" s="226"/>
      <c r="AD15" s="226"/>
      <c r="AE15" s="226"/>
      <c r="AF15" s="226"/>
      <c r="AG15" s="226"/>
      <c r="AH15" s="98"/>
      <c r="AI15" s="112">
        <f t="shared" si="1"/>
        <v>0</v>
      </c>
      <c r="AJ15" s="130">
        <f>SUM(AI15:AI21)</f>
        <v>0</v>
      </c>
      <c r="AK15" s="130">
        <v>10000</v>
      </c>
    </row>
    <row r="16" spans="1:37" ht="10.5">
      <c r="A16" s="16"/>
      <c r="B16" s="24"/>
      <c r="C16" s="18" t="s">
        <v>35</v>
      </c>
      <c r="D16" s="226"/>
      <c r="E16" s="243"/>
      <c r="F16" s="243"/>
      <c r="G16" s="243"/>
      <c r="H16" s="243"/>
      <c r="I16" s="243"/>
      <c r="J16" s="243"/>
      <c r="K16" s="243"/>
      <c r="L16" s="243"/>
      <c r="M16" s="243"/>
      <c r="N16" s="226"/>
      <c r="O16" s="243"/>
      <c r="P16" s="243"/>
      <c r="Q16" s="243"/>
      <c r="R16" s="243"/>
      <c r="S16" s="9"/>
      <c r="T16" s="9"/>
      <c r="U16" s="9"/>
      <c r="V16" s="9"/>
      <c r="W16" s="9"/>
      <c r="X16" s="9"/>
      <c r="Y16" s="226"/>
      <c r="Z16" s="226"/>
      <c r="AA16" s="226"/>
      <c r="AB16" s="226"/>
      <c r="AC16" s="226"/>
      <c r="AD16" s="226"/>
      <c r="AE16" s="226"/>
      <c r="AF16" s="226"/>
      <c r="AG16" s="226"/>
      <c r="AH16" s="98"/>
      <c r="AI16" s="112">
        <f t="shared" si="1"/>
        <v>0</v>
      </c>
      <c r="AJ16" s="132"/>
      <c r="AK16" s="132"/>
    </row>
    <row r="17" spans="1:37" ht="10.5">
      <c r="A17" s="16"/>
      <c r="B17" s="24"/>
      <c r="C17" s="62" t="s">
        <v>36</v>
      </c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9"/>
      <c r="W17" s="9"/>
      <c r="X17" s="9"/>
      <c r="Y17" s="226"/>
      <c r="Z17" s="226"/>
      <c r="AA17" s="226"/>
      <c r="AB17" s="226"/>
      <c r="AC17" s="226"/>
      <c r="AD17" s="226"/>
      <c r="AE17" s="226"/>
      <c r="AF17" s="226"/>
      <c r="AG17" s="226"/>
      <c r="AH17" s="98"/>
      <c r="AI17" s="112">
        <f t="shared" si="1"/>
        <v>0</v>
      </c>
      <c r="AJ17" s="132"/>
      <c r="AK17" s="132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98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9"/>
      <c r="W19" s="9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98"/>
      <c r="AI19" s="112">
        <f t="shared" si="1"/>
        <v>0</v>
      </c>
      <c r="AJ19" s="132"/>
      <c r="AK19" s="132"/>
    </row>
    <row r="20" spans="1:37" ht="10.5">
      <c r="A20" s="16"/>
      <c r="B20" s="24"/>
      <c r="C20" s="18" t="s">
        <v>38</v>
      </c>
      <c r="D20" s="226"/>
      <c r="E20" s="243"/>
      <c r="F20" s="243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43"/>
      <c r="R20" s="243"/>
      <c r="S20" s="9"/>
      <c r="T20" s="9"/>
      <c r="U20" s="9"/>
      <c r="V20" s="9"/>
      <c r="W20" s="9"/>
      <c r="X20" s="9"/>
      <c r="Y20" s="9"/>
      <c r="Z20" s="9"/>
      <c r="AA20" s="9"/>
      <c r="AB20" s="9"/>
      <c r="AC20" s="226"/>
      <c r="AD20" s="226"/>
      <c r="AE20" s="226"/>
      <c r="AF20" s="226"/>
      <c r="AG20" s="226"/>
      <c r="AH20" s="98"/>
      <c r="AI20" s="112">
        <f t="shared" si="1"/>
        <v>0</v>
      </c>
      <c r="AJ20" s="132"/>
      <c r="AK20" s="132"/>
    </row>
    <row r="21" spans="1:37" ht="10.5">
      <c r="A21" s="16"/>
      <c r="B21" s="26"/>
      <c r="C21" s="18" t="s">
        <v>39</v>
      </c>
      <c r="D21" s="226"/>
      <c r="E21" s="243"/>
      <c r="F21" s="243"/>
      <c r="G21" s="226"/>
      <c r="H21" s="226"/>
      <c r="I21" s="226"/>
      <c r="J21" s="226"/>
      <c r="K21" s="226"/>
      <c r="L21" s="226"/>
      <c r="M21" s="226"/>
      <c r="N21" s="226"/>
      <c r="O21" s="226"/>
      <c r="P21" s="226"/>
      <c r="Q21" s="243"/>
      <c r="R21" s="243"/>
      <c r="S21" s="9"/>
      <c r="T21" s="9"/>
      <c r="U21" s="9"/>
      <c r="V21" s="9"/>
      <c r="W21" s="9"/>
      <c r="X21" s="9"/>
      <c r="Y21" s="9"/>
      <c r="Z21" s="9"/>
      <c r="AA21" s="9"/>
      <c r="AB21" s="9"/>
      <c r="AC21" s="226"/>
      <c r="AD21" s="226"/>
      <c r="AE21" s="226"/>
      <c r="AF21" s="226"/>
      <c r="AG21" s="226"/>
      <c r="AH21" s="98"/>
      <c r="AI21" s="112">
        <f t="shared" si="1"/>
        <v>0</v>
      </c>
      <c r="AJ21" s="135"/>
      <c r="AK21" s="135"/>
    </row>
    <row r="22" spans="1:37" ht="10.5">
      <c r="A22" s="16"/>
      <c r="B22" s="7" t="s">
        <v>40</v>
      </c>
      <c r="C22" s="18" t="s">
        <v>41</v>
      </c>
      <c r="D22" s="112"/>
      <c r="E22" s="224"/>
      <c r="F22" s="243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43"/>
      <c r="R22" s="243"/>
      <c r="S22" s="9"/>
      <c r="T22" s="9"/>
      <c r="U22" s="9"/>
      <c r="V22" s="9"/>
      <c r="W22" s="9"/>
      <c r="X22" s="9"/>
      <c r="Y22" s="9"/>
      <c r="Z22" s="9"/>
      <c r="AA22" s="9"/>
      <c r="AB22" s="9"/>
      <c r="AC22" s="226"/>
      <c r="AD22" s="226"/>
      <c r="AE22" s="226"/>
      <c r="AF22" s="226"/>
      <c r="AG22" s="226"/>
      <c r="AH22" s="98"/>
      <c r="AI22" s="112">
        <f t="shared" si="1"/>
        <v>0</v>
      </c>
      <c r="AJ22" s="114">
        <f>SUM(AI22:AI23)</f>
        <v>0</v>
      </c>
      <c r="AK22" s="114">
        <v>30000</v>
      </c>
    </row>
    <row r="23" spans="1:37" ht="10.5">
      <c r="A23" s="16"/>
      <c r="B23" s="13"/>
      <c r="C23" s="18" t="s">
        <v>42</v>
      </c>
      <c r="D23" s="112"/>
      <c r="E23" s="243"/>
      <c r="F23" s="243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43"/>
      <c r="R23" s="243"/>
      <c r="S23" s="9"/>
      <c r="T23" s="9"/>
      <c r="U23" s="9"/>
      <c r="V23" s="9"/>
      <c r="W23" s="9"/>
      <c r="X23" s="9"/>
      <c r="Y23" s="9"/>
      <c r="Z23" s="9"/>
      <c r="AA23" s="9"/>
      <c r="AB23" s="9"/>
      <c r="AC23" s="226"/>
      <c r="AD23" s="226"/>
      <c r="AE23" s="226"/>
      <c r="AF23" s="226"/>
      <c r="AG23" s="226"/>
      <c r="AH23" s="98"/>
      <c r="AI23" s="112">
        <f t="shared" si="1"/>
        <v>0</v>
      </c>
      <c r="AJ23" s="120"/>
      <c r="AK23" s="120"/>
    </row>
    <row r="24" spans="1:37" ht="10.5">
      <c r="A24" s="16"/>
      <c r="B24" s="29" t="s">
        <v>43</v>
      </c>
      <c r="C24" s="18" t="s">
        <v>44</v>
      </c>
      <c r="D24" s="112"/>
      <c r="E24" s="243"/>
      <c r="F24" s="243"/>
      <c r="G24" s="226"/>
      <c r="H24" s="226"/>
      <c r="I24" s="226"/>
      <c r="J24" s="226"/>
      <c r="K24" s="226"/>
      <c r="L24" s="226"/>
      <c r="M24" s="226"/>
      <c r="N24" s="226"/>
      <c r="O24" s="226"/>
      <c r="P24" s="226"/>
      <c r="Q24" s="243"/>
      <c r="R24" s="243"/>
      <c r="S24" s="9"/>
      <c r="T24" s="9"/>
      <c r="U24" s="9"/>
      <c r="V24" s="226"/>
      <c r="W24" s="9"/>
      <c r="X24" s="9"/>
      <c r="Y24" s="226"/>
      <c r="Z24" s="9"/>
      <c r="AA24" s="9"/>
      <c r="AB24" s="226"/>
      <c r="AC24" s="226"/>
      <c r="AD24" s="226"/>
      <c r="AE24" s="226"/>
      <c r="AF24" s="226"/>
      <c r="AG24" s="226"/>
      <c r="AH24" s="98"/>
      <c r="AI24" s="112">
        <f t="shared" si="1"/>
        <v>0</v>
      </c>
      <c r="AJ24" s="137">
        <f>AI24</f>
        <v>0</v>
      </c>
      <c r="AK24" s="137">
        <v>2000</v>
      </c>
    </row>
    <row r="25" spans="1:37" ht="10.5">
      <c r="A25" s="16"/>
      <c r="B25" s="30" t="s">
        <v>45</v>
      </c>
      <c r="C25" s="18" t="s">
        <v>46</v>
      </c>
      <c r="D25" s="112"/>
      <c r="E25" s="226"/>
      <c r="F25" s="243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43"/>
      <c r="R25" s="243"/>
      <c r="S25" s="9"/>
      <c r="T25" s="9"/>
      <c r="U25" s="9"/>
      <c r="V25" s="9"/>
      <c r="W25" s="9"/>
      <c r="X25" s="9"/>
      <c r="Y25" s="9"/>
      <c r="Z25" s="9"/>
      <c r="AA25" s="9"/>
      <c r="AB25" s="9"/>
      <c r="AC25" s="226"/>
      <c r="AD25" s="226"/>
      <c r="AE25" s="226"/>
      <c r="AF25" s="226"/>
      <c r="AG25" s="226"/>
      <c r="AH25" s="98"/>
      <c r="AI25" s="112">
        <f t="shared" si="1"/>
        <v>0</v>
      </c>
      <c r="AJ25" s="139">
        <f>SUM(AI25:AI26)</f>
        <v>0</v>
      </c>
      <c r="AK25" s="139">
        <v>5000</v>
      </c>
    </row>
    <row r="26" spans="1:37" ht="10.5">
      <c r="A26" s="16"/>
      <c r="B26" s="31"/>
      <c r="C26" s="18" t="s">
        <v>47</v>
      </c>
      <c r="D26" s="112"/>
      <c r="E26" s="243"/>
      <c r="F26" s="243"/>
      <c r="G26" s="226"/>
      <c r="H26" s="226"/>
      <c r="I26" s="226"/>
      <c r="J26" s="226"/>
      <c r="K26" s="226"/>
      <c r="L26" s="226"/>
      <c r="M26" s="226"/>
      <c r="N26" s="226"/>
      <c r="O26" s="226"/>
      <c r="P26" s="226"/>
      <c r="Q26" s="243"/>
      <c r="R26" s="243"/>
      <c r="S26" s="9"/>
      <c r="T26" s="9"/>
      <c r="U26" s="9"/>
      <c r="V26" s="9"/>
      <c r="W26" s="9"/>
      <c r="X26" s="9"/>
      <c r="Y26" s="225"/>
      <c r="Z26" s="9"/>
      <c r="AA26" s="9"/>
      <c r="AB26" s="9"/>
      <c r="AC26" s="226"/>
      <c r="AD26" s="226"/>
      <c r="AE26" s="226"/>
      <c r="AF26" s="226"/>
      <c r="AG26" s="226"/>
      <c r="AH26" s="98"/>
      <c r="AI26" s="112">
        <f t="shared" si="1"/>
        <v>0</v>
      </c>
      <c r="AJ26" s="141"/>
      <c r="AK26" s="141"/>
    </row>
    <row r="27" spans="1:37" ht="10.5">
      <c r="A27" s="16"/>
      <c r="B27" s="32" t="s">
        <v>48</v>
      </c>
      <c r="C27" s="18" t="s">
        <v>49</v>
      </c>
      <c r="D27" s="112"/>
      <c r="E27" s="243"/>
      <c r="F27" s="243"/>
      <c r="G27" s="226"/>
      <c r="H27" s="226"/>
      <c r="I27" s="226"/>
      <c r="J27" s="226"/>
      <c r="K27" s="226"/>
      <c r="L27" s="226"/>
      <c r="M27" s="226"/>
      <c r="N27" s="226"/>
      <c r="O27" s="226"/>
      <c r="P27" s="226"/>
      <c r="Q27" s="243"/>
      <c r="R27" s="243"/>
      <c r="S27" s="9"/>
      <c r="T27" s="9"/>
      <c r="U27" s="9"/>
      <c r="V27" s="9"/>
      <c r="W27" s="9"/>
      <c r="X27" s="9"/>
      <c r="Y27" s="9"/>
      <c r="Z27" s="9"/>
      <c r="AA27" s="9"/>
      <c r="AB27" s="9"/>
      <c r="AC27" s="226"/>
      <c r="AD27" s="226"/>
      <c r="AE27" s="226"/>
      <c r="AF27" s="226"/>
      <c r="AG27" s="226"/>
      <c r="AH27" s="98"/>
      <c r="AI27" s="112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6"/>
      <c r="B28" s="34" t="s">
        <v>50</v>
      </c>
      <c r="C28" s="18" t="s">
        <v>51</v>
      </c>
      <c r="D28" s="112"/>
      <c r="E28" s="243"/>
      <c r="F28" s="243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43"/>
      <c r="R28" s="243"/>
      <c r="S28" s="9"/>
      <c r="T28" s="9"/>
      <c r="U28" s="9"/>
      <c r="V28" s="9"/>
      <c r="W28" s="9"/>
      <c r="X28" s="9"/>
      <c r="Y28" s="9"/>
      <c r="Z28" s="9"/>
      <c r="AA28" s="9"/>
      <c r="AB28" s="9"/>
      <c r="AC28" s="226"/>
      <c r="AD28" s="226"/>
      <c r="AE28" s="226"/>
      <c r="AF28" s="226"/>
      <c r="AG28" s="226"/>
      <c r="AH28" s="98"/>
      <c r="AI28" s="112">
        <f t="shared" si="1"/>
        <v>0</v>
      </c>
      <c r="AJ28" s="144">
        <f t="shared" si="2"/>
        <v>0</v>
      </c>
      <c r="AK28" s="144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224"/>
      <c r="F29" s="243"/>
      <c r="G29" s="226"/>
      <c r="H29" s="226"/>
      <c r="I29" s="226"/>
      <c r="J29" s="226"/>
      <c r="K29" s="112"/>
      <c r="L29" s="226"/>
      <c r="M29" s="226"/>
      <c r="N29" s="226"/>
      <c r="O29" s="226"/>
      <c r="P29" s="226"/>
      <c r="Q29" s="243"/>
      <c r="R29" s="113"/>
      <c r="S29" s="9"/>
      <c r="T29" s="9"/>
      <c r="U29" s="9"/>
      <c r="V29" s="9"/>
      <c r="W29" s="9"/>
      <c r="X29" s="9"/>
      <c r="Y29" s="9"/>
      <c r="Z29" s="9"/>
      <c r="AA29" s="9"/>
      <c r="AB29" s="9"/>
      <c r="AC29" s="226"/>
      <c r="AD29" s="226"/>
      <c r="AE29" s="226"/>
      <c r="AF29" s="226"/>
      <c r="AG29" s="226"/>
      <c r="AH29" s="98"/>
      <c r="AI29" s="112">
        <f t="shared" si="1"/>
        <v>0</v>
      </c>
      <c r="AJ29" s="647">
        <f>SUM(AI29:AI31)</f>
        <v>0</v>
      </c>
      <c r="AK29" s="647">
        <v>20000</v>
      </c>
    </row>
    <row r="30" spans="1:37">
      <c r="A30" s="16"/>
      <c r="B30" s="645"/>
      <c r="C30" s="218" t="s">
        <v>74</v>
      </c>
      <c r="D30" s="112"/>
      <c r="E30" s="243"/>
      <c r="F30" s="243"/>
      <c r="G30" s="226"/>
      <c r="H30" s="226"/>
      <c r="I30" s="226"/>
      <c r="J30" s="226"/>
      <c r="K30" s="226"/>
      <c r="L30" s="226"/>
      <c r="M30" s="226"/>
      <c r="N30" s="226"/>
      <c r="O30" s="226"/>
      <c r="P30" s="226"/>
      <c r="Q30" s="243"/>
      <c r="R30" s="243"/>
      <c r="S30" s="9"/>
      <c r="T30" s="9"/>
      <c r="U30" s="9"/>
      <c r="V30" s="9"/>
      <c r="W30" s="9"/>
      <c r="X30" s="9"/>
      <c r="Y30" s="9"/>
      <c r="Z30" s="9"/>
      <c r="AA30" s="9"/>
      <c r="AB30" s="9"/>
      <c r="AC30" s="226"/>
      <c r="AD30" s="226"/>
      <c r="AE30" s="226"/>
      <c r="AF30" s="226"/>
      <c r="AG30" s="226"/>
      <c r="AH30" s="98"/>
      <c r="AI30" s="112">
        <f t="shared" si="1"/>
        <v>0</v>
      </c>
      <c r="AJ30" s="648"/>
      <c r="AK30" s="648"/>
    </row>
    <row r="31" spans="1:37" ht="10.5">
      <c r="A31" s="16"/>
      <c r="B31" s="646"/>
      <c r="C31" s="18" t="s">
        <v>75</v>
      </c>
      <c r="D31" s="112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243"/>
      <c r="Q31" s="243"/>
      <c r="R31" s="243"/>
      <c r="S31" s="9"/>
      <c r="T31" s="9"/>
      <c r="U31" s="9"/>
      <c r="V31" s="9"/>
      <c r="W31" s="9"/>
      <c r="X31" s="9"/>
      <c r="Y31" s="9"/>
      <c r="Z31" s="9"/>
      <c r="AA31" s="9"/>
      <c r="AB31" s="9"/>
      <c r="AC31" s="226"/>
      <c r="AD31" s="226"/>
      <c r="AE31" s="226"/>
      <c r="AF31" s="226"/>
      <c r="AG31" s="226"/>
      <c r="AH31" s="98"/>
      <c r="AI31" s="112">
        <f t="shared" si="1"/>
        <v>0</v>
      </c>
      <c r="AJ31" s="649"/>
      <c r="AK31" s="649"/>
    </row>
    <row r="32" spans="1:37" ht="10.5">
      <c r="A32" s="16"/>
      <c r="B32" s="34" t="s">
        <v>54</v>
      </c>
      <c r="C32" s="18" t="s">
        <v>55</v>
      </c>
      <c r="D32" s="112"/>
      <c r="E32" s="243"/>
      <c r="F32" s="243"/>
      <c r="G32" s="243"/>
      <c r="H32" s="225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9"/>
      <c r="T32" s="9"/>
      <c r="U32" s="9"/>
      <c r="V32" s="9"/>
      <c r="W32" s="9"/>
      <c r="X32" s="9"/>
      <c r="Y32" s="9"/>
      <c r="Z32" s="9"/>
      <c r="AA32" s="9"/>
      <c r="AB32" s="9"/>
      <c r="AC32" s="226"/>
      <c r="AD32" s="226"/>
      <c r="AE32" s="226"/>
      <c r="AF32" s="226"/>
      <c r="AG32" s="226"/>
      <c r="AH32" s="98"/>
      <c r="AI32" s="112">
        <f t="shared" si="1"/>
        <v>0</v>
      </c>
      <c r="AJ32" s="144">
        <f t="shared" si="2"/>
        <v>0</v>
      </c>
      <c r="AK32" s="144">
        <v>2000</v>
      </c>
    </row>
    <row r="33" spans="1:37" ht="10.5">
      <c r="A33" s="16"/>
      <c r="B33" s="34" t="s">
        <v>56</v>
      </c>
      <c r="C33" s="18" t="s">
        <v>56</v>
      </c>
      <c r="D33" s="112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243"/>
      <c r="Q33" s="243"/>
      <c r="R33" s="243"/>
      <c r="S33" s="9"/>
      <c r="T33" s="9"/>
      <c r="U33" s="9"/>
      <c r="V33" s="224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8"/>
      <c r="AI33" s="112">
        <f t="shared" si="1"/>
        <v>0</v>
      </c>
      <c r="AJ33" s="144">
        <f t="shared" si="2"/>
        <v>0</v>
      </c>
      <c r="AK33" s="144">
        <v>15000</v>
      </c>
    </row>
    <row r="34" spans="1:37" ht="10.5">
      <c r="A34" s="16"/>
      <c r="B34" s="35" t="s">
        <v>57</v>
      </c>
      <c r="C34" s="18" t="s">
        <v>57</v>
      </c>
      <c r="D34" s="226"/>
      <c r="E34" s="243"/>
      <c r="F34" s="243"/>
      <c r="G34" s="225"/>
      <c r="H34" s="243"/>
      <c r="I34" s="243"/>
      <c r="J34" s="243"/>
      <c r="K34" s="243"/>
      <c r="L34" s="243"/>
      <c r="M34" s="243"/>
      <c r="N34" s="243"/>
      <c r="O34" s="243"/>
      <c r="P34" s="243"/>
      <c r="Q34" s="243"/>
      <c r="R34" s="243"/>
      <c r="S34" s="9"/>
      <c r="T34" s="9"/>
      <c r="U34" s="9"/>
      <c r="V34" s="9"/>
      <c r="W34" s="9"/>
      <c r="X34" s="9"/>
      <c r="Y34" s="9"/>
      <c r="Z34" s="9"/>
      <c r="AA34" s="9"/>
      <c r="AB34" s="9"/>
      <c r="AC34" s="225"/>
      <c r="AD34" s="9"/>
      <c r="AE34" s="9"/>
      <c r="AG34" s="9"/>
      <c r="AH34" s="98"/>
      <c r="AI34" s="112">
        <f t="shared" si="1"/>
        <v>0</v>
      </c>
      <c r="AJ34" s="145">
        <f t="shared" si="2"/>
        <v>0</v>
      </c>
      <c r="AK34" s="145">
        <v>2000</v>
      </c>
    </row>
    <row r="35" spans="1:37" ht="10.5">
      <c r="A35" s="16"/>
      <c r="B35" s="36" t="s">
        <v>58</v>
      </c>
      <c r="C35" s="18" t="s">
        <v>59</v>
      </c>
      <c r="D35" s="226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8"/>
      <c r="AI35" s="112">
        <f t="shared" si="1"/>
        <v>0</v>
      </c>
      <c r="AJ35" s="147">
        <f>SUM(AI35:AI36)</f>
        <v>0</v>
      </c>
      <c r="AK35" s="147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226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231"/>
      <c r="AF36" s="9"/>
      <c r="AG36" s="9"/>
      <c r="AH36" s="98"/>
      <c r="AI36" s="112">
        <f t="shared" si="1"/>
        <v>0</v>
      </c>
      <c r="AJ36" s="149"/>
      <c r="AK36" s="149"/>
    </row>
    <row r="37" spans="1:37" ht="10.5">
      <c r="A37" s="38"/>
      <c r="B37" s="39" t="s">
        <v>61</v>
      </c>
      <c r="C37" s="40"/>
      <c r="D37" s="112">
        <f t="shared" ref="D37:AH37" si="3">SUM(D2:D36)</f>
        <v>0</v>
      </c>
      <c r="E37" s="112">
        <f t="shared" si="3"/>
        <v>0</v>
      </c>
      <c r="F37" s="112">
        <f t="shared" si="3"/>
        <v>0</v>
      </c>
      <c r="G37" s="112">
        <f t="shared" si="3"/>
        <v>0</v>
      </c>
      <c r="H37" s="112">
        <f t="shared" si="3"/>
        <v>0</v>
      </c>
      <c r="I37" s="112">
        <f t="shared" si="3"/>
        <v>0</v>
      </c>
      <c r="J37" s="112">
        <f t="shared" si="3"/>
        <v>0</v>
      </c>
      <c r="K37" s="112">
        <f t="shared" si="3"/>
        <v>0</v>
      </c>
      <c r="L37" s="112">
        <f>SUM(L2:L36)</f>
        <v>0</v>
      </c>
      <c r="M37" s="112">
        <f t="shared" si="3"/>
        <v>0</v>
      </c>
      <c r="N37" s="112">
        <f t="shared" si="3"/>
        <v>0</v>
      </c>
      <c r="O37" s="112">
        <f t="shared" si="3"/>
        <v>0</v>
      </c>
      <c r="P37" s="112">
        <f t="shared" si="3"/>
        <v>0</v>
      </c>
      <c r="Q37" s="112">
        <f t="shared" si="3"/>
        <v>0</v>
      </c>
      <c r="R37" s="112">
        <f t="shared" si="3"/>
        <v>0</v>
      </c>
      <c r="S37" s="112">
        <f t="shared" si="3"/>
        <v>0</v>
      </c>
      <c r="T37" s="112">
        <f t="shared" si="3"/>
        <v>0</v>
      </c>
      <c r="U37" s="112">
        <f t="shared" si="3"/>
        <v>0</v>
      </c>
      <c r="V37" s="112">
        <f t="shared" si="3"/>
        <v>0</v>
      </c>
      <c r="W37" s="112">
        <f t="shared" si="3"/>
        <v>0</v>
      </c>
      <c r="X37" s="112">
        <f t="shared" si="3"/>
        <v>0</v>
      </c>
      <c r="Y37" s="112">
        <f t="shared" si="3"/>
        <v>0</v>
      </c>
      <c r="Z37" s="112">
        <f t="shared" si="3"/>
        <v>0</v>
      </c>
      <c r="AA37" s="112">
        <f t="shared" si="3"/>
        <v>0</v>
      </c>
      <c r="AB37" s="112">
        <f t="shared" si="3"/>
        <v>0</v>
      </c>
      <c r="AC37" s="112">
        <f t="shared" si="3"/>
        <v>0</v>
      </c>
      <c r="AD37" s="112">
        <f t="shared" si="3"/>
        <v>0</v>
      </c>
      <c r="AE37" s="112">
        <f>SUM(AE2:AE36)</f>
        <v>0</v>
      </c>
      <c r="AF37" s="112">
        <f>SUM(AF2:AF36)</f>
        <v>0</v>
      </c>
      <c r="AG37" s="112">
        <f t="shared" si="3"/>
        <v>0</v>
      </c>
      <c r="AH37" s="112">
        <f t="shared" si="3"/>
        <v>0</v>
      </c>
      <c r="AI37" s="112">
        <f>SUM(AI2:AI36)</f>
        <v>0</v>
      </c>
      <c r="AJ37" s="154">
        <f>SUM(AJ2:AJ36)</f>
        <v>0</v>
      </c>
      <c r="AK37" s="154">
        <f>SUM(AK2:AK36)</f>
        <v>122000</v>
      </c>
    </row>
    <row r="38" spans="1:37">
      <c r="B38" s="41"/>
      <c r="AJ38" s="156"/>
      <c r="AK38" s="156"/>
    </row>
    <row r="39" spans="1:37" ht="10.5">
      <c r="A39" s="35"/>
      <c r="B39" s="43" t="s">
        <v>63</v>
      </c>
      <c r="C39" s="18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98"/>
      <c r="AI39" s="113">
        <f t="shared" ref="AI39:AI45" si="4">SUM(D39:AH39)</f>
        <v>0</v>
      </c>
      <c r="AJ39" s="158">
        <f>SUM(AI39:AI41)</f>
        <v>0</v>
      </c>
      <c r="AK39" s="158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98"/>
      <c r="AI40" s="113">
        <f t="shared" si="4"/>
        <v>0</v>
      </c>
      <c r="AJ40" s="162"/>
      <c r="AK40" s="162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98"/>
      <c r="AI41" s="113">
        <f t="shared" si="4"/>
        <v>0</v>
      </c>
      <c r="AJ41" s="165"/>
      <c r="AK41" s="16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98"/>
      <c r="AI42" s="113">
        <f t="shared" si="4"/>
        <v>0</v>
      </c>
      <c r="AJ42" s="167">
        <f>AI42</f>
        <v>0</v>
      </c>
      <c r="AK42" s="167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98"/>
      <c r="AI43" s="113">
        <f t="shared" si="4"/>
        <v>0</v>
      </c>
      <c r="AJ43" s="169">
        <f>SUM(AI43:AI44)</f>
        <v>0</v>
      </c>
      <c r="AK43" s="169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98"/>
      <c r="AI44" s="113">
        <f t="shared" si="4"/>
        <v>0</v>
      </c>
      <c r="AJ44" s="172"/>
      <c r="AK44" s="172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4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D39" sqref="D39"/>
    </sheetView>
  </sheetViews>
  <sheetFormatPr defaultColWidth="9" defaultRowHeight="10.15"/>
  <cols>
    <col min="1" max="1" width="4.3984375" style="5" bestFit="1" customWidth="1"/>
    <col min="2" max="2" width="4.3984375" style="5" customWidth="1"/>
    <col min="3" max="3" width="11.1328125" style="5" bestFit="1" customWidth="1"/>
    <col min="4" max="4" width="8.3984375" style="5" bestFit="1" customWidth="1"/>
    <col min="5" max="5" width="5.3984375" style="5" bestFit="1" customWidth="1"/>
    <col min="6" max="6" width="7.59765625" style="5" bestFit="1" customWidth="1"/>
    <col min="7" max="7" width="6.73046875" style="5" bestFit="1" customWidth="1"/>
    <col min="8" max="8" width="7.59765625" style="5" bestFit="1" customWidth="1"/>
    <col min="9" max="9" width="6.73046875" style="5" bestFit="1" customWidth="1"/>
    <col min="10" max="11" width="7.59765625" style="5" bestFit="1" customWidth="1"/>
    <col min="12" max="12" width="6.73046875" style="5" bestFit="1" customWidth="1"/>
    <col min="13" max="14" width="7.59765625" style="5" bestFit="1" customWidth="1"/>
    <col min="15" max="16" width="7.3984375" style="5" bestFit="1" customWidth="1"/>
    <col min="17" max="17" width="6.73046875" style="5" bestFit="1" customWidth="1"/>
    <col min="18" max="18" width="8.3984375" style="5" bestFit="1" customWidth="1"/>
    <col min="19" max="19" width="6.73046875" style="5" bestFit="1" customWidth="1"/>
    <col min="20" max="20" width="7.59765625" style="5" bestFit="1" customWidth="1"/>
    <col min="21" max="21" width="6.73046875" style="5" bestFit="1" customWidth="1"/>
    <col min="22" max="23" width="7.59765625" style="5" bestFit="1" customWidth="1"/>
    <col min="24" max="30" width="6.73046875" style="5" bestFit="1" customWidth="1"/>
    <col min="31" max="33" width="7.59765625" style="5" bestFit="1" customWidth="1"/>
    <col min="34" max="34" width="6.73046875" style="5" bestFit="1" customWidth="1"/>
    <col min="35" max="35" width="8.3984375" style="5" bestFit="1" customWidth="1"/>
    <col min="36" max="37" width="7.3984375" style="5" bestFit="1" customWidth="1"/>
    <col min="38" max="38" width="9" style="5" bestFit="1"/>
    <col min="39" max="16384" width="9" style="5"/>
  </cols>
  <sheetData>
    <row r="1" spans="1:37" ht="10.5">
      <c r="A1" s="34" t="s">
        <v>12</v>
      </c>
      <c r="B1" s="93" t="s">
        <v>1</v>
      </c>
      <c r="C1" s="1" t="s">
        <v>69</v>
      </c>
      <c r="D1" s="51">
        <v>1</v>
      </c>
      <c r="E1" s="51">
        <f t="shared" ref="E1:AH1" si="0">1+D1</f>
        <v>2</v>
      </c>
      <c r="F1" s="52">
        <f t="shared" si="0"/>
        <v>3</v>
      </c>
      <c r="G1" s="53">
        <f t="shared" si="0"/>
        <v>4</v>
      </c>
      <c r="H1" s="51">
        <f t="shared" si="0"/>
        <v>5</v>
      </c>
      <c r="I1" s="51">
        <f t="shared" si="0"/>
        <v>6</v>
      </c>
      <c r="J1" s="51">
        <f t="shared" si="0"/>
        <v>7</v>
      </c>
      <c r="K1" s="51">
        <f t="shared" si="0"/>
        <v>8</v>
      </c>
      <c r="L1" s="51">
        <f t="shared" si="0"/>
        <v>9</v>
      </c>
      <c r="M1" s="52">
        <f t="shared" si="0"/>
        <v>10</v>
      </c>
      <c r="N1" s="53">
        <f t="shared" si="0"/>
        <v>11</v>
      </c>
      <c r="O1" s="51">
        <f t="shared" si="0"/>
        <v>12</v>
      </c>
      <c r="P1" s="51">
        <f t="shared" si="0"/>
        <v>13</v>
      </c>
      <c r="Q1" s="51">
        <f t="shared" si="0"/>
        <v>14</v>
      </c>
      <c r="R1" s="51">
        <f t="shared" si="0"/>
        <v>15</v>
      </c>
      <c r="S1" s="51">
        <f t="shared" si="0"/>
        <v>16</v>
      </c>
      <c r="T1" s="52">
        <f t="shared" si="0"/>
        <v>17</v>
      </c>
      <c r="U1" s="53">
        <f t="shared" si="0"/>
        <v>18</v>
      </c>
      <c r="V1" s="51">
        <f t="shared" si="0"/>
        <v>19</v>
      </c>
      <c r="W1" s="51">
        <f t="shared" si="0"/>
        <v>20</v>
      </c>
      <c r="X1" s="51">
        <f t="shared" si="0"/>
        <v>21</v>
      </c>
      <c r="Y1" s="51">
        <f t="shared" si="0"/>
        <v>22</v>
      </c>
      <c r="Z1" s="51">
        <f t="shared" si="0"/>
        <v>23</v>
      </c>
      <c r="AA1" s="52">
        <f t="shared" si="0"/>
        <v>24</v>
      </c>
      <c r="AB1" s="53">
        <f t="shared" si="0"/>
        <v>25</v>
      </c>
      <c r="AC1" s="51">
        <f t="shared" si="0"/>
        <v>26</v>
      </c>
      <c r="AD1" s="51">
        <f t="shared" si="0"/>
        <v>27</v>
      </c>
      <c r="AE1" s="51">
        <f t="shared" si="0"/>
        <v>28</v>
      </c>
      <c r="AF1" s="51">
        <f t="shared" si="0"/>
        <v>29</v>
      </c>
      <c r="AG1" s="51">
        <f t="shared" si="0"/>
        <v>30</v>
      </c>
      <c r="AH1" s="52">
        <f t="shared" si="0"/>
        <v>31</v>
      </c>
      <c r="AI1" s="3" t="s">
        <v>15</v>
      </c>
      <c r="AJ1" s="3" t="s">
        <v>16</v>
      </c>
      <c r="AK1" s="3" t="s">
        <v>17</v>
      </c>
    </row>
    <row r="2" spans="1:37" ht="10.5">
      <c r="A2" s="35"/>
      <c r="B2" s="7" t="s">
        <v>19</v>
      </c>
      <c r="C2" s="18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6"/>
      <c r="AA2" s="226"/>
      <c r="AB2" s="226"/>
      <c r="AC2" s="226"/>
      <c r="AD2" s="226"/>
      <c r="AE2" s="226"/>
      <c r="AF2" s="226"/>
      <c r="AG2" s="226"/>
      <c r="AH2" s="226"/>
      <c r="AI2" s="113">
        <f t="shared" ref="AI2:AI37" si="1">SUM(D2:AH2)</f>
        <v>0</v>
      </c>
      <c r="AJ2" s="54">
        <f>SUM(AI2:AI4)</f>
        <v>0</v>
      </c>
      <c r="AK2" s="54">
        <v>5000</v>
      </c>
    </row>
    <row r="3" spans="1:37" ht="10.5">
      <c r="A3" s="16"/>
      <c r="B3" s="11"/>
      <c r="C3" s="55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113">
        <f t="shared" si="1"/>
        <v>0</v>
      </c>
      <c r="AJ3" s="56"/>
      <c r="AK3" s="56"/>
    </row>
    <row r="4" spans="1:37" ht="10.5">
      <c r="A4" s="16"/>
      <c r="B4" s="13"/>
      <c r="C4" s="18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226"/>
      <c r="AD4" s="226"/>
      <c r="AE4" s="226"/>
      <c r="AF4" s="226"/>
      <c r="AG4" s="226"/>
      <c r="AH4" s="226"/>
      <c r="AI4" s="113">
        <f t="shared" si="1"/>
        <v>0</v>
      </c>
      <c r="AJ4" s="57"/>
      <c r="AK4" s="57"/>
    </row>
    <row r="5" spans="1:37" ht="10.5">
      <c r="A5" s="16"/>
      <c r="B5" s="17" t="s">
        <v>23</v>
      </c>
      <c r="C5" s="18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113">
        <f t="shared" si="1"/>
        <v>0</v>
      </c>
      <c r="AJ5" s="58">
        <f>SUM(AI5:AI7)</f>
        <v>0</v>
      </c>
      <c r="AK5" s="58">
        <v>1000</v>
      </c>
    </row>
    <row r="6" spans="1:37" ht="10.5">
      <c r="A6" s="16"/>
      <c r="B6" s="17"/>
      <c r="C6" s="14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226"/>
      <c r="AD6" s="226"/>
      <c r="AE6" s="226"/>
      <c r="AF6" s="226"/>
      <c r="AG6" s="226"/>
      <c r="AH6" s="226"/>
      <c r="AI6" s="113">
        <f t="shared" si="1"/>
        <v>0</v>
      </c>
      <c r="AJ6" s="58"/>
      <c r="AK6" s="58"/>
    </row>
    <row r="7" spans="1:37" ht="10.5">
      <c r="A7" s="16"/>
      <c r="B7" s="17"/>
      <c r="C7" s="14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226"/>
      <c r="AD7" s="226"/>
      <c r="AE7" s="226"/>
      <c r="AF7" s="226"/>
      <c r="AG7" s="226"/>
      <c r="AH7" s="226"/>
      <c r="AI7" s="113">
        <f t="shared" si="1"/>
        <v>0</v>
      </c>
      <c r="AJ7" s="58"/>
      <c r="AK7" s="58"/>
    </row>
    <row r="8" spans="1:37" ht="10.5">
      <c r="A8" s="16"/>
      <c r="B8" s="20" t="s">
        <v>25</v>
      </c>
      <c r="C8" s="18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226"/>
      <c r="AI8" s="113">
        <f t="shared" si="1"/>
        <v>0</v>
      </c>
      <c r="AJ8" s="21">
        <f>SUM(AI8:AI14)</f>
        <v>0</v>
      </c>
      <c r="AK8" s="21">
        <v>10000</v>
      </c>
    </row>
    <row r="9" spans="1:37" ht="10.5">
      <c r="A9" s="16"/>
      <c r="B9" s="22"/>
      <c r="C9" s="18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226"/>
      <c r="AD9" s="226"/>
      <c r="AE9" s="226"/>
      <c r="AF9" s="226"/>
      <c r="AG9" s="226"/>
      <c r="AH9" s="226"/>
      <c r="AI9" s="113">
        <f t="shared" si="1"/>
        <v>0</v>
      </c>
      <c r="AJ9" s="59"/>
      <c r="AK9" s="59"/>
    </row>
    <row r="10" spans="1:37" ht="10.5">
      <c r="A10" s="16"/>
      <c r="B10" s="22"/>
      <c r="C10" s="18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226"/>
      <c r="AD10" s="226"/>
      <c r="AE10" s="226"/>
      <c r="AF10" s="226"/>
      <c r="AG10" s="226"/>
      <c r="AH10" s="226"/>
      <c r="AI10" s="113">
        <f t="shared" si="1"/>
        <v>0</v>
      </c>
      <c r="AJ10" s="59"/>
      <c r="AK10" s="59"/>
    </row>
    <row r="11" spans="1:37" ht="10.5">
      <c r="A11" s="94" t="s">
        <v>18</v>
      </c>
      <c r="B11" s="22"/>
      <c r="C11" s="18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113">
        <f t="shared" si="1"/>
        <v>0</v>
      </c>
      <c r="AJ11" s="59"/>
      <c r="AK11" s="59"/>
    </row>
    <row r="12" spans="1:37" ht="10.5">
      <c r="A12" s="16"/>
      <c r="B12" s="22"/>
      <c r="C12" s="18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226"/>
      <c r="AD12" s="226"/>
      <c r="AE12" s="226"/>
      <c r="AF12" s="226"/>
      <c r="AG12" s="226"/>
      <c r="AH12" s="226"/>
      <c r="AI12" s="113">
        <f t="shared" si="1"/>
        <v>0</v>
      </c>
      <c r="AJ12" s="59"/>
      <c r="AK12" s="59"/>
    </row>
    <row r="13" spans="1:37" ht="10.5">
      <c r="A13" s="16"/>
      <c r="B13" s="22"/>
      <c r="C13" s="18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226"/>
      <c r="AD13" s="226"/>
      <c r="AE13" s="226"/>
      <c r="AF13" s="226"/>
      <c r="AG13" s="226"/>
      <c r="AH13" s="226"/>
      <c r="AI13" s="113">
        <f t="shared" si="1"/>
        <v>0</v>
      </c>
      <c r="AJ13" s="59"/>
      <c r="AK13" s="59"/>
    </row>
    <row r="14" spans="1:37" ht="10.5">
      <c r="A14" s="16"/>
      <c r="B14" s="22"/>
      <c r="C14" s="18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113">
        <f t="shared" si="1"/>
        <v>0</v>
      </c>
      <c r="AJ14" s="59"/>
      <c r="AK14" s="59"/>
    </row>
    <row r="15" spans="1:37" ht="10.5">
      <c r="A15" s="16"/>
      <c r="B15" s="23" t="s">
        <v>33</v>
      </c>
      <c r="C15" s="18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6"/>
      <c r="AH15" s="226"/>
      <c r="AI15" s="113">
        <f t="shared" si="1"/>
        <v>0</v>
      </c>
      <c r="AJ15" s="60">
        <f>SUM(AI15:AI21)</f>
        <v>0</v>
      </c>
      <c r="AK15" s="60">
        <v>10000</v>
      </c>
    </row>
    <row r="16" spans="1:37" ht="10.5">
      <c r="A16" s="16"/>
      <c r="B16" s="24"/>
      <c r="C16" s="18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6"/>
      <c r="AH16" s="226"/>
      <c r="AI16" s="113">
        <f t="shared" si="1"/>
        <v>0</v>
      </c>
      <c r="AJ16" s="61"/>
      <c r="AK16" s="61"/>
    </row>
    <row r="17" spans="1:37" ht="10.5">
      <c r="A17" s="16"/>
      <c r="B17" s="24"/>
      <c r="C17" s="62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113">
        <f t="shared" si="1"/>
        <v>0</v>
      </c>
      <c r="AJ17" s="61"/>
      <c r="AK17" s="61"/>
    </row>
    <row r="18" spans="1:37" ht="10.5">
      <c r="A18" s="16"/>
      <c r="B18" s="24"/>
      <c r="C18" s="62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113">
        <f t="shared" si="1"/>
        <v>0</v>
      </c>
      <c r="AJ18" s="61"/>
      <c r="AK18" s="61"/>
    </row>
    <row r="19" spans="1:37" ht="10.5">
      <c r="A19" s="16"/>
      <c r="B19" s="24"/>
      <c r="C19" s="62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113">
        <f t="shared" si="1"/>
        <v>0</v>
      </c>
      <c r="AJ19" s="61"/>
      <c r="AK19" s="61"/>
    </row>
    <row r="20" spans="1:37" ht="10.5">
      <c r="A20" s="16"/>
      <c r="B20" s="24"/>
      <c r="C20" s="18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113">
        <f t="shared" si="1"/>
        <v>0</v>
      </c>
      <c r="AJ20" s="61"/>
      <c r="AK20" s="61"/>
    </row>
    <row r="21" spans="1:37" ht="10.5">
      <c r="A21" s="16"/>
      <c r="B21" s="26"/>
      <c r="C21" s="18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113">
        <f t="shared" si="1"/>
        <v>0</v>
      </c>
      <c r="AJ21" s="63"/>
      <c r="AK21" s="63"/>
    </row>
    <row r="22" spans="1:37" ht="10.5">
      <c r="A22" s="16"/>
      <c r="B22" s="7" t="s">
        <v>40</v>
      </c>
      <c r="C22" s="18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113">
        <f t="shared" si="1"/>
        <v>0</v>
      </c>
      <c r="AJ22" s="54">
        <f>SUM(AI22:AI23)</f>
        <v>0</v>
      </c>
      <c r="AK22" s="54">
        <v>30000</v>
      </c>
    </row>
    <row r="23" spans="1:37" ht="10.5">
      <c r="A23" s="16"/>
      <c r="B23" s="13"/>
      <c r="C23" s="18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226"/>
      <c r="AD23" s="226"/>
      <c r="AE23" s="226"/>
      <c r="AF23" s="226"/>
      <c r="AG23" s="226"/>
      <c r="AH23" s="226"/>
      <c r="AI23" s="113">
        <f t="shared" si="1"/>
        <v>0</v>
      </c>
      <c r="AJ23" s="57"/>
      <c r="AK23" s="57"/>
    </row>
    <row r="24" spans="1:37" ht="10.5">
      <c r="A24" s="16"/>
      <c r="B24" s="29" t="s">
        <v>43</v>
      </c>
      <c r="C24" s="18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226"/>
      <c r="AD24" s="226"/>
      <c r="AE24" s="226"/>
      <c r="AF24" s="226"/>
      <c r="AG24" s="226"/>
      <c r="AH24" s="226"/>
      <c r="AI24" s="113">
        <f t="shared" si="1"/>
        <v>0</v>
      </c>
      <c r="AJ24" s="64">
        <f>AI24</f>
        <v>0</v>
      </c>
      <c r="AK24" s="64">
        <v>2000</v>
      </c>
    </row>
    <row r="25" spans="1:37" ht="10.5">
      <c r="A25" s="16"/>
      <c r="B25" s="30" t="s">
        <v>45</v>
      </c>
      <c r="C25" s="18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6"/>
      <c r="Z25" s="226"/>
      <c r="AA25" s="226"/>
      <c r="AB25" s="226"/>
      <c r="AC25" s="226"/>
      <c r="AD25" s="226"/>
      <c r="AE25" s="226"/>
      <c r="AF25" s="226"/>
      <c r="AG25" s="226"/>
      <c r="AH25" s="226"/>
      <c r="AI25" s="113">
        <f t="shared" si="1"/>
        <v>0</v>
      </c>
      <c r="AJ25" s="65">
        <f>SUM(AI25:AI26)</f>
        <v>0</v>
      </c>
      <c r="AK25" s="65">
        <v>5000</v>
      </c>
    </row>
    <row r="26" spans="1:37" ht="10.5">
      <c r="A26" s="16"/>
      <c r="B26" s="31"/>
      <c r="C26" s="18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6"/>
      <c r="Z26" s="226"/>
      <c r="AA26" s="226"/>
      <c r="AB26" s="226"/>
      <c r="AC26" s="226"/>
      <c r="AD26" s="226"/>
      <c r="AE26" s="226"/>
      <c r="AF26" s="226"/>
      <c r="AG26" s="226"/>
      <c r="AH26" s="226"/>
      <c r="AI26" s="113">
        <f t="shared" si="1"/>
        <v>0</v>
      </c>
      <c r="AJ26" s="66"/>
      <c r="AK26" s="66"/>
    </row>
    <row r="27" spans="1:37" ht="10.5">
      <c r="A27" s="16"/>
      <c r="B27" s="32" t="s">
        <v>48</v>
      </c>
      <c r="C27" s="18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226"/>
      <c r="AD27" s="226"/>
      <c r="AE27" s="226"/>
      <c r="AF27" s="226"/>
      <c r="AG27" s="226"/>
      <c r="AH27" s="226"/>
      <c r="AI27" s="113">
        <f t="shared" si="1"/>
        <v>0</v>
      </c>
      <c r="AJ27" s="67">
        <f t="shared" ref="AJ27:AJ34" si="2">AI27</f>
        <v>0</v>
      </c>
      <c r="AK27" s="67">
        <v>10000</v>
      </c>
    </row>
    <row r="28" spans="1:37" ht="10.5">
      <c r="A28" s="16"/>
      <c r="B28" s="34" t="s">
        <v>50</v>
      </c>
      <c r="C28" s="18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226"/>
      <c r="AD28" s="226"/>
      <c r="AE28" s="226"/>
      <c r="AF28" s="226"/>
      <c r="AG28" s="226"/>
      <c r="AH28" s="226"/>
      <c r="AI28" s="113">
        <f t="shared" si="1"/>
        <v>0</v>
      </c>
      <c r="AJ28" s="68">
        <f t="shared" si="2"/>
        <v>0</v>
      </c>
      <c r="AK28" s="68">
        <v>10000</v>
      </c>
    </row>
    <row r="29" spans="1:37" ht="10.5">
      <c r="A29" s="16"/>
      <c r="B29" s="644" t="s">
        <v>52</v>
      </c>
      <c r="C29" s="18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226"/>
      <c r="AD29" s="226"/>
      <c r="AE29" s="226"/>
      <c r="AF29" s="226"/>
      <c r="AG29" s="9"/>
      <c r="AH29" s="9"/>
      <c r="AI29" s="113">
        <f t="shared" si="1"/>
        <v>0</v>
      </c>
      <c r="AJ29" s="647">
        <f>SUM(AI29:AI31)</f>
        <v>0</v>
      </c>
      <c r="AK29" s="653">
        <v>20000</v>
      </c>
    </row>
    <row r="30" spans="1:37" ht="10.5">
      <c r="A30" s="16"/>
      <c r="B30" s="645"/>
      <c r="C30" s="506" t="s">
        <v>292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226"/>
      <c r="AD30" s="226"/>
      <c r="AE30" s="226"/>
      <c r="AF30" s="226"/>
      <c r="AG30" s="9"/>
      <c r="AH30" s="9"/>
      <c r="AI30" s="113">
        <f t="shared" si="1"/>
        <v>0</v>
      </c>
      <c r="AJ30" s="648"/>
      <c r="AK30" s="654"/>
    </row>
    <row r="31" spans="1:37" ht="10.5">
      <c r="A31" s="16"/>
      <c r="B31" s="646"/>
      <c r="C31" s="18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226"/>
      <c r="AD31" s="226"/>
      <c r="AE31" s="226"/>
      <c r="AF31" s="226"/>
      <c r="AG31" s="9"/>
      <c r="AH31" s="9"/>
      <c r="AI31" s="113">
        <f t="shared" si="1"/>
        <v>0</v>
      </c>
      <c r="AJ31" s="649"/>
      <c r="AK31" s="655"/>
    </row>
    <row r="32" spans="1:37" ht="10.5">
      <c r="A32" s="16"/>
      <c r="B32" s="34" t="s">
        <v>54</v>
      </c>
      <c r="C32" s="18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226"/>
      <c r="AD32" s="226"/>
      <c r="AE32" s="226"/>
      <c r="AF32" s="226"/>
      <c r="AG32" s="9"/>
      <c r="AH32" s="9"/>
      <c r="AI32" s="113">
        <f t="shared" si="1"/>
        <v>0</v>
      </c>
      <c r="AJ32" s="68">
        <f t="shared" si="2"/>
        <v>0</v>
      </c>
      <c r="AK32" s="68">
        <v>2000</v>
      </c>
    </row>
    <row r="33" spans="1:37" ht="10.5">
      <c r="A33" s="16"/>
      <c r="B33" s="34" t="s">
        <v>56</v>
      </c>
      <c r="C33" s="18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226"/>
      <c r="AD33" s="226"/>
      <c r="AE33" s="226"/>
      <c r="AF33" s="226"/>
      <c r="AG33" s="9"/>
      <c r="AH33" s="9"/>
      <c r="AI33" s="113">
        <f t="shared" si="1"/>
        <v>0</v>
      </c>
      <c r="AJ33" s="68">
        <f t="shared" si="2"/>
        <v>0</v>
      </c>
      <c r="AK33" s="68">
        <v>15000</v>
      </c>
    </row>
    <row r="34" spans="1:37" ht="10.5">
      <c r="A34" s="16"/>
      <c r="B34" s="35" t="s">
        <v>57</v>
      </c>
      <c r="C34" s="18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226"/>
      <c r="AD34" s="226"/>
      <c r="AE34" s="226"/>
      <c r="AF34" s="226"/>
      <c r="AG34" s="9"/>
      <c r="AH34" s="9"/>
      <c r="AI34" s="113">
        <f t="shared" si="1"/>
        <v>0</v>
      </c>
      <c r="AJ34" s="69">
        <f t="shared" si="2"/>
        <v>0</v>
      </c>
      <c r="AK34" s="69">
        <v>2000</v>
      </c>
    </row>
    <row r="35" spans="1:37" ht="10.5">
      <c r="A35" s="16"/>
      <c r="B35" s="36" t="s">
        <v>58</v>
      </c>
      <c r="C35" s="18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226"/>
      <c r="AD35" s="226"/>
      <c r="AE35" s="226"/>
      <c r="AF35" s="226"/>
      <c r="AG35" s="9"/>
      <c r="AH35" s="9"/>
      <c r="AI35" s="113">
        <f t="shared" si="1"/>
        <v>0</v>
      </c>
      <c r="AJ35" s="70">
        <f>SUM(AI35:AI36)</f>
        <v>0</v>
      </c>
      <c r="AK35" s="70">
        <v>0</v>
      </c>
    </row>
    <row r="36" spans="1:37" ht="10.5">
      <c r="A36" s="16"/>
      <c r="B36" s="37"/>
      <c r="C36" s="18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226"/>
      <c r="AD36" s="226"/>
      <c r="AE36" s="226"/>
      <c r="AF36" s="226"/>
      <c r="AG36" s="9"/>
      <c r="AH36" s="9"/>
      <c r="AI36" s="113">
        <f t="shared" si="1"/>
        <v>0</v>
      </c>
      <c r="AJ36" s="72"/>
      <c r="AK36" s="72"/>
    </row>
    <row r="37" spans="1:37" ht="10.5">
      <c r="A37" s="38"/>
      <c r="B37" s="39" t="s">
        <v>61</v>
      </c>
      <c r="C37" s="40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74">
        <f>SUM(AJ2:AJ36)</f>
        <v>0</v>
      </c>
      <c r="AK37" s="74">
        <f>SUM(AK2:AK36)</f>
        <v>122000</v>
      </c>
    </row>
    <row r="38" spans="1:37" ht="10.5">
      <c r="B38" s="41"/>
      <c r="N38" s="90"/>
      <c r="Q38" s="90"/>
      <c r="AF38" s="91"/>
      <c r="AG38" s="90"/>
      <c r="AI38" s="113"/>
      <c r="AJ38" s="42"/>
    </row>
    <row r="39" spans="1:37" ht="10.5">
      <c r="A39" s="35"/>
      <c r="B39" s="43" t="s">
        <v>63</v>
      </c>
      <c r="C39" s="18" t="s">
        <v>64</v>
      </c>
      <c r="D39" s="507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83">
        <f>SUM(AI39:AI41)</f>
        <v>0</v>
      </c>
      <c r="AK39" s="76"/>
    </row>
    <row r="40" spans="1:37" ht="10.5">
      <c r="A40" s="16"/>
      <c r="B40" s="44" t="s">
        <v>62</v>
      </c>
      <c r="C40" s="33" t="s">
        <v>65</v>
      </c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84"/>
      <c r="AK40" s="77"/>
    </row>
    <row r="41" spans="1:37" ht="10.5">
      <c r="A41" s="16"/>
      <c r="B41" s="45"/>
      <c r="C41" s="18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85"/>
      <c r="AK41" s="45"/>
    </row>
    <row r="42" spans="1:37" ht="10.5">
      <c r="A42" s="94" t="s">
        <v>62</v>
      </c>
      <c r="B42" s="46"/>
      <c r="C42" s="62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86">
        <f>AI42</f>
        <v>0</v>
      </c>
      <c r="AK42" s="46"/>
    </row>
    <row r="43" spans="1:37" ht="10.5">
      <c r="A43" s="16"/>
      <c r="B43" s="48" t="s">
        <v>58</v>
      </c>
      <c r="C43" s="18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87">
        <f>SUM(AI43:AI44)</f>
        <v>0</v>
      </c>
      <c r="AK43" s="78"/>
    </row>
    <row r="44" spans="1:37" ht="10.5">
      <c r="A44" s="16"/>
      <c r="B44" s="49"/>
      <c r="C44" s="18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88"/>
      <c r="AK44" s="49"/>
    </row>
    <row r="45" spans="1:37" ht="10.5">
      <c r="A45" s="38"/>
      <c r="B45" s="50" t="s">
        <v>68</v>
      </c>
      <c r="C45" s="40"/>
      <c r="D45" s="113">
        <f t="shared" ref="D45:AH45" si="5">SUM(D39:D44)</f>
        <v>0</v>
      </c>
      <c r="E45" s="113">
        <f t="shared" si="5"/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89">
        <f>SUM(AI39:AI44)</f>
        <v>0</v>
      </c>
      <c r="AK45" s="79"/>
    </row>
    <row r="46" spans="1:37" ht="10.5">
      <c r="F46" s="90"/>
      <c r="AF46" s="90"/>
    </row>
    <row r="47" spans="1:37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AH17" sqref="AH17:AH18"/>
    </sheetView>
  </sheetViews>
  <sheetFormatPr defaultColWidth="9" defaultRowHeight="10.15"/>
  <cols>
    <col min="1" max="1" width="6.3984375" style="527" bestFit="1" customWidth="1"/>
    <col min="2" max="3" width="10.86328125" style="527" bestFit="1" customWidth="1"/>
    <col min="4" max="34" width="6.59765625" style="527" customWidth="1"/>
    <col min="35" max="37" width="8" style="527" customWidth="1"/>
    <col min="38" max="38" width="9" style="527" bestFit="1"/>
    <col min="39" max="16384" width="9" style="527"/>
  </cols>
  <sheetData>
    <row r="1" spans="1:37" ht="10.5">
      <c r="A1" s="542" t="s">
        <v>13</v>
      </c>
      <c r="B1" s="543" t="s">
        <v>1</v>
      </c>
      <c r="C1" s="544" t="s">
        <v>69</v>
      </c>
      <c r="D1" s="545">
        <v>1</v>
      </c>
      <c r="E1" s="546">
        <f t="shared" ref="E1:AH1" si="0">1+D1</f>
        <v>2</v>
      </c>
      <c r="F1" s="546">
        <f t="shared" si="0"/>
        <v>3</v>
      </c>
      <c r="G1" s="546">
        <f t="shared" si="0"/>
        <v>4</v>
      </c>
      <c r="H1" s="546">
        <f t="shared" si="0"/>
        <v>5</v>
      </c>
      <c r="I1" s="546">
        <f t="shared" si="0"/>
        <v>6</v>
      </c>
      <c r="J1" s="547">
        <f t="shared" si="0"/>
        <v>7</v>
      </c>
      <c r="K1" s="545">
        <f t="shared" si="0"/>
        <v>8</v>
      </c>
      <c r="L1" s="546">
        <f t="shared" si="0"/>
        <v>9</v>
      </c>
      <c r="M1" s="546">
        <f t="shared" si="0"/>
        <v>10</v>
      </c>
      <c r="N1" s="546">
        <f t="shared" si="0"/>
        <v>11</v>
      </c>
      <c r="O1" s="546">
        <f t="shared" si="0"/>
        <v>12</v>
      </c>
      <c r="P1" s="546">
        <f t="shared" si="0"/>
        <v>13</v>
      </c>
      <c r="Q1" s="547">
        <f t="shared" si="0"/>
        <v>14</v>
      </c>
      <c r="R1" s="545">
        <f t="shared" si="0"/>
        <v>15</v>
      </c>
      <c r="S1" s="546">
        <f t="shared" si="0"/>
        <v>16</v>
      </c>
      <c r="T1" s="546">
        <f t="shared" si="0"/>
        <v>17</v>
      </c>
      <c r="U1" s="546">
        <f t="shared" si="0"/>
        <v>18</v>
      </c>
      <c r="V1" s="546">
        <f t="shared" si="0"/>
        <v>19</v>
      </c>
      <c r="W1" s="546">
        <f t="shared" si="0"/>
        <v>20</v>
      </c>
      <c r="X1" s="547">
        <f t="shared" si="0"/>
        <v>21</v>
      </c>
      <c r="Y1" s="545">
        <f t="shared" si="0"/>
        <v>22</v>
      </c>
      <c r="Z1" s="546">
        <f t="shared" si="0"/>
        <v>23</v>
      </c>
      <c r="AA1" s="546">
        <f t="shared" si="0"/>
        <v>24</v>
      </c>
      <c r="AB1" s="546">
        <f t="shared" si="0"/>
        <v>25</v>
      </c>
      <c r="AC1" s="546">
        <f t="shared" si="0"/>
        <v>26</v>
      </c>
      <c r="AD1" s="546">
        <f t="shared" si="0"/>
        <v>27</v>
      </c>
      <c r="AE1" s="547">
        <f t="shared" si="0"/>
        <v>28</v>
      </c>
      <c r="AF1" s="545">
        <f t="shared" si="0"/>
        <v>29</v>
      </c>
      <c r="AG1" s="546">
        <f t="shared" si="0"/>
        <v>30</v>
      </c>
      <c r="AH1" s="546">
        <f t="shared" si="0"/>
        <v>31</v>
      </c>
      <c r="AI1" s="548" t="s">
        <v>15</v>
      </c>
      <c r="AJ1" s="548" t="s">
        <v>16</v>
      </c>
      <c r="AK1" s="548" t="s">
        <v>17</v>
      </c>
    </row>
    <row r="2" spans="1:37" ht="10.5">
      <c r="A2" s="549"/>
      <c r="B2" s="550" t="s">
        <v>19</v>
      </c>
      <c r="C2" s="551" t="s">
        <v>20</v>
      </c>
      <c r="D2" s="552"/>
      <c r="E2" s="553"/>
      <c r="F2" s="553"/>
      <c r="G2" s="553"/>
      <c r="H2" s="554"/>
      <c r="I2" s="553"/>
      <c r="J2" s="553"/>
      <c r="K2" s="554"/>
      <c r="L2" s="553"/>
      <c r="M2" s="553"/>
      <c r="N2" s="553"/>
      <c r="O2" s="553"/>
      <c r="P2" s="553"/>
      <c r="Q2" s="554"/>
      <c r="R2" s="553"/>
      <c r="S2" s="553"/>
      <c r="T2" s="553"/>
      <c r="U2" s="554"/>
      <c r="V2" s="553"/>
      <c r="W2" s="553"/>
      <c r="X2" s="553"/>
      <c r="Y2" s="553"/>
      <c r="Z2" s="554"/>
      <c r="AA2" s="552"/>
      <c r="AB2" s="552"/>
      <c r="AC2" s="552"/>
      <c r="AD2" s="553"/>
      <c r="AE2" s="553"/>
      <c r="AF2" s="553"/>
      <c r="AG2" s="553"/>
      <c r="AH2" s="555"/>
      <c r="AI2" s="552">
        <f t="shared" ref="AI2:AI37" si="1">SUM(D2:AH2)</f>
        <v>0</v>
      </c>
      <c r="AJ2" s="508">
        <f>SUM(AI2:AI4)</f>
        <v>0</v>
      </c>
      <c r="AK2" s="508">
        <v>5000</v>
      </c>
    </row>
    <row r="3" spans="1:37" ht="10.5">
      <c r="A3" s="556"/>
      <c r="B3" s="557"/>
      <c r="C3" s="558" t="s">
        <v>21</v>
      </c>
      <c r="D3" s="552"/>
      <c r="E3" s="552"/>
      <c r="F3" s="553"/>
      <c r="G3" s="553"/>
      <c r="H3" s="553"/>
      <c r="I3" s="553"/>
      <c r="J3" s="553"/>
      <c r="K3" s="553"/>
      <c r="L3" s="553"/>
      <c r="M3" s="553"/>
      <c r="N3" s="553"/>
      <c r="O3" s="553"/>
      <c r="P3" s="553"/>
      <c r="Q3" s="553"/>
      <c r="R3" s="553"/>
      <c r="S3" s="553"/>
      <c r="T3" s="553"/>
      <c r="U3" s="553"/>
      <c r="V3" s="553"/>
      <c r="W3" s="553"/>
      <c r="X3" s="553"/>
      <c r="Y3" s="553"/>
      <c r="Z3" s="553"/>
      <c r="AA3" s="552"/>
      <c r="AB3" s="552"/>
      <c r="AC3" s="552"/>
      <c r="AD3" s="553"/>
      <c r="AE3" s="553"/>
      <c r="AF3" s="553"/>
      <c r="AG3" s="553"/>
      <c r="AH3" s="555"/>
      <c r="AI3" s="552">
        <f t="shared" si="1"/>
        <v>0</v>
      </c>
      <c r="AJ3" s="509"/>
      <c r="AK3" s="509"/>
    </row>
    <row r="4" spans="1:37" ht="10.5">
      <c r="A4" s="556"/>
      <c r="B4" s="559"/>
      <c r="C4" s="551" t="s">
        <v>22</v>
      </c>
      <c r="D4" s="560"/>
      <c r="E4" s="560"/>
      <c r="F4" s="553"/>
      <c r="G4" s="553"/>
      <c r="H4" s="553"/>
      <c r="I4" s="561"/>
      <c r="J4" s="553"/>
      <c r="K4" s="553"/>
      <c r="L4" s="553"/>
      <c r="M4" s="553"/>
      <c r="N4" s="553"/>
      <c r="O4" s="553"/>
      <c r="P4" s="553"/>
      <c r="Q4" s="553"/>
      <c r="R4" s="553"/>
      <c r="S4" s="553"/>
      <c r="T4" s="553"/>
      <c r="U4" s="553"/>
      <c r="V4" s="553"/>
      <c r="W4" s="553"/>
      <c r="X4" s="553"/>
      <c r="Y4" s="553"/>
      <c r="Z4" s="553"/>
      <c r="AA4" s="553"/>
      <c r="AB4" s="553"/>
      <c r="AC4" s="560"/>
      <c r="AD4" s="553"/>
      <c r="AE4" s="553"/>
      <c r="AF4" s="553"/>
      <c r="AG4" s="553"/>
      <c r="AH4" s="562"/>
      <c r="AI4" s="552">
        <f t="shared" si="1"/>
        <v>0</v>
      </c>
      <c r="AJ4" s="510"/>
      <c r="AK4" s="510"/>
    </row>
    <row r="5" spans="1:37" ht="10.5">
      <c r="A5" s="556"/>
      <c r="B5" s="563" t="s">
        <v>23</v>
      </c>
      <c r="C5" s="551" t="s">
        <v>24</v>
      </c>
      <c r="D5" s="560"/>
      <c r="E5" s="560"/>
      <c r="F5" s="553"/>
      <c r="G5" s="553"/>
      <c r="H5" s="553"/>
      <c r="I5" s="553"/>
      <c r="J5" s="553"/>
      <c r="K5" s="553"/>
      <c r="L5" s="553"/>
      <c r="M5" s="553"/>
      <c r="N5" s="553"/>
      <c r="O5" s="553"/>
      <c r="P5" s="553"/>
      <c r="Q5" s="553"/>
      <c r="R5" s="553"/>
      <c r="S5" s="553"/>
      <c r="T5" s="553"/>
      <c r="U5" s="553"/>
      <c r="V5" s="553"/>
      <c r="W5" s="553"/>
      <c r="X5" s="553"/>
      <c r="Y5" s="553"/>
      <c r="Z5" s="553"/>
      <c r="AA5" s="553"/>
      <c r="AB5" s="553"/>
      <c r="AC5" s="560"/>
      <c r="AD5" s="553"/>
      <c r="AE5" s="553"/>
      <c r="AF5" s="553"/>
      <c r="AG5" s="553"/>
      <c r="AH5" s="562"/>
      <c r="AI5" s="552">
        <f t="shared" si="1"/>
        <v>0</v>
      </c>
      <c r="AJ5" s="511">
        <f>SUM(AI5:AI7)</f>
        <v>0</v>
      </c>
      <c r="AK5" s="511">
        <v>1000</v>
      </c>
    </row>
    <row r="6" spans="1:37" ht="10.5">
      <c r="A6" s="556"/>
      <c r="B6" s="563"/>
      <c r="C6" s="564" t="s">
        <v>76</v>
      </c>
      <c r="D6" s="560"/>
      <c r="E6" s="560"/>
      <c r="F6" s="553"/>
      <c r="G6" s="553"/>
      <c r="H6" s="553"/>
      <c r="I6" s="553"/>
      <c r="J6" s="553"/>
      <c r="K6" s="553"/>
      <c r="L6" s="553"/>
      <c r="M6" s="553"/>
      <c r="N6" s="553"/>
      <c r="O6" s="553"/>
      <c r="P6" s="553"/>
      <c r="Q6" s="553"/>
      <c r="R6" s="553"/>
      <c r="S6" s="553"/>
      <c r="T6" s="553"/>
      <c r="U6" s="553"/>
      <c r="V6" s="553"/>
      <c r="W6" s="553"/>
      <c r="X6" s="553"/>
      <c r="Y6" s="553"/>
      <c r="Z6" s="553"/>
      <c r="AA6" s="553"/>
      <c r="AB6" s="553"/>
      <c r="AC6" s="560"/>
      <c r="AD6" s="553"/>
      <c r="AE6" s="553"/>
      <c r="AF6" s="553"/>
      <c r="AG6" s="553"/>
      <c r="AH6" s="562"/>
      <c r="AI6" s="552">
        <f t="shared" si="1"/>
        <v>0</v>
      </c>
      <c r="AJ6" s="511"/>
      <c r="AK6" s="511"/>
    </row>
    <row r="7" spans="1:37" ht="10.5">
      <c r="A7" s="556"/>
      <c r="B7" s="563"/>
      <c r="C7" s="564" t="s">
        <v>77</v>
      </c>
      <c r="D7" s="560"/>
      <c r="E7" s="560"/>
      <c r="F7" s="553"/>
      <c r="G7" s="553"/>
      <c r="H7" s="553"/>
      <c r="I7" s="553"/>
      <c r="J7" s="553"/>
      <c r="K7" s="553"/>
      <c r="L7" s="553"/>
      <c r="M7" s="553"/>
      <c r="N7" s="553"/>
      <c r="O7" s="553"/>
      <c r="P7" s="553"/>
      <c r="Q7" s="553"/>
      <c r="R7" s="553"/>
      <c r="S7" s="553"/>
      <c r="T7" s="553"/>
      <c r="U7" s="553"/>
      <c r="V7" s="553"/>
      <c r="W7" s="553"/>
      <c r="X7" s="553"/>
      <c r="Y7" s="553"/>
      <c r="Z7" s="553"/>
      <c r="AA7" s="553"/>
      <c r="AB7" s="553"/>
      <c r="AC7" s="560"/>
      <c r="AD7" s="553"/>
      <c r="AE7" s="553"/>
      <c r="AF7" s="553"/>
      <c r="AG7" s="553"/>
      <c r="AH7" s="562"/>
      <c r="AI7" s="552">
        <f t="shared" si="1"/>
        <v>0</v>
      </c>
      <c r="AJ7" s="511"/>
      <c r="AK7" s="511"/>
    </row>
    <row r="8" spans="1:37" ht="10.5">
      <c r="A8" s="556"/>
      <c r="B8" s="565" t="s">
        <v>25</v>
      </c>
      <c r="C8" s="551" t="s">
        <v>26</v>
      </c>
      <c r="D8" s="560"/>
      <c r="E8" s="560"/>
      <c r="F8" s="560"/>
      <c r="G8" s="560"/>
      <c r="H8" s="552"/>
      <c r="I8" s="553"/>
      <c r="J8" s="553"/>
      <c r="K8" s="553"/>
      <c r="L8" s="553"/>
      <c r="M8" s="560"/>
      <c r="N8" s="553"/>
      <c r="O8" s="553"/>
      <c r="P8" s="553"/>
      <c r="Q8" s="553"/>
      <c r="R8" s="553"/>
      <c r="S8" s="553"/>
      <c r="T8" s="553"/>
      <c r="U8" s="553"/>
      <c r="V8" s="553"/>
      <c r="W8" s="553"/>
      <c r="X8" s="553"/>
      <c r="Y8" s="553"/>
      <c r="Z8" s="553"/>
      <c r="AA8" s="553"/>
      <c r="AB8" s="553"/>
      <c r="AC8" s="560"/>
      <c r="AD8" s="553"/>
      <c r="AE8" s="553"/>
      <c r="AF8" s="553"/>
      <c r="AG8" s="553"/>
      <c r="AH8" s="562"/>
      <c r="AI8" s="552">
        <f t="shared" si="1"/>
        <v>0</v>
      </c>
      <c r="AJ8" s="512">
        <f>SUM(AI8:AI14)</f>
        <v>0</v>
      </c>
      <c r="AK8" s="512">
        <v>10000</v>
      </c>
    </row>
    <row r="9" spans="1:37" ht="10.5">
      <c r="A9" s="556"/>
      <c r="B9" s="566"/>
      <c r="C9" s="551" t="s">
        <v>27</v>
      </c>
      <c r="D9" s="554"/>
      <c r="E9" s="560"/>
      <c r="F9" s="560"/>
      <c r="G9" s="560"/>
      <c r="H9" s="560"/>
      <c r="I9" s="560"/>
      <c r="J9" s="553"/>
      <c r="K9" s="553"/>
      <c r="L9" s="553"/>
      <c r="M9" s="553"/>
      <c r="N9" s="553"/>
      <c r="O9" s="553"/>
      <c r="P9" s="553"/>
      <c r="Q9" s="553"/>
      <c r="R9" s="553"/>
      <c r="S9" s="553"/>
      <c r="T9" s="553"/>
      <c r="U9" s="553"/>
      <c r="V9" s="553"/>
      <c r="W9" s="553"/>
      <c r="X9" s="553"/>
      <c r="Y9" s="553"/>
      <c r="Z9" s="553"/>
      <c r="AA9" s="553"/>
      <c r="AB9" s="553"/>
      <c r="AC9" s="560"/>
      <c r="AD9" s="553"/>
      <c r="AE9" s="553"/>
      <c r="AF9" s="553"/>
      <c r="AG9" s="553"/>
      <c r="AH9" s="562"/>
      <c r="AI9" s="552">
        <f t="shared" si="1"/>
        <v>0</v>
      </c>
      <c r="AJ9" s="513"/>
      <c r="AK9" s="513"/>
    </row>
    <row r="10" spans="1:37" ht="10.5">
      <c r="A10" s="556"/>
      <c r="B10" s="566"/>
      <c r="C10" s="551" t="s">
        <v>28</v>
      </c>
      <c r="D10" s="553"/>
      <c r="E10" s="560"/>
      <c r="F10" s="560"/>
      <c r="G10" s="560"/>
      <c r="H10" s="560"/>
      <c r="I10" s="560"/>
      <c r="J10" s="553"/>
      <c r="K10" s="553"/>
      <c r="L10" s="553"/>
      <c r="M10" s="553"/>
      <c r="N10" s="553"/>
      <c r="O10" s="553"/>
      <c r="P10" s="553"/>
      <c r="Q10" s="553"/>
      <c r="R10" s="553"/>
      <c r="S10" s="553"/>
      <c r="T10" s="553"/>
      <c r="U10" s="553"/>
      <c r="V10" s="553"/>
      <c r="W10" s="553"/>
      <c r="X10" s="553"/>
      <c r="Y10" s="553"/>
      <c r="Z10" s="553"/>
      <c r="AA10" s="553"/>
      <c r="AB10" s="553"/>
      <c r="AC10" s="560"/>
      <c r="AD10" s="553"/>
      <c r="AE10" s="553"/>
      <c r="AF10" s="553"/>
      <c r="AG10" s="553"/>
      <c r="AH10" s="562"/>
      <c r="AI10" s="552">
        <f t="shared" si="1"/>
        <v>0</v>
      </c>
      <c r="AJ10" s="513"/>
      <c r="AK10" s="513"/>
    </row>
    <row r="11" spans="1:37" ht="10.5">
      <c r="A11" s="567" t="s">
        <v>18</v>
      </c>
      <c r="B11" s="566"/>
      <c r="C11" s="551" t="s">
        <v>29</v>
      </c>
      <c r="D11" s="553"/>
      <c r="E11" s="560"/>
      <c r="F11" s="560"/>
      <c r="G11" s="560"/>
      <c r="H11" s="560"/>
      <c r="I11" s="560"/>
      <c r="J11" s="553"/>
      <c r="K11" s="553"/>
      <c r="L11" s="553"/>
      <c r="M11" s="553"/>
      <c r="N11" s="553"/>
      <c r="O11" s="553"/>
      <c r="P11" s="553"/>
      <c r="Q11" s="553"/>
      <c r="R11" s="553"/>
      <c r="S11" s="553"/>
      <c r="T11" s="553"/>
      <c r="U11" s="553"/>
      <c r="V11" s="553"/>
      <c r="W11" s="553"/>
      <c r="X11" s="553"/>
      <c r="Y11" s="553"/>
      <c r="Z11" s="553"/>
      <c r="AA11" s="553"/>
      <c r="AB11" s="553"/>
      <c r="AC11" s="560"/>
      <c r="AD11" s="553"/>
      <c r="AE11" s="553"/>
      <c r="AF11" s="553"/>
      <c r="AG11" s="553"/>
      <c r="AH11" s="562"/>
      <c r="AI11" s="552">
        <f t="shared" si="1"/>
        <v>0</v>
      </c>
      <c r="AJ11" s="513"/>
      <c r="AK11" s="513"/>
    </row>
    <row r="12" spans="1:37" ht="10.5">
      <c r="A12" s="556"/>
      <c r="B12" s="566"/>
      <c r="C12" s="551" t="s">
        <v>30</v>
      </c>
      <c r="D12" s="553"/>
      <c r="E12" s="560"/>
      <c r="F12" s="560"/>
      <c r="G12" s="560"/>
      <c r="H12" s="561"/>
      <c r="I12" s="560"/>
      <c r="J12" s="553"/>
      <c r="K12" s="553"/>
      <c r="L12" s="553"/>
      <c r="M12" s="553"/>
      <c r="N12" s="553"/>
      <c r="O12" s="553"/>
      <c r="P12" s="553"/>
      <c r="Q12" s="553"/>
      <c r="R12" s="553"/>
      <c r="S12" s="553"/>
      <c r="T12" s="553"/>
      <c r="U12" s="553"/>
      <c r="V12" s="553"/>
      <c r="W12" s="553"/>
      <c r="X12" s="553"/>
      <c r="Y12" s="553"/>
      <c r="Z12" s="553"/>
      <c r="AA12" s="553"/>
      <c r="AB12" s="553"/>
      <c r="AC12" s="560"/>
      <c r="AD12" s="553"/>
      <c r="AE12" s="553"/>
      <c r="AF12" s="553"/>
      <c r="AG12" s="553"/>
      <c r="AH12" s="562"/>
      <c r="AI12" s="552">
        <f t="shared" si="1"/>
        <v>0</v>
      </c>
      <c r="AJ12" s="513"/>
      <c r="AK12" s="513"/>
    </row>
    <row r="13" spans="1:37" ht="10.5">
      <c r="A13" s="556"/>
      <c r="B13" s="566"/>
      <c r="C13" s="551" t="s">
        <v>31</v>
      </c>
      <c r="D13" s="553"/>
      <c r="E13" s="560"/>
      <c r="F13" s="560"/>
      <c r="G13" s="560"/>
      <c r="H13" s="561"/>
      <c r="I13" s="560"/>
      <c r="J13" s="553"/>
      <c r="K13" s="553"/>
      <c r="L13" s="553"/>
      <c r="M13" s="553"/>
      <c r="N13" s="553"/>
      <c r="O13" s="553"/>
      <c r="P13" s="553"/>
      <c r="Q13" s="553"/>
      <c r="R13" s="553"/>
      <c r="S13" s="553"/>
      <c r="T13" s="553"/>
      <c r="U13" s="553"/>
      <c r="V13" s="553"/>
      <c r="W13" s="553"/>
      <c r="X13" s="553"/>
      <c r="Y13" s="553"/>
      <c r="Z13" s="553"/>
      <c r="AA13" s="553"/>
      <c r="AB13" s="553"/>
      <c r="AC13" s="560"/>
      <c r="AD13" s="553"/>
      <c r="AE13" s="553"/>
      <c r="AF13" s="553"/>
      <c r="AG13" s="553"/>
      <c r="AH13" s="562"/>
      <c r="AI13" s="552">
        <f t="shared" si="1"/>
        <v>0</v>
      </c>
      <c r="AJ13" s="513"/>
      <c r="AK13" s="513"/>
    </row>
    <row r="14" spans="1:37" ht="10.5">
      <c r="A14" s="556"/>
      <c r="B14" s="566"/>
      <c r="C14" s="551" t="s">
        <v>32</v>
      </c>
      <c r="D14" s="553"/>
      <c r="E14" s="560"/>
      <c r="F14" s="560"/>
      <c r="G14" s="560"/>
      <c r="H14" s="561"/>
      <c r="I14" s="560"/>
      <c r="J14" s="553"/>
      <c r="K14" s="553"/>
      <c r="L14" s="553"/>
      <c r="M14" s="553"/>
      <c r="N14" s="553"/>
      <c r="O14" s="553"/>
      <c r="P14" s="553"/>
      <c r="Q14" s="553"/>
      <c r="R14" s="553"/>
      <c r="S14" s="553"/>
      <c r="T14" s="553"/>
      <c r="U14" s="553"/>
      <c r="V14" s="553"/>
      <c r="W14" s="553"/>
      <c r="X14" s="553"/>
      <c r="Y14" s="553"/>
      <c r="Z14" s="553"/>
      <c r="AA14" s="553"/>
      <c r="AB14" s="553"/>
      <c r="AC14" s="560"/>
      <c r="AD14" s="553"/>
      <c r="AE14" s="553"/>
      <c r="AF14" s="553"/>
      <c r="AG14" s="553"/>
      <c r="AH14" s="562"/>
      <c r="AI14" s="552">
        <f t="shared" si="1"/>
        <v>0</v>
      </c>
      <c r="AJ14" s="513"/>
      <c r="AK14" s="513"/>
    </row>
    <row r="15" spans="1:37" ht="10.5">
      <c r="A15" s="556"/>
      <c r="B15" s="568" t="s">
        <v>33</v>
      </c>
      <c r="C15" s="551" t="s">
        <v>34</v>
      </c>
      <c r="D15" s="553"/>
      <c r="E15" s="560"/>
      <c r="F15" s="560"/>
      <c r="G15" s="560"/>
      <c r="H15" s="561"/>
      <c r="I15" s="560"/>
      <c r="J15" s="553"/>
      <c r="K15" s="553"/>
      <c r="L15" s="553"/>
      <c r="M15" s="553"/>
      <c r="N15" s="553"/>
      <c r="O15" s="553"/>
      <c r="P15" s="553"/>
      <c r="Q15" s="553"/>
      <c r="R15" s="553"/>
      <c r="S15" s="553"/>
      <c r="T15" s="553"/>
      <c r="U15" s="553"/>
      <c r="V15" s="553"/>
      <c r="W15" s="553"/>
      <c r="X15" s="553"/>
      <c r="Y15" s="553"/>
      <c r="Z15" s="553"/>
      <c r="AA15" s="560"/>
      <c r="AB15" s="553"/>
      <c r="AC15" s="560"/>
      <c r="AD15" s="553"/>
      <c r="AE15" s="553"/>
      <c r="AF15" s="553"/>
      <c r="AG15" s="553"/>
      <c r="AH15" s="562"/>
      <c r="AI15" s="552">
        <f t="shared" si="1"/>
        <v>0</v>
      </c>
      <c r="AJ15" s="514">
        <f>SUM(AI15:AI21)</f>
        <v>0</v>
      </c>
      <c r="AK15" s="514">
        <v>10000</v>
      </c>
    </row>
    <row r="16" spans="1:37" ht="10.5">
      <c r="A16" s="556"/>
      <c r="B16" s="569"/>
      <c r="C16" s="551" t="s">
        <v>35</v>
      </c>
      <c r="D16" s="553"/>
      <c r="E16" s="560"/>
      <c r="F16" s="560"/>
      <c r="G16" s="560"/>
      <c r="H16" s="561"/>
      <c r="I16" s="560"/>
      <c r="J16" s="553"/>
      <c r="K16" s="553"/>
      <c r="L16" s="553"/>
      <c r="M16" s="553"/>
      <c r="N16" s="553"/>
      <c r="O16" s="553"/>
      <c r="P16" s="553"/>
      <c r="Q16" s="553"/>
      <c r="R16" s="553"/>
      <c r="S16" s="553"/>
      <c r="T16" s="553"/>
      <c r="U16" s="553"/>
      <c r="V16" s="553"/>
      <c r="W16" s="553"/>
      <c r="X16" s="553"/>
      <c r="Y16" s="553"/>
      <c r="Z16" s="553"/>
      <c r="AA16" s="553"/>
      <c r="AB16" s="553"/>
      <c r="AC16" s="560"/>
      <c r="AD16" s="553"/>
      <c r="AE16" s="553"/>
      <c r="AF16" s="553"/>
      <c r="AG16" s="553"/>
      <c r="AH16" s="562"/>
      <c r="AI16" s="552">
        <f t="shared" si="1"/>
        <v>0</v>
      </c>
      <c r="AJ16" s="515"/>
      <c r="AK16" s="515"/>
    </row>
    <row r="17" spans="1:37" ht="10.5">
      <c r="A17" s="556"/>
      <c r="B17" s="569"/>
      <c r="C17" s="570" t="s">
        <v>36</v>
      </c>
      <c r="D17" s="553"/>
      <c r="E17" s="560"/>
      <c r="F17" s="553"/>
      <c r="G17" s="560"/>
      <c r="H17" s="561"/>
      <c r="I17" s="560"/>
      <c r="J17" s="553"/>
      <c r="K17" s="553"/>
      <c r="L17" s="553"/>
      <c r="M17" s="553"/>
      <c r="N17" s="553"/>
      <c r="O17" s="553"/>
      <c r="P17" s="553"/>
      <c r="Q17" s="553"/>
      <c r="R17" s="553"/>
      <c r="S17" s="553"/>
      <c r="T17" s="553"/>
      <c r="U17" s="553"/>
      <c r="V17" s="553"/>
      <c r="W17" s="553"/>
      <c r="X17" s="553"/>
      <c r="Y17" s="553"/>
      <c r="Z17" s="553"/>
      <c r="AA17" s="553"/>
      <c r="AB17" s="553"/>
      <c r="AC17" s="560"/>
      <c r="AD17" s="553"/>
      <c r="AE17" s="553"/>
      <c r="AF17" s="553"/>
      <c r="AG17" s="553"/>
      <c r="AH17" s="562"/>
      <c r="AI17" s="552">
        <f t="shared" si="1"/>
        <v>0</v>
      </c>
      <c r="AJ17" s="515"/>
      <c r="AK17" s="515"/>
    </row>
    <row r="18" spans="1:37" ht="10.5">
      <c r="A18" s="556"/>
      <c r="B18" s="569"/>
      <c r="C18" s="570" t="s">
        <v>166</v>
      </c>
      <c r="D18" s="552"/>
      <c r="E18" s="552"/>
      <c r="F18" s="552"/>
      <c r="G18" s="552"/>
      <c r="H18" s="552"/>
      <c r="I18" s="552"/>
      <c r="J18" s="552"/>
      <c r="K18" s="552"/>
      <c r="L18" s="552"/>
      <c r="M18" s="552"/>
      <c r="N18" s="552"/>
      <c r="O18" s="552"/>
      <c r="P18" s="552"/>
      <c r="Q18" s="552"/>
      <c r="R18" s="552"/>
      <c r="S18" s="552"/>
      <c r="T18" s="552"/>
      <c r="U18" s="552"/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62"/>
      <c r="AI18" s="552">
        <f t="shared" si="1"/>
        <v>0</v>
      </c>
      <c r="AJ18" s="515"/>
      <c r="AK18" s="515"/>
    </row>
    <row r="19" spans="1:37" ht="10.5">
      <c r="A19" s="556"/>
      <c r="B19" s="569"/>
      <c r="C19" s="570" t="s">
        <v>37</v>
      </c>
      <c r="D19" s="553"/>
      <c r="E19" s="560"/>
      <c r="F19" s="560"/>
      <c r="G19" s="560"/>
      <c r="H19" s="561"/>
      <c r="I19" s="560"/>
      <c r="J19" s="553"/>
      <c r="K19" s="553"/>
      <c r="L19" s="553"/>
      <c r="M19" s="553"/>
      <c r="N19" s="553"/>
      <c r="O19" s="553"/>
      <c r="P19" s="553"/>
      <c r="Q19" s="553"/>
      <c r="R19" s="553"/>
      <c r="S19" s="553"/>
      <c r="T19" s="553"/>
      <c r="U19" s="553"/>
      <c r="V19" s="553"/>
      <c r="W19" s="553"/>
      <c r="X19" s="553"/>
      <c r="Y19" s="553"/>
      <c r="Z19" s="553"/>
      <c r="AA19" s="553"/>
      <c r="AB19" s="553"/>
      <c r="AC19" s="560"/>
      <c r="AD19" s="553"/>
      <c r="AE19" s="553"/>
      <c r="AF19" s="553"/>
      <c r="AG19" s="553"/>
      <c r="AH19" s="562"/>
      <c r="AI19" s="552">
        <f t="shared" si="1"/>
        <v>0</v>
      </c>
      <c r="AJ19" s="515"/>
      <c r="AK19" s="515"/>
    </row>
    <row r="20" spans="1:37" ht="10.5">
      <c r="A20" s="556"/>
      <c r="B20" s="569"/>
      <c r="C20" s="551" t="s">
        <v>38</v>
      </c>
      <c r="D20" s="553"/>
      <c r="E20" s="560"/>
      <c r="F20" s="560"/>
      <c r="G20" s="560"/>
      <c r="H20" s="561"/>
      <c r="I20" s="560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53"/>
      <c r="AB20" s="553"/>
      <c r="AC20" s="560"/>
      <c r="AD20" s="553"/>
      <c r="AE20" s="553"/>
      <c r="AF20" s="553"/>
      <c r="AG20" s="553"/>
      <c r="AH20" s="562"/>
      <c r="AI20" s="552">
        <f t="shared" si="1"/>
        <v>0</v>
      </c>
      <c r="AJ20" s="515"/>
      <c r="AK20" s="515"/>
    </row>
    <row r="21" spans="1:37" ht="10.5">
      <c r="A21" s="556"/>
      <c r="B21" s="571"/>
      <c r="C21" s="551" t="s">
        <v>39</v>
      </c>
      <c r="D21" s="553"/>
      <c r="E21" s="560"/>
      <c r="F21" s="560"/>
      <c r="G21" s="560"/>
      <c r="H21" s="561"/>
      <c r="I21" s="560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53"/>
      <c r="AB21" s="553"/>
      <c r="AC21" s="560"/>
      <c r="AD21" s="553"/>
      <c r="AE21" s="553"/>
      <c r="AF21" s="553"/>
      <c r="AG21" s="553"/>
      <c r="AH21" s="562"/>
      <c r="AI21" s="552">
        <f t="shared" si="1"/>
        <v>0</v>
      </c>
      <c r="AJ21" s="516"/>
      <c r="AK21" s="516"/>
    </row>
    <row r="22" spans="1:37" ht="10.5">
      <c r="A22" s="556"/>
      <c r="B22" s="550" t="s">
        <v>40</v>
      </c>
      <c r="C22" s="551" t="s">
        <v>41</v>
      </c>
      <c r="D22" s="552"/>
      <c r="E22" s="560"/>
      <c r="F22" s="561"/>
      <c r="G22" s="560"/>
      <c r="H22" s="560"/>
      <c r="I22" s="560"/>
      <c r="J22" s="553"/>
      <c r="K22" s="553"/>
      <c r="L22" s="553"/>
      <c r="M22" s="553"/>
      <c r="N22" s="553"/>
      <c r="O22" s="553"/>
      <c r="P22" s="553"/>
      <c r="Q22" s="553"/>
      <c r="R22" s="553"/>
      <c r="S22" s="553"/>
      <c r="T22" s="553"/>
      <c r="U22" s="553"/>
      <c r="V22" s="553"/>
      <c r="W22" s="553"/>
      <c r="X22" s="553"/>
      <c r="Y22" s="553"/>
      <c r="Z22" s="553"/>
      <c r="AA22" s="553"/>
      <c r="AB22" s="553"/>
      <c r="AC22" s="560"/>
      <c r="AD22" s="553"/>
      <c r="AE22" s="553"/>
      <c r="AF22" s="553"/>
      <c r="AG22" s="553"/>
      <c r="AH22" s="562"/>
      <c r="AI22" s="552">
        <f t="shared" si="1"/>
        <v>0</v>
      </c>
      <c r="AJ22" s="508">
        <f>SUM(AI22:AI23)</f>
        <v>0</v>
      </c>
      <c r="AK22" s="508">
        <v>30000</v>
      </c>
    </row>
    <row r="23" spans="1:37" ht="10.5">
      <c r="A23" s="556"/>
      <c r="B23" s="559"/>
      <c r="C23" s="551" t="s">
        <v>42</v>
      </c>
      <c r="D23" s="552"/>
      <c r="E23" s="560"/>
      <c r="F23" s="560"/>
      <c r="G23" s="560"/>
      <c r="H23" s="560"/>
      <c r="I23" s="560"/>
      <c r="J23" s="553"/>
      <c r="K23" s="553"/>
      <c r="L23" s="553"/>
      <c r="M23" s="553"/>
      <c r="N23" s="553"/>
      <c r="O23" s="553"/>
      <c r="P23" s="553"/>
      <c r="Q23" s="553"/>
      <c r="R23" s="553"/>
      <c r="S23" s="553"/>
      <c r="T23" s="553"/>
      <c r="U23" s="553"/>
      <c r="V23" s="553"/>
      <c r="W23" s="553"/>
      <c r="X23" s="553"/>
      <c r="Y23" s="553"/>
      <c r="Z23" s="553"/>
      <c r="AA23" s="553"/>
      <c r="AB23" s="553"/>
      <c r="AC23" s="560"/>
      <c r="AD23" s="553"/>
      <c r="AE23" s="553"/>
      <c r="AF23" s="553"/>
      <c r="AG23" s="553"/>
      <c r="AH23" s="562"/>
      <c r="AI23" s="552">
        <f t="shared" si="1"/>
        <v>0</v>
      </c>
      <c r="AJ23" s="510"/>
      <c r="AK23" s="510"/>
    </row>
    <row r="24" spans="1:37" ht="10.5">
      <c r="A24" s="556"/>
      <c r="B24" s="572" t="s">
        <v>43</v>
      </c>
      <c r="C24" s="551" t="s">
        <v>44</v>
      </c>
      <c r="D24" s="552"/>
      <c r="E24" s="560"/>
      <c r="F24" s="560"/>
      <c r="G24" s="560"/>
      <c r="H24" s="560"/>
      <c r="I24" s="560"/>
      <c r="J24" s="553"/>
      <c r="K24" s="553"/>
      <c r="L24" s="553"/>
      <c r="M24" s="553"/>
      <c r="N24" s="553"/>
      <c r="O24" s="553"/>
      <c r="P24" s="553"/>
      <c r="Q24" s="553"/>
      <c r="R24" s="553"/>
      <c r="S24" s="553"/>
      <c r="T24" s="553"/>
      <c r="U24" s="553"/>
      <c r="V24" s="553"/>
      <c r="W24" s="553"/>
      <c r="X24" s="553"/>
      <c r="Y24" s="553"/>
      <c r="Z24" s="553"/>
      <c r="AA24" s="553"/>
      <c r="AB24" s="553"/>
      <c r="AC24" s="560"/>
      <c r="AD24" s="553"/>
      <c r="AE24" s="553"/>
      <c r="AF24" s="553"/>
      <c r="AG24" s="553"/>
      <c r="AH24" s="562"/>
      <c r="AI24" s="552">
        <f t="shared" si="1"/>
        <v>0</v>
      </c>
      <c r="AJ24" s="517">
        <f>AI24</f>
        <v>0</v>
      </c>
      <c r="AK24" s="517">
        <v>2000</v>
      </c>
    </row>
    <row r="25" spans="1:37" ht="10.5">
      <c r="A25" s="556"/>
      <c r="B25" s="573" t="s">
        <v>45</v>
      </c>
      <c r="C25" s="551" t="s">
        <v>46</v>
      </c>
      <c r="D25" s="552"/>
      <c r="E25" s="560"/>
      <c r="F25" s="560"/>
      <c r="G25" s="560"/>
      <c r="H25" s="560"/>
      <c r="I25" s="560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4"/>
      <c r="Z25" s="553"/>
      <c r="AA25" s="553"/>
      <c r="AB25" s="553"/>
      <c r="AC25" s="560"/>
      <c r="AD25" s="553"/>
      <c r="AE25" s="553"/>
      <c r="AF25" s="553"/>
      <c r="AG25" s="553"/>
      <c r="AH25" s="562"/>
      <c r="AI25" s="552">
        <f t="shared" si="1"/>
        <v>0</v>
      </c>
      <c r="AJ25" s="518">
        <f>SUM(AI25:AI26)</f>
        <v>0</v>
      </c>
      <c r="AK25" s="518">
        <v>5000</v>
      </c>
    </row>
    <row r="26" spans="1:37" ht="10.5">
      <c r="A26" s="556"/>
      <c r="B26" s="574"/>
      <c r="C26" s="551" t="s">
        <v>47</v>
      </c>
      <c r="D26" s="552"/>
      <c r="E26" s="560"/>
      <c r="F26" s="560"/>
      <c r="G26" s="560"/>
      <c r="H26" s="560"/>
      <c r="I26" s="560"/>
      <c r="J26" s="553"/>
      <c r="K26" s="553"/>
      <c r="L26" s="554"/>
      <c r="M26" s="553"/>
      <c r="N26" s="553"/>
      <c r="O26" s="553"/>
      <c r="P26" s="553"/>
      <c r="Q26" s="553"/>
      <c r="R26" s="553"/>
      <c r="S26" s="553"/>
      <c r="T26" s="553"/>
      <c r="U26" s="553"/>
      <c r="V26" s="553"/>
      <c r="W26" s="553"/>
      <c r="X26" s="553"/>
      <c r="Y26" s="561"/>
      <c r="Z26" s="553"/>
      <c r="AA26" s="553"/>
      <c r="AB26" s="553"/>
      <c r="AC26" s="560"/>
      <c r="AD26" s="553"/>
      <c r="AE26" s="553"/>
      <c r="AF26" s="553"/>
      <c r="AG26" s="553"/>
      <c r="AH26" s="562"/>
      <c r="AI26" s="552">
        <f t="shared" si="1"/>
        <v>0</v>
      </c>
      <c r="AJ26" s="519"/>
      <c r="AK26" s="519"/>
    </row>
    <row r="27" spans="1:37" ht="10.5">
      <c r="A27" s="556"/>
      <c r="B27" s="575" t="s">
        <v>48</v>
      </c>
      <c r="C27" s="551" t="s">
        <v>49</v>
      </c>
      <c r="D27" s="552"/>
      <c r="E27" s="560"/>
      <c r="F27" s="560"/>
      <c r="G27" s="560"/>
      <c r="H27" s="560"/>
      <c r="I27" s="560"/>
      <c r="J27" s="553"/>
      <c r="K27" s="553"/>
      <c r="L27" s="553"/>
      <c r="M27" s="553"/>
      <c r="N27" s="553"/>
      <c r="O27" s="553"/>
      <c r="P27" s="553"/>
      <c r="Q27" s="553"/>
      <c r="R27" s="553"/>
      <c r="S27" s="553"/>
      <c r="T27" s="553"/>
      <c r="U27" s="553"/>
      <c r="V27" s="553"/>
      <c r="W27" s="553"/>
      <c r="X27" s="553"/>
      <c r="Y27" s="553"/>
      <c r="Z27" s="553"/>
      <c r="AA27" s="553"/>
      <c r="AB27" s="553"/>
      <c r="AC27" s="560"/>
      <c r="AD27" s="553"/>
      <c r="AE27" s="553"/>
      <c r="AF27" s="553"/>
      <c r="AG27" s="553"/>
      <c r="AH27" s="562"/>
      <c r="AI27" s="552">
        <f t="shared" si="1"/>
        <v>0</v>
      </c>
      <c r="AJ27" s="520">
        <f t="shared" ref="AJ27:AJ34" si="2">AI27</f>
        <v>0</v>
      </c>
      <c r="AK27" s="520">
        <v>10000</v>
      </c>
    </row>
    <row r="28" spans="1:37" ht="10.5">
      <c r="A28" s="556"/>
      <c r="B28" s="542" t="s">
        <v>50</v>
      </c>
      <c r="C28" s="551" t="s">
        <v>51</v>
      </c>
      <c r="D28" s="552"/>
      <c r="E28" s="560"/>
      <c r="F28" s="560"/>
      <c r="G28" s="560"/>
      <c r="H28" s="560"/>
      <c r="I28" s="560"/>
      <c r="J28" s="553"/>
      <c r="K28" s="553"/>
      <c r="L28" s="553"/>
      <c r="M28" s="553"/>
      <c r="N28" s="553"/>
      <c r="O28" s="553"/>
      <c r="P28" s="553"/>
      <c r="Q28" s="553"/>
      <c r="R28" s="553"/>
      <c r="S28" s="553"/>
      <c r="T28" s="553"/>
      <c r="U28" s="553"/>
      <c r="V28" s="553"/>
      <c r="W28" s="553"/>
      <c r="X28" s="553"/>
      <c r="Y28" s="553"/>
      <c r="Z28" s="553"/>
      <c r="AA28" s="553"/>
      <c r="AB28" s="553"/>
      <c r="AC28" s="560"/>
      <c r="AD28" s="553"/>
      <c r="AE28" s="553"/>
      <c r="AF28" s="553"/>
      <c r="AG28" s="553"/>
      <c r="AH28" s="562"/>
      <c r="AI28" s="552">
        <f t="shared" si="1"/>
        <v>0</v>
      </c>
      <c r="AJ28" s="521">
        <f t="shared" si="2"/>
        <v>0</v>
      </c>
      <c r="AK28" s="521">
        <v>10000</v>
      </c>
    </row>
    <row r="29" spans="1:37" ht="10.5">
      <c r="A29" s="556"/>
      <c r="B29" s="659" t="s">
        <v>52</v>
      </c>
      <c r="C29" s="551" t="s">
        <v>53</v>
      </c>
      <c r="D29" s="552"/>
      <c r="E29" s="560"/>
      <c r="F29" s="561"/>
      <c r="G29" s="560"/>
      <c r="H29" s="560"/>
      <c r="I29" s="560"/>
      <c r="J29" s="553"/>
      <c r="K29" s="552"/>
      <c r="L29" s="553"/>
      <c r="M29" s="553"/>
      <c r="N29" s="553"/>
      <c r="O29" s="553"/>
      <c r="P29" s="553"/>
      <c r="Q29" s="553"/>
      <c r="R29" s="560"/>
      <c r="S29" s="553"/>
      <c r="T29" s="553"/>
      <c r="U29" s="553"/>
      <c r="V29" s="553"/>
      <c r="W29" s="553"/>
      <c r="X29" s="553"/>
      <c r="Y29" s="553"/>
      <c r="Z29" s="553"/>
      <c r="AA29" s="553"/>
      <c r="AB29" s="553"/>
      <c r="AC29" s="560"/>
      <c r="AE29" s="553"/>
      <c r="AF29" s="560"/>
      <c r="AG29" s="560"/>
      <c r="AH29" s="562"/>
      <c r="AI29" s="552">
        <f t="shared" si="1"/>
        <v>0</v>
      </c>
      <c r="AJ29" s="662">
        <f>SUM(AI29:AI31)</f>
        <v>0</v>
      </c>
      <c r="AK29" s="665">
        <v>20000</v>
      </c>
    </row>
    <row r="30" spans="1:37">
      <c r="A30" s="556"/>
      <c r="B30" s="660"/>
      <c r="C30" s="576" t="s">
        <v>74</v>
      </c>
      <c r="D30" s="552"/>
      <c r="E30" s="560"/>
      <c r="F30" s="560"/>
      <c r="G30" s="560"/>
      <c r="H30" s="560"/>
      <c r="I30" s="560"/>
      <c r="J30" s="553"/>
      <c r="K30" s="553"/>
      <c r="L30" s="553"/>
      <c r="M30" s="553"/>
      <c r="O30" s="553"/>
      <c r="P30" s="553"/>
      <c r="Q30" s="553"/>
      <c r="R30" s="553"/>
      <c r="S30" s="553"/>
      <c r="T30" s="553"/>
      <c r="U30" s="553"/>
      <c r="V30" s="553"/>
      <c r="W30" s="553"/>
      <c r="X30" s="553"/>
      <c r="Y30" s="553"/>
      <c r="Z30" s="553"/>
      <c r="AA30" s="553"/>
      <c r="AB30" s="553"/>
      <c r="AC30" s="560"/>
      <c r="AD30" s="560"/>
      <c r="AE30" s="553"/>
      <c r="AF30" s="560"/>
      <c r="AG30" s="560"/>
      <c r="AH30" s="562"/>
      <c r="AI30" s="552">
        <f t="shared" si="1"/>
        <v>0</v>
      </c>
      <c r="AJ30" s="663"/>
      <c r="AK30" s="666"/>
    </row>
    <row r="31" spans="1:37" ht="10.5">
      <c r="A31" s="556"/>
      <c r="B31" s="661"/>
      <c r="C31" s="551" t="s">
        <v>75</v>
      </c>
      <c r="D31" s="552"/>
      <c r="E31" s="560"/>
      <c r="F31" s="560"/>
      <c r="G31" s="560"/>
      <c r="H31" s="560"/>
      <c r="I31" s="560"/>
      <c r="J31" s="553"/>
      <c r="K31" s="553"/>
      <c r="L31" s="553"/>
      <c r="M31" s="553"/>
      <c r="N31" s="553"/>
      <c r="O31" s="553"/>
      <c r="P31" s="553"/>
      <c r="Q31" s="553"/>
      <c r="R31" s="553"/>
      <c r="S31" s="553"/>
      <c r="T31" s="553"/>
      <c r="U31" s="553"/>
      <c r="V31" s="553"/>
      <c r="W31" s="553"/>
      <c r="X31" s="553"/>
      <c r="Y31" s="553"/>
      <c r="Z31" s="553"/>
      <c r="AA31" s="553"/>
      <c r="AB31" s="553"/>
      <c r="AC31" s="560"/>
      <c r="AD31" s="560"/>
      <c r="AE31" s="553"/>
      <c r="AF31" s="560"/>
      <c r="AG31" s="560"/>
      <c r="AH31" s="562"/>
      <c r="AI31" s="552">
        <f t="shared" si="1"/>
        <v>0</v>
      </c>
      <c r="AJ31" s="664"/>
      <c r="AK31" s="667"/>
    </row>
    <row r="32" spans="1:37" ht="10.5">
      <c r="A32" s="556"/>
      <c r="B32" s="542" t="s">
        <v>54</v>
      </c>
      <c r="C32" s="551" t="s">
        <v>55</v>
      </c>
      <c r="D32" s="552"/>
      <c r="E32" s="560"/>
      <c r="F32" s="560"/>
      <c r="G32" s="560"/>
      <c r="H32" s="554"/>
      <c r="I32" s="560"/>
      <c r="J32" s="553"/>
      <c r="K32" s="553"/>
      <c r="L32" s="553"/>
      <c r="M32" s="553"/>
      <c r="N32" s="553"/>
      <c r="O32" s="553"/>
      <c r="P32" s="553"/>
      <c r="Q32" s="553"/>
      <c r="R32" s="553"/>
      <c r="S32" s="553"/>
      <c r="T32" s="553"/>
      <c r="U32" s="553"/>
      <c r="V32" s="553"/>
      <c r="W32" s="553"/>
      <c r="X32" s="553"/>
      <c r="Y32" s="553"/>
      <c r="Z32" s="553"/>
      <c r="AA32" s="553"/>
      <c r="AB32" s="553"/>
      <c r="AC32" s="560"/>
      <c r="AD32" s="560"/>
      <c r="AE32" s="553"/>
      <c r="AF32" s="560"/>
      <c r="AG32" s="560"/>
      <c r="AH32" s="562"/>
      <c r="AI32" s="552">
        <f t="shared" si="1"/>
        <v>0</v>
      </c>
      <c r="AJ32" s="521">
        <f t="shared" si="2"/>
        <v>0</v>
      </c>
      <c r="AK32" s="521">
        <v>2000</v>
      </c>
    </row>
    <row r="33" spans="1:37" ht="10.5">
      <c r="A33" s="556"/>
      <c r="B33" s="542" t="s">
        <v>56</v>
      </c>
      <c r="C33" s="551" t="s">
        <v>56</v>
      </c>
      <c r="D33" s="552"/>
      <c r="E33" s="560"/>
      <c r="F33" s="560"/>
      <c r="G33" s="560"/>
      <c r="H33" s="560"/>
      <c r="I33" s="560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53"/>
      <c r="AB33" s="553"/>
      <c r="AC33" s="560"/>
      <c r="AD33" s="560"/>
      <c r="AE33" s="553"/>
      <c r="AF33" s="560"/>
      <c r="AG33" s="560"/>
      <c r="AH33" s="562"/>
      <c r="AI33" s="552">
        <f t="shared" si="1"/>
        <v>0</v>
      </c>
      <c r="AJ33" s="521">
        <f t="shared" si="2"/>
        <v>0</v>
      </c>
      <c r="AK33" s="521">
        <v>15000</v>
      </c>
    </row>
    <row r="34" spans="1:37" ht="10.5">
      <c r="A34" s="556"/>
      <c r="B34" s="549" t="s">
        <v>57</v>
      </c>
      <c r="C34" s="551" t="s">
        <v>57</v>
      </c>
      <c r="D34" s="553"/>
      <c r="E34" s="560"/>
      <c r="F34" s="560"/>
      <c r="G34" s="560"/>
      <c r="H34" s="560"/>
      <c r="I34" s="560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53"/>
      <c r="AB34" s="553"/>
      <c r="AC34" s="560"/>
      <c r="AD34" s="560"/>
      <c r="AE34" s="553"/>
      <c r="AG34" s="560"/>
      <c r="AH34" s="562"/>
      <c r="AI34" s="552">
        <f t="shared" si="1"/>
        <v>0</v>
      </c>
      <c r="AJ34" s="522">
        <f t="shared" si="2"/>
        <v>0</v>
      </c>
      <c r="AK34" s="522">
        <v>2000</v>
      </c>
    </row>
    <row r="35" spans="1:37" ht="10.5">
      <c r="A35" s="556"/>
      <c r="B35" s="577" t="s">
        <v>58</v>
      </c>
      <c r="C35" s="551" t="s">
        <v>59</v>
      </c>
      <c r="D35" s="553"/>
      <c r="E35" s="560"/>
      <c r="F35" s="560"/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53"/>
      <c r="X35" s="553"/>
      <c r="Y35" s="553"/>
      <c r="Z35" s="553"/>
      <c r="AA35" s="553"/>
      <c r="AB35" s="553"/>
      <c r="AC35" s="560"/>
      <c r="AD35" s="560"/>
      <c r="AE35" s="553"/>
      <c r="AF35" s="560"/>
      <c r="AG35" s="560"/>
      <c r="AH35" s="562"/>
      <c r="AI35" s="552">
        <f t="shared" si="1"/>
        <v>0</v>
      </c>
      <c r="AJ35" s="523">
        <f>SUM(AI35:AI36)</f>
        <v>0</v>
      </c>
      <c r="AK35" s="523">
        <v>0</v>
      </c>
    </row>
    <row r="36" spans="1:37" ht="10.5">
      <c r="A36" s="556"/>
      <c r="B36" s="578"/>
      <c r="C36" s="551" t="s">
        <v>60</v>
      </c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53"/>
      <c r="X36" s="553"/>
      <c r="Y36" s="553"/>
      <c r="Z36" s="553"/>
      <c r="AA36" s="553"/>
      <c r="AB36" s="553"/>
      <c r="AC36" s="560"/>
      <c r="AD36" s="560"/>
      <c r="AE36" s="553"/>
      <c r="AF36" s="560"/>
      <c r="AG36" s="560"/>
      <c r="AH36" s="562"/>
      <c r="AI36" s="552">
        <f t="shared" si="1"/>
        <v>0</v>
      </c>
      <c r="AJ36" s="524"/>
      <c r="AK36" s="524"/>
    </row>
    <row r="37" spans="1:37" ht="10.5">
      <c r="A37" s="579"/>
      <c r="B37" s="580" t="s">
        <v>61</v>
      </c>
      <c r="C37" s="581"/>
      <c r="D37" s="552">
        <f t="shared" ref="D37:AH37" si="3">SUM(D2:D36)</f>
        <v>0</v>
      </c>
      <c r="E37" s="552">
        <f t="shared" si="3"/>
        <v>0</v>
      </c>
      <c r="F37" s="552">
        <f t="shared" si="3"/>
        <v>0</v>
      </c>
      <c r="G37" s="552">
        <f t="shared" si="3"/>
        <v>0</v>
      </c>
      <c r="H37" s="552">
        <f t="shared" si="3"/>
        <v>0</v>
      </c>
      <c r="I37" s="552">
        <f t="shared" si="3"/>
        <v>0</v>
      </c>
      <c r="J37" s="552">
        <f t="shared" si="3"/>
        <v>0</v>
      </c>
      <c r="K37" s="552">
        <f t="shared" si="3"/>
        <v>0</v>
      </c>
      <c r="L37" s="552">
        <f t="shared" si="3"/>
        <v>0</v>
      </c>
      <c r="M37" s="552">
        <f t="shared" si="3"/>
        <v>0</v>
      </c>
      <c r="N37" s="552">
        <f t="shared" si="3"/>
        <v>0</v>
      </c>
      <c r="O37" s="552">
        <f t="shared" si="3"/>
        <v>0</v>
      </c>
      <c r="P37" s="552">
        <f t="shared" si="3"/>
        <v>0</v>
      </c>
      <c r="Q37" s="552">
        <f t="shared" si="3"/>
        <v>0</v>
      </c>
      <c r="R37" s="552">
        <f t="shared" si="3"/>
        <v>0</v>
      </c>
      <c r="S37" s="552">
        <f t="shared" si="3"/>
        <v>0</v>
      </c>
      <c r="T37" s="552">
        <f t="shared" si="3"/>
        <v>0</v>
      </c>
      <c r="U37" s="552">
        <f t="shared" si="3"/>
        <v>0</v>
      </c>
      <c r="V37" s="552">
        <f t="shared" si="3"/>
        <v>0</v>
      </c>
      <c r="W37" s="552">
        <f t="shared" si="3"/>
        <v>0</v>
      </c>
      <c r="X37" s="552">
        <f t="shared" si="3"/>
        <v>0</v>
      </c>
      <c r="Y37" s="552">
        <f t="shared" si="3"/>
        <v>0</v>
      </c>
      <c r="Z37" s="552">
        <f t="shared" si="3"/>
        <v>0</v>
      </c>
      <c r="AA37" s="552">
        <f t="shared" si="3"/>
        <v>0</v>
      </c>
      <c r="AB37" s="552">
        <f t="shared" si="3"/>
        <v>0</v>
      </c>
      <c r="AC37" s="552">
        <f t="shared" si="3"/>
        <v>0</v>
      </c>
      <c r="AD37" s="552">
        <f t="shared" si="3"/>
        <v>0</v>
      </c>
      <c r="AE37" s="552">
        <f>SUM(AE2:AE36)</f>
        <v>0</v>
      </c>
      <c r="AF37" s="552">
        <f>SUM(AF2:AF36)</f>
        <v>0</v>
      </c>
      <c r="AG37" s="552">
        <f t="shared" si="3"/>
        <v>0</v>
      </c>
      <c r="AH37" s="552">
        <f t="shared" si="3"/>
        <v>0</v>
      </c>
      <c r="AI37" s="552">
        <f t="shared" si="1"/>
        <v>0</v>
      </c>
      <c r="AJ37" s="525">
        <f>SUM(AJ2:AJ36)</f>
        <v>0</v>
      </c>
      <c r="AK37" s="525">
        <f>SUM(AK2:AK36)</f>
        <v>122000</v>
      </c>
    </row>
    <row r="38" spans="1:37">
      <c r="B38" s="582"/>
      <c r="D38" s="552"/>
      <c r="E38" s="552"/>
      <c r="F38" s="552"/>
      <c r="G38" s="552"/>
      <c r="H38" s="552"/>
      <c r="I38" s="552"/>
      <c r="J38" s="552"/>
      <c r="K38" s="552"/>
      <c r="L38" s="552"/>
      <c r="M38" s="552"/>
      <c r="N38" s="552"/>
      <c r="O38" s="552"/>
      <c r="P38" s="552"/>
      <c r="Q38" s="552"/>
      <c r="R38" s="552"/>
      <c r="S38" s="552"/>
      <c r="T38" s="552"/>
      <c r="U38" s="552"/>
      <c r="V38" s="552"/>
      <c r="W38" s="552"/>
      <c r="X38" s="552"/>
      <c r="Y38" s="552"/>
      <c r="Z38" s="552"/>
      <c r="AA38" s="552"/>
      <c r="AB38" s="552"/>
      <c r="AC38" s="552"/>
      <c r="AD38" s="552"/>
      <c r="AE38" s="552"/>
      <c r="AF38" s="552"/>
      <c r="AG38" s="552"/>
      <c r="AH38" s="552"/>
      <c r="AI38" s="552"/>
      <c r="AJ38" s="526"/>
    </row>
    <row r="39" spans="1:37" ht="10.5">
      <c r="A39" s="549"/>
      <c r="B39" s="583" t="s">
        <v>63</v>
      </c>
      <c r="C39" s="551" t="s">
        <v>64</v>
      </c>
      <c r="D39" s="552"/>
      <c r="E39" s="552"/>
      <c r="F39" s="552"/>
      <c r="G39" s="552"/>
      <c r="H39" s="552"/>
      <c r="I39" s="552"/>
      <c r="J39" s="552"/>
      <c r="K39" s="552"/>
      <c r="L39" s="552"/>
      <c r="M39" s="552"/>
      <c r="N39" s="552"/>
      <c r="O39" s="552"/>
      <c r="P39" s="552"/>
      <c r="Q39" s="552"/>
      <c r="R39" s="552"/>
      <c r="S39" s="552"/>
      <c r="T39" s="552"/>
      <c r="U39" s="552"/>
      <c r="V39" s="552"/>
      <c r="W39" s="552"/>
      <c r="X39" s="552"/>
      <c r="Y39" s="552"/>
      <c r="Z39" s="552"/>
      <c r="AA39" s="552"/>
      <c r="AB39" s="552"/>
      <c r="AC39" s="552"/>
      <c r="AD39" s="552"/>
      <c r="AE39" s="552"/>
      <c r="AF39" s="552"/>
      <c r="AG39" s="552"/>
      <c r="AH39" s="552"/>
      <c r="AI39" s="552">
        <f t="shared" ref="AI39:AI45" si="4">SUM(D39:AH39)</f>
        <v>0</v>
      </c>
      <c r="AJ39" s="528">
        <f>SUM(AI39:AI41)</f>
        <v>0</v>
      </c>
      <c r="AK39" s="529"/>
    </row>
    <row r="40" spans="1:37" ht="10.5">
      <c r="A40" s="556"/>
      <c r="B40" s="584" t="s">
        <v>62</v>
      </c>
      <c r="C40" s="585" t="s">
        <v>65</v>
      </c>
      <c r="D40" s="560"/>
      <c r="E40" s="552"/>
      <c r="F40" s="552"/>
      <c r="G40" s="552"/>
      <c r="H40" s="552"/>
      <c r="I40" s="552"/>
      <c r="J40" s="552"/>
      <c r="K40" s="552"/>
      <c r="L40" s="552"/>
      <c r="M40" s="552"/>
      <c r="N40" s="552"/>
      <c r="O40" s="552"/>
      <c r="P40" s="552"/>
      <c r="Q40" s="552"/>
      <c r="R40" s="552"/>
      <c r="S40" s="552"/>
      <c r="T40" s="552"/>
      <c r="U40" s="552"/>
      <c r="V40" s="552"/>
      <c r="W40" s="552"/>
      <c r="X40" s="552"/>
      <c r="Y40" s="552"/>
      <c r="Z40" s="552"/>
      <c r="AA40" s="552"/>
      <c r="AB40" s="552"/>
      <c r="AC40" s="552"/>
      <c r="AD40" s="552"/>
      <c r="AE40" s="552"/>
      <c r="AF40" s="552"/>
      <c r="AG40" s="552"/>
      <c r="AH40" s="552"/>
      <c r="AI40" s="552">
        <f t="shared" si="4"/>
        <v>0</v>
      </c>
      <c r="AJ40" s="530"/>
      <c r="AK40" s="531"/>
    </row>
    <row r="41" spans="1:37" ht="10.5">
      <c r="A41" s="556"/>
      <c r="B41" s="533"/>
      <c r="C41" s="551" t="s">
        <v>73</v>
      </c>
      <c r="D41" s="560"/>
      <c r="E41" s="560"/>
      <c r="F41" s="560"/>
      <c r="G41" s="560"/>
      <c r="H41" s="560"/>
      <c r="I41" s="560"/>
      <c r="J41" s="560"/>
      <c r="K41" s="560"/>
      <c r="L41" s="560"/>
      <c r="M41" s="560"/>
      <c r="N41" s="560"/>
      <c r="O41" s="560"/>
      <c r="P41" s="560"/>
      <c r="Q41" s="560"/>
      <c r="R41" s="560"/>
      <c r="S41" s="560"/>
      <c r="T41" s="560"/>
      <c r="U41" s="560"/>
      <c r="V41" s="560"/>
      <c r="W41" s="560"/>
      <c r="X41" s="560"/>
      <c r="Y41" s="560"/>
      <c r="Z41" s="560"/>
      <c r="AA41" s="560"/>
      <c r="AB41" s="560"/>
      <c r="AC41" s="560"/>
      <c r="AD41" s="560"/>
      <c r="AE41" s="560"/>
      <c r="AF41" s="560"/>
      <c r="AG41" s="560"/>
      <c r="AH41" s="560"/>
      <c r="AI41" s="552">
        <f t="shared" si="4"/>
        <v>0</v>
      </c>
      <c r="AJ41" s="532"/>
      <c r="AK41" s="533"/>
    </row>
    <row r="42" spans="1:37" ht="10.5">
      <c r="A42" s="567" t="s">
        <v>62</v>
      </c>
      <c r="B42" s="535"/>
      <c r="C42" s="570" t="s">
        <v>66</v>
      </c>
      <c r="D42" s="560"/>
      <c r="E42" s="560"/>
      <c r="F42" s="560"/>
      <c r="G42" s="560"/>
      <c r="H42" s="560"/>
      <c r="I42" s="560"/>
      <c r="J42" s="560"/>
      <c r="K42" s="560"/>
      <c r="L42" s="560"/>
      <c r="M42" s="560"/>
      <c r="N42" s="560"/>
      <c r="O42" s="560"/>
      <c r="P42" s="560"/>
      <c r="Q42" s="560"/>
      <c r="R42" s="560"/>
      <c r="S42" s="560"/>
      <c r="T42" s="560"/>
      <c r="U42" s="560"/>
      <c r="V42" s="560"/>
      <c r="W42" s="560"/>
      <c r="X42" s="560"/>
      <c r="Y42" s="560"/>
      <c r="Z42" s="560"/>
      <c r="AA42" s="560"/>
      <c r="AB42" s="560"/>
      <c r="AC42" s="560"/>
      <c r="AD42" s="560"/>
      <c r="AE42" s="560"/>
      <c r="AF42" s="560"/>
      <c r="AG42" s="560"/>
      <c r="AH42" s="560"/>
      <c r="AI42" s="552">
        <f t="shared" si="4"/>
        <v>0</v>
      </c>
      <c r="AJ42" s="534">
        <f>AI42</f>
        <v>0</v>
      </c>
      <c r="AK42" s="535"/>
    </row>
    <row r="43" spans="1:37" ht="10.5">
      <c r="A43" s="556"/>
      <c r="B43" s="586" t="s">
        <v>58</v>
      </c>
      <c r="C43" s="551" t="s">
        <v>67</v>
      </c>
      <c r="D43" s="560"/>
      <c r="E43" s="560"/>
      <c r="F43" s="560"/>
      <c r="G43" s="560"/>
      <c r="H43" s="560"/>
      <c r="I43" s="560"/>
      <c r="J43" s="560"/>
      <c r="K43" s="560"/>
      <c r="L43" s="560"/>
      <c r="M43" s="560"/>
      <c r="N43" s="560"/>
      <c r="O43" s="560"/>
      <c r="P43" s="560"/>
      <c r="Q43" s="560"/>
      <c r="R43" s="560"/>
      <c r="S43" s="560"/>
      <c r="T43" s="560"/>
      <c r="U43" s="560"/>
      <c r="V43" s="560"/>
      <c r="W43" s="560"/>
      <c r="X43" s="560"/>
      <c r="Y43" s="560"/>
      <c r="Z43" s="560"/>
      <c r="AA43" s="560"/>
      <c r="AB43" s="560"/>
      <c r="AC43" s="560"/>
      <c r="AD43" s="560"/>
      <c r="AE43" s="560"/>
      <c r="AF43" s="560"/>
      <c r="AG43" s="560"/>
      <c r="AH43" s="560"/>
      <c r="AI43" s="552">
        <f t="shared" si="4"/>
        <v>0</v>
      </c>
      <c r="AJ43" s="536">
        <f>SUM(AI43:AI44)</f>
        <v>0</v>
      </c>
      <c r="AK43" s="537"/>
    </row>
    <row r="44" spans="1:37" ht="10.5">
      <c r="A44" s="556"/>
      <c r="B44" s="539"/>
      <c r="C44" s="551" t="s">
        <v>58</v>
      </c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0"/>
      <c r="P44" s="560"/>
      <c r="Q44" s="560"/>
      <c r="R44" s="560"/>
      <c r="S44" s="560"/>
      <c r="T44" s="560"/>
      <c r="U44" s="560"/>
      <c r="V44" s="560"/>
      <c r="W44" s="560"/>
      <c r="X44" s="560"/>
      <c r="Y44" s="560"/>
      <c r="Z44" s="560"/>
      <c r="AA44" s="560"/>
      <c r="AB44" s="560"/>
      <c r="AC44" s="560"/>
      <c r="AD44" s="560"/>
      <c r="AE44" s="560"/>
      <c r="AF44" s="560"/>
      <c r="AG44" s="560"/>
      <c r="AH44" s="560"/>
      <c r="AI44" s="552">
        <f t="shared" si="4"/>
        <v>0</v>
      </c>
      <c r="AJ44" s="538"/>
      <c r="AK44" s="539"/>
    </row>
    <row r="45" spans="1:37" ht="10.5">
      <c r="A45" s="579"/>
      <c r="B45" s="587" t="s">
        <v>68</v>
      </c>
      <c r="C45" s="581"/>
      <c r="D45" s="552">
        <f t="shared" ref="D45:AH45" si="5">SUM(D39:D44)</f>
        <v>0</v>
      </c>
      <c r="E45" s="552">
        <f t="shared" si="5"/>
        <v>0</v>
      </c>
      <c r="F45" s="552">
        <f t="shared" si="5"/>
        <v>0</v>
      </c>
      <c r="G45" s="552">
        <f t="shared" si="5"/>
        <v>0</v>
      </c>
      <c r="H45" s="552">
        <f t="shared" si="5"/>
        <v>0</v>
      </c>
      <c r="I45" s="552">
        <f t="shared" si="5"/>
        <v>0</v>
      </c>
      <c r="J45" s="552">
        <f t="shared" si="5"/>
        <v>0</v>
      </c>
      <c r="K45" s="552">
        <f t="shared" si="5"/>
        <v>0</v>
      </c>
      <c r="L45" s="552">
        <f t="shared" si="5"/>
        <v>0</v>
      </c>
      <c r="M45" s="552">
        <f t="shared" si="5"/>
        <v>0</v>
      </c>
      <c r="N45" s="552">
        <f t="shared" si="5"/>
        <v>0</v>
      </c>
      <c r="O45" s="552">
        <f t="shared" si="5"/>
        <v>0</v>
      </c>
      <c r="P45" s="552">
        <f t="shared" si="5"/>
        <v>0</v>
      </c>
      <c r="Q45" s="552">
        <f t="shared" si="5"/>
        <v>0</v>
      </c>
      <c r="R45" s="552">
        <f t="shared" si="5"/>
        <v>0</v>
      </c>
      <c r="S45" s="552">
        <f t="shared" si="5"/>
        <v>0</v>
      </c>
      <c r="T45" s="552">
        <f t="shared" si="5"/>
        <v>0</v>
      </c>
      <c r="U45" s="552">
        <f t="shared" si="5"/>
        <v>0</v>
      </c>
      <c r="V45" s="552">
        <f t="shared" si="5"/>
        <v>0</v>
      </c>
      <c r="W45" s="552">
        <f t="shared" si="5"/>
        <v>0</v>
      </c>
      <c r="X45" s="552">
        <f t="shared" si="5"/>
        <v>0</v>
      </c>
      <c r="Y45" s="552">
        <f t="shared" si="5"/>
        <v>0</v>
      </c>
      <c r="Z45" s="552">
        <f t="shared" si="5"/>
        <v>0</v>
      </c>
      <c r="AA45" s="552">
        <f t="shared" si="5"/>
        <v>0</v>
      </c>
      <c r="AB45" s="552">
        <f t="shared" si="5"/>
        <v>0</v>
      </c>
      <c r="AC45" s="552">
        <f t="shared" si="5"/>
        <v>0</v>
      </c>
      <c r="AD45" s="552">
        <f t="shared" si="5"/>
        <v>0</v>
      </c>
      <c r="AE45" s="552">
        <f t="shared" si="5"/>
        <v>0</v>
      </c>
      <c r="AF45" s="552">
        <f t="shared" si="5"/>
        <v>0</v>
      </c>
      <c r="AG45" s="552">
        <f t="shared" si="5"/>
        <v>0</v>
      </c>
      <c r="AH45" s="552">
        <f t="shared" si="5"/>
        <v>0</v>
      </c>
      <c r="AI45" s="552">
        <f t="shared" si="4"/>
        <v>0</v>
      </c>
      <c r="AJ45" s="540">
        <f>SUM(AI39:AI44)</f>
        <v>0</v>
      </c>
      <c r="AK45" s="541"/>
    </row>
    <row r="46" spans="1:37" ht="10.5">
      <c r="W46" s="588"/>
      <c r="AE46" s="588"/>
      <c r="AF46" s="588"/>
      <c r="AG46" s="588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AK48"/>
  <sheetViews>
    <sheetView workbookViewId="0">
      <pane xSplit="3" ySplit="1" topLeftCell="D2" activePane="bottomRight" state="frozen"/>
      <selection activeCell="D3" sqref="D3"/>
      <selection pane="topRight"/>
      <selection pane="bottomLeft"/>
      <selection pane="bottomRight" activeCell="G24" sqref="G24"/>
    </sheetView>
  </sheetViews>
  <sheetFormatPr defaultColWidth="9" defaultRowHeight="10.15"/>
  <cols>
    <col min="1" max="1" width="7.86328125" style="108" customWidth="1"/>
    <col min="2" max="2" width="4.86328125" style="108" customWidth="1"/>
    <col min="3" max="3" width="12.1328125" style="108" bestFit="1" customWidth="1"/>
    <col min="4" max="34" width="6.265625" style="108" customWidth="1"/>
    <col min="35" max="35" width="8.3984375" style="108" bestFit="1" customWidth="1"/>
    <col min="36" max="37" width="10.1328125" style="108" bestFit="1" customWidth="1"/>
    <col min="38" max="38" width="9" style="108" bestFit="1"/>
    <col min="39" max="16384" width="9" style="108"/>
  </cols>
  <sheetData>
    <row r="1" spans="1:37" ht="10.5">
      <c r="A1" s="101" t="s">
        <v>14</v>
      </c>
      <c r="B1" s="102" t="s">
        <v>1</v>
      </c>
      <c r="C1" s="103" t="s">
        <v>69</v>
      </c>
      <c r="D1" s="104">
        <v>1</v>
      </c>
      <c r="E1" s="104">
        <f t="shared" ref="E1:AH1" si="0">1+D1</f>
        <v>2</v>
      </c>
      <c r="F1" s="104">
        <f t="shared" si="0"/>
        <v>3</v>
      </c>
      <c r="G1" s="104">
        <f t="shared" si="0"/>
        <v>4</v>
      </c>
      <c r="H1" s="104">
        <f t="shared" si="0"/>
        <v>5</v>
      </c>
      <c r="I1" s="105">
        <f t="shared" si="0"/>
        <v>6</v>
      </c>
      <c r="J1" s="106">
        <f t="shared" si="0"/>
        <v>7</v>
      </c>
      <c r="K1" s="104">
        <f t="shared" si="0"/>
        <v>8</v>
      </c>
      <c r="L1" s="104">
        <f t="shared" si="0"/>
        <v>9</v>
      </c>
      <c r="M1" s="104">
        <f t="shared" si="0"/>
        <v>10</v>
      </c>
      <c r="N1" s="104">
        <f t="shared" si="0"/>
        <v>11</v>
      </c>
      <c r="O1" s="104">
        <f t="shared" si="0"/>
        <v>12</v>
      </c>
      <c r="P1" s="105">
        <f t="shared" si="0"/>
        <v>13</v>
      </c>
      <c r="Q1" s="106">
        <f t="shared" si="0"/>
        <v>14</v>
      </c>
      <c r="R1" s="104">
        <f t="shared" si="0"/>
        <v>15</v>
      </c>
      <c r="S1" s="104">
        <f t="shared" si="0"/>
        <v>16</v>
      </c>
      <c r="T1" s="104">
        <f t="shared" si="0"/>
        <v>17</v>
      </c>
      <c r="U1" s="104">
        <f t="shared" si="0"/>
        <v>18</v>
      </c>
      <c r="V1" s="104">
        <f t="shared" si="0"/>
        <v>19</v>
      </c>
      <c r="W1" s="105">
        <f t="shared" si="0"/>
        <v>20</v>
      </c>
      <c r="X1" s="106">
        <f t="shared" si="0"/>
        <v>21</v>
      </c>
      <c r="Y1" s="104">
        <f t="shared" si="0"/>
        <v>22</v>
      </c>
      <c r="Z1" s="104">
        <f t="shared" si="0"/>
        <v>23</v>
      </c>
      <c r="AA1" s="104">
        <f t="shared" si="0"/>
        <v>24</v>
      </c>
      <c r="AB1" s="104">
        <f t="shared" si="0"/>
        <v>25</v>
      </c>
      <c r="AC1" s="104">
        <f t="shared" si="0"/>
        <v>26</v>
      </c>
      <c r="AD1" s="105">
        <f t="shared" si="0"/>
        <v>27</v>
      </c>
      <c r="AE1" s="106">
        <f t="shared" si="0"/>
        <v>28</v>
      </c>
      <c r="AF1" s="104">
        <f t="shared" si="0"/>
        <v>29</v>
      </c>
      <c r="AG1" s="104">
        <f t="shared" si="0"/>
        <v>30</v>
      </c>
      <c r="AH1" s="104">
        <f t="shared" si="0"/>
        <v>31</v>
      </c>
      <c r="AI1" s="107" t="s">
        <v>15</v>
      </c>
      <c r="AJ1" s="107" t="s">
        <v>16</v>
      </c>
      <c r="AK1" s="107" t="s">
        <v>17</v>
      </c>
    </row>
    <row r="2" spans="1:37" ht="10.5">
      <c r="A2" s="109"/>
      <c r="B2" s="110" t="s">
        <v>19</v>
      </c>
      <c r="C2" s="111" t="s">
        <v>20</v>
      </c>
      <c r="D2" s="15"/>
      <c r="E2" s="226"/>
      <c r="F2" s="226"/>
      <c r="G2" s="226"/>
      <c r="H2" s="225"/>
      <c r="I2" s="226"/>
      <c r="J2" s="226"/>
      <c r="K2" s="225"/>
      <c r="L2" s="226"/>
      <c r="M2" s="226"/>
      <c r="N2" s="226"/>
      <c r="O2" s="226"/>
      <c r="P2" s="226"/>
      <c r="Q2" s="225"/>
      <c r="R2" s="226"/>
      <c r="S2" s="226"/>
      <c r="T2" s="226"/>
      <c r="U2" s="225"/>
      <c r="V2" s="226"/>
      <c r="W2" s="226"/>
      <c r="X2" s="226"/>
      <c r="Y2" s="226"/>
      <c r="Z2" s="225"/>
      <c r="AA2" s="15"/>
      <c r="AB2" s="15"/>
      <c r="AC2" s="112"/>
      <c r="AD2" s="112"/>
      <c r="AE2" s="112"/>
      <c r="AF2" s="112"/>
      <c r="AG2" s="112"/>
      <c r="AH2" s="112"/>
      <c r="AI2" s="113">
        <f t="shared" ref="AI2:AI37" si="1">SUM(D2:AH2)</f>
        <v>0</v>
      </c>
      <c r="AJ2" s="114">
        <f>SUM(AI2:AI4)</f>
        <v>0</v>
      </c>
      <c r="AK2" s="114">
        <v>5000</v>
      </c>
    </row>
    <row r="3" spans="1:37" ht="10.5">
      <c r="A3" s="115"/>
      <c r="B3" s="116"/>
      <c r="C3" s="117" t="s">
        <v>21</v>
      </c>
      <c r="D3" s="15"/>
      <c r="E3" s="15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15"/>
      <c r="AB3" s="15"/>
      <c r="AC3" s="112"/>
      <c r="AD3" s="112"/>
      <c r="AE3" s="112"/>
      <c r="AF3" s="112"/>
      <c r="AG3" s="112"/>
      <c r="AH3" s="112"/>
      <c r="AI3" s="113">
        <f t="shared" si="1"/>
        <v>0</v>
      </c>
      <c r="AJ3" s="118"/>
      <c r="AK3" s="118"/>
    </row>
    <row r="4" spans="1:37" ht="10.5">
      <c r="A4" s="115"/>
      <c r="B4" s="119"/>
      <c r="C4" s="111" t="s">
        <v>22</v>
      </c>
      <c r="D4" s="9"/>
      <c r="E4" s="9"/>
      <c r="F4" s="226"/>
      <c r="G4" s="226"/>
      <c r="H4" s="226"/>
      <c r="I4" s="224"/>
      <c r="J4" s="226"/>
      <c r="K4" s="226"/>
      <c r="L4" s="226"/>
      <c r="M4" s="226"/>
      <c r="N4" s="226"/>
      <c r="O4" s="226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26"/>
      <c r="AB4" s="226"/>
      <c r="AC4" s="112"/>
      <c r="AD4" s="112"/>
      <c r="AE4" s="112"/>
      <c r="AF4" s="112"/>
      <c r="AG4" s="112"/>
      <c r="AH4" s="112"/>
      <c r="AI4" s="113">
        <f t="shared" si="1"/>
        <v>0</v>
      </c>
      <c r="AJ4" s="120"/>
      <c r="AK4" s="120"/>
    </row>
    <row r="5" spans="1:37" ht="10.5">
      <c r="A5" s="115"/>
      <c r="B5" s="121" t="s">
        <v>23</v>
      </c>
      <c r="C5" s="111" t="s">
        <v>24</v>
      </c>
      <c r="D5" s="9"/>
      <c r="E5" s="9"/>
      <c r="F5" s="226"/>
      <c r="G5" s="226"/>
      <c r="H5" s="226"/>
      <c r="I5" s="226"/>
      <c r="J5" s="226"/>
      <c r="K5" s="226"/>
      <c r="L5" s="226"/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112"/>
      <c r="AD5" s="112"/>
      <c r="AE5" s="112"/>
      <c r="AF5" s="112"/>
      <c r="AG5" s="112"/>
      <c r="AH5" s="112"/>
      <c r="AI5" s="113">
        <f t="shared" si="1"/>
        <v>0</v>
      </c>
      <c r="AJ5" s="122">
        <f>SUM(AI5:AI7)</f>
        <v>0</v>
      </c>
      <c r="AK5" s="122">
        <v>1000</v>
      </c>
    </row>
    <row r="6" spans="1:37" ht="10.5">
      <c r="A6" s="115"/>
      <c r="B6" s="121"/>
      <c r="C6" s="348" t="s">
        <v>76</v>
      </c>
      <c r="D6" s="9"/>
      <c r="E6" s="9"/>
      <c r="F6" s="226"/>
      <c r="G6" s="226"/>
      <c r="H6" s="226"/>
      <c r="I6" s="226"/>
      <c r="J6" s="226"/>
      <c r="K6" s="226"/>
      <c r="L6" s="226"/>
      <c r="M6" s="226"/>
      <c r="N6" s="226"/>
      <c r="O6" s="226"/>
      <c r="P6" s="226"/>
      <c r="Q6" s="226"/>
      <c r="R6" s="226"/>
      <c r="S6" s="226"/>
      <c r="T6" s="226"/>
      <c r="U6" s="226"/>
      <c r="V6" s="226"/>
      <c r="W6" s="226"/>
      <c r="X6" s="226"/>
      <c r="Y6" s="226"/>
      <c r="Z6" s="226"/>
      <c r="AA6" s="226"/>
      <c r="AB6" s="226"/>
      <c r="AC6" s="112"/>
      <c r="AD6" s="112"/>
      <c r="AE6" s="112"/>
      <c r="AF6" s="112"/>
      <c r="AG6" s="112"/>
      <c r="AH6" s="112"/>
      <c r="AI6" s="113">
        <f t="shared" si="1"/>
        <v>0</v>
      </c>
      <c r="AJ6" s="122"/>
      <c r="AK6" s="122"/>
    </row>
    <row r="7" spans="1:37" ht="10.5">
      <c r="A7" s="115"/>
      <c r="B7" s="121"/>
      <c r="C7" s="348" t="s">
        <v>77</v>
      </c>
      <c r="D7" s="9"/>
      <c r="E7" s="9"/>
      <c r="F7" s="226"/>
      <c r="G7" s="226"/>
      <c r="H7" s="226"/>
      <c r="I7" s="226"/>
      <c r="J7" s="226"/>
      <c r="K7" s="226"/>
      <c r="L7" s="226"/>
      <c r="M7" s="226"/>
      <c r="N7" s="226"/>
      <c r="O7" s="226"/>
      <c r="P7" s="226"/>
      <c r="Q7" s="226"/>
      <c r="R7" s="226"/>
      <c r="S7" s="226"/>
      <c r="T7" s="226"/>
      <c r="U7" s="226"/>
      <c r="V7" s="226"/>
      <c r="W7" s="226"/>
      <c r="X7" s="226"/>
      <c r="Y7" s="226"/>
      <c r="Z7" s="226"/>
      <c r="AA7" s="226"/>
      <c r="AB7" s="226"/>
      <c r="AC7" s="112"/>
      <c r="AD7" s="112"/>
      <c r="AE7" s="112"/>
      <c r="AF7" s="112"/>
      <c r="AG7" s="112"/>
      <c r="AH7" s="112"/>
      <c r="AI7" s="113">
        <f t="shared" si="1"/>
        <v>0</v>
      </c>
      <c r="AJ7" s="122"/>
      <c r="AK7" s="122"/>
    </row>
    <row r="8" spans="1:37" ht="10.5">
      <c r="A8" s="115"/>
      <c r="B8" s="123" t="s">
        <v>25</v>
      </c>
      <c r="C8" s="111" t="s">
        <v>26</v>
      </c>
      <c r="D8" s="9"/>
      <c r="E8" s="9"/>
      <c r="F8" s="9"/>
      <c r="G8" s="9"/>
      <c r="H8" s="112"/>
      <c r="I8" s="226"/>
      <c r="J8" s="226"/>
      <c r="K8" s="226"/>
      <c r="L8" s="226"/>
      <c r="M8" s="9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112"/>
      <c r="AD8" s="112"/>
      <c r="AE8" s="112"/>
      <c r="AF8" s="112"/>
      <c r="AG8" s="112"/>
      <c r="AH8" s="112"/>
      <c r="AI8" s="113">
        <f t="shared" si="1"/>
        <v>0</v>
      </c>
      <c r="AJ8" s="124">
        <f>SUM(AI8:AI14)</f>
        <v>0</v>
      </c>
      <c r="AK8" s="124">
        <v>10000</v>
      </c>
    </row>
    <row r="9" spans="1:37" ht="10.5">
      <c r="A9" s="115"/>
      <c r="B9" s="125"/>
      <c r="C9" s="111" t="s">
        <v>27</v>
      </c>
      <c r="D9" s="225"/>
      <c r="E9" s="9"/>
      <c r="F9" s="9"/>
      <c r="G9" s="9"/>
      <c r="H9" s="9"/>
      <c r="I9" s="9"/>
      <c r="J9" s="226"/>
      <c r="K9" s="226"/>
      <c r="L9" s="226"/>
      <c r="M9" s="226"/>
      <c r="N9" s="226"/>
      <c r="O9" s="226"/>
      <c r="P9" s="226"/>
      <c r="Q9" s="226"/>
      <c r="R9" s="226"/>
      <c r="S9" s="226"/>
      <c r="T9" s="226"/>
      <c r="U9" s="226"/>
      <c r="V9" s="226"/>
      <c r="W9" s="226"/>
      <c r="X9" s="226"/>
      <c r="Y9" s="226"/>
      <c r="Z9" s="226"/>
      <c r="AA9" s="226"/>
      <c r="AB9" s="226"/>
      <c r="AC9" s="112"/>
      <c r="AD9" s="112"/>
      <c r="AE9" s="112"/>
      <c r="AF9" s="112"/>
      <c r="AG9" s="112"/>
      <c r="AH9" s="112"/>
      <c r="AI9" s="113">
        <f t="shared" si="1"/>
        <v>0</v>
      </c>
      <c r="AJ9" s="126"/>
      <c r="AK9" s="126"/>
    </row>
    <row r="10" spans="1:37" ht="10.5">
      <c r="A10" s="115"/>
      <c r="B10" s="125"/>
      <c r="C10" s="111" t="s">
        <v>28</v>
      </c>
      <c r="D10" s="226"/>
      <c r="E10" s="9"/>
      <c r="F10" s="9"/>
      <c r="G10" s="9"/>
      <c r="H10" s="9"/>
      <c r="I10" s="9"/>
      <c r="J10" s="226"/>
      <c r="K10" s="226"/>
      <c r="L10" s="226"/>
      <c r="M10" s="226"/>
      <c r="N10" s="226"/>
      <c r="O10" s="226"/>
      <c r="P10" s="226"/>
      <c r="Q10" s="226"/>
      <c r="R10" s="226"/>
      <c r="S10" s="226"/>
      <c r="T10" s="226"/>
      <c r="U10" s="226"/>
      <c r="V10" s="226"/>
      <c r="W10" s="226"/>
      <c r="X10" s="226"/>
      <c r="Y10" s="226"/>
      <c r="Z10" s="226"/>
      <c r="AA10" s="226"/>
      <c r="AB10" s="226"/>
      <c r="AC10" s="112"/>
      <c r="AD10" s="112"/>
      <c r="AE10" s="112"/>
      <c r="AF10" s="112"/>
      <c r="AG10" s="112"/>
      <c r="AH10" s="112"/>
      <c r="AI10" s="113">
        <f t="shared" si="1"/>
        <v>0</v>
      </c>
      <c r="AJ10" s="126"/>
      <c r="AK10" s="126"/>
    </row>
    <row r="11" spans="1:37" ht="10.5">
      <c r="A11" s="128" t="s">
        <v>18</v>
      </c>
      <c r="B11" s="125"/>
      <c r="C11" s="111" t="s">
        <v>29</v>
      </c>
      <c r="D11" s="226"/>
      <c r="E11" s="9"/>
      <c r="F11" s="9"/>
      <c r="G11" s="9"/>
      <c r="H11" s="9"/>
      <c r="I11" s="9"/>
      <c r="J11" s="226"/>
      <c r="K11" s="226"/>
      <c r="L11" s="226"/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112"/>
      <c r="AD11" s="112"/>
      <c r="AE11" s="112"/>
      <c r="AF11" s="112"/>
      <c r="AG11" s="112"/>
      <c r="AH11" s="112"/>
      <c r="AI11" s="113">
        <f t="shared" si="1"/>
        <v>0</v>
      </c>
      <c r="AJ11" s="126"/>
      <c r="AK11" s="126"/>
    </row>
    <row r="12" spans="1:37" ht="10.5">
      <c r="A12" s="115"/>
      <c r="B12" s="125"/>
      <c r="C12" s="111" t="s">
        <v>30</v>
      </c>
      <c r="D12" s="226"/>
      <c r="E12" s="9"/>
      <c r="F12" s="9"/>
      <c r="G12" s="9"/>
      <c r="H12" s="224"/>
      <c r="I12" s="9"/>
      <c r="J12" s="226"/>
      <c r="K12" s="226"/>
      <c r="L12" s="226"/>
      <c r="M12" s="226"/>
      <c r="N12" s="226"/>
      <c r="O12" s="226"/>
      <c r="P12" s="226"/>
      <c r="Q12" s="226"/>
      <c r="R12" s="226"/>
      <c r="S12" s="226"/>
      <c r="T12" s="226"/>
      <c r="U12" s="226"/>
      <c r="V12" s="226"/>
      <c r="W12" s="226"/>
      <c r="X12" s="226"/>
      <c r="Y12" s="226"/>
      <c r="Z12" s="226"/>
      <c r="AA12" s="226"/>
      <c r="AB12" s="226"/>
      <c r="AC12" s="112"/>
      <c r="AD12" s="112"/>
      <c r="AE12" s="112"/>
      <c r="AF12" s="112"/>
      <c r="AG12" s="112"/>
      <c r="AH12" s="112"/>
      <c r="AI12" s="113">
        <f t="shared" si="1"/>
        <v>0</v>
      </c>
      <c r="AJ12" s="126"/>
      <c r="AK12" s="126"/>
    </row>
    <row r="13" spans="1:37" ht="10.5">
      <c r="A13" s="115"/>
      <c r="B13" s="125"/>
      <c r="C13" s="111" t="s">
        <v>31</v>
      </c>
      <c r="D13" s="226"/>
      <c r="E13" s="9"/>
      <c r="F13" s="9"/>
      <c r="G13" s="9"/>
      <c r="H13" s="224"/>
      <c r="I13" s="9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6"/>
      <c r="Z13" s="226"/>
      <c r="AA13" s="226"/>
      <c r="AB13" s="226"/>
      <c r="AC13" s="112"/>
      <c r="AD13" s="112"/>
      <c r="AE13" s="112"/>
      <c r="AF13" s="112"/>
      <c r="AG13" s="112"/>
      <c r="AH13" s="112"/>
      <c r="AI13" s="113">
        <f t="shared" si="1"/>
        <v>0</v>
      </c>
      <c r="AJ13" s="126"/>
      <c r="AK13" s="126"/>
    </row>
    <row r="14" spans="1:37" ht="10.5">
      <c r="A14" s="115"/>
      <c r="B14" s="125"/>
      <c r="C14" s="111" t="s">
        <v>32</v>
      </c>
      <c r="D14" s="226"/>
      <c r="E14" s="9"/>
      <c r="F14" s="9"/>
      <c r="G14" s="9"/>
      <c r="H14" s="224"/>
      <c r="I14" s="9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112"/>
      <c r="AD14" s="112"/>
      <c r="AE14" s="112"/>
      <c r="AF14" s="112"/>
      <c r="AG14" s="112"/>
      <c r="AH14" s="112"/>
      <c r="AI14" s="113">
        <f t="shared" si="1"/>
        <v>0</v>
      </c>
      <c r="AJ14" s="126"/>
      <c r="AK14" s="126"/>
    </row>
    <row r="15" spans="1:37" ht="10.5">
      <c r="A15" s="115"/>
      <c r="B15" s="129" t="s">
        <v>33</v>
      </c>
      <c r="C15" s="111" t="s">
        <v>34</v>
      </c>
      <c r="D15" s="226"/>
      <c r="E15" s="9"/>
      <c r="F15" s="9"/>
      <c r="G15" s="9"/>
      <c r="H15" s="224"/>
      <c r="I15" s="9"/>
      <c r="J15" s="226"/>
      <c r="K15" s="226"/>
      <c r="L15" s="226"/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113"/>
      <c r="AB15" s="226"/>
      <c r="AC15" s="112"/>
      <c r="AD15" s="112"/>
      <c r="AE15" s="112"/>
      <c r="AF15" s="112"/>
      <c r="AG15" s="112"/>
      <c r="AH15" s="112"/>
      <c r="AI15" s="113">
        <f t="shared" si="1"/>
        <v>0</v>
      </c>
      <c r="AJ15" s="130">
        <f>SUM(AI15:AI21)</f>
        <v>0</v>
      </c>
      <c r="AK15" s="130">
        <v>10000</v>
      </c>
    </row>
    <row r="16" spans="1:37" ht="10.5">
      <c r="A16" s="115"/>
      <c r="B16" s="131"/>
      <c r="C16" s="111" t="s">
        <v>35</v>
      </c>
      <c r="D16" s="226"/>
      <c r="E16" s="9"/>
      <c r="F16" s="9"/>
      <c r="G16" s="9"/>
      <c r="H16" s="224"/>
      <c r="I16" s="9"/>
      <c r="J16" s="226"/>
      <c r="K16" s="226"/>
      <c r="L16" s="226"/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112"/>
      <c r="AD16" s="112"/>
      <c r="AE16" s="112"/>
      <c r="AF16" s="112"/>
      <c r="AG16" s="112"/>
      <c r="AH16" s="112"/>
      <c r="AI16" s="113">
        <f t="shared" si="1"/>
        <v>0</v>
      </c>
      <c r="AJ16" s="132"/>
      <c r="AK16" s="132"/>
    </row>
    <row r="17" spans="1:37" ht="10.5">
      <c r="A17" s="115"/>
      <c r="B17" s="131"/>
      <c r="C17" s="133" t="s">
        <v>36</v>
      </c>
      <c r="D17" s="226"/>
      <c r="E17" s="9"/>
      <c r="F17" s="226"/>
      <c r="G17" s="9"/>
      <c r="H17" s="224"/>
      <c r="I17" s="9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112"/>
      <c r="AD17" s="112"/>
      <c r="AE17" s="112"/>
      <c r="AF17" s="112"/>
      <c r="AG17" s="112"/>
      <c r="AH17" s="112"/>
      <c r="AI17" s="113">
        <f t="shared" si="1"/>
        <v>0</v>
      </c>
      <c r="AJ17" s="132"/>
      <c r="AK17" s="132"/>
    </row>
    <row r="18" spans="1:37" ht="10.5">
      <c r="A18" s="115"/>
      <c r="B18" s="131"/>
      <c r="C18" s="133" t="s">
        <v>166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12"/>
      <c r="AD18" s="112"/>
      <c r="AE18" s="112"/>
      <c r="AF18" s="112"/>
      <c r="AG18" s="112"/>
      <c r="AH18" s="112"/>
      <c r="AI18" s="113">
        <f t="shared" si="1"/>
        <v>0</v>
      </c>
      <c r="AJ18" s="132"/>
      <c r="AK18" s="132"/>
    </row>
    <row r="19" spans="1:37" ht="10.5">
      <c r="A19" s="115"/>
      <c r="B19" s="131"/>
      <c r="C19" s="133" t="s">
        <v>37</v>
      </c>
      <c r="D19" s="226"/>
      <c r="E19" s="9"/>
      <c r="F19" s="9"/>
      <c r="G19" s="9"/>
      <c r="H19" s="224"/>
      <c r="I19" s="9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112"/>
      <c r="AD19" s="112"/>
      <c r="AE19" s="112"/>
      <c r="AF19" s="112"/>
      <c r="AG19" s="112"/>
      <c r="AH19" s="112"/>
      <c r="AI19" s="113">
        <f t="shared" si="1"/>
        <v>0</v>
      </c>
      <c r="AJ19" s="132"/>
      <c r="AK19" s="132"/>
    </row>
    <row r="20" spans="1:37" ht="10.5">
      <c r="A20" s="115"/>
      <c r="B20" s="131"/>
      <c r="C20" s="111" t="s">
        <v>38</v>
      </c>
      <c r="D20" s="226"/>
      <c r="E20" s="9"/>
      <c r="F20" s="9"/>
      <c r="G20" s="9"/>
      <c r="H20" s="224"/>
      <c r="I20" s="9"/>
      <c r="J20" s="226"/>
      <c r="K20" s="226"/>
      <c r="L20" s="226"/>
      <c r="M20" s="226"/>
      <c r="N20" s="226"/>
      <c r="O20" s="226"/>
      <c r="P20" s="226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112"/>
      <c r="AD20" s="112"/>
      <c r="AE20" s="112"/>
      <c r="AF20" s="112"/>
      <c r="AG20" s="112"/>
      <c r="AH20" s="112"/>
      <c r="AI20" s="113">
        <f t="shared" si="1"/>
        <v>0</v>
      </c>
      <c r="AJ20" s="132"/>
      <c r="AK20" s="132"/>
    </row>
    <row r="21" spans="1:37" ht="10.5">
      <c r="A21" s="115"/>
      <c r="B21" s="134"/>
      <c r="C21" s="111" t="s">
        <v>39</v>
      </c>
      <c r="D21" s="226"/>
      <c r="E21" s="9"/>
      <c r="F21" s="9"/>
      <c r="G21" s="9"/>
      <c r="H21" s="224"/>
      <c r="I21" s="9"/>
      <c r="J21" s="226"/>
      <c r="K21" s="226"/>
      <c r="L21" s="226"/>
      <c r="M21" s="226"/>
      <c r="N21" s="226"/>
      <c r="O21" s="226"/>
      <c r="P21" s="226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112"/>
      <c r="AD21" s="112"/>
      <c r="AE21" s="112"/>
      <c r="AF21" s="112"/>
      <c r="AG21" s="112"/>
      <c r="AH21" s="112"/>
      <c r="AI21" s="113">
        <f t="shared" si="1"/>
        <v>0</v>
      </c>
      <c r="AJ21" s="135"/>
      <c r="AK21" s="135"/>
    </row>
    <row r="22" spans="1:37" ht="10.5">
      <c r="A22" s="115"/>
      <c r="B22" s="110" t="s">
        <v>40</v>
      </c>
      <c r="C22" s="111" t="s">
        <v>41</v>
      </c>
      <c r="D22" s="112"/>
      <c r="E22" s="9"/>
      <c r="F22" s="224"/>
      <c r="G22" s="9"/>
      <c r="H22" s="9"/>
      <c r="I22" s="9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112"/>
      <c r="AD22" s="112"/>
      <c r="AE22" s="112"/>
      <c r="AF22" s="112"/>
      <c r="AG22" s="112"/>
      <c r="AH22" s="112"/>
      <c r="AI22" s="113">
        <f t="shared" si="1"/>
        <v>0</v>
      </c>
      <c r="AJ22" s="114">
        <f>SUM(AI22:AI23)</f>
        <v>0</v>
      </c>
      <c r="AK22" s="114">
        <v>30000</v>
      </c>
    </row>
    <row r="23" spans="1:37" ht="10.5">
      <c r="A23" s="115"/>
      <c r="B23" s="119"/>
      <c r="C23" s="111" t="s">
        <v>42</v>
      </c>
      <c r="D23" s="112"/>
      <c r="E23" s="9"/>
      <c r="F23" s="9"/>
      <c r="G23" s="9"/>
      <c r="H23" s="9"/>
      <c r="I23" s="9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T23" s="226"/>
      <c r="U23" s="226"/>
      <c r="V23" s="226"/>
      <c r="W23" s="226"/>
      <c r="X23" s="226"/>
      <c r="Y23" s="226"/>
      <c r="Z23" s="226"/>
      <c r="AA23" s="226"/>
      <c r="AB23" s="226"/>
      <c r="AC23" s="112"/>
      <c r="AD23" s="112"/>
      <c r="AE23" s="112"/>
      <c r="AF23" s="112"/>
      <c r="AG23" s="112"/>
      <c r="AH23" s="112"/>
      <c r="AI23" s="113">
        <f t="shared" si="1"/>
        <v>0</v>
      </c>
      <c r="AJ23" s="120"/>
      <c r="AK23" s="120"/>
    </row>
    <row r="24" spans="1:37" ht="10.5">
      <c r="A24" s="115"/>
      <c r="B24" s="136" t="s">
        <v>43</v>
      </c>
      <c r="C24" s="111" t="s">
        <v>44</v>
      </c>
      <c r="D24" s="112"/>
      <c r="E24" s="9"/>
      <c r="F24" s="9"/>
      <c r="G24" s="9"/>
      <c r="H24" s="9"/>
      <c r="I24" s="9"/>
      <c r="J24" s="226"/>
      <c r="K24" s="226"/>
      <c r="L24" s="226"/>
      <c r="M24" s="226"/>
      <c r="N24" s="226"/>
      <c r="O24" s="226"/>
      <c r="P24" s="226"/>
      <c r="Q24" s="226"/>
      <c r="R24" s="226"/>
      <c r="S24" s="226"/>
      <c r="T24" s="226"/>
      <c r="U24" s="226"/>
      <c r="V24" s="226"/>
      <c r="W24" s="226"/>
      <c r="X24" s="226"/>
      <c r="Y24" s="226"/>
      <c r="Z24" s="226"/>
      <c r="AA24" s="226"/>
      <c r="AB24" s="226"/>
      <c r="AC24" s="112"/>
      <c r="AD24" s="112"/>
      <c r="AE24" s="112"/>
      <c r="AF24" s="112"/>
      <c r="AG24" s="112"/>
      <c r="AH24" s="112"/>
      <c r="AI24" s="113">
        <f t="shared" si="1"/>
        <v>0</v>
      </c>
      <c r="AJ24" s="137">
        <f>AI24</f>
        <v>0</v>
      </c>
      <c r="AK24" s="137">
        <v>2000</v>
      </c>
    </row>
    <row r="25" spans="1:37" ht="10.5">
      <c r="A25" s="115"/>
      <c r="B25" s="138" t="s">
        <v>45</v>
      </c>
      <c r="C25" s="111" t="s">
        <v>46</v>
      </c>
      <c r="D25" s="112"/>
      <c r="E25" s="9"/>
      <c r="F25" s="9"/>
      <c r="G25" s="9"/>
      <c r="H25" s="9"/>
      <c r="I25" s="9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6"/>
      <c r="W25" s="226"/>
      <c r="X25" s="226"/>
      <c r="Y25" s="225"/>
      <c r="Z25" s="226"/>
      <c r="AA25" s="226"/>
      <c r="AB25" s="226"/>
      <c r="AC25" s="112"/>
      <c r="AD25" s="112"/>
      <c r="AE25" s="112"/>
      <c r="AF25" s="112"/>
      <c r="AG25" s="112"/>
      <c r="AH25" s="112"/>
      <c r="AI25" s="113">
        <f t="shared" si="1"/>
        <v>0</v>
      </c>
      <c r="AJ25" s="139">
        <f>SUM(AI25:AI26)</f>
        <v>0</v>
      </c>
      <c r="AK25" s="139">
        <v>5000</v>
      </c>
    </row>
    <row r="26" spans="1:37" ht="10.5">
      <c r="A26" s="115"/>
      <c r="B26" s="140"/>
      <c r="C26" s="111" t="s">
        <v>47</v>
      </c>
      <c r="D26" s="112"/>
      <c r="E26" s="9"/>
      <c r="F26" s="9"/>
      <c r="G26" s="9"/>
      <c r="H26" s="9"/>
      <c r="I26" s="9"/>
      <c r="J26" s="226"/>
      <c r="K26" s="226"/>
      <c r="L26" s="225"/>
      <c r="M26" s="226"/>
      <c r="N26" s="226"/>
      <c r="O26" s="226"/>
      <c r="P26" s="226"/>
      <c r="Q26" s="226"/>
      <c r="R26" s="226"/>
      <c r="S26" s="226"/>
      <c r="T26" s="226"/>
      <c r="U26" s="226"/>
      <c r="V26" s="226"/>
      <c r="W26" s="226"/>
      <c r="X26" s="226"/>
      <c r="Y26" s="224"/>
      <c r="Z26" s="226"/>
      <c r="AA26" s="226"/>
      <c r="AB26" s="226"/>
      <c r="AC26" s="112"/>
      <c r="AD26" s="112"/>
      <c r="AE26" s="112"/>
      <c r="AF26" s="112"/>
      <c r="AG26" s="112"/>
      <c r="AH26" s="112"/>
      <c r="AI26" s="113">
        <f t="shared" si="1"/>
        <v>0</v>
      </c>
      <c r="AJ26" s="141"/>
      <c r="AK26" s="141"/>
    </row>
    <row r="27" spans="1:37" ht="10.5">
      <c r="A27" s="115"/>
      <c r="B27" s="142" t="s">
        <v>48</v>
      </c>
      <c r="C27" s="111" t="s">
        <v>49</v>
      </c>
      <c r="D27" s="112"/>
      <c r="E27" s="9"/>
      <c r="F27" s="9"/>
      <c r="G27" s="9"/>
      <c r="H27" s="9"/>
      <c r="I27" s="9"/>
      <c r="J27" s="226"/>
      <c r="K27" s="226"/>
      <c r="L27" s="226"/>
      <c r="M27" s="226"/>
      <c r="N27" s="226"/>
      <c r="O27" s="226"/>
      <c r="P27" s="226"/>
      <c r="Q27" s="226"/>
      <c r="R27" s="226"/>
      <c r="S27" s="226"/>
      <c r="T27" s="226"/>
      <c r="U27" s="226"/>
      <c r="V27" s="226"/>
      <c r="W27" s="226"/>
      <c r="X27" s="226"/>
      <c r="Y27" s="226"/>
      <c r="Z27" s="226"/>
      <c r="AA27" s="226"/>
      <c r="AB27" s="226"/>
      <c r="AC27" s="112"/>
      <c r="AD27" s="112"/>
      <c r="AE27" s="112"/>
      <c r="AF27" s="112"/>
      <c r="AG27" s="112"/>
      <c r="AH27" s="112"/>
      <c r="AI27" s="113">
        <f t="shared" si="1"/>
        <v>0</v>
      </c>
      <c r="AJ27" s="143">
        <f t="shared" ref="AJ27:AJ34" si="2">AI27</f>
        <v>0</v>
      </c>
      <c r="AK27" s="143">
        <v>10000</v>
      </c>
    </row>
    <row r="28" spans="1:37" ht="10.5">
      <c r="A28" s="115"/>
      <c r="B28" s="101" t="s">
        <v>50</v>
      </c>
      <c r="C28" s="111" t="s">
        <v>51</v>
      </c>
      <c r="D28" s="112"/>
      <c r="E28" s="9"/>
      <c r="F28" s="9"/>
      <c r="G28" s="9"/>
      <c r="H28" s="9"/>
      <c r="I28" s="9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6"/>
      <c r="W28" s="226"/>
      <c r="X28" s="226"/>
      <c r="Y28" s="226"/>
      <c r="Z28" s="226"/>
      <c r="AA28" s="226"/>
      <c r="AB28" s="226"/>
      <c r="AC28" s="112"/>
      <c r="AD28" s="112"/>
      <c r="AE28" s="112"/>
      <c r="AF28" s="112"/>
      <c r="AG28" s="112"/>
      <c r="AH28" s="112"/>
      <c r="AI28" s="113">
        <f t="shared" si="1"/>
        <v>0</v>
      </c>
      <c r="AJ28" s="144">
        <f t="shared" si="2"/>
        <v>0</v>
      </c>
      <c r="AK28" s="144">
        <v>10000</v>
      </c>
    </row>
    <row r="29" spans="1:37" ht="10.5">
      <c r="A29" s="115"/>
      <c r="B29" s="656" t="s">
        <v>52</v>
      </c>
      <c r="C29" s="111" t="s">
        <v>53</v>
      </c>
      <c r="D29" s="112"/>
      <c r="E29" s="9"/>
      <c r="F29" s="224"/>
      <c r="G29" s="9"/>
      <c r="H29" s="9"/>
      <c r="I29" s="9"/>
      <c r="J29" s="226"/>
      <c r="K29" s="112"/>
      <c r="L29" s="226"/>
      <c r="M29" s="226"/>
      <c r="N29" s="226"/>
      <c r="O29" s="226"/>
      <c r="P29" s="226"/>
      <c r="Q29" s="226"/>
      <c r="R29" s="113"/>
      <c r="S29" s="226"/>
      <c r="T29" s="226"/>
      <c r="U29" s="226"/>
      <c r="V29" s="226"/>
      <c r="W29" s="226"/>
      <c r="X29" s="226"/>
      <c r="Y29" s="226"/>
      <c r="Z29" s="226"/>
      <c r="AA29" s="226"/>
      <c r="AB29" s="226"/>
      <c r="AC29" s="112"/>
      <c r="AD29" s="112"/>
      <c r="AE29" s="112"/>
      <c r="AF29" s="112"/>
      <c r="AG29" s="112"/>
      <c r="AH29" s="112"/>
      <c r="AI29" s="113">
        <f t="shared" si="1"/>
        <v>0</v>
      </c>
      <c r="AJ29" s="647">
        <f>SUM(AI29:AI31)</f>
        <v>0</v>
      </c>
      <c r="AK29" s="647">
        <v>20000</v>
      </c>
    </row>
    <row r="30" spans="1:37">
      <c r="A30" s="115"/>
      <c r="B30" s="657"/>
      <c r="C30" s="349" t="s">
        <v>162</v>
      </c>
      <c r="D30" s="112"/>
      <c r="E30" s="9"/>
      <c r="F30" s="9"/>
      <c r="G30" s="9"/>
      <c r="H30" s="9"/>
      <c r="I30" s="9"/>
      <c r="J30" s="226"/>
      <c r="K30" s="226"/>
      <c r="L30" s="226"/>
      <c r="M30" s="226"/>
      <c r="N30" s="5"/>
      <c r="O30" s="226"/>
      <c r="P30" s="226"/>
      <c r="Q30" s="226"/>
      <c r="R30" s="226"/>
      <c r="S30" s="226"/>
      <c r="T30" s="226"/>
      <c r="U30" s="226"/>
      <c r="V30" s="226"/>
      <c r="W30" s="226"/>
      <c r="X30" s="226"/>
      <c r="Y30" s="226"/>
      <c r="Z30" s="226"/>
      <c r="AA30" s="226"/>
      <c r="AB30" s="226"/>
      <c r="AC30" s="112"/>
      <c r="AD30" s="112"/>
      <c r="AE30" s="112"/>
      <c r="AF30" s="112"/>
      <c r="AG30" s="112"/>
      <c r="AH30" s="112"/>
      <c r="AI30" s="113">
        <f t="shared" si="1"/>
        <v>0</v>
      </c>
      <c r="AJ30" s="648"/>
      <c r="AK30" s="648"/>
    </row>
    <row r="31" spans="1:37" ht="10.5">
      <c r="A31" s="115"/>
      <c r="B31" s="658"/>
      <c r="C31" s="111" t="s">
        <v>75</v>
      </c>
      <c r="D31" s="112"/>
      <c r="E31" s="9"/>
      <c r="F31" s="9"/>
      <c r="G31" s="9"/>
      <c r="H31" s="9"/>
      <c r="I31" s="9"/>
      <c r="J31" s="226"/>
      <c r="K31" s="226"/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  <c r="W31" s="226"/>
      <c r="X31" s="226"/>
      <c r="Y31" s="226"/>
      <c r="Z31" s="226"/>
      <c r="AA31" s="226"/>
      <c r="AB31" s="226"/>
      <c r="AC31" s="112"/>
      <c r="AD31" s="112"/>
      <c r="AE31" s="112"/>
      <c r="AF31" s="112"/>
      <c r="AG31" s="112"/>
      <c r="AH31" s="112"/>
      <c r="AI31" s="113">
        <f t="shared" si="1"/>
        <v>0</v>
      </c>
      <c r="AJ31" s="649"/>
      <c r="AK31" s="649"/>
    </row>
    <row r="32" spans="1:37" ht="10.5">
      <c r="A32" s="115"/>
      <c r="B32" s="101" t="s">
        <v>54</v>
      </c>
      <c r="C32" s="111" t="s">
        <v>55</v>
      </c>
      <c r="D32" s="112"/>
      <c r="E32" s="9"/>
      <c r="F32" s="9"/>
      <c r="G32" s="9"/>
      <c r="H32" s="225"/>
      <c r="I32" s="9"/>
      <c r="J32" s="226"/>
      <c r="K32" s="226"/>
      <c r="L32" s="226"/>
      <c r="M32" s="226"/>
      <c r="N32" s="226"/>
      <c r="O32" s="226"/>
      <c r="P32" s="226"/>
      <c r="Q32" s="226"/>
      <c r="R32" s="226"/>
      <c r="S32" s="226"/>
      <c r="T32" s="226"/>
      <c r="U32" s="226"/>
      <c r="V32" s="226"/>
      <c r="W32" s="226"/>
      <c r="X32" s="226"/>
      <c r="Y32" s="226"/>
      <c r="Z32" s="226"/>
      <c r="AA32" s="226"/>
      <c r="AB32" s="226"/>
      <c r="AC32" s="112"/>
      <c r="AD32" s="112"/>
      <c r="AE32" s="112"/>
      <c r="AF32" s="112"/>
      <c r="AG32" s="112"/>
      <c r="AH32" s="112"/>
      <c r="AI32" s="113">
        <f t="shared" si="1"/>
        <v>0</v>
      </c>
      <c r="AJ32" s="144">
        <f t="shared" si="2"/>
        <v>0</v>
      </c>
      <c r="AK32" s="144">
        <v>2000</v>
      </c>
    </row>
    <row r="33" spans="1:37" ht="10.5">
      <c r="A33" s="115"/>
      <c r="B33" s="101" t="s">
        <v>56</v>
      </c>
      <c r="C33" s="111" t="s">
        <v>56</v>
      </c>
      <c r="D33" s="112"/>
      <c r="E33" s="9"/>
      <c r="F33" s="9"/>
      <c r="G33" s="9"/>
      <c r="H33" s="9"/>
      <c r="I33" s="9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226"/>
      <c r="U33" s="226"/>
      <c r="V33" s="226"/>
      <c r="W33" s="226"/>
      <c r="X33" s="226"/>
      <c r="Y33" s="226"/>
      <c r="Z33" s="226"/>
      <c r="AA33" s="226"/>
      <c r="AB33" s="226"/>
      <c r="AC33" s="112"/>
      <c r="AD33" s="112"/>
      <c r="AE33" s="112"/>
      <c r="AF33" s="112"/>
      <c r="AG33" s="112"/>
      <c r="AH33" s="112"/>
      <c r="AI33" s="113">
        <f t="shared" si="1"/>
        <v>0</v>
      </c>
      <c r="AJ33" s="144">
        <f t="shared" si="2"/>
        <v>0</v>
      </c>
      <c r="AK33" s="144">
        <v>15000</v>
      </c>
    </row>
    <row r="34" spans="1:37" ht="10.5">
      <c r="A34" s="115"/>
      <c r="B34" s="109" t="s">
        <v>57</v>
      </c>
      <c r="C34" s="111" t="s">
        <v>57</v>
      </c>
      <c r="D34" s="226"/>
      <c r="E34" s="9"/>
      <c r="F34" s="9"/>
      <c r="G34" s="9"/>
      <c r="H34" s="9"/>
      <c r="I34" s="9"/>
      <c r="J34" s="226"/>
      <c r="K34" s="226"/>
      <c r="L34" s="226"/>
      <c r="M34" s="226"/>
      <c r="N34" s="226"/>
      <c r="O34" s="226"/>
      <c r="P34" s="226"/>
      <c r="Q34" s="226"/>
      <c r="R34" s="226"/>
      <c r="S34" s="226"/>
      <c r="T34" s="226"/>
      <c r="U34" s="226"/>
      <c r="V34" s="226"/>
      <c r="W34" s="226"/>
      <c r="X34" s="226"/>
      <c r="Y34" s="226"/>
      <c r="Z34" s="226"/>
      <c r="AA34" s="226"/>
      <c r="AB34" s="226"/>
      <c r="AC34" s="112"/>
      <c r="AD34" s="112"/>
      <c r="AE34" s="112"/>
      <c r="AF34" s="112"/>
      <c r="AG34" s="112"/>
      <c r="AH34" s="112"/>
      <c r="AI34" s="113">
        <f t="shared" si="1"/>
        <v>0</v>
      </c>
      <c r="AJ34" s="145">
        <f t="shared" si="2"/>
        <v>0</v>
      </c>
      <c r="AK34" s="145">
        <v>2000</v>
      </c>
    </row>
    <row r="35" spans="1:37" ht="10.5">
      <c r="A35" s="115"/>
      <c r="B35" s="146" t="s">
        <v>58</v>
      </c>
      <c r="C35" s="111" t="s">
        <v>59</v>
      </c>
      <c r="D35" s="226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226"/>
      <c r="X35" s="226"/>
      <c r="Y35" s="226"/>
      <c r="Z35" s="226"/>
      <c r="AA35" s="226"/>
      <c r="AB35" s="226"/>
      <c r="AC35" s="112"/>
      <c r="AD35" s="112"/>
      <c r="AE35" s="112"/>
      <c r="AF35" s="112"/>
      <c r="AG35" s="112"/>
      <c r="AH35" s="112"/>
      <c r="AI35" s="113">
        <f t="shared" si="1"/>
        <v>0</v>
      </c>
      <c r="AJ35" s="147">
        <f>SUM(AI35:AI36)</f>
        <v>0</v>
      </c>
      <c r="AK35" s="147">
        <v>0</v>
      </c>
    </row>
    <row r="36" spans="1:37" ht="10.5">
      <c r="A36" s="115"/>
      <c r="B36" s="148"/>
      <c r="C36" s="111" t="s">
        <v>60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226"/>
      <c r="X36" s="226"/>
      <c r="Y36" s="226"/>
      <c r="Z36" s="226"/>
      <c r="AA36" s="226"/>
      <c r="AB36" s="226"/>
      <c r="AC36" s="112"/>
      <c r="AD36" s="112"/>
      <c r="AE36" s="112"/>
      <c r="AF36" s="112"/>
      <c r="AG36" s="112"/>
      <c r="AH36" s="112"/>
      <c r="AI36" s="113">
        <f t="shared" si="1"/>
        <v>0</v>
      </c>
      <c r="AJ36" s="149"/>
      <c r="AK36" s="149"/>
    </row>
    <row r="37" spans="1:37" ht="10.5">
      <c r="A37" s="150"/>
      <c r="B37" s="151" t="s">
        <v>61</v>
      </c>
      <c r="C37" s="152"/>
      <c r="D37" s="113">
        <f>SUM(D2:D36)</f>
        <v>0</v>
      </c>
      <c r="E37" s="113">
        <f t="shared" ref="E37:AH37" si="3">SUM(E2:E36)</f>
        <v>0</v>
      </c>
      <c r="F37" s="113">
        <f t="shared" si="3"/>
        <v>0</v>
      </c>
      <c r="G37" s="113">
        <f t="shared" si="3"/>
        <v>0</v>
      </c>
      <c r="H37" s="113">
        <f t="shared" si="3"/>
        <v>0</v>
      </c>
      <c r="I37" s="113">
        <f t="shared" si="3"/>
        <v>0</v>
      </c>
      <c r="J37" s="113">
        <f t="shared" si="3"/>
        <v>0</v>
      </c>
      <c r="K37" s="113">
        <f t="shared" si="3"/>
        <v>0</v>
      </c>
      <c r="L37" s="113">
        <f t="shared" si="3"/>
        <v>0</v>
      </c>
      <c r="M37" s="113">
        <f t="shared" si="3"/>
        <v>0</v>
      </c>
      <c r="N37" s="113">
        <f t="shared" si="3"/>
        <v>0</v>
      </c>
      <c r="O37" s="113">
        <f t="shared" si="3"/>
        <v>0</v>
      </c>
      <c r="P37" s="113">
        <f t="shared" si="3"/>
        <v>0</v>
      </c>
      <c r="Q37" s="113">
        <f t="shared" si="3"/>
        <v>0</v>
      </c>
      <c r="R37" s="113">
        <f t="shared" si="3"/>
        <v>0</v>
      </c>
      <c r="S37" s="113">
        <f t="shared" si="3"/>
        <v>0</v>
      </c>
      <c r="T37" s="113">
        <f t="shared" si="3"/>
        <v>0</v>
      </c>
      <c r="U37" s="113">
        <f t="shared" si="3"/>
        <v>0</v>
      </c>
      <c r="V37" s="113">
        <f t="shared" si="3"/>
        <v>0</v>
      </c>
      <c r="W37" s="113">
        <f t="shared" si="3"/>
        <v>0</v>
      </c>
      <c r="X37" s="113">
        <f t="shared" si="3"/>
        <v>0</v>
      </c>
      <c r="Y37" s="113">
        <f t="shared" si="3"/>
        <v>0</v>
      </c>
      <c r="Z37" s="113">
        <f t="shared" si="3"/>
        <v>0</v>
      </c>
      <c r="AA37" s="113">
        <f t="shared" si="3"/>
        <v>0</v>
      </c>
      <c r="AB37" s="113">
        <f t="shared" si="3"/>
        <v>0</v>
      </c>
      <c r="AC37" s="113">
        <f t="shared" si="3"/>
        <v>0</v>
      </c>
      <c r="AD37" s="113">
        <f t="shared" si="3"/>
        <v>0</v>
      </c>
      <c r="AE37" s="113">
        <f>SUM(AE2:AE36)</f>
        <v>0</v>
      </c>
      <c r="AF37" s="113">
        <f>SUM(AF2:AF36)</f>
        <v>0</v>
      </c>
      <c r="AG37" s="113">
        <f t="shared" si="3"/>
        <v>0</v>
      </c>
      <c r="AH37" s="113">
        <f t="shared" si="3"/>
        <v>0</v>
      </c>
      <c r="AI37" s="113">
        <f t="shared" si="1"/>
        <v>0</v>
      </c>
      <c r="AJ37" s="154">
        <f>SUM(AJ2:AJ36)</f>
        <v>0</v>
      </c>
      <c r="AK37" s="154">
        <f>SUM(AK2:AK36)</f>
        <v>122000</v>
      </c>
    </row>
    <row r="38" spans="1:37" ht="10.5">
      <c r="B38" s="155"/>
      <c r="F38" s="233"/>
      <c r="H38" s="233"/>
      <c r="I38" s="233"/>
      <c r="N38" s="233"/>
      <c r="Q38" s="233"/>
      <c r="AB38" s="233"/>
      <c r="AE38" s="233"/>
      <c r="AF38" s="233"/>
      <c r="AJ38" s="156"/>
    </row>
    <row r="39" spans="1:37" ht="10.5">
      <c r="A39" s="109"/>
      <c r="B39" s="157" t="s">
        <v>63</v>
      </c>
      <c r="C39" s="111" t="s">
        <v>64</v>
      </c>
      <c r="D39" s="9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>
        <f t="shared" ref="AI39:AI45" si="4">SUM(D39:AH39)</f>
        <v>0</v>
      </c>
      <c r="AJ39" s="158">
        <f>SUM(AI39:AI41)</f>
        <v>0</v>
      </c>
      <c r="AK39" s="159"/>
    </row>
    <row r="40" spans="1:37" ht="10.5">
      <c r="A40" s="115"/>
      <c r="B40" s="160" t="s">
        <v>62</v>
      </c>
      <c r="C40" s="161" t="s">
        <v>65</v>
      </c>
      <c r="D40" s="113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>
        <f t="shared" si="4"/>
        <v>0</v>
      </c>
      <c r="AJ40" s="162"/>
      <c r="AK40" s="163"/>
    </row>
    <row r="41" spans="1:37" ht="10.5">
      <c r="A41" s="115"/>
      <c r="B41" s="164"/>
      <c r="C41" s="111" t="s">
        <v>73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>
        <f t="shared" si="4"/>
        <v>0</v>
      </c>
      <c r="AJ41" s="165"/>
      <c r="AK41" s="164"/>
    </row>
    <row r="42" spans="1:37" ht="10.5">
      <c r="A42" s="128" t="s">
        <v>62</v>
      </c>
      <c r="B42" s="166"/>
      <c r="C42" s="133" t="s">
        <v>66</v>
      </c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>
        <f t="shared" si="4"/>
        <v>0</v>
      </c>
      <c r="AJ42" s="167">
        <f>AI42</f>
        <v>0</v>
      </c>
      <c r="AK42" s="166"/>
    </row>
    <row r="43" spans="1:37" ht="10.5">
      <c r="A43" s="115"/>
      <c r="B43" s="168" t="s">
        <v>58</v>
      </c>
      <c r="C43" s="111" t="s">
        <v>67</v>
      </c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>
        <f t="shared" si="4"/>
        <v>0</v>
      </c>
      <c r="AJ43" s="169">
        <f>SUM(AI43:AI44)</f>
        <v>0</v>
      </c>
      <c r="AK43" s="170"/>
    </row>
    <row r="44" spans="1:37" ht="10.5">
      <c r="A44" s="115"/>
      <c r="B44" s="171"/>
      <c r="C44" s="111" t="s">
        <v>58</v>
      </c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>
        <f t="shared" si="4"/>
        <v>0</v>
      </c>
      <c r="AJ44" s="172"/>
      <c r="AK44" s="171"/>
    </row>
    <row r="45" spans="1:37" ht="10.5">
      <c r="A45" s="150"/>
      <c r="B45" s="173" t="s">
        <v>68</v>
      </c>
      <c r="C45" s="152"/>
      <c r="D45" s="113">
        <f>SUM(D39:D44)</f>
        <v>0</v>
      </c>
      <c r="E45" s="113">
        <f t="shared" ref="E45:AH45" si="5">SUM(E39:E44)</f>
        <v>0</v>
      </c>
      <c r="F45" s="113">
        <f t="shared" si="5"/>
        <v>0</v>
      </c>
      <c r="G45" s="113">
        <f t="shared" si="5"/>
        <v>0</v>
      </c>
      <c r="H45" s="113">
        <f t="shared" si="5"/>
        <v>0</v>
      </c>
      <c r="I45" s="113">
        <f t="shared" si="5"/>
        <v>0</v>
      </c>
      <c r="J45" s="113">
        <f t="shared" si="5"/>
        <v>0</v>
      </c>
      <c r="K45" s="113">
        <f t="shared" si="5"/>
        <v>0</v>
      </c>
      <c r="L45" s="113">
        <f t="shared" si="5"/>
        <v>0</v>
      </c>
      <c r="M45" s="113">
        <f t="shared" si="5"/>
        <v>0</v>
      </c>
      <c r="N45" s="113">
        <f t="shared" si="5"/>
        <v>0</v>
      </c>
      <c r="O45" s="113">
        <f t="shared" si="5"/>
        <v>0</v>
      </c>
      <c r="P45" s="113">
        <f t="shared" si="5"/>
        <v>0</v>
      </c>
      <c r="Q45" s="113">
        <f t="shared" si="5"/>
        <v>0</v>
      </c>
      <c r="R45" s="113">
        <f t="shared" si="5"/>
        <v>0</v>
      </c>
      <c r="S45" s="113">
        <f t="shared" si="5"/>
        <v>0</v>
      </c>
      <c r="T45" s="113">
        <f t="shared" si="5"/>
        <v>0</v>
      </c>
      <c r="U45" s="113">
        <f t="shared" si="5"/>
        <v>0</v>
      </c>
      <c r="V45" s="113">
        <f t="shared" si="5"/>
        <v>0</v>
      </c>
      <c r="W45" s="113">
        <f t="shared" si="5"/>
        <v>0</v>
      </c>
      <c r="X45" s="113">
        <f t="shared" si="5"/>
        <v>0</v>
      </c>
      <c r="Y45" s="113">
        <f t="shared" si="5"/>
        <v>0</v>
      </c>
      <c r="Z45" s="113">
        <f t="shared" si="5"/>
        <v>0</v>
      </c>
      <c r="AA45" s="113">
        <f t="shared" si="5"/>
        <v>0</v>
      </c>
      <c r="AB45" s="113">
        <f t="shared" si="5"/>
        <v>0</v>
      </c>
      <c r="AC45" s="113">
        <f t="shared" si="5"/>
        <v>0</v>
      </c>
      <c r="AD45" s="113">
        <f t="shared" si="5"/>
        <v>0</v>
      </c>
      <c r="AE45" s="113">
        <f t="shared" si="5"/>
        <v>0</v>
      </c>
      <c r="AF45" s="113">
        <f t="shared" si="5"/>
        <v>0</v>
      </c>
      <c r="AG45" s="113">
        <f t="shared" si="5"/>
        <v>0</v>
      </c>
      <c r="AH45" s="113">
        <f t="shared" si="5"/>
        <v>0</v>
      </c>
      <c r="AI45" s="113">
        <f t="shared" si="4"/>
        <v>0</v>
      </c>
      <c r="AJ45" s="174">
        <f>SUM(AI39:AI44)</f>
        <v>0</v>
      </c>
      <c r="AK45" s="175"/>
    </row>
    <row r="47" spans="1:37" s="5" customFormat="1" ht="10.5">
      <c r="A47" s="80"/>
      <c r="C47" s="18" t="s">
        <v>70</v>
      </c>
      <c r="D47" s="1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81"/>
      <c r="AJ47" s="82"/>
      <c r="AK47" s="9"/>
    </row>
    <row r="48" spans="1:37" s="5" customFormat="1" ht="10.5">
      <c r="A48" s="80"/>
      <c r="C48" s="18" t="s">
        <v>71</v>
      </c>
      <c r="D48" s="1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81"/>
      <c r="AJ48" s="82"/>
      <c r="AK48" s="9"/>
    </row>
  </sheetData>
  <mergeCells count="3">
    <mergeCell ref="B29:B31"/>
    <mergeCell ref="AJ29:AJ31"/>
    <mergeCell ref="AK29:AK31"/>
  </mergeCells>
  <phoneticPr fontId="18" type="noConversion"/>
  <printOptions gridLines="1"/>
  <pageMargins left="0.75" right="0.75" top="1" bottom="1" header="0.5" footer="0.5"/>
  <pageSetup paperSize="9" orientation="portrait" r:id="rId1"/>
  <headerFooter alignWithMargins="0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R1:W32"/>
  <sheetViews>
    <sheetView topLeftCell="H4" zoomScale="90" zoomScaleNormal="90" workbookViewId="0">
      <selection activeCell="T29" sqref="T29"/>
    </sheetView>
  </sheetViews>
  <sheetFormatPr defaultRowHeight="12.75"/>
  <cols>
    <col min="18" max="18" width="11" bestFit="1" customWidth="1"/>
    <col min="19" max="19" width="13.73046875" bestFit="1" customWidth="1"/>
    <col min="21" max="21" width="12.73046875" customWidth="1"/>
  </cols>
  <sheetData>
    <row r="1" spans="18:21">
      <c r="R1" t="s">
        <v>285</v>
      </c>
    </row>
    <row r="2" spans="18:21" ht="16.149999999999999">
      <c r="R2" s="476">
        <v>39459</v>
      </c>
      <c r="U2" s="620" t="s">
        <v>403</v>
      </c>
    </row>
    <row r="3" spans="18:21">
      <c r="R3" s="476">
        <v>39825</v>
      </c>
      <c r="S3" s="473">
        <f>7200</f>
        <v>7200</v>
      </c>
      <c r="U3" t="s">
        <v>399</v>
      </c>
    </row>
    <row r="4" spans="18:21">
      <c r="R4" s="476">
        <v>40190</v>
      </c>
      <c r="S4" s="473">
        <f>7200</f>
        <v>7200</v>
      </c>
      <c r="U4" t="s">
        <v>400</v>
      </c>
    </row>
    <row r="5" spans="18:21">
      <c r="R5" s="476">
        <v>40555</v>
      </c>
      <c r="S5" s="473">
        <f>7200</f>
        <v>7200</v>
      </c>
    </row>
    <row r="6" spans="18:21">
      <c r="R6" s="476">
        <v>40920</v>
      </c>
      <c r="S6" s="473">
        <f>7200</f>
        <v>7200</v>
      </c>
    </row>
    <row r="7" spans="18:21">
      <c r="R7" s="476">
        <v>41286</v>
      </c>
      <c r="S7" s="473">
        <f>7200</f>
        <v>7200</v>
      </c>
    </row>
    <row r="8" spans="18:21">
      <c r="R8" s="476">
        <v>41651</v>
      </c>
      <c r="S8" s="473">
        <f>7200</f>
        <v>7200</v>
      </c>
    </row>
    <row r="9" spans="18:21">
      <c r="R9" s="476">
        <v>42016</v>
      </c>
      <c r="S9" s="473">
        <f>7200</f>
        <v>7200</v>
      </c>
    </row>
    <row r="10" spans="18:21">
      <c r="R10" s="476">
        <v>42259</v>
      </c>
      <c r="S10" s="473">
        <f>600*9</f>
        <v>5400</v>
      </c>
    </row>
    <row r="11" spans="18:21">
      <c r="R11" s="505" t="s">
        <v>286</v>
      </c>
      <c r="S11" s="505"/>
    </row>
    <row r="12" spans="18:21">
      <c r="R12" t="s">
        <v>287</v>
      </c>
      <c r="S12" s="498">
        <f>SUM(S3:S10)</f>
        <v>55800</v>
      </c>
      <c r="U12" s="498"/>
    </row>
    <row r="13" spans="18:21">
      <c r="R13" t="s">
        <v>288</v>
      </c>
      <c r="S13" s="498">
        <v>6050</v>
      </c>
    </row>
    <row r="14" spans="18:21" ht="13.5" thickBot="1">
      <c r="R14" s="503" t="s">
        <v>289</v>
      </c>
      <c r="S14" s="504">
        <f>S12-S13</f>
        <v>49750</v>
      </c>
    </row>
    <row r="15" spans="18:21" ht="13.15" thickTop="1">
      <c r="R15" s="476">
        <v>42282</v>
      </c>
      <c r="S15" s="498"/>
    </row>
    <row r="16" spans="18:21">
      <c r="R16" t="s">
        <v>290</v>
      </c>
      <c r="S16" s="498">
        <v>30000</v>
      </c>
    </row>
    <row r="17" spans="18:23" ht="13.15">
      <c r="R17" s="402" t="s">
        <v>291</v>
      </c>
      <c r="S17" s="619">
        <f>S14-S16</f>
        <v>19750</v>
      </c>
    </row>
    <row r="18" spans="18:23">
      <c r="S18" s="498"/>
    </row>
    <row r="19" spans="18:23" ht="13.9">
      <c r="S19" s="498"/>
      <c r="U19" s="351" t="s">
        <v>397</v>
      </c>
    </row>
    <row r="20" spans="18:23" ht="13.15">
      <c r="U20" s="619">
        <f>S17-S32</f>
        <v>9017</v>
      </c>
    </row>
    <row r="22" spans="18:23">
      <c r="R22" s="476">
        <v>42289</v>
      </c>
      <c r="S22" s="473">
        <v>300</v>
      </c>
    </row>
    <row r="23" spans="18:23">
      <c r="R23" s="476">
        <v>42320</v>
      </c>
      <c r="S23" s="473">
        <v>300</v>
      </c>
    </row>
    <row r="24" spans="18:23">
      <c r="R24" s="476">
        <v>42350</v>
      </c>
      <c r="S24" s="473">
        <v>300</v>
      </c>
    </row>
    <row r="25" spans="18:23" ht="13.9">
      <c r="R25" s="476">
        <v>42716</v>
      </c>
      <c r="S25" s="473">
        <f>300*12</f>
        <v>3600</v>
      </c>
      <c r="W25" s="351"/>
    </row>
    <row r="26" spans="18:23" ht="13.9">
      <c r="R26" s="476">
        <v>42797</v>
      </c>
      <c r="S26" s="473">
        <f>300*3</f>
        <v>900</v>
      </c>
      <c r="W26" s="351"/>
    </row>
    <row r="27" spans="18:23" ht="13.9">
      <c r="R27" s="476">
        <v>43072</v>
      </c>
      <c r="S27" s="473">
        <v>2700</v>
      </c>
      <c r="W27" s="351"/>
    </row>
    <row r="28" spans="18:23" ht="13.9">
      <c r="R28" s="476">
        <v>43162</v>
      </c>
      <c r="S28" s="473">
        <f>300*3</f>
        <v>900</v>
      </c>
      <c r="U28" s="351" t="s">
        <v>395</v>
      </c>
    </row>
    <row r="29" spans="18:23" ht="13.5" thickBot="1">
      <c r="R29" s="503" t="s">
        <v>289</v>
      </c>
      <c r="S29" s="504">
        <f>SUM(S22:S28)+S14</f>
        <v>58750</v>
      </c>
      <c r="U29" s="498">
        <f>S29-53400</f>
        <v>5350</v>
      </c>
    </row>
    <row r="30" spans="18:23" ht="14.25" thickTop="1">
      <c r="R30" s="476">
        <v>42828</v>
      </c>
      <c r="U30" s="351" t="s">
        <v>396</v>
      </c>
    </row>
    <row r="31" spans="18:23" ht="13.9">
      <c r="R31" t="s">
        <v>290</v>
      </c>
      <c r="S31" s="498">
        <v>48017</v>
      </c>
      <c r="T31" s="351" t="s">
        <v>423</v>
      </c>
      <c r="U31" s="498">
        <f>S31*7.5%</f>
        <v>3601.2750000000001</v>
      </c>
    </row>
    <row r="32" spans="18:23" ht="13.15">
      <c r="R32" s="402" t="s">
        <v>291</v>
      </c>
      <c r="S32" s="619">
        <f>S29-S31</f>
        <v>10733</v>
      </c>
    </row>
  </sheetData>
  <phoneticPr fontId="18" type="noConversion"/>
  <hyperlinks>
    <hyperlink ref="U2" r:id="rId1" xr:uid="{00000000-0004-0000-0200-000000000000}"/>
  </hyperlinks>
  <pageMargins left="0.7" right="0.7" top="0.75" bottom="0.75" header="0.3" footer="0.3"/>
  <pageSetup paperSize="9" orientation="portrait" horizontalDpi="4294967293" verticalDpi="4294967293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I13"/>
  <sheetViews>
    <sheetView workbookViewId="0">
      <pane ySplit="2" topLeftCell="A3" activePane="bottomLeft" state="frozen"/>
      <selection pane="bottomLeft" activeCell="I4" sqref="I4"/>
    </sheetView>
  </sheetViews>
  <sheetFormatPr defaultColWidth="21" defaultRowHeight="12.75"/>
  <cols>
    <col min="7" max="7" width="22.3984375" bestFit="1" customWidth="1"/>
    <col min="8" max="8" width="11" bestFit="1" customWidth="1"/>
    <col min="9" max="9" width="21" style="473"/>
  </cols>
  <sheetData>
    <row r="1" spans="1:9">
      <c r="A1" s="637" t="s">
        <v>248</v>
      </c>
      <c r="B1" s="637" t="s">
        <v>249</v>
      </c>
      <c r="C1" s="637" t="s">
        <v>250</v>
      </c>
      <c r="D1" s="637" t="s">
        <v>18</v>
      </c>
      <c r="E1" s="637" t="s">
        <v>251</v>
      </c>
      <c r="F1" s="637" t="s">
        <v>252</v>
      </c>
      <c r="G1" s="469" t="s">
        <v>253</v>
      </c>
    </row>
    <row r="2" spans="1:9">
      <c r="A2" s="637"/>
      <c r="B2" s="637"/>
      <c r="C2" s="637"/>
      <c r="D2" s="637"/>
      <c r="E2" s="637"/>
      <c r="F2" s="637"/>
      <c r="G2" s="469" t="s">
        <v>254</v>
      </c>
    </row>
    <row r="3" spans="1:9">
      <c r="A3" s="464">
        <v>41775.284722222219</v>
      </c>
      <c r="B3" s="465">
        <v>41775</v>
      </c>
      <c r="C3" s="466" t="s">
        <v>247</v>
      </c>
      <c r="D3" s="467">
        <v>1676</v>
      </c>
      <c r="E3" s="468"/>
      <c r="F3" s="467">
        <v>-927098</v>
      </c>
      <c r="G3" s="471" t="s">
        <v>255</v>
      </c>
      <c r="H3" t="s">
        <v>260</v>
      </c>
      <c r="I3" s="473">
        <v>209829</v>
      </c>
    </row>
    <row r="4" spans="1:9">
      <c r="A4" s="459">
        <v>41775.284722222219</v>
      </c>
      <c r="B4" s="460">
        <v>41775</v>
      </c>
      <c r="C4" s="461" t="s">
        <v>247</v>
      </c>
      <c r="D4" s="462">
        <v>10475</v>
      </c>
      <c r="E4" s="463"/>
      <c r="F4" s="462">
        <v>-937770</v>
      </c>
      <c r="G4" s="470" t="s">
        <v>256</v>
      </c>
      <c r="H4" t="s">
        <v>261</v>
      </c>
      <c r="I4" s="473">
        <v>1311557</v>
      </c>
    </row>
    <row r="5" spans="1:9">
      <c r="A5" s="464">
        <v>41775.284722222219</v>
      </c>
      <c r="B5" s="465">
        <v>41775</v>
      </c>
      <c r="C5" s="466" t="s">
        <v>247</v>
      </c>
      <c r="D5" s="467">
        <v>6343</v>
      </c>
      <c r="E5" s="468"/>
      <c r="F5" s="467">
        <v>-944232</v>
      </c>
      <c r="G5" s="471" t="s">
        <v>257</v>
      </c>
      <c r="H5" t="s">
        <v>262</v>
      </c>
      <c r="I5" s="473">
        <v>794126</v>
      </c>
    </row>
    <row r="6" spans="1:9">
      <c r="A6" s="459">
        <v>41790.178472222222</v>
      </c>
      <c r="B6" s="460">
        <v>41793</v>
      </c>
      <c r="C6" s="461" t="s">
        <v>247</v>
      </c>
      <c r="D6" s="462">
        <v>1453</v>
      </c>
      <c r="E6" s="463"/>
      <c r="F6" s="462">
        <v>-899694</v>
      </c>
      <c r="G6" s="470" t="s">
        <v>258</v>
      </c>
      <c r="H6" t="s">
        <v>260</v>
      </c>
      <c r="I6" s="473">
        <v>229373</v>
      </c>
    </row>
    <row r="7" spans="1:9">
      <c r="A7" s="464">
        <v>41790.178472222222</v>
      </c>
      <c r="B7" s="465">
        <v>41793</v>
      </c>
      <c r="C7" s="466" t="s">
        <v>247</v>
      </c>
      <c r="D7" s="467">
        <v>15977</v>
      </c>
      <c r="E7" s="468"/>
      <c r="F7" s="467">
        <v>-916044</v>
      </c>
      <c r="G7" s="471" t="s">
        <v>259</v>
      </c>
      <c r="H7" t="s">
        <v>261</v>
      </c>
      <c r="I7" s="473">
        <v>2523454</v>
      </c>
    </row>
    <row r="8" spans="1:9" ht="13.15" thickBot="1">
      <c r="A8" s="459"/>
      <c r="B8" s="460"/>
      <c r="C8" s="461"/>
      <c r="D8" s="472">
        <f>SUM(D3:D7)</f>
        <v>35924</v>
      </c>
      <c r="E8" s="463"/>
      <c r="F8" s="462"/>
      <c r="G8" s="470"/>
      <c r="I8" s="474">
        <f>SUM(I3:I7)</f>
        <v>5068339</v>
      </c>
    </row>
    <row r="9" spans="1:9" ht="13.9">
      <c r="C9" s="351" t="s">
        <v>280</v>
      </c>
      <c r="D9" s="467">
        <v>36161</v>
      </c>
    </row>
    <row r="10" spans="1:9" ht="13.9">
      <c r="C10" s="351" t="s">
        <v>281</v>
      </c>
      <c r="D10" s="492">
        <v>10000</v>
      </c>
    </row>
    <row r="11" spans="1:9" ht="13.9">
      <c r="C11" s="351" t="s">
        <v>401</v>
      </c>
      <c r="D11" s="467">
        <v>40000</v>
      </c>
    </row>
    <row r="12" spans="1:9" ht="13.9">
      <c r="C12" s="351" t="s">
        <v>282</v>
      </c>
      <c r="D12" s="492">
        <v>5000</v>
      </c>
    </row>
    <row r="13" spans="1:9" ht="14.25" thickBot="1">
      <c r="C13" s="494" t="s">
        <v>283</v>
      </c>
      <c r="D13" s="493">
        <f>SUM(D8:D12)</f>
        <v>127085</v>
      </c>
      <c r="E13" s="493">
        <v>124112</v>
      </c>
      <c r="F13" s="493">
        <f>E13-D13</f>
        <v>-2973</v>
      </c>
    </row>
  </sheetData>
  <mergeCells count="6">
    <mergeCell ref="F1:F2"/>
    <mergeCell ref="A1:A2"/>
    <mergeCell ref="B1:B2"/>
    <mergeCell ref="C1:C2"/>
    <mergeCell ref="D1:D2"/>
    <mergeCell ref="E1:E2"/>
  </mergeCells>
  <phoneticPr fontId="18" type="noConversion"/>
  <pageMargins left="0.7" right="0.7" top="0.75" bottom="0.75" header="0.3" footer="0.3"/>
  <pageSetup paperSize="9"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2.75"/>
  <cols>
    <col min="1" max="1" width="10.1328125" bestFit="1" customWidth="1"/>
    <col min="2" max="3" width="11.1328125" style="477" bestFit="1" customWidth="1"/>
    <col min="6" max="6" width="11.1328125" bestFit="1" customWidth="1"/>
  </cols>
  <sheetData>
    <row r="1" spans="1:8">
      <c r="B1" s="477">
        <f>SUM(B3:B65)</f>
        <v>765750</v>
      </c>
      <c r="C1" s="477">
        <f>SUM(C3:C65)</f>
        <v>730000</v>
      </c>
    </row>
    <row r="2" spans="1:8">
      <c r="A2" t="s">
        <v>69</v>
      </c>
      <c r="B2" s="477" t="s">
        <v>263</v>
      </c>
      <c r="C2" s="477" t="s">
        <v>264</v>
      </c>
    </row>
    <row r="3" spans="1:8">
      <c r="A3" s="476">
        <v>40483</v>
      </c>
      <c r="B3" s="477">
        <v>8100</v>
      </c>
      <c r="C3" s="477">
        <v>10000</v>
      </c>
      <c r="E3" t="s">
        <v>265</v>
      </c>
      <c r="F3" s="477">
        <v>800000</v>
      </c>
      <c r="G3" t="s">
        <v>266</v>
      </c>
      <c r="H3" s="480">
        <f>F3-B1</f>
        <v>34250</v>
      </c>
    </row>
    <row r="4" spans="1:8">
      <c r="A4" s="476">
        <v>40519</v>
      </c>
      <c r="B4" s="477">
        <v>10000</v>
      </c>
      <c r="C4" s="477">
        <v>10000</v>
      </c>
      <c r="G4" t="s">
        <v>267</v>
      </c>
      <c r="H4" s="480">
        <v>70000</v>
      </c>
    </row>
    <row r="5" spans="1:8">
      <c r="A5" s="476">
        <v>40553</v>
      </c>
      <c r="B5" s="477">
        <v>14750</v>
      </c>
      <c r="C5" s="477">
        <v>10000</v>
      </c>
      <c r="G5" t="s">
        <v>268</v>
      </c>
      <c r="H5" s="480">
        <f>H4-H3</f>
        <v>35750</v>
      </c>
    </row>
    <row r="6" spans="1:8">
      <c r="A6" s="476">
        <v>40582</v>
      </c>
      <c r="B6" s="477">
        <v>10000</v>
      </c>
      <c r="C6" s="477">
        <v>10000</v>
      </c>
    </row>
    <row r="7" spans="1:8">
      <c r="A7" s="476">
        <v>40606</v>
      </c>
      <c r="B7" s="477">
        <v>10000</v>
      </c>
      <c r="C7" s="477">
        <v>10000</v>
      </c>
      <c r="G7" s="480">
        <v>321780</v>
      </c>
      <c r="H7" s="480">
        <f>G7-H5</f>
        <v>286030</v>
      </c>
    </row>
    <row r="8" spans="1:8">
      <c r="A8" s="476">
        <v>40644</v>
      </c>
      <c r="B8" s="477">
        <v>20000</v>
      </c>
      <c r="C8" s="477">
        <v>20000</v>
      </c>
    </row>
    <row r="9" spans="1:8">
      <c r="A9" s="476">
        <v>40667</v>
      </c>
      <c r="B9" s="477">
        <v>14000</v>
      </c>
      <c r="C9" s="477">
        <v>20000</v>
      </c>
    </row>
    <row r="10" spans="1:8">
      <c r="A10" s="476">
        <v>40701</v>
      </c>
      <c r="B10" s="477">
        <v>20000</v>
      </c>
      <c r="C10" s="477">
        <v>20000</v>
      </c>
    </row>
    <row r="11" spans="1:8">
      <c r="A11" s="476">
        <v>40737</v>
      </c>
      <c r="B11" s="477">
        <v>21300</v>
      </c>
      <c r="C11" s="477">
        <v>20000</v>
      </c>
    </row>
    <row r="12" spans="1:8">
      <c r="A12" s="476">
        <v>40763</v>
      </c>
      <c r="B12" s="477">
        <v>20000</v>
      </c>
      <c r="C12" s="477">
        <v>20000</v>
      </c>
    </row>
    <row r="13" spans="1:8">
      <c r="A13" s="476">
        <v>40798</v>
      </c>
      <c r="B13" s="477">
        <v>12000</v>
      </c>
      <c r="C13" s="477">
        <v>20000</v>
      </c>
    </row>
    <row r="14" spans="1:8">
      <c r="A14" s="476">
        <v>40826</v>
      </c>
      <c r="B14" s="477">
        <v>29500</v>
      </c>
      <c r="C14" s="477">
        <v>20000</v>
      </c>
    </row>
    <row r="15" spans="1:8">
      <c r="A15" s="476">
        <v>40859</v>
      </c>
      <c r="B15" s="477">
        <v>20000</v>
      </c>
      <c r="C15" s="477">
        <v>20000</v>
      </c>
    </row>
    <row r="16" spans="1:8">
      <c r="A16" s="476">
        <v>40890</v>
      </c>
      <c r="B16" s="477">
        <v>20000</v>
      </c>
      <c r="C16" s="477">
        <v>20000</v>
      </c>
    </row>
    <row r="17" spans="1:3">
      <c r="A17" s="476">
        <v>40916</v>
      </c>
      <c r="B17" s="477">
        <v>29500</v>
      </c>
      <c r="C17" s="477">
        <v>20000</v>
      </c>
    </row>
    <row r="18" spans="1:3">
      <c r="A18" s="476">
        <v>40941</v>
      </c>
      <c r="B18" s="477">
        <v>20000</v>
      </c>
      <c r="C18" s="477">
        <v>20000</v>
      </c>
    </row>
    <row r="19" spans="1:3">
      <c r="A19" s="476">
        <v>40975</v>
      </c>
      <c r="B19" s="477">
        <v>20000</v>
      </c>
      <c r="C19" s="477">
        <v>20000</v>
      </c>
    </row>
    <row r="20" spans="1:3">
      <c r="A20" s="476">
        <v>41012</v>
      </c>
      <c r="B20" s="477">
        <v>20000</v>
      </c>
      <c r="C20" s="477">
        <v>20000</v>
      </c>
    </row>
    <row r="21" spans="1:3">
      <c r="A21" s="476">
        <v>41036</v>
      </c>
      <c r="B21" s="477">
        <v>29500</v>
      </c>
      <c r="C21" s="477">
        <v>20000</v>
      </c>
    </row>
    <row r="22" spans="1:3">
      <c r="A22" s="476">
        <v>41066</v>
      </c>
      <c r="B22" s="477">
        <v>18500</v>
      </c>
      <c r="C22" s="477">
        <v>20000</v>
      </c>
    </row>
    <row r="23" spans="1:3">
      <c r="A23" s="476">
        <v>41093</v>
      </c>
      <c r="B23" s="477">
        <v>20000</v>
      </c>
      <c r="C23" s="477">
        <v>20000</v>
      </c>
    </row>
    <row r="24" spans="1:3">
      <c r="A24" s="476">
        <v>41130</v>
      </c>
      <c r="B24" s="477">
        <v>20000</v>
      </c>
      <c r="C24" s="477">
        <v>20000</v>
      </c>
    </row>
    <row r="25" spans="1:3">
      <c r="A25" s="476">
        <v>41170</v>
      </c>
      <c r="B25" s="477">
        <v>20000</v>
      </c>
      <c r="C25" s="477">
        <v>20000</v>
      </c>
    </row>
    <row r="26" spans="1:3">
      <c r="A26" s="476">
        <v>41187</v>
      </c>
      <c r="B26" s="477">
        <v>20000</v>
      </c>
      <c r="C26" s="477">
        <v>20000</v>
      </c>
    </row>
    <row r="27" spans="1:3">
      <c r="A27" s="476">
        <v>41221</v>
      </c>
      <c r="B27" s="477">
        <v>10000</v>
      </c>
      <c r="C27" s="477">
        <v>10000</v>
      </c>
    </row>
    <row r="28" spans="1:3">
      <c r="A28" s="476">
        <v>41221</v>
      </c>
      <c r="B28" s="477">
        <v>9500</v>
      </c>
      <c r="C28" s="477">
        <v>0</v>
      </c>
    </row>
    <row r="29" spans="1:3">
      <c r="A29" s="476">
        <v>41252</v>
      </c>
      <c r="B29" s="477">
        <v>10000</v>
      </c>
      <c r="C29" s="477">
        <v>10000</v>
      </c>
    </row>
    <row r="30" spans="1:3">
      <c r="A30" s="476">
        <v>41298</v>
      </c>
      <c r="B30" s="477">
        <v>10000</v>
      </c>
      <c r="C30" s="477">
        <v>10000</v>
      </c>
    </row>
    <row r="31" spans="1:3">
      <c r="A31" s="476">
        <v>41324</v>
      </c>
      <c r="B31" s="477">
        <v>11500</v>
      </c>
      <c r="C31" s="477">
        <v>10000</v>
      </c>
    </row>
    <row r="32" spans="1:3">
      <c r="A32" s="476">
        <v>41359</v>
      </c>
      <c r="B32" s="477">
        <v>10000</v>
      </c>
      <c r="C32" s="477">
        <v>10000</v>
      </c>
    </row>
    <row r="33" spans="1:3">
      <c r="A33" s="476">
        <v>41374</v>
      </c>
      <c r="B33" s="477">
        <v>10000</v>
      </c>
      <c r="C33" s="477">
        <v>10000</v>
      </c>
    </row>
    <row r="34" spans="1:3">
      <c r="A34" s="476">
        <v>41414</v>
      </c>
      <c r="B34" s="477">
        <v>19500</v>
      </c>
      <c r="C34" s="477">
        <v>10000</v>
      </c>
    </row>
    <row r="35" spans="1:3">
      <c r="A35" s="476">
        <v>41451</v>
      </c>
      <c r="B35" s="477">
        <v>10000</v>
      </c>
      <c r="C35" s="477">
        <v>10000</v>
      </c>
    </row>
    <row r="36" spans="1:3">
      <c r="A36" s="476">
        <v>41459</v>
      </c>
      <c r="B36" s="477">
        <v>10000</v>
      </c>
      <c r="C36" s="477">
        <v>10000</v>
      </c>
    </row>
    <row r="37" spans="1:3">
      <c r="A37" s="476">
        <v>41541</v>
      </c>
      <c r="B37" s="477">
        <v>8100</v>
      </c>
      <c r="C37" s="477">
        <v>10000</v>
      </c>
    </row>
    <row r="38" spans="1:3">
      <c r="A38" s="476">
        <v>41571</v>
      </c>
      <c r="B38" s="477">
        <v>10000</v>
      </c>
      <c r="C38" s="477">
        <v>10000</v>
      </c>
    </row>
    <row r="39" spans="1:3">
      <c r="A39" s="476">
        <v>41584</v>
      </c>
      <c r="B39" s="477">
        <v>10000</v>
      </c>
      <c r="C39" s="477">
        <v>10000</v>
      </c>
    </row>
    <row r="40" spans="1:3">
      <c r="A40" s="476">
        <v>41613</v>
      </c>
      <c r="B40" s="477">
        <v>20000</v>
      </c>
      <c r="C40" s="477">
        <v>20000</v>
      </c>
    </row>
    <row r="41" spans="1:3">
      <c r="A41" s="476">
        <v>41662</v>
      </c>
      <c r="B41" s="477">
        <v>20000</v>
      </c>
      <c r="C41" s="477">
        <v>20000</v>
      </c>
    </row>
    <row r="42" spans="1:3">
      <c r="A42" s="476">
        <v>41695</v>
      </c>
      <c r="B42" s="477">
        <v>20000</v>
      </c>
      <c r="C42" s="477">
        <v>20000</v>
      </c>
    </row>
    <row r="43" spans="1:3">
      <c r="A43" s="476">
        <v>41704</v>
      </c>
      <c r="B43" s="477">
        <v>20000</v>
      </c>
      <c r="C43" s="477">
        <v>20000</v>
      </c>
    </row>
    <row r="44" spans="1:3">
      <c r="A44" s="476">
        <v>41738</v>
      </c>
      <c r="B44" s="477">
        <v>20000</v>
      </c>
      <c r="C44" s="477">
        <v>20000</v>
      </c>
    </row>
    <row r="45" spans="1:3">
      <c r="A45" s="476">
        <v>41766</v>
      </c>
      <c r="B45" s="477">
        <v>20000</v>
      </c>
      <c r="C45" s="477">
        <v>20000</v>
      </c>
    </row>
    <row r="46" spans="1:3">
      <c r="A46" s="476">
        <v>41811</v>
      </c>
      <c r="B46" s="477">
        <v>20000</v>
      </c>
      <c r="C46" s="477">
        <v>20000</v>
      </c>
    </row>
    <row r="47" spans="1:3">
      <c r="A47" s="476">
        <v>41850</v>
      </c>
      <c r="B47" s="477">
        <v>20000</v>
      </c>
      <c r="C47" s="477">
        <v>20000</v>
      </c>
    </row>
    <row r="48" spans="1:3" ht="13.15" thickBot="1">
      <c r="A48" s="478">
        <v>41871</v>
      </c>
      <c r="B48" s="479">
        <v>20000</v>
      </c>
      <c r="C48" s="479">
        <v>20000</v>
      </c>
    </row>
    <row r="49" ht="13.15" thickTop="1"/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J22"/>
  <sheetViews>
    <sheetView workbookViewId="0">
      <pane ySplit="3" topLeftCell="A4" activePane="bottomLeft" state="frozen"/>
      <selection pane="bottomLeft" activeCell="D20" sqref="D20"/>
    </sheetView>
  </sheetViews>
  <sheetFormatPr defaultColWidth="8.73046875" defaultRowHeight="12.75"/>
  <cols>
    <col min="1" max="8" width="11.59765625" customWidth="1"/>
    <col min="9" max="9" width="13" customWidth="1"/>
    <col min="10" max="10" width="12.1328125" customWidth="1"/>
  </cols>
  <sheetData>
    <row r="1" spans="1:10">
      <c r="A1" t="s">
        <v>225</v>
      </c>
      <c r="B1" s="401">
        <f>COUNTA(C4:C200)*50</f>
        <v>950</v>
      </c>
      <c r="C1" t="s">
        <v>226</v>
      </c>
      <c r="D1" s="401">
        <f>SUM(I4:I200)</f>
        <v>400</v>
      </c>
      <c r="E1" t="s">
        <v>227</v>
      </c>
      <c r="F1" s="398">
        <f>(D1-B1)/B1</f>
        <v>-0.57894736842105265</v>
      </c>
      <c r="G1" t="s">
        <v>228</v>
      </c>
      <c r="H1" s="398">
        <f>COUNTA(I4:I200)/COUNTA(C4:C200)</f>
        <v>5.2631578947368418E-2</v>
      </c>
      <c r="I1" t="s">
        <v>231</v>
      </c>
      <c r="J1" s="399">
        <f>AVERAGE(J4:J200)</f>
        <v>0.84210526315789469</v>
      </c>
    </row>
    <row r="3" spans="1:10">
      <c r="A3" t="s">
        <v>203</v>
      </c>
      <c r="B3" t="s">
        <v>213</v>
      </c>
      <c r="C3" t="s">
        <v>204</v>
      </c>
      <c r="D3" t="s">
        <v>205</v>
      </c>
      <c r="E3" t="s">
        <v>206</v>
      </c>
      <c r="F3" t="s">
        <v>207</v>
      </c>
      <c r="G3" t="s">
        <v>208</v>
      </c>
      <c r="H3" t="s">
        <v>209</v>
      </c>
      <c r="I3" t="s">
        <v>229</v>
      </c>
      <c r="J3" t="s">
        <v>230</v>
      </c>
    </row>
    <row r="4" spans="1:10" ht="13.15">
      <c r="A4" s="393" t="s">
        <v>223</v>
      </c>
      <c r="B4" s="396">
        <v>40582</v>
      </c>
      <c r="C4" s="397">
        <v>3</v>
      </c>
      <c r="D4" s="403">
        <v>5</v>
      </c>
      <c r="E4" s="397">
        <v>19</v>
      </c>
      <c r="F4" s="395">
        <v>22</v>
      </c>
      <c r="G4" s="397">
        <v>27</v>
      </c>
      <c r="H4" s="395">
        <v>45</v>
      </c>
      <c r="J4" s="395">
        <v>1</v>
      </c>
    </row>
    <row r="5" spans="1:10" ht="13.15">
      <c r="A5" s="393" t="s">
        <v>223</v>
      </c>
      <c r="B5" s="396">
        <v>40582</v>
      </c>
      <c r="C5" s="395">
        <v>11</v>
      </c>
      <c r="D5" s="395">
        <v>28</v>
      </c>
      <c r="E5" s="395">
        <v>34</v>
      </c>
      <c r="F5" s="397">
        <v>36</v>
      </c>
      <c r="G5" s="395">
        <v>44</v>
      </c>
      <c r="H5" s="397">
        <v>49</v>
      </c>
      <c r="J5" s="395">
        <v>0</v>
      </c>
    </row>
    <row r="6" spans="1:10" ht="13.15">
      <c r="A6" s="393" t="s">
        <v>223</v>
      </c>
      <c r="B6" s="396">
        <v>40582</v>
      </c>
      <c r="C6" s="395">
        <v>14</v>
      </c>
      <c r="D6" s="395">
        <v>25</v>
      </c>
      <c r="E6" s="395">
        <v>31</v>
      </c>
      <c r="F6" s="395">
        <v>35</v>
      </c>
      <c r="G6" s="395">
        <v>37</v>
      </c>
      <c r="H6" s="395">
        <v>46</v>
      </c>
      <c r="J6" s="395">
        <v>0</v>
      </c>
    </row>
    <row r="7" spans="1:10" ht="13.15">
      <c r="A7" s="393" t="s">
        <v>223</v>
      </c>
      <c r="B7" s="396">
        <v>40582</v>
      </c>
      <c r="C7" s="395">
        <v>8</v>
      </c>
      <c r="D7" s="395">
        <v>26</v>
      </c>
      <c r="E7" s="395">
        <v>29</v>
      </c>
      <c r="F7" s="395">
        <v>30</v>
      </c>
      <c r="G7" s="395">
        <v>32</v>
      </c>
      <c r="H7" s="395">
        <v>40</v>
      </c>
      <c r="J7" s="395">
        <v>0</v>
      </c>
    </row>
    <row r="8" spans="1:10" ht="13.15">
      <c r="A8" s="393" t="s">
        <v>223</v>
      </c>
      <c r="B8" s="396">
        <v>40582</v>
      </c>
      <c r="C8" s="395">
        <v>15</v>
      </c>
      <c r="D8" s="395">
        <v>16</v>
      </c>
      <c r="E8" s="394">
        <v>23</v>
      </c>
      <c r="F8" s="395">
        <v>38</v>
      </c>
      <c r="G8" s="397">
        <v>42</v>
      </c>
      <c r="H8" s="395">
        <v>47</v>
      </c>
      <c r="J8" s="395">
        <v>1</v>
      </c>
    </row>
    <row r="9" spans="1:10" ht="13.15">
      <c r="A9" s="393" t="s">
        <v>223</v>
      </c>
      <c r="B9" s="396">
        <v>40582</v>
      </c>
      <c r="C9" s="395">
        <v>7</v>
      </c>
      <c r="D9" s="395">
        <v>9</v>
      </c>
      <c r="E9" s="395">
        <v>12</v>
      </c>
      <c r="F9" s="395">
        <v>21</v>
      </c>
      <c r="G9" s="395">
        <v>24</v>
      </c>
      <c r="H9" s="397">
        <v>43</v>
      </c>
      <c r="J9" s="395">
        <v>0</v>
      </c>
    </row>
    <row r="10" spans="1:10" ht="13.15">
      <c r="A10" s="393" t="s">
        <v>223</v>
      </c>
      <c r="B10" s="396">
        <v>40582</v>
      </c>
      <c r="C10" s="395">
        <v>2</v>
      </c>
      <c r="D10" s="395">
        <v>4</v>
      </c>
      <c r="E10" s="394">
        <v>6</v>
      </c>
      <c r="F10" s="395">
        <v>10</v>
      </c>
      <c r="G10" s="395">
        <v>18</v>
      </c>
      <c r="H10" s="395">
        <v>20</v>
      </c>
      <c r="J10" s="395">
        <v>1</v>
      </c>
    </row>
    <row r="11" spans="1:10" ht="13.15">
      <c r="A11" s="393" t="s">
        <v>223</v>
      </c>
      <c r="B11" s="396">
        <v>40582</v>
      </c>
      <c r="C11" s="397">
        <v>1</v>
      </c>
      <c r="D11" s="395">
        <v>17</v>
      </c>
      <c r="E11" s="395">
        <v>33</v>
      </c>
      <c r="F11" s="403">
        <v>39</v>
      </c>
      <c r="G11" s="394">
        <v>41</v>
      </c>
      <c r="H11" s="395">
        <v>48</v>
      </c>
      <c r="J11" s="395">
        <v>2</v>
      </c>
    </row>
    <row r="12" spans="1:10" ht="13.15">
      <c r="A12" s="393" t="s">
        <v>223</v>
      </c>
      <c r="B12" s="396">
        <v>40582</v>
      </c>
      <c r="C12" s="394">
        <v>5</v>
      </c>
      <c r="D12" s="395">
        <v>12</v>
      </c>
      <c r="E12" s="395">
        <v>13</v>
      </c>
      <c r="F12" s="395">
        <v>22</v>
      </c>
      <c r="G12" s="395">
        <v>29</v>
      </c>
      <c r="H12" s="397">
        <v>49</v>
      </c>
      <c r="J12" s="395">
        <v>1</v>
      </c>
    </row>
    <row r="13" spans="1:10" ht="13.15">
      <c r="A13" s="393" t="s">
        <v>223</v>
      </c>
      <c r="B13" s="396">
        <v>40582</v>
      </c>
      <c r="C13" s="404">
        <v>1</v>
      </c>
      <c r="D13" s="394">
        <v>5</v>
      </c>
      <c r="E13" s="394">
        <v>6</v>
      </c>
      <c r="F13" s="395">
        <v>33</v>
      </c>
      <c r="G13" s="403">
        <v>39</v>
      </c>
      <c r="H13" s="395">
        <v>44</v>
      </c>
      <c r="I13" s="400">
        <v>400</v>
      </c>
      <c r="J13" s="395">
        <v>3</v>
      </c>
    </row>
    <row r="14" spans="1:10" ht="13.15">
      <c r="A14" s="393" t="s">
        <v>223</v>
      </c>
      <c r="B14" s="396">
        <v>40582</v>
      </c>
      <c r="C14" s="395">
        <v>14</v>
      </c>
      <c r="D14" s="395">
        <v>21</v>
      </c>
      <c r="E14" s="395">
        <v>24</v>
      </c>
      <c r="F14" s="395">
        <v>28</v>
      </c>
      <c r="G14" s="395">
        <v>30</v>
      </c>
      <c r="H14" s="394">
        <v>31</v>
      </c>
      <c r="J14" s="395">
        <v>1</v>
      </c>
    </row>
    <row r="15" spans="1:10" ht="13.15">
      <c r="A15" s="393" t="s">
        <v>223</v>
      </c>
      <c r="B15" s="396">
        <v>40582</v>
      </c>
      <c r="C15" s="394">
        <v>6</v>
      </c>
      <c r="D15" s="395">
        <v>8</v>
      </c>
      <c r="E15" s="395">
        <v>11</v>
      </c>
      <c r="F15" s="395">
        <v>16</v>
      </c>
      <c r="G15" s="395">
        <v>28</v>
      </c>
      <c r="H15" s="397">
        <v>42</v>
      </c>
      <c r="J15" s="395">
        <v>1</v>
      </c>
    </row>
    <row r="16" spans="1:10" ht="13.15">
      <c r="A16" s="393" t="s">
        <v>223</v>
      </c>
      <c r="B16" s="396">
        <v>40582</v>
      </c>
      <c r="C16" s="395">
        <v>2</v>
      </c>
      <c r="D16" s="395">
        <v>4</v>
      </c>
      <c r="E16" s="395">
        <v>13</v>
      </c>
      <c r="F16" s="395">
        <v>17</v>
      </c>
      <c r="G16" s="395">
        <v>34</v>
      </c>
      <c r="H16" s="394">
        <v>41</v>
      </c>
      <c r="J16" s="395">
        <v>1</v>
      </c>
    </row>
    <row r="17" spans="1:10" ht="13.15">
      <c r="A17" s="393" t="s">
        <v>223</v>
      </c>
      <c r="B17" s="396">
        <v>40582</v>
      </c>
      <c r="C17" s="395">
        <v>4</v>
      </c>
      <c r="D17" s="395">
        <v>8</v>
      </c>
      <c r="E17" s="395">
        <v>18</v>
      </c>
      <c r="F17" s="395">
        <v>38</v>
      </c>
      <c r="G17" s="395">
        <v>43</v>
      </c>
      <c r="H17" s="395">
        <v>48</v>
      </c>
      <c r="J17" s="395">
        <v>0</v>
      </c>
    </row>
    <row r="18" spans="1:10" ht="13.15">
      <c r="A18" s="393" t="s">
        <v>223</v>
      </c>
      <c r="B18" s="396">
        <v>40582</v>
      </c>
      <c r="C18" s="395">
        <v>8</v>
      </c>
      <c r="D18" s="395">
        <v>14</v>
      </c>
      <c r="E18" s="395">
        <v>17</v>
      </c>
      <c r="F18" s="395">
        <v>22</v>
      </c>
      <c r="G18" s="395">
        <v>25</v>
      </c>
      <c r="H18" s="395">
        <v>40</v>
      </c>
      <c r="J18" s="395">
        <v>0</v>
      </c>
    </row>
    <row r="19" spans="1:10" ht="13.15">
      <c r="A19" s="393" t="s">
        <v>232</v>
      </c>
      <c r="B19" s="396">
        <v>40585</v>
      </c>
      <c r="C19" s="395">
        <v>10</v>
      </c>
      <c r="D19" s="395">
        <v>27</v>
      </c>
      <c r="E19" s="397">
        <v>34</v>
      </c>
      <c r="F19" s="395">
        <v>40</v>
      </c>
      <c r="G19" s="397">
        <v>45</v>
      </c>
      <c r="H19" s="395">
        <v>48</v>
      </c>
      <c r="J19" s="395">
        <v>2</v>
      </c>
    </row>
    <row r="20" spans="1:10" ht="13.15">
      <c r="A20" s="393" t="s">
        <v>232</v>
      </c>
      <c r="B20" s="396">
        <v>40585</v>
      </c>
      <c r="C20" s="395">
        <v>1</v>
      </c>
      <c r="D20" s="395">
        <v>5</v>
      </c>
      <c r="E20" s="395">
        <v>6</v>
      </c>
      <c r="F20" s="395">
        <v>10</v>
      </c>
      <c r="G20" s="395">
        <v>12</v>
      </c>
      <c r="H20" s="395">
        <v>25</v>
      </c>
      <c r="J20" s="395">
        <v>0</v>
      </c>
    </row>
    <row r="21" spans="1:10" ht="13.15">
      <c r="A21" s="393" t="s">
        <v>235</v>
      </c>
      <c r="B21" s="396">
        <v>40596</v>
      </c>
      <c r="C21" s="394">
        <v>15</v>
      </c>
      <c r="D21" s="395">
        <v>23</v>
      </c>
      <c r="E21" s="395">
        <v>24</v>
      </c>
      <c r="F21" s="395">
        <v>30</v>
      </c>
      <c r="G21" s="394">
        <v>39</v>
      </c>
      <c r="H21" s="395">
        <v>40</v>
      </c>
      <c r="J21" s="395">
        <v>2</v>
      </c>
    </row>
    <row r="22" spans="1:10" ht="13.15">
      <c r="A22" s="393" t="s">
        <v>235</v>
      </c>
      <c r="B22" s="396">
        <v>40596</v>
      </c>
      <c r="C22" s="395">
        <v>1</v>
      </c>
      <c r="D22" s="395">
        <v>18</v>
      </c>
      <c r="E22" s="395">
        <v>21</v>
      </c>
      <c r="F22" s="395">
        <v>26</v>
      </c>
      <c r="G22" s="395">
        <v>34</v>
      </c>
      <c r="H22" s="395">
        <v>43</v>
      </c>
      <c r="J22" s="395">
        <v>0</v>
      </c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Q106"/>
  <sheetViews>
    <sheetView workbookViewId="0">
      <pane ySplit="57" topLeftCell="A58" activePane="bottomLeft" state="frozen"/>
      <selection pane="bottomLeft" activeCell="E72" sqref="E72"/>
    </sheetView>
  </sheetViews>
  <sheetFormatPr defaultColWidth="8.73046875" defaultRowHeight="12.75"/>
  <cols>
    <col min="1" max="17" width="10" customWidth="1"/>
  </cols>
  <sheetData>
    <row r="1" spans="1:17" ht="13.15">
      <c r="A1" s="397">
        <v>1</v>
      </c>
      <c r="B1" s="397">
        <v>2</v>
      </c>
      <c r="C1" s="397">
        <v>3</v>
      </c>
      <c r="D1" s="397">
        <v>4</v>
      </c>
      <c r="E1" s="397">
        <v>5</v>
      </c>
      <c r="F1" s="397">
        <v>6</v>
      </c>
      <c r="G1" s="397">
        <v>7</v>
      </c>
      <c r="H1" s="397">
        <v>8</v>
      </c>
      <c r="I1" s="397">
        <v>9</v>
      </c>
      <c r="J1" s="397">
        <v>10</v>
      </c>
      <c r="K1" s="397">
        <v>11</v>
      </c>
      <c r="L1" s="397">
        <v>12</v>
      </c>
      <c r="M1" s="397">
        <v>13</v>
      </c>
      <c r="N1" s="397">
        <v>14</v>
      </c>
      <c r="O1" s="397">
        <v>15</v>
      </c>
      <c r="P1" s="397">
        <v>16</v>
      </c>
    </row>
    <row r="2" spans="1:17">
      <c r="A2" s="402">
        <f>J8</f>
        <v>1</v>
      </c>
      <c r="B2" s="402">
        <f>J9</f>
        <v>1</v>
      </c>
      <c r="C2" s="402">
        <f>J10</f>
        <v>4</v>
      </c>
      <c r="D2" s="402">
        <f>J11</f>
        <v>2</v>
      </c>
      <c r="E2" s="402">
        <f>J12</f>
        <v>1</v>
      </c>
      <c r="F2" s="402">
        <f>J13</f>
        <v>2</v>
      </c>
      <c r="G2" s="402">
        <f>J14</f>
        <v>2</v>
      </c>
      <c r="H2" s="402">
        <f>J15</f>
        <v>0</v>
      </c>
      <c r="I2" s="402">
        <f>J16</f>
        <v>1</v>
      </c>
      <c r="J2" s="402">
        <f>J17</f>
        <v>2</v>
      </c>
      <c r="K2" s="402">
        <f>J18</f>
        <v>3</v>
      </c>
      <c r="L2" s="402">
        <f>J19</f>
        <v>3</v>
      </c>
      <c r="M2" s="402">
        <f>J20</f>
        <v>4</v>
      </c>
      <c r="N2" s="402">
        <f>J21</f>
        <v>3</v>
      </c>
      <c r="O2" s="402">
        <f>J22</f>
        <v>4</v>
      </c>
      <c r="P2" s="402">
        <f>J23</f>
        <v>2</v>
      </c>
    </row>
    <row r="3" spans="1:17" ht="13.15">
      <c r="A3" s="397">
        <v>17</v>
      </c>
      <c r="B3" s="397">
        <v>18</v>
      </c>
      <c r="C3" s="397">
        <v>19</v>
      </c>
      <c r="D3" s="397">
        <v>20</v>
      </c>
      <c r="E3" s="397">
        <v>21</v>
      </c>
      <c r="F3" s="397">
        <v>22</v>
      </c>
      <c r="G3" s="397">
        <v>23</v>
      </c>
      <c r="H3" s="397">
        <v>24</v>
      </c>
      <c r="I3" s="397">
        <v>25</v>
      </c>
      <c r="J3" s="397">
        <v>26</v>
      </c>
      <c r="K3" s="397">
        <v>27</v>
      </c>
      <c r="L3" s="397">
        <v>28</v>
      </c>
      <c r="M3" s="397">
        <v>29</v>
      </c>
      <c r="N3" s="397">
        <v>30</v>
      </c>
      <c r="O3" s="397">
        <v>31</v>
      </c>
      <c r="P3" s="397">
        <v>32</v>
      </c>
    </row>
    <row r="4" spans="1:17">
      <c r="A4" s="402">
        <f>J24</f>
        <v>4</v>
      </c>
      <c r="B4" s="402">
        <f>J25</f>
        <v>2</v>
      </c>
      <c r="C4" s="402">
        <f>J26</f>
        <v>1</v>
      </c>
      <c r="D4" s="402">
        <f>J27</f>
        <v>6</v>
      </c>
      <c r="E4" s="402">
        <f>J28</f>
        <v>1</v>
      </c>
      <c r="F4" s="402">
        <f>J29</f>
        <v>0</v>
      </c>
      <c r="G4" s="402">
        <f>J30</f>
        <v>3</v>
      </c>
      <c r="H4" s="402">
        <f>J31</f>
        <v>3</v>
      </c>
      <c r="I4" s="402">
        <f>J32</f>
        <v>1</v>
      </c>
      <c r="J4" s="402">
        <f>J33</f>
        <v>1</v>
      </c>
      <c r="K4" s="402">
        <f>J34</f>
        <v>0</v>
      </c>
      <c r="L4" s="402">
        <f>J35</f>
        <v>0</v>
      </c>
      <c r="M4" s="402">
        <f>J36</f>
        <v>0</v>
      </c>
      <c r="N4" s="402">
        <f>J37</f>
        <v>0</v>
      </c>
      <c r="O4" s="402">
        <f>J38</f>
        <v>2</v>
      </c>
      <c r="P4" s="402">
        <f>J39</f>
        <v>3</v>
      </c>
    </row>
    <row r="5" spans="1:17" ht="13.15">
      <c r="A5" s="397">
        <v>33</v>
      </c>
      <c r="B5" s="397">
        <v>34</v>
      </c>
      <c r="C5" s="397">
        <v>35</v>
      </c>
      <c r="D5" s="397">
        <v>36</v>
      </c>
      <c r="E5" s="397">
        <v>37</v>
      </c>
      <c r="F5" s="397">
        <v>38</v>
      </c>
      <c r="G5" s="397">
        <v>39</v>
      </c>
      <c r="H5" s="397">
        <v>40</v>
      </c>
      <c r="I5" s="397">
        <v>41</v>
      </c>
      <c r="J5" s="397">
        <v>42</v>
      </c>
      <c r="K5" s="397">
        <v>43</v>
      </c>
      <c r="L5" s="397">
        <v>44</v>
      </c>
      <c r="M5" s="397">
        <v>45</v>
      </c>
      <c r="N5" s="397">
        <v>46</v>
      </c>
      <c r="O5" s="397">
        <v>47</v>
      </c>
      <c r="P5" s="397">
        <v>48</v>
      </c>
      <c r="Q5" s="397">
        <v>49</v>
      </c>
    </row>
    <row r="6" spans="1:17">
      <c r="A6" s="402">
        <f>J40</f>
        <v>3</v>
      </c>
      <c r="B6" s="402">
        <f>J41</f>
        <v>2</v>
      </c>
      <c r="C6" s="402">
        <f>J42</f>
        <v>4</v>
      </c>
      <c r="D6" s="402">
        <f>J43</f>
        <v>2</v>
      </c>
      <c r="E6" s="402">
        <f>J44</f>
        <v>3</v>
      </c>
      <c r="F6" s="402">
        <f>J45</f>
        <v>2</v>
      </c>
      <c r="G6" s="402">
        <f>J46</f>
        <v>5</v>
      </c>
      <c r="H6" s="402">
        <f>J47</f>
        <v>2</v>
      </c>
      <c r="I6" s="402">
        <f>J49</f>
        <v>5</v>
      </c>
      <c r="J6" s="402">
        <f>J49</f>
        <v>5</v>
      </c>
      <c r="K6" s="402">
        <f>J50</f>
        <v>1</v>
      </c>
      <c r="L6" s="402">
        <f>J51</f>
        <v>0</v>
      </c>
      <c r="M6" s="402">
        <f>J52</f>
        <v>2</v>
      </c>
      <c r="N6" s="402">
        <f>J53</f>
        <v>2</v>
      </c>
      <c r="O6" s="402">
        <f>J54</f>
        <v>5</v>
      </c>
      <c r="P6" s="402">
        <f>J55</f>
        <v>0</v>
      </c>
      <c r="Q6" s="402">
        <f>J56</f>
        <v>2</v>
      </c>
    </row>
    <row r="7" spans="1:17" hidden="1">
      <c r="A7" t="s">
        <v>196</v>
      </c>
      <c r="C7" t="s">
        <v>197</v>
      </c>
      <c r="D7" t="s">
        <v>198</v>
      </c>
      <c r="E7" t="s">
        <v>199</v>
      </c>
      <c r="F7" t="s">
        <v>200</v>
      </c>
      <c r="G7" t="s">
        <v>201</v>
      </c>
      <c r="H7" t="s">
        <v>202</v>
      </c>
      <c r="I7" t="s">
        <v>211</v>
      </c>
      <c r="J7" t="s">
        <v>224</v>
      </c>
    </row>
    <row r="8" spans="1:17" hidden="1">
      <c r="A8">
        <v>1</v>
      </c>
      <c r="C8">
        <f t="shared" ref="C8:C39" si="0">COUNTIF(C$58:C$106,$A8)</f>
        <v>1</v>
      </c>
      <c r="D8">
        <f t="shared" ref="D8:I23" si="1">COUNTIF(D$58:D$106,$A8)</f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>SUM(C8:I8)</f>
        <v>1</v>
      </c>
    </row>
    <row r="9" spans="1:17" hidden="1">
      <c r="A9">
        <v>2</v>
      </c>
      <c r="C9">
        <f t="shared" si="0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ref="J9:J56" si="2">SUM(C9:I9)</f>
        <v>1</v>
      </c>
    </row>
    <row r="10" spans="1:17" hidden="1">
      <c r="A10">
        <v>3</v>
      </c>
      <c r="C10">
        <f t="shared" si="0"/>
        <v>2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2</v>
      </c>
      <c r="J10">
        <f t="shared" si="2"/>
        <v>4</v>
      </c>
    </row>
    <row r="11" spans="1:17" hidden="1">
      <c r="A11">
        <v>4</v>
      </c>
      <c r="C11">
        <f t="shared" si="0"/>
        <v>0</v>
      </c>
      <c r="D11">
        <f t="shared" si="1"/>
        <v>2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2"/>
        <v>2</v>
      </c>
    </row>
    <row r="12" spans="1:17" hidden="1">
      <c r="A12">
        <v>5</v>
      </c>
      <c r="C12">
        <f t="shared" si="0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2"/>
        <v>1</v>
      </c>
    </row>
    <row r="13" spans="1:17" hidden="1">
      <c r="A13">
        <v>6</v>
      </c>
      <c r="C13">
        <f t="shared" si="0"/>
        <v>0</v>
      </c>
      <c r="D13">
        <f t="shared" si="1"/>
        <v>2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2"/>
        <v>2</v>
      </c>
    </row>
    <row r="14" spans="1:17" hidden="1">
      <c r="A14">
        <v>7</v>
      </c>
      <c r="C14">
        <f t="shared" si="0"/>
        <v>1</v>
      </c>
      <c r="D14">
        <f t="shared" si="1"/>
        <v>0</v>
      </c>
      <c r="E14">
        <f t="shared" si="1"/>
        <v>1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2"/>
        <v>2</v>
      </c>
    </row>
    <row r="15" spans="1:17" hidden="1">
      <c r="A15">
        <v>8</v>
      </c>
      <c r="C15">
        <f t="shared" si="0"/>
        <v>0</v>
      </c>
      <c r="D15">
        <f t="shared" si="1"/>
        <v>0</v>
      </c>
      <c r="E15">
        <f t="shared" si="1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2"/>
        <v>0</v>
      </c>
    </row>
    <row r="16" spans="1:17" hidden="1">
      <c r="A16">
        <v>9</v>
      </c>
      <c r="C16">
        <f t="shared" si="0"/>
        <v>1</v>
      </c>
      <c r="D16">
        <f t="shared" si="1"/>
        <v>0</v>
      </c>
      <c r="E16">
        <f t="shared" si="1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2"/>
        <v>1</v>
      </c>
    </row>
    <row r="17" spans="1:10" hidden="1">
      <c r="A17">
        <v>10</v>
      </c>
      <c r="C17">
        <f t="shared" si="0"/>
        <v>1</v>
      </c>
      <c r="D17">
        <f t="shared" si="1"/>
        <v>1</v>
      </c>
      <c r="E17">
        <f t="shared" si="1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2"/>
        <v>2</v>
      </c>
    </row>
    <row r="18" spans="1:10" hidden="1">
      <c r="A18">
        <v>11</v>
      </c>
      <c r="C18">
        <f t="shared" si="0"/>
        <v>1</v>
      </c>
      <c r="D18">
        <f t="shared" si="1"/>
        <v>0</v>
      </c>
      <c r="E18">
        <f t="shared" si="1"/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2"/>
        <v>3</v>
      </c>
    </row>
    <row r="19" spans="1:10" hidden="1">
      <c r="A19">
        <v>12</v>
      </c>
      <c r="C19">
        <f t="shared" si="0"/>
        <v>1</v>
      </c>
      <c r="D19">
        <f t="shared" si="1"/>
        <v>1</v>
      </c>
      <c r="E19">
        <f t="shared" si="1"/>
        <v>0</v>
      </c>
      <c r="F19">
        <f t="shared" si="1"/>
        <v>1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2"/>
        <v>3</v>
      </c>
    </row>
    <row r="20" spans="1:10" hidden="1">
      <c r="A20">
        <v>13</v>
      </c>
      <c r="C20">
        <f t="shared" si="0"/>
        <v>1</v>
      </c>
      <c r="D20">
        <f t="shared" si="1"/>
        <v>2</v>
      </c>
      <c r="E20">
        <f t="shared" si="1"/>
        <v>1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2"/>
        <v>4</v>
      </c>
    </row>
    <row r="21" spans="1:10" hidden="1">
      <c r="A21">
        <v>14</v>
      </c>
      <c r="C21">
        <f t="shared" si="0"/>
        <v>2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1</v>
      </c>
      <c r="H21">
        <f t="shared" si="1"/>
        <v>0</v>
      </c>
      <c r="I21">
        <f t="shared" si="1"/>
        <v>0</v>
      </c>
      <c r="J21">
        <f t="shared" si="2"/>
        <v>3</v>
      </c>
    </row>
    <row r="22" spans="1:10" hidden="1">
      <c r="A22">
        <v>15</v>
      </c>
      <c r="C22">
        <f t="shared" si="0"/>
        <v>1</v>
      </c>
      <c r="D22">
        <f t="shared" si="1"/>
        <v>1</v>
      </c>
      <c r="E22">
        <f t="shared" si="1"/>
        <v>1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1</v>
      </c>
      <c r="J22">
        <f t="shared" si="2"/>
        <v>4</v>
      </c>
    </row>
    <row r="23" spans="1:10" hidden="1">
      <c r="A23">
        <v>16</v>
      </c>
      <c r="C23">
        <f t="shared" si="0"/>
        <v>1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1</v>
      </c>
      <c r="J23">
        <f t="shared" si="2"/>
        <v>2</v>
      </c>
    </row>
    <row r="24" spans="1:10" hidden="1">
      <c r="A24">
        <v>17</v>
      </c>
      <c r="C24">
        <f t="shared" si="0"/>
        <v>0</v>
      </c>
      <c r="D24">
        <f t="shared" ref="D24:I33" si="3">COUNTIF(D$58:D$106,$A24)</f>
        <v>1</v>
      </c>
      <c r="E24">
        <f t="shared" si="3"/>
        <v>2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1</v>
      </c>
      <c r="J24">
        <f t="shared" si="2"/>
        <v>4</v>
      </c>
    </row>
    <row r="25" spans="1:10" hidden="1">
      <c r="A25">
        <v>18</v>
      </c>
      <c r="C25">
        <f t="shared" si="0"/>
        <v>0</v>
      </c>
      <c r="D25">
        <f t="shared" si="3"/>
        <v>0</v>
      </c>
      <c r="E25">
        <f t="shared" si="3"/>
        <v>0</v>
      </c>
      <c r="F25">
        <f t="shared" si="3"/>
        <v>1</v>
      </c>
      <c r="G25">
        <f t="shared" si="3"/>
        <v>0</v>
      </c>
      <c r="H25">
        <f t="shared" si="3"/>
        <v>0</v>
      </c>
      <c r="I25">
        <f t="shared" si="3"/>
        <v>1</v>
      </c>
      <c r="J25">
        <f t="shared" si="2"/>
        <v>2</v>
      </c>
    </row>
    <row r="26" spans="1:10" hidden="1">
      <c r="A26">
        <v>19</v>
      </c>
      <c r="C26">
        <f t="shared" si="0"/>
        <v>0</v>
      </c>
      <c r="D26">
        <f t="shared" si="3"/>
        <v>1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2"/>
        <v>1</v>
      </c>
    </row>
    <row r="27" spans="1:10" hidden="1">
      <c r="A27">
        <v>20</v>
      </c>
      <c r="C27">
        <f t="shared" si="0"/>
        <v>0</v>
      </c>
      <c r="D27">
        <f t="shared" si="3"/>
        <v>1</v>
      </c>
      <c r="E27">
        <f t="shared" si="3"/>
        <v>2</v>
      </c>
      <c r="F27">
        <f t="shared" si="3"/>
        <v>0</v>
      </c>
      <c r="G27">
        <f t="shared" si="3"/>
        <v>0</v>
      </c>
      <c r="H27">
        <f t="shared" si="3"/>
        <v>1</v>
      </c>
      <c r="I27">
        <f t="shared" si="3"/>
        <v>2</v>
      </c>
      <c r="J27">
        <f t="shared" si="2"/>
        <v>6</v>
      </c>
    </row>
    <row r="28" spans="1:10" hidden="1">
      <c r="A28">
        <v>21</v>
      </c>
      <c r="C28">
        <f t="shared" si="0"/>
        <v>0</v>
      </c>
      <c r="D28">
        <f t="shared" si="3"/>
        <v>0</v>
      </c>
      <c r="E28">
        <f t="shared" si="3"/>
        <v>0</v>
      </c>
      <c r="F28">
        <f t="shared" si="3"/>
        <v>1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2"/>
        <v>1</v>
      </c>
    </row>
    <row r="29" spans="1:10" hidden="1">
      <c r="A29">
        <v>22</v>
      </c>
      <c r="C29">
        <f t="shared" si="0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2"/>
        <v>0</v>
      </c>
    </row>
    <row r="30" spans="1:10" hidden="1">
      <c r="A30">
        <v>23</v>
      </c>
      <c r="C30">
        <f t="shared" si="0"/>
        <v>0</v>
      </c>
      <c r="D30">
        <f t="shared" si="3"/>
        <v>0</v>
      </c>
      <c r="E30">
        <f t="shared" si="3"/>
        <v>3</v>
      </c>
      <c r="F30">
        <f t="shared" si="3"/>
        <v>0</v>
      </c>
      <c r="G30">
        <f t="shared" si="3"/>
        <v>0</v>
      </c>
      <c r="H30">
        <f t="shared" si="3"/>
        <v>0</v>
      </c>
      <c r="I30">
        <f t="shared" si="3"/>
        <v>0</v>
      </c>
      <c r="J30">
        <f t="shared" si="2"/>
        <v>3</v>
      </c>
    </row>
    <row r="31" spans="1:10" hidden="1">
      <c r="A31">
        <v>24</v>
      </c>
      <c r="C31">
        <f t="shared" si="0"/>
        <v>0</v>
      </c>
      <c r="D31">
        <f t="shared" si="3"/>
        <v>0</v>
      </c>
      <c r="E31">
        <f t="shared" si="3"/>
        <v>0</v>
      </c>
      <c r="F31">
        <f t="shared" si="3"/>
        <v>1</v>
      </c>
      <c r="G31">
        <f t="shared" si="3"/>
        <v>1</v>
      </c>
      <c r="H31">
        <f t="shared" si="3"/>
        <v>0</v>
      </c>
      <c r="I31">
        <f t="shared" si="3"/>
        <v>1</v>
      </c>
      <c r="J31">
        <f t="shared" si="2"/>
        <v>3</v>
      </c>
    </row>
    <row r="32" spans="1:10" hidden="1">
      <c r="A32">
        <v>25</v>
      </c>
      <c r="C32">
        <f t="shared" si="0"/>
        <v>0</v>
      </c>
      <c r="D32">
        <f t="shared" si="3"/>
        <v>0</v>
      </c>
      <c r="E32">
        <f t="shared" si="3"/>
        <v>0</v>
      </c>
      <c r="F32">
        <f t="shared" si="3"/>
        <v>1</v>
      </c>
      <c r="G32">
        <f t="shared" si="3"/>
        <v>0</v>
      </c>
      <c r="H32">
        <f t="shared" si="3"/>
        <v>0</v>
      </c>
      <c r="I32">
        <f t="shared" si="3"/>
        <v>0</v>
      </c>
      <c r="J32">
        <f t="shared" si="2"/>
        <v>1</v>
      </c>
    </row>
    <row r="33" spans="1:10" hidden="1">
      <c r="A33">
        <v>26</v>
      </c>
      <c r="C33">
        <f t="shared" si="0"/>
        <v>0</v>
      </c>
      <c r="D33">
        <f t="shared" si="3"/>
        <v>0</v>
      </c>
      <c r="E33">
        <f t="shared" si="3"/>
        <v>0</v>
      </c>
      <c r="F33">
        <f t="shared" si="3"/>
        <v>1</v>
      </c>
      <c r="G33">
        <f t="shared" si="3"/>
        <v>0</v>
      </c>
      <c r="H33">
        <f t="shared" si="3"/>
        <v>0</v>
      </c>
      <c r="I33">
        <f t="shared" si="3"/>
        <v>0</v>
      </c>
      <c r="J33">
        <f t="shared" si="2"/>
        <v>1</v>
      </c>
    </row>
    <row r="34" spans="1:10" hidden="1">
      <c r="A34">
        <v>27</v>
      </c>
      <c r="C34">
        <f t="shared" si="0"/>
        <v>0</v>
      </c>
      <c r="D34">
        <f t="shared" ref="D34:I43" si="4">COUNTIF(D$58:D$106,$A34)</f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0</v>
      </c>
      <c r="I34">
        <f t="shared" si="4"/>
        <v>0</v>
      </c>
      <c r="J34">
        <f t="shared" si="2"/>
        <v>0</v>
      </c>
    </row>
    <row r="35" spans="1:10" hidden="1">
      <c r="A35">
        <v>28</v>
      </c>
      <c r="C35">
        <f t="shared" si="0"/>
        <v>0</v>
      </c>
      <c r="D35">
        <f t="shared" si="4"/>
        <v>0</v>
      </c>
      <c r="E35">
        <f t="shared" si="4"/>
        <v>0</v>
      </c>
      <c r="F35">
        <f t="shared" si="4"/>
        <v>0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2"/>
        <v>0</v>
      </c>
    </row>
    <row r="36" spans="1:10" hidden="1">
      <c r="A36">
        <v>29</v>
      </c>
      <c r="C36">
        <f t="shared" si="0"/>
        <v>0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0</v>
      </c>
      <c r="J36">
        <f t="shared" si="2"/>
        <v>0</v>
      </c>
    </row>
    <row r="37" spans="1:10" hidden="1">
      <c r="A37">
        <v>30</v>
      </c>
      <c r="C37">
        <f t="shared" si="0"/>
        <v>0</v>
      </c>
      <c r="D37">
        <f t="shared" si="4"/>
        <v>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2"/>
        <v>0</v>
      </c>
    </row>
    <row r="38" spans="1:10" hidden="1">
      <c r="A38">
        <v>31</v>
      </c>
      <c r="C38">
        <f t="shared" si="0"/>
        <v>0</v>
      </c>
      <c r="D38">
        <f t="shared" si="4"/>
        <v>0</v>
      </c>
      <c r="E38">
        <f t="shared" si="4"/>
        <v>0</v>
      </c>
      <c r="F38">
        <f t="shared" si="4"/>
        <v>1</v>
      </c>
      <c r="G38">
        <f t="shared" si="4"/>
        <v>1</v>
      </c>
      <c r="H38">
        <f t="shared" si="4"/>
        <v>0</v>
      </c>
      <c r="I38">
        <f t="shared" si="4"/>
        <v>0</v>
      </c>
      <c r="J38">
        <f t="shared" si="2"/>
        <v>2</v>
      </c>
    </row>
    <row r="39" spans="1:10" hidden="1">
      <c r="A39">
        <v>32</v>
      </c>
      <c r="C39">
        <f t="shared" si="0"/>
        <v>0</v>
      </c>
      <c r="D39">
        <f t="shared" si="4"/>
        <v>1</v>
      </c>
      <c r="E39">
        <f t="shared" si="4"/>
        <v>0</v>
      </c>
      <c r="F39">
        <f t="shared" si="4"/>
        <v>2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2"/>
        <v>3</v>
      </c>
    </row>
    <row r="40" spans="1:10" hidden="1">
      <c r="A40">
        <v>33</v>
      </c>
      <c r="C40">
        <f t="shared" ref="C40:C56" si="5">COUNTIF(C$58:C$106,$A40)</f>
        <v>0</v>
      </c>
      <c r="D40">
        <f t="shared" si="4"/>
        <v>1</v>
      </c>
      <c r="E40">
        <f t="shared" si="4"/>
        <v>0</v>
      </c>
      <c r="F40">
        <f t="shared" si="4"/>
        <v>0</v>
      </c>
      <c r="G40">
        <f t="shared" si="4"/>
        <v>1</v>
      </c>
      <c r="H40">
        <f t="shared" si="4"/>
        <v>0</v>
      </c>
      <c r="I40">
        <f t="shared" si="4"/>
        <v>1</v>
      </c>
      <c r="J40">
        <f t="shared" si="2"/>
        <v>3</v>
      </c>
    </row>
    <row r="41" spans="1:10" hidden="1">
      <c r="A41">
        <v>34</v>
      </c>
      <c r="C41">
        <f t="shared" si="5"/>
        <v>0</v>
      </c>
      <c r="D41">
        <f t="shared" si="4"/>
        <v>0</v>
      </c>
      <c r="E41">
        <f t="shared" si="4"/>
        <v>1</v>
      </c>
      <c r="F41">
        <f t="shared" si="4"/>
        <v>1</v>
      </c>
      <c r="G41">
        <f t="shared" si="4"/>
        <v>0</v>
      </c>
      <c r="H41">
        <f t="shared" si="4"/>
        <v>0</v>
      </c>
      <c r="I41">
        <f t="shared" si="4"/>
        <v>0</v>
      </c>
      <c r="J41">
        <f t="shared" si="2"/>
        <v>2</v>
      </c>
    </row>
    <row r="42" spans="1:10" hidden="1">
      <c r="A42">
        <v>35</v>
      </c>
      <c r="C42">
        <f t="shared" si="5"/>
        <v>0</v>
      </c>
      <c r="D42">
        <f t="shared" si="4"/>
        <v>0</v>
      </c>
      <c r="E42">
        <f t="shared" si="4"/>
        <v>0</v>
      </c>
      <c r="F42">
        <f t="shared" si="4"/>
        <v>2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2"/>
        <v>4</v>
      </c>
    </row>
    <row r="43" spans="1:10" hidden="1">
      <c r="A43">
        <v>36</v>
      </c>
      <c r="C43">
        <f t="shared" si="5"/>
        <v>0</v>
      </c>
      <c r="D43">
        <f t="shared" si="4"/>
        <v>0</v>
      </c>
      <c r="E43">
        <f t="shared" si="4"/>
        <v>1</v>
      </c>
      <c r="F43">
        <f t="shared" si="4"/>
        <v>0</v>
      </c>
      <c r="G43">
        <f t="shared" si="4"/>
        <v>1</v>
      </c>
      <c r="H43">
        <f t="shared" si="4"/>
        <v>0</v>
      </c>
      <c r="I43">
        <f t="shared" si="4"/>
        <v>0</v>
      </c>
      <c r="J43">
        <f t="shared" si="2"/>
        <v>2</v>
      </c>
    </row>
    <row r="44" spans="1:10" hidden="1">
      <c r="A44">
        <v>37</v>
      </c>
      <c r="C44">
        <f t="shared" si="5"/>
        <v>0</v>
      </c>
      <c r="D44">
        <f t="shared" ref="D44:I56" si="6">COUNTIF(D$58:D$106,$A44)</f>
        <v>0</v>
      </c>
      <c r="E44">
        <f t="shared" si="6"/>
        <v>0</v>
      </c>
      <c r="F44">
        <f t="shared" si="6"/>
        <v>1</v>
      </c>
      <c r="G44">
        <f t="shared" si="6"/>
        <v>2</v>
      </c>
      <c r="H44">
        <f t="shared" si="6"/>
        <v>0</v>
      </c>
      <c r="I44">
        <f t="shared" si="6"/>
        <v>0</v>
      </c>
      <c r="J44">
        <f t="shared" si="2"/>
        <v>3</v>
      </c>
    </row>
    <row r="45" spans="1:10" hidden="1">
      <c r="A45">
        <v>38</v>
      </c>
      <c r="C45">
        <f t="shared" si="5"/>
        <v>0</v>
      </c>
      <c r="D45">
        <f t="shared" si="6"/>
        <v>1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1</v>
      </c>
      <c r="I45">
        <f t="shared" si="6"/>
        <v>0</v>
      </c>
      <c r="J45">
        <f t="shared" si="2"/>
        <v>2</v>
      </c>
    </row>
    <row r="46" spans="1:10" hidden="1">
      <c r="A46">
        <v>39</v>
      </c>
      <c r="C46">
        <f t="shared" si="5"/>
        <v>0</v>
      </c>
      <c r="D46">
        <f t="shared" si="6"/>
        <v>0</v>
      </c>
      <c r="E46">
        <f t="shared" si="6"/>
        <v>0</v>
      </c>
      <c r="F46">
        <f t="shared" si="6"/>
        <v>0</v>
      </c>
      <c r="G46">
        <f t="shared" si="6"/>
        <v>3</v>
      </c>
      <c r="H46">
        <f t="shared" si="6"/>
        <v>2</v>
      </c>
      <c r="I46">
        <f t="shared" si="6"/>
        <v>0</v>
      </c>
      <c r="J46">
        <f t="shared" si="2"/>
        <v>5</v>
      </c>
    </row>
    <row r="47" spans="1:10" hidden="1">
      <c r="A47">
        <v>40</v>
      </c>
      <c r="C47">
        <f t="shared" si="5"/>
        <v>0</v>
      </c>
      <c r="D47">
        <f t="shared" si="6"/>
        <v>0</v>
      </c>
      <c r="E47">
        <f t="shared" si="6"/>
        <v>1</v>
      </c>
      <c r="F47">
        <f t="shared" si="6"/>
        <v>0</v>
      </c>
      <c r="G47">
        <f t="shared" si="6"/>
        <v>1</v>
      </c>
      <c r="H47">
        <f t="shared" si="6"/>
        <v>0</v>
      </c>
      <c r="I47">
        <f t="shared" si="6"/>
        <v>0</v>
      </c>
      <c r="J47">
        <f t="shared" si="2"/>
        <v>2</v>
      </c>
    </row>
    <row r="48" spans="1:10" hidden="1">
      <c r="A48">
        <v>41</v>
      </c>
      <c r="C48">
        <f t="shared" si="5"/>
        <v>0</v>
      </c>
      <c r="D48">
        <f t="shared" si="6"/>
        <v>0</v>
      </c>
      <c r="E48">
        <f t="shared" si="6"/>
        <v>1</v>
      </c>
      <c r="F48">
        <f t="shared" si="6"/>
        <v>0</v>
      </c>
      <c r="G48">
        <f t="shared" si="6"/>
        <v>0</v>
      </c>
      <c r="H48">
        <f t="shared" si="6"/>
        <v>1</v>
      </c>
      <c r="I48">
        <f t="shared" si="6"/>
        <v>1</v>
      </c>
      <c r="J48">
        <f t="shared" si="2"/>
        <v>3</v>
      </c>
    </row>
    <row r="49" spans="1:10" hidden="1">
      <c r="A49">
        <v>42</v>
      </c>
      <c r="C49">
        <f t="shared" si="5"/>
        <v>0</v>
      </c>
      <c r="D49">
        <f t="shared" si="6"/>
        <v>0</v>
      </c>
      <c r="E49">
        <f t="shared" si="6"/>
        <v>0</v>
      </c>
      <c r="F49">
        <f t="shared" si="6"/>
        <v>2</v>
      </c>
      <c r="G49">
        <f t="shared" si="6"/>
        <v>0</v>
      </c>
      <c r="H49">
        <f t="shared" si="6"/>
        <v>2</v>
      </c>
      <c r="I49">
        <f t="shared" si="6"/>
        <v>1</v>
      </c>
      <c r="J49">
        <f t="shared" si="2"/>
        <v>5</v>
      </c>
    </row>
    <row r="50" spans="1:10" hidden="1">
      <c r="A50">
        <v>43</v>
      </c>
      <c r="C50">
        <f t="shared" si="5"/>
        <v>0</v>
      </c>
      <c r="D50">
        <f t="shared" si="6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1</v>
      </c>
      <c r="I50">
        <f t="shared" si="6"/>
        <v>0</v>
      </c>
      <c r="J50">
        <f t="shared" si="2"/>
        <v>1</v>
      </c>
    </row>
    <row r="51" spans="1:10" hidden="1">
      <c r="A51">
        <v>44</v>
      </c>
      <c r="C51">
        <f t="shared" si="5"/>
        <v>0</v>
      </c>
      <c r="D51">
        <f t="shared" si="6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2"/>
        <v>0</v>
      </c>
    </row>
    <row r="52" spans="1:10" hidden="1">
      <c r="A52">
        <v>45</v>
      </c>
      <c r="C52">
        <f t="shared" si="5"/>
        <v>0</v>
      </c>
      <c r="D52">
        <f t="shared" si="6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2</v>
      </c>
      <c r="I52">
        <f t="shared" si="6"/>
        <v>0</v>
      </c>
      <c r="J52">
        <f t="shared" si="2"/>
        <v>2</v>
      </c>
    </row>
    <row r="53" spans="1:10" hidden="1">
      <c r="A53">
        <v>46</v>
      </c>
      <c r="C53">
        <f t="shared" si="5"/>
        <v>0</v>
      </c>
      <c r="D53">
        <f t="shared" si="6"/>
        <v>0</v>
      </c>
      <c r="E53">
        <f t="shared" si="6"/>
        <v>0</v>
      </c>
      <c r="F53">
        <f t="shared" si="6"/>
        <v>0</v>
      </c>
      <c r="G53">
        <f t="shared" si="6"/>
        <v>1</v>
      </c>
      <c r="H53">
        <f t="shared" si="6"/>
        <v>0</v>
      </c>
      <c r="I53">
        <f t="shared" si="6"/>
        <v>1</v>
      </c>
      <c r="J53">
        <f t="shared" si="2"/>
        <v>2</v>
      </c>
    </row>
    <row r="54" spans="1:10" hidden="1">
      <c r="A54">
        <v>47</v>
      </c>
      <c r="C54">
        <f t="shared" si="5"/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2</v>
      </c>
      <c r="H54">
        <f t="shared" si="6"/>
        <v>2</v>
      </c>
      <c r="I54">
        <f t="shared" si="6"/>
        <v>1</v>
      </c>
      <c r="J54">
        <f t="shared" si="2"/>
        <v>5</v>
      </c>
    </row>
    <row r="55" spans="1:10" hidden="1">
      <c r="A55">
        <v>48</v>
      </c>
      <c r="C55">
        <f t="shared" si="5"/>
        <v>0</v>
      </c>
      <c r="D55">
        <f t="shared" si="6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2"/>
        <v>0</v>
      </c>
    </row>
    <row r="56" spans="1:10" hidden="1">
      <c r="A56">
        <v>49</v>
      </c>
      <c r="C56">
        <f t="shared" si="5"/>
        <v>0</v>
      </c>
      <c r="D56">
        <f t="shared" si="6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2</v>
      </c>
      <c r="I56">
        <f t="shared" si="6"/>
        <v>0</v>
      </c>
      <c r="J56">
        <f t="shared" si="2"/>
        <v>2</v>
      </c>
    </row>
    <row r="57" spans="1:10">
      <c r="A57" t="s">
        <v>203</v>
      </c>
      <c r="B57" t="s">
        <v>213</v>
      </c>
      <c r="C57" t="s">
        <v>204</v>
      </c>
      <c r="D57" t="s">
        <v>205</v>
      </c>
      <c r="E57" t="s">
        <v>206</v>
      </c>
      <c r="F57" t="s">
        <v>207</v>
      </c>
      <c r="G57" t="s">
        <v>208</v>
      </c>
      <c r="H57" t="s">
        <v>209</v>
      </c>
      <c r="I57" t="s">
        <v>210</v>
      </c>
    </row>
    <row r="58" spans="1:10" ht="13.15">
      <c r="A58" s="393" t="s">
        <v>212</v>
      </c>
      <c r="B58" s="396">
        <v>40547</v>
      </c>
      <c r="C58" s="395">
        <v>14</v>
      </c>
      <c r="D58" s="395">
        <v>19</v>
      </c>
      <c r="E58" s="395">
        <v>23</v>
      </c>
      <c r="F58" s="395">
        <v>35</v>
      </c>
      <c r="G58" s="395">
        <v>37</v>
      </c>
      <c r="H58" s="395">
        <v>47</v>
      </c>
      <c r="I58" s="394">
        <v>42</v>
      </c>
    </row>
    <row r="59" spans="1:10" ht="13.15">
      <c r="A59" s="393" t="s">
        <v>214</v>
      </c>
      <c r="B59" s="396">
        <v>40550</v>
      </c>
      <c r="C59" s="395">
        <v>11</v>
      </c>
      <c r="D59" s="395">
        <v>13</v>
      </c>
      <c r="E59" s="395">
        <v>34</v>
      </c>
      <c r="F59" s="395">
        <v>35</v>
      </c>
      <c r="G59" s="395">
        <v>47</v>
      </c>
      <c r="H59" s="395">
        <v>49</v>
      </c>
      <c r="I59" s="394">
        <v>20</v>
      </c>
    </row>
    <row r="60" spans="1:10" ht="13.15">
      <c r="A60" s="393" t="s">
        <v>215</v>
      </c>
      <c r="B60" s="396">
        <v>40554</v>
      </c>
      <c r="C60" s="395">
        <v>7</v>
      </c>
      <c r="D60" s="395">
        <v>10</v>
      </c>
      <c r="E60" s="395">
        <v>11</v>
      </c>
      <c r="F60" s="395">
        <v>12</v>
      </c>
      <c r="G60" s="395">
        <v>14</v>
      </c>
      <c r="H60" s="395">
        <v>20</v>
      </c>
      <c r="I60" s="394">
        <v>41</v>
      </c>
    </row>
    <row r="61" spans="1:10" ht="13.15">
      <c r="A61" s="393" t="s">
        <v>216</v>
      </c>
      <c r="B61" s="396">
        <v>40557</v>
      </c>
      <c r="C61" s="395">
        <v>16</v>
      </c>
      <c r="D61" s="395">
        <v>17</v>
      </c>
      <c r="E61" s="395">
        <v>20</v>
      </c>
      <c r="F61" s="395">
        <v>32</v>
      </c>
      <c r="G61" s="395">
        <v>39</v>
      </c>
      <c r="H61" s="395">
        <v>45</v>
      </c>
      <c r="I61" s="394">
        <v>46</v>
      </c>
    </row>
    <row r="62" spans="1:10" ht="13.15">
      <c r="A62" s="393" t="s">
        <v>217</v>
      </c>
      <c r="B62" s="396">
        <v>40561</v>
      </c>
      <c r="C62" s="395">
        <v>15</v>
      </c>
      <c r="D62" s="395">
        <v>38</v>
      </c>
      <c r="E62" s="395">
        <v>40</v>
      </c>
      <c r="F62" s="395">
        <v>42</v>
      </c>
      <c r="G62" s="395">
        <v>46</v>
      </c>
      <c r="H62" s="395">
        <v>47</v>
      </c>
      <c r="I62" s="394">
        <v>17</v>
      </c>
    </row>
    <row r="63" spans="1:10" ht="13.15">
      <c r="A63" s="393" t="s">
        <v>218</v>
      </c>
      <c r="B63" s="396">
        <v>40564</v>
      </c>
      <c r="C63" s="395">
        <v>2</v>
      </c>
      <c r="D63" s="395">
        <v>32</v>
      </c>
      <c r="E63" s="395">
        <v>36</v>
      </c>
      <c r="F63" s="395">
        <v>37</v>
      </c>
      <c r="G63" s="395">
        <v>39</v>
      </c>
      <c r="H63" s="395">
        <v>43</v>
      </c>
      <c r="I63" s="394">
        <v>3</v>
      </c>
    </row>
    <row r="64" spans="1:10" ht="13.15">
      <c r="A64" s="393" t="s">
        <v>219</v>
      </c>
      <c r="B64" s="396">
        <v>40568</v>
      </c>
      <c r="C64" s="395">
        <v>12</v>
      </c>
      <c r="D64" s="395">
        <v>13</v>
      </c>
      <c r="E64" s="395">
        <v>17</v>
      </c>
      <c r="F64" s="395">
        <v>21</v>
      </c>
      <c r="G64" s="395">
        <v>31</v>
      </c>
      <c r="H64" s="395">
        <v>39</v>
      </c>
      <c r="I64" s="394">
        <v>20</v>
      </c>
    </row>
    <row r="65" spans="1:9" ht="13.15">
      <c r="A65" s="393" t="s">
        <v>220</v>
      </c>
      <c r="B65" s="396">
        <v>40571</v>
      </c>
      <c r="C65" s="395">
        <v>3</v>
      </c>
      <c r="D65" s="395">
        <v>4</v>
      </c>
      <c r="E65" s="395">
        <v>13</v>
      </c>
      <c r="F65" s="395">
        <v>18</v>
      </c>
      <c r="G65" s="395">
        <v>24</v>
      </c>
      <c r="H65" s="395">
        <v>42</v>
      </c>
      <c r="I65" s="394">
        <v>47</v>
      </c>
    </row>
    <row r="66" spans="1:9" ht="13.15">
      <c r="A66" s="393" t="s">
        <v>221</v>
      </c>
      <c r="B66" s="396">
        <v>40575</v>
      </c>
      <c r="C66" s="395">
        <v>1</v>
      </c>
      <c r="D66" s="395">
        <v>6</v>
      </c>
      <c r="E66" s="395">
        <v>17</v>
      </c>
      <c r="F66" s="395">
        <v>25</v>
      </c>
      <c r="G66" s="395">
        <v>40</v>
      </c>
      <c r="H66" s="395">
        <v>42</v>
      </c>
      <c r="I66" s="394">
        <v>15</v>
      </c>
    </row>
    <row r="67" spans="1:9" ht="13.15">
      <c r="A67" s="393" t="s">
        <v>222</v>
      </c>
      <c r="B67" s="396">
        <v>40578</v>
      </c>
      <c r="C67" s="395">
        <v>10</v>
      </c>
      <c r="D67" s="395">
        <v>33</v>
      </c>
      <c r="E67" s="395">
        <v>41</v>
      </c>
      <c r="F67" s="395">
        <v>42</v>
      </c>
      <c r="G67" s="395">
        <v>47</v>
      </c>
      <c r="H67" s="395">
        <v>49</v>
      </c>
      <c r="I67" s="394">
        <v>3</v>
      </c>
    </row>
    <row r="68" spans="1:9" ht="13.15">
      <c r="A68" s="393" t="s">
        <v>223</v>
      </c>
      <c r="B68" s="396">
        <v>40582</v>
      </c>
      <c r="C68" s="395">
        <v>5</v>
      </c>
      <c r="D68" s="395">
        <v>6</v>
      </c>
      <c r="E68" s="395">
        <v>23</v>
      </c>
      <c r="F68" s="395">
        <v>31</v>
      </c>
      <c r="G68" s="395">
        <v>39</v>
      </c>
      <c r="H68" s="395">
        <v>41</v>
      </c>
      <c r="I68" s="394">
        <v>16</v>
      </c>
    </row>
    <row r="69" spans="1:9" ht="13.15">
      <c r="A69" s="393" t="s">
        <v>232</v>
      </c>
      <c r="B69" s="396">
        <v>40585</v>
      </c>
      <c r="C69" s="395">
        <v>3</v>
      </c>
      <c r="D69" s="395">
        <v>4</v>
      </c>
      <c r="E69" s="395">
        <v>7</v>
      </c>
      <c r="F69" s="395">
        <v>34</v>
      </c>
      <c r="G69" s="395">
        <v>36</v>
      </c>
      <c r="H69" s="395">
        <v>45</v>
      </c>
      <c r="I69" s="394">
        <v>24</v>
      </c>
    </row>
    <row r="70" spans="1:9" ht="13.15">
      <c r="A70" s="393" t="s">
        <v>233</v>
      </c>
      <c r="B70" s="396">
        <v>40589</v>
      </c>
      <c r="C70" s="395">
        <v>9</v>
      </c>
      <c r="D70" s="395">
        <v>12</v>
      </c>
      <c r="E70" s="395">
        <v>15</v>
      </c>
      <c r="F70" s="395">
        <v>24</v>
      </c>
      <c r="G70" s="395">
        <v>33</v>
      </c>
      <c r="H70" s="395">
        <v>35</v>
      </c>
      <c r="I70" s="394">
        <v>18</v>
      </c>
    </row>
    <row r="71" spans="1:9" ht="13.15">
      <c r="A71" s="393" t="s">
        <v>234</v>
      </c>
      <c r="B71" s="396">
        <v>40592</v>
      </c>
      <c r="C71" s="395">
        <v>14</v>
      </c>
      <c r="D71" s="395">
        <v>20</v>
      </c>
      <c r="E71" s="395">
        <v>23</v>
      </c>
      <c r="F71" s="395">
        <v>26</v>
      </c>
      <c r="G71" s="395">
        <v>37</v>
      </c>
      <c r="H71" s="395">
        <v>38</v>
      </c>
      <c r="I71" s="394">
        <v>33</v>
      </c>
    </row>
    <row r="72" spans="1:9" ht="13.15">
      <c r="A72" s="393" t="s">
        <v>235</v>
      </c>
      <c r="B72" s="396">
        <v>40596</v>
      </c>
      <c r="C72" s="395">
        <v>13</v>
      </c>
      <c r="D72" s="395">
        <v>15</v>
      </c>
      <c r="E72" s="395">
        <v>20</v>
      </c>
      <c r="F72" s="395">
        <v>32</v>
      </c>
      <c r="G72" s="395">
        <v>35</v>
      </c>
      <c r="H72" s="395">
        <v>39</v>
      </c>
      <c r="I72" s="394">
        <v>11</v>
      </c>
    </row>
    <row r="73" spans="1:9" ht="13.15">
      <c r="B73" s="396"/>
      <c r="C73" s="395"/>
      <c r="D73" s="395"/>
      <c r="E73" s="395"/>
      <c r="F73" s="395"/>
      <c r="G73" s="395"/>
      <c r="H73" s="395"/>
      <c r="I73" s="394"/>
    </row>
    <row r="74" spans="1:9" ht="13.15">
      <c r="B74" s="396"/>
      <c r="C74" s="395"/>
      <c r="D74" s="395"/>
      <c r="E74" s="395"/>
      <c r="F74" s="395"/>
      <c r="G74" s="395"/>
      <c r="H74" s="395"/>
      <c r="I74" s="394"/>
    </row>
    <row r="75" spans="1:9" ht="13.15">
      <c r="B75" s="396"/>
      <c r="C75" s="395"/>
      <c r="D75" s="395"/>
      <c r="E75" s="395"/>
      <c r="F75" s="395"/>
      <c r="G75" s="395"/>
      <c r="H75" s="395"/>
      <c r="I75" s="394"/>
    </row>
    <row r="76" spans="1:9" ht="13.15">
      <c r="B76" s="396"/>
      <c r="C76" s="395"/>
      <c r="D76" s="395"/>
      <c r="E76" s="395"/>
      <c r="F76" s="395"/>
      <c r="G76" s="395"/>
      <c r="H76" s="395"/>
      <c r="I76" s="394"/>
    </row>
    <row r="77" spans="1:9" ht="13.15">
      <c r="B77" s="396"/>
      <c r="C77" s="395"/>
      <c r="D77" s="395"/>
      <c r="E77" s="395"/>
      <c r="F77" s="395"/>
      <c r="G77" s="395"/>
      <c r="H77" s="395"/>
      <c r="I77" s="394"/>
    </row>
    <row r="78" spans="1:9" ht="13.15">
      <c r="B78" s="396"/>
      <c r="C78" s="395"/>
      <c r="D78" s="395"/>
      <c r="E78" s="395"/>
      <c r="F78" s="395"/>
      <c r="G78" s="395"/>
      <c r="H78" s="395"/>
      <c r="I78" s="394"/>
    </row>
    <row r="79" spans="1:9" ht="13.15">
      <c r="B79" s="396"/>
      <c r="C79" s="395"/>
      <c r="D79" s="395"/>
      <c r="E79" s="395"/>
      <c r="F79" s="395"/>
      <c r="G79" s="395"/>
      <c r="H79" s="395"/>
      <c r="I79" s="394"/>
    </row>
    <row r="80" spans="1:9" ht="13.15">
      <c r="B80" s="396"/>
      <c r="C80" s="395"/>
      <c r="D80" s="395"/>
      <c r="E80" s="395"/>
      <c r="F80" s="395"/>
      <c r="G80" s="395"/>
      <c r="H80" s="395"/>
      <c r="I80" s="394"/>
    </row>
    <row r="81" spans="2:9" ht="13.15">
      <c r="B81" s="396"/>
      <c r="C81" s="395"/>
      <c r="D81" s="395"/>
      <c r="E81" s="395"/>
      <c r="F81" s="395"/>
      <c r="G81" s="395"/>
      <c r="H81" s="395"/>
      <c r="I81" s="394"/>
    </row>
    <row r="82" spans="2:9" ht="13.15">
      <c r="B82" s="396"/>
      <c r="C82" s="395"/>
      <c r="D82" s="395"/>
      <c r="E82" s="395"/>
      <c r="F82" s="395"/>
      <c r="G82" s="395"/>
      <c r="H82" s="395"/>
      <c r="I82" s="394"/>
    </row>
    <row r="83" spans="2:9" ht="13.15">
      <c r="B83" s="396"/>
      <c r="C83" s="395"/>
      <c r="D83" s="395"/>
      <c r="E83" s="395"/>
      <c r="F83" s="395"/>
      <c r="G83" s="395"/>
      <c r="H83" s="395"/>
      <c r="I83" s="394"/>
    </row>
    <row r="84" spans="2:9" ht="13.15">
      <c r="B84" s="396"/>
      <c r="C84" s="395"/>
      <c r="D84" s="395"/>
      <c r="E84" s="395"/>
      <c r="F84" s="395"/>
      <c r="G84" s="395"/>
      <c r="H84" s="395"/>
      <c r="I84" s="394"/>
    </row>
    <row r="85" spans="2:9" ht="13.15">
      <c r="B85" s="396"/>
      <c r="C85" s="395"/>
      <c r="D85" s="395"/>
      <c r="E85" s="395"/>
      <c r="F85" s="395"/>
      <c r="G85" s="395"/>
      <c r="H85" s="395"/>
      <c r="I85" s="394"/>
    </row>
    <row r="86" spans="2:9" ht="13.15">
      <c r="B86" s="396"/>
      <c r="C86" s="395"/>
      <c r="D86" s="395"/>
      <c r="E86" s="395"/>
      <c r="F86" s="395"/>
      <c r="G86" s="395"/>
      <c r="H86" s="395"/>
      <c r="I86" s="394"/>
    </row>
    <row r="87" spans="2:9" ht="13.15">
      <c r="B87" s="396"/>
      <c r="C87" s="395"/>
      <c r="D87" s="395"/>
      <c r="E87" s="395"/>
      <c r="F87" s="395"/>
      <c r="G87" s="395"/>
      <c r="H87" s="395"/>
      <c r="I87" s="394"/>
    </row>
    <row r="88" spans="2:9" ht="13.15">
      <c r="B88" s="396"/>
      <c r="C88" s="395"/>
      <c r="D88" s="395"/>
      <c r="E88" s="395"/>
      <c r="F88" s="395"/>
      <c r="G88" s="395"/>
      <c r="H88" s="395"/>
      <c r="I88" s="394"/>
    </row>
    <row r="89" spans="2:9" ht="13.15">
      <c r="B89" s="396"/>
      <c r="C89" s="395"/>
      <c r="D89" s="395"/>
      <c r="E89" s="395"/>
      <c r="F89" s="395"/>
      <c r="G89" s="395"/>
      <c r="H89" s="395"/>
      <c r="I89" s="394"/>
    </row>
    <row r="90" spans="2:9" ht="13.15">
      <c r="B90" s="396"/>
      <c r="C90" s="395"/>
      <c r="D90" s="395"/>
      <c r="E90" s="395"/>
      <c r="F90" s="395"/>
      <c r="G90" s="395"/>
      <c r="H90" s="395"/>
      <c r="I90" s="394"/>
    </row>
    <row r="91" spans="2:9" ht="13.15">
      <c r="B91" s="396"/>
      <c r="C91" s="395"/>
      <c r="D91" s="395"/>
      <c r="E91" s="395"/>
      <c r="F91" s="395"/>
      <c r="G91" s="395"/>
      <c r="H91" s="395"/>
      <c r="I91" s="394"/>
    </row>
    <row r="92" spans="2:9" ht="13.15">
      <c r="B92" s="396"/>
      <c r="C92" s="395"/>
      <c r="D92" s="395"/>
      <c r="E92" s="395"/>
      <c r="F92" s="395"/>
      <c r="G92" s="395"/>
      <c r="H92" s="395"/>
      <c r="I92" s="394"/>
    </row>
    <row r="93" spans="2:9" ht="13.15">
      <c r="B93" s="396"/>
      <c r="C93" s="395"/>
      <c r="D93" s="395"/>
      <c r="E93" s="395"/>
      <c r="F93" s="395"/>
      <c r="G93" s="395"/>
      <c r="H93" s="395"/>
      <c r="I93" s="394"/>
    </row>
    <row r="94" spans="2:9" ht="13.15">
      <c r="B94" s="396"/>
      <c r="C94" s="395"/>
      <c r="D94" s="395"/>
      <c r="E94" s="395"/>
      <c r="F94" s="395"/>
      <c r="G94" s="395"/>
      <c r="H94" s="395"/>
      <c r="I94" s="394"/>
    </row>
    <row r="95" spans="2:9" ht="13.15">
      <c r="B95" s="396"/>
      <c r="C95" s="395"/>
      <c r="D95" s="395"/>
      <c r="E95" s="395"/>
      <c r="F95" s="395"/>
      <c r="G95" s="395"/>
      <c r="H95" s="395"/>
      <c r="I95" s="394"/>
    </row>
    <row r="96" spans="2:9" ht="13.15">
      <c r="B96" s="396"/>
      <c r="C96" s="395"/>
      <c r="D96" s="395"/>
      <c r="E96" s="395"/>
      <c r="F96" s="395"/>
      <c r="G96" s="395"/>
      <c r="H96" s="395"/>
      <c r="I96" s="394"/>
    </row>
    <row r="97" spans="2:9" ht="13.15">
      <c r="B97" s="396"/>
      <c r="C97" s="395"/>
      <c r="D97" s="395"/>
      <c r="E97" s="395"/>
      <c r="F97" s="395"/>
      <c r="G97" s="395"/>
      <c r="H97" s="395"/>
      <c r="I97" s="394"/>
    </row>
    <row r="98" spans="2:9" ht="13.15">
      <c r="B98" s="396"/>
      <c r="C98" s="395"/>
      <c r="D98" s="395"/>
      <c r="E98" s="395"/>
      <c r="F98" s="395"/>
      <c r="G98" s="395"/>
      <c r="H98" s="395"/>
      <c r="I98" s="394"/>
    </row>
    <row r="99" spans="2:9" ht="13.15">
      <c r="B99" s="396"/>
      <c r="C99" s="395"/>
      <c r="D99" s="395"/>
      <c r="E99" s="395"/>
      <c r="F99" s="395"/>
      <c r="G99" s="395"/>
      <c r="H99" s="395"/>
      <c r="I99" s="394"/>
    </row>
    <row r="100" spans="2:9" ht="13.15">
      <c r="B100" s="396"/>
      <c r="C100" s="395"/>
      <c r="D100" s="395"/>
      <c r="E100" s="395"/>
      <c r="F100" s="395"/>
      <c r="G100" s="395"/>
      <c r="H100" s="395"/>
      <c r="I100" s="394"/>
    </row>
    <row r="101" spans="2:9" ht="13.15">
      <c r="B101" s="396"/>
      <c r="C101" s="395"/>
      <c r="D101" s="395"/>
      <c r="E101" s="395"/>
      <c r="F101" s="395"/>
      <c r="G101" s="395"/>
      <c r="H101" s="395"/>
      <c r="I101" s="394"/>
    </row>
    <row r="102" spans="2:9" ht="13.15">
      <c r="B102" s="396"/>
      <c r="C102" s="395"/>
      <c r="D102" s="395"/>
      <c r="E102" s="395"/>
      <c r="F102" s="395"/>
      <c r="G102" s="395"/>
      <c r="H102" s="395"/>
      <c r="I102" s="394"/>
    </row>
    <row r="103" spans="2:9" ht="13.15">
      <c r="B103" s="396"/>
      <c r="C103" s="395"/>
      <c r="D103" s="395"/>
      <c r="E103" s="395"/>
      <c r="F103" s="395"/>
      <c r="G103" s="395"/>
      <c r="H103" s="395"/>
      <c r="I103" s="394"/>
    </row>
    <row r="104" spans="2:9" ht="13.15">
      <c r="B104" s="396"/>
      <c r="C104" s="395"/>
      <c r="D104" s="395"/>
      <c r="E104" s="395"/>
      <c r="F104" s="395"/>
      <c r="G104" s="395"/>
      <c r="H104" s="395"/>
      <c r="I104" s="394"/>
    </row>
    <row r="105" spans="2:9" ht="13.15">
      <c r="B105" s="396"/>
      <c r="C105" s="395"/>
      <c r="D105" s="395"/>
      <c r="E105" s="395"/>
      <c r="F105" s="395"/>
      <c r="G105" s="395"/>
      <c r="H105" s="395"/>
      <c r="I105" s="394"/>
    </row>
    <row r="106" spans="2:9" ht="13.15">
      <c r="B106" s="396"/>
      <c r="C106" s="395"/>
      <c r="D106" s="395"/>
      <c r="E106" s="395"/>
      <c r="F106" s="395"/>
      <c r="G106" s="395"/>
      <c r="H106" s="395"/>
      <c r="I106" s="394"/>
    </row>
  </sheetData>
  <phoneticPr fontId="18" type="noConversion"/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N76"/>
  <sheetViews>
    <sheetView workbookViewId="0">
      <selection activeCell="O5" sqref="O5"/>
    </sheetView>
  </sheetViews>
  <sheetFormatPr defaultColWidth="8.73046875" defaultRowHeight="12.75"/>
  <cols>
    <col min="2" max="3" width="9.73046875" bestFit="1" customWidth="1"/>
    <col min="5" max="6" width="9.73046875" bestFit="1" customWidth="1"/>
    <col min="14" max="14" width="11.1328125" bestFit="1" customWidth="1"/>
  </cols>
  <sheetData>
    <row r="1" spans="1:14" ht="13.9">
      <c r="A1" s="344" t="s">
        <v>165</v>
      </c>
    </row>
    <row r="2" spans="1:14"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</row>
    <row r="3" spans="1:14">
      <c r="A3">
        <v>2015</v>
      </c>
      <c r="B3" s="204">
        <f>'2015年總表'!D37</f>
        <v>0</v>
      </c>
      <c r="C3" s="204">
        <f>'2015年總表'!E37</f>
        <v>0</v>
      </c>
      <c r="D3" s="204">
        <f>'2015年總表'!F37</f>
        <v>0</v>
      </c>
      <c r="E3" s="204">
        <f>'2015年總表'!G37</f>
        <v>0</v>
      </c>
      <c r="F3" s="204">
        <f>'2015年總表'!H37</f>
        <v>0</v>
      </c>
      <c r="G3" s="204">
        <f>'2015年總表'!I37</f>
        <v>0</v>
      </c>
      <c r="H3" s="204">
        <f>'2015年總表'!J37</f>
        <v>0</v>
      </c>
      <c r="I3" s="204">
        <f>'2015年總表'!K37</f>
        <v>0</v>
      </c>
      <c r="J3" s="204">
        <f>'2015年總表'!L37</f>
        <v>0</v>
      </c>
      <c r="K3" s="204">
        <f>'2015年總表'!M37</f>
        <v>0</v>
      </c>
      <c r="L3" s="204">
        <f>'2015年總表'!N37</f>
        <v>0</v>
      </c>
      <c r="M3" s="204">
        <f>'2015年總表'!O37</f>
        <v>0</v>
      </c>
      <c r="N3" s="350"/>
    </row>
    <row r="4" spans="1:14">
      <c r="A4">
        <v>2009</v>
      </c>
      <c r="B4" s="204">
        <f>'2009年總表'!D37</f>
        <v>273027</v>
      </c>
      <c r="C4" s="204">
        <f>'2009年總表'!E37</f>
        <v>274728</v>
      </c>
      <c r="D4" s="204">
        <f>'2009年總表'!F37</f>
        <v>160169</v>
      </c>
      <c r="E4" s="204">
        <f>'2009年總表'!G37</f>
        <v>114423</v>
      </c>
      <c r="F4" s="204">
        <f>'2009年總表'!H37</f>
        <v>246385</v>
      </c>
      <c r="G4" s="204">
        <f>'2009年總表'!I37</f>
        <v>232669</v>
      </c>
      <c r="H4" s="204">
        <f>'2009年總表'!J37</f>
        <v>442669</v>
      </c>
      <c r="I4" s="204">
        <f>'2009年總表'!K37</f>
        <v>153583</v>
      </c>
      <c r="J4" s="204">
        <f>'2009年總表'!L37</f>
        <v>138583</v>
      </c>
      <c r="K4" s="204">
        <f>'2009年總表'!M37</f>
        <v>123583</v>
      </c>
      <c r="L4" s="204">
        <f>'2009年總表'!N37</f>
        <v>143583</v>
      </c>
      <c r="M4" s="204">
        <f>'2009年總表'!O37</f>
        <v>191418</v>
      </c>
      <c r="N4" s="350"/>
    </row>
    <row r="5" spans="1:14">
      <c r="A5">
        <v>2008</v>
      </c>
      <c r="B5" s="204">
        <v>293338</v>
      </c>
      <c r="C5" s="204">
        <v>260969</v>
      </c>
      <c r="D5" s="204">
        <v>304302</v>
      </c>
      <c r="E5" s="204">
        <v>230546</v>
      </c>
      <c r="F5" s="204">
        <v>212932</v>
      </c>
      <c r="G5" s="204">
        <v>255406</v>
      </c>
      <c r="H5" s="204">
        <v>573190</v>
      </c>
      <c r="I5" s="204">
        <v>420722</v>
      </c>
      <c r="J5" s="204">
        <v>364793</v>
      </c>
      <c r="K5" s="204">
        <v>296213</v>
      </c>
      <c r="L5" s="204">
        <v>425606</v>
      </c>
      <c r="M5" s="204">
        <v>235419</v>
      </c>
      <c r="N5" s="350"/>
    </row>
    <row r="38" spans="1:14" ht="13.9">
      <c r="A38" s="344" t="s">
        <v>169</v>
      </c>
    </row>
    <row r="39" spans="1:14">
      <c r="B39" s="2" t="s">
        <v>3</v>
      </c>
      <c r="C39" s="3" t="s">
        <v>4</v>
      </c>
      <c r="D39" s="3" t="s">
        <v>5</v>
      </c>
      <c r="E39" s="3" t="s">
        <v>6</v>
      </c>
      <c r="F39" s="3" t="s">
        <v>7</v>
      </c>
      <c r="G39" s="3" t="s">
        <v>8</v>
      </c>
      <c r="H39" s="3" t="s">
        <v>9</v>
      </c>
      <c r="I39" s="3" t="s">
        <v>10</v>
      </c>
      <c r="J39" s="3" t="s">
        <v>11</v>
      </c>
      <c r="K39" s="3" t="s">
        <v>12</v>
      </c>
      <c r="L39" s="3" t="s">
        <v>13</v>
      </c>
      <c r="M39" s="3" t="s">
        <v>14</v>
      </c>
    </row>
    <row r="40" spans="1:14" ht="13.9">
      <c r="A40" s="351" t="s">
        <v>171</v>
      </c>
      <c r="B40" s="204">
        <v>230366</v>
      </c>
      <c r="C40" s="204">
        <f>B40-12500</f>
        <v>217866</v>
      </c>
      <c r="D40" s="204">
        <f>C40-12500</f>
        <v>205366</v>
      </c>
      <c r="E40" s="204">
        <v>222866</v>
      </c>
      <c r="F40" s="204">
        <f t="shared" ref="F40:M40" si="0">E40-4000</f>
        <v>218866</v>
      </c>
      <c r="G40" s="204">
        <f t="shared" si="0"/>
        <v>214866</v>
      </c>
      <c r="H40" s="204">
        <f t="shared" si="0"/>
        <v>210866</v>
      </c>
      <c r="I40" s="204">
        <f t="shared" si="0"/>
        <v>206866</v>
      </c>
      <c r="J40" s="204">
        <f t="shared" si="0"/>
        <v>202866</v>
      </c>
      <c r="K40" s="204">
        <f t="shared" si="0"/>
        <v>198866</v>
      </c>
      <c r="L40" s="204">
        <f t="shared" si="0"/>
        <v>194866</v>
      </c>
      <c r="M40" s="204">
        <f t="shared" si="0"/>
        <v>190866</v>
      </c>
      <c r="N40" s="350"/>
    </row>
    <row r="41" spans="1:14" ht="13.9">
      <c r="A41" s="351" t="s">
        <v>170</v>
      </c>
      <c r="B41" s="204">
        <f>信用卡!O46</f>
        <v>422699</v>
      </c>
      <c r="C41" s="204">
        <f>信用卡!P46</f>
        <v>543481</v>
      </c>
      <c r="D41" s="204">
        <f>信用卡!Q46</f>
        <v>572767</v>
      </c>
      <c r="E41" s="204">
        <f>信用卡!R46</f>
        <v>0</v>
      </c>
      <c r="F41" s="204">
        <f>信用卡!S46</f>
        <v>0</v>
      </c>
      <c r="G41" s="204">
        <f>信用卡!T46</f>
        <v>0</v>
      </c>
      <c r="H41" s="204">
        <f>信用卡!U46</f>
        <v>0</v>
      </c>
      <c r="I41" s="204">
        <f>信用卡!V46</f>
        <v>0</v>
      </c>
      <c r="J41" s="204">
        <f>信用卡!W46</f>
        <v>0</v>
      </c>
      <c r="K41" s="204">
        <f>信用卡!X46</f>
        <v>0</v>
      </c>
      <c r="L41" s="204">
        <f>信用卡!Y46</f>
        <v>0</v>
      </c>
      <c r="M41" s="204">
        <f>信用卡!Z46</f>
        <v>0</v>
      </c>
      <c r="N41" s="350"/>
    </row>
    <row r="42" spans="1:14" ht="13.9">
      <c r="A42" s="351" t="s">
        <v>174</v>
      </c>
      <c r="B42" s="204">
        <v>1423188</v>
      </c>
      <c r="C42" s="204">
        <f>B42-4203</f>
        <v>1418985</v>
      </c>
      <c r="D42" s="204">
        <f t="shared" ref="D42:M42" si="1">C42-4203</f>
        <v>1414782</v>
      </c>
      <c r="E42" s="204">
        <f t="shared" si="1"/>
        <v>1410579</v>
      </c>
      <c r="F42" s="204">
        <f t="shared" si="1"/>
        <v>1406376</v>
      </c>
      <c r="G42" s="204">
        <f t="shared" si="1"/>
        <v>1402173</v>
      </c>
      <c r="H42" s="204">
        <f t="shared" si="1"/>
        <v>1397970</v>
      </c>
      <c r="I42" s="204">
        <f t="shared" si="1"/>
        <v>1393767</v>
      </c>
      <c r="J42" s="204">
        <f t="shared" si="1"/>
        <v>1389564</v>
      </c>
      <c r="K42" s="204">
        <f t="shared" si="1"/>
        <v>1385361</v>
      </c>
      <c r="L42" s="204">
        <f t="shared" si="1"/>
        <v>1381158</v>
      </c>
      <c r="M42" s="204">
        <f t="shared" si="1"/>
        <v>1376955</v>
      </c>
      <c r="N42" s="350"/>
    </row>
    <row r="43" spans="1:14" ht="13.9">
      <c r="A43" s="351" t="s">
        <v>176</v>
      </c>
      <c r="B43" s="204">
        <v>0</v>
      </c>
      <c r="C43" s="204">
        <v>0</v>
      </c>
      <c r="D43" s="204">
        <v>0</v>
      </c>
      <c r="E43" s="204">
        <f>SUM(信用卡!R23:R26)</f>
        <v>2416133</v>
      </c>
      <c r="F43" s="204">
        <f>SUM(信用卡!S23:S26)</f>
        <v>2104600</v>
      </c>
      <c r="G43" s="204">
        <f>SUM(信用卡!T23:T26)</f>
        <v>1955375</v>
      </c>
      <c r="H43" s="204">
        <f>SUM(信用卡!U23:U26)</f>
        <v>1962739</v>
      </c>
      <c r="I43" s="204">
        <f>SUM(信用卡!V23:V26)</f>
        <v>2012798</v>
      </c>
      <c r="J43" s="204">
        <f>SUM(信用卡!W23:W26)</f>
        <v>2060057</v>
      </c>
      <c r="K43" s="204">
        <f>SUM(信用卡!X23:X26)</f>
        <v>2061408</v>
      </c>
      <c r="L43" s="204">
        <f>SUM(信用卡!Y23:Y26)</f>
        <v>2133690</v>
      </c>
      <c r="M43" s="204">
        <f>SUM(信用卡!Z23:Z26)</f>
        <v>2102509</v>
      </c>
      <c r="N43" s="350"/>
    </row>
    <row r="44" spans="1:14" ht="13.9">
      <c r="A44" s="351" t="s">
        <v>175</v>
      </c>
      <c r="B44" s="204">
        <v>0</v>
      </c>
      <c r="C44" s="204">
        <v>0</v>
      </c>
      <c r="D44" s="204">
        <v>0</v>
      </c>
      <c r="E44" s="204">
        <f>4885998</f>
        <v>4885998</v>
      </c>
      <c r="F44" s="204">
        <f>E44-12800</f>
        <v>4873198</v>
      </c>
      <c r="G44" s="204">
        <f t="shared" ref="G44:M44" si="2">F44-12800</f>
        <v>4860398</v>
      </c>
      <c r="H44" s="204">
        <f t="shared" si="2"/>
        <v>4847598</v>
      </c>
      <c r="I44" s="204">
        <f t="shared" si="2"/>
        <v>4834798</v>
      </c>
      <c r="J44" s="204">
        <f t="shared" si="2"/>
        <v>4821998</v>
      </c>
      <c r="K44" s="204">
        <f t="shared" si="2"/>
        <v>4809198</v>
      </c>
      <c r="L44" s="204">
        <f t="shared" si="2"/>
        <v>4796398</v>
      </c>
      <c r="M44" s="204">
        <f t="shared" si="2"/>
        <v>4783598</v>
      </c>
      <c r="N44" s="350"/>
    </row>
    <row r="73" spans="1:14" ht="13.9">
      <c r="A73" s="344" t="s">
        <v>177</v>
      </c>
    </row>
    <row r="74" spans="1:14">
      <c r="B74" s="2" t="s">
        <v>3</v>
      </c>
      <c r="C74" s="3" t="s">
        <v>4</v>
      </c>
      <c r="D74" s="3" t="s">
        <v>5</v>
      </c>
      <c r="E74" s="3" t="s">
        <v>6</v>
      </c>
      <c r="F74" s="3" t="s">
        <v>7</v>
      </c>
      <c r="G74" s="3" t="s">
        <v>8</v>
      </c>
      <c r="H74" s="3" t="s">
        <v>9</v>
      </c>
      <c r="I74" s="3" t="s">
        <v>10</v>
      </c>
      <c r="J74" s="3" t="s">
        <v>11</v>
      </c>
      <c r="K74" s="3" t="s">
        <v>12</v>
      </c>
      <c r="L74" s="3" t="s">
        <v>13</v>
      </c>
      <c r="M74" s="3" t="s">
        <v>14</v>
      </c>
    </row>
    <row r="75" spans="1:14" ht="13.9">
      <c r="A75" s="351" t="s">
        <v>179</v>
      </c>
      <c r="B75" s="204">
        <f>'2009年總表'!D37</f>
        <v>273027</v>
      </c>
      <c r="C75" s="204">
        <f>'2009年總表'!E37</f>
        <v>274728</v>
      </c>
      <c r="D75" s="204">
        <f>'2009年總表'!F37</f>
        <v>160169</v>
      </c>
      <c r="E75" s="204">
        <f>'2009年總表'!G37</f>
        <v>114423</v>
      </c>
      <c r="F75" s="204">
        <f>'2009年總表'!H37</f>
        <v>246385</v>
      </c>
      <c r="G75" s="204">
        <f>'2009年總表'!I37</f>
        <v>232669</v>
      </c>
      <c r="H75" s="204">
        <f>'2009年總表'!J37</f>
        <v>442669</v>
      </c>
      <c r="I75" s="204">
        <f>'2009年總表'!K37</f>
        <v>153583</v>
      </c>
      <c r="J75" s="204">
        <f>'2009年總表'!L37</f>
        <v>138583</v>
      </c>
      <c r="K75" s="204">
        <f>'2009年總表'!M37</f>
        <v>123583</v>
      </c>
      <c r="L75" s="204">
        <f>'2009年總表'!N37</f>
        <v>143583</v>
      </c>
      <c r="M75" s="204">
        <f>'2009年總表'!O37</f>
        <v>191418</v>
      </c>
      <c r="N75" s="350"/>
    </row>
    <row r="76" spans="1:14" ht="13.9">
      <c r="A76" s="351" t="s">
        <v>178</v>
      </c>
      <c r="B76" s="204">
        <f>'2009年總表'!D45</f>
        <v>463670</v>
      </c>
      <c r="C76" s="204">
        <f>'2009年總表'!E45</f>
        <v>125864</v>
      </c>
      <c r="D76" s="204">
        <f>'2009年總表'!F45</f>
        <v>174155</v>
      </c>
      <c r="E76" s="204">
        <f>'2009年總表'!G45</f>
        <v>148018</v>
      </c>
      <c r="F76" s="204">
        <f>'2009年總表'!H45</f>
        <v>132890</v>
      </c>
      <c r="G76" s="204">
        <f>'2009年總表'!I45</f>
        <v>124847</v>
      </c>
      <c r="H76" s="204">
        <f>'2009年總表'!J45</f>
        <v>124847</v>
      </c>
      <c r="I76" s="204">
        <f>'2009年總表'!K45</f>
        <v>124847</v>
      </c>
      <c r="J76" s="204">
        <f>'2009年總表'!L45</f>
        <v>124847</v>
      </c>
      <c r="K76" s="204">
        <f>'2009年總表'!M45</f>
        <v>124847</v>
      </c>
      <c r="L76" s="204">
        <f>'2009年總表'!N45</f>
        <v>124847</v>
      </c>
      <c r="M76" s="204">
        <f>'2009年總表'!O45</f>
        <v>374541</v>
      </c>
      <c r="N76" s="350"/>
    </row>
  </sheetData>
  <phoneticPr fontId="18" type="noConversion"/>
  <pageMargins left="0.75" right="0.75" top="1" bottom="1" header="0.5" footer="0.5"/>
  <pageSetup paperSize="9" orientation="portrait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R44"/>
  <sheetViews>
    <sheetView workbookViewId="0">
      <selection activeCell="K17" sqref="K17"/>
    </sheetView>
  </sheetViews>
  <sheetFormatPr defaultColWidth="9.1328125" defaultRowHeight="10.15"/>
  <cols>
    <col min="1" max="1" width="4.3984375" style="5" bestFit="1" customWidth="1"/>
    <col min="2" max="2" width="5.1328125" style="5" customWidth="1"/>
    <col min="3" max="3" width="11.1328125" style="5" bestFit="1" customWidth="1"/>
    <col min="4" max="5" width="8.3984375" style="5" bestFit="1" customWidth="1"/>
    <col min="6" max="6" width="7.59765625" style="5" customWidth="1"/>
    <col min="7" max="7" width="8" style="5" customWidth="1"/>
    <col min="8" max="8" width="7.86328125" style="5" customWidth="1"/>
    <col min="9" max="10" width="8.3984375" style="5" bestFit="1" customWidth="1"/>
    <col min="11" max="15" width="7.59765625" style="5" bestFit="1" customWidth="1"/>
    <col min="16" max="18" width="9.73046875" style="5" bestFit="1" customWidth="1"/>
    <col min="19" max="16384" width="9.1328125" style="5"/>
  </cols>
  <sheetData>
    <row r="1" spans="1:18" ht="10.5">
      <c r="A1" s="92" t="s">
        <v>0</v>
      </c>
      <c r="B1" s="93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4" t="s">
        <v>15</v>
      </c>
      <c r="Q1" s="3" t="s">
        <v>16</v>
      </c>
      <c r="R1" s="3" t="s">
        <v>17</v>
      </c>
    </row>
    <row r="2" spans="1:18" ht="10.5">
      <c r="A2" s="6" t="s">
        <v>18</v>
      </c>
      <c r="B2" s="7" t="s">
        <v>19</v>
      </c>
      <c r="C2" s="8" t="s">
        <v>20</v>
      </c>
      <c r="D2" s="113">
        <v>11054</v>
      </c>
      <c r="E2" s="113">
        <v>2720</v>
      </c>
      <c r="F2" s="113">
        <v>1909</v>
      </c>
      <c r="G2" s="113">
        <v>2068</v>
      </c>
      <c r="H2" s="113">
        <v>0</v>
      </c>
      <c r="I2" s="113">
        <v>0</v>
      </c>
      <c r="J2" s="113">
        <v>25188</v>
      </c>
      <c r="K2" s="113">
        <v>6390</v>
      </c>
      <c r="L2" s="113">
        <v>9770</v>
      </c>
      <c r="M2" s="113">
        <v>14708</v>
      </c>
      <c r="N2" s="113">
        <v>4851</v>
      </c>
      <c r="O2" s="113">
        <v>9986</v>
      </c>
      <c r="P2" s="186">
        <v>88644</v>
      </c>
      <c r="Q2" s="187">
        <v>146442</v>
      </c>
      <c r="R2" s="187">
        <v>60000</v>
      </c>
    </row>
    <row r="3" spans="1:18" ht="10.5">
      <c r="A3" s="10"/>
      <c r="B3" s="11"/>
      <c r="C3" s="12" t="s">
        <v>21</v>
      </c>
      <c r="D3" s="127">
        <v>3316</v>
      </c>
      <c r="E3" s="127">
        <v>1400</v>
      </c>
      <c r="F3" s="127">
        <v>0</v>
      </c>
      <c r="G3" s="127">
        <v>0</v>
      </c>
      <c r="H3" s="127">
        <v>0</v>
      </c>
      <c r="I3" s="127">
        <v>0</v>
      </c>
      <c r="J3" s="127">
        <v>1864</v>
      </c>
      <c r="K3" s="127">
        <v>1680</v>
      </c>
      <c r="L3" s="127">
        <v>90</v>
      </c>
      <c r="M3" s="127">
        <v>5700</v>
      </c>
      <c r="N3" s="127">
        <v>600</v>
      </c>
      <c r="O3" s="127">
        <v>2950</v>
      </c>
      <c r="P3" s="178">
        <v>17600</v>
      </c>
      <c r="Q3" s="188"/>
      <c r="R3" s="188"/>
    </row>
    <row r="4" spans="1:18" ht="10.5">
      <c r="A4" s="10"/>
      <c r="B4" s="13"/>
      <c r="C4" s="14" t="s">
        <v>22</v>
      </c>
      <c r="D4" s="112">
        <v>2387</v>
      </c>
      <c r="E4" s="112">
        <v>3251</v>
      </c>
      <c r="F4" s="112">
        <v>1654</v>
      </c>
      <c r="G4" s="112">
        <v>0</v>
      </c>
      <c r="H4" s="112">
        <v>0</v>
      </c>
      <c r="I4" s="112">
        <v>0</v>
      </c>
      <c r="J4" s="112">
        <v>3694</v>
      </c>
      <c r="K4" s="112">
        <v>5450</v>
      </c>
      <c r="L4" s="112">
        <v>5875</v>
      </c>
      <c r="M4" s="112">
        <v>8155</v>
      </c>
      <c r="N4" s="112">
        <v>8466</v>
      </c>
      <c r="O4" s="112">
        <v>1266</v>
      </c>
      <c r="P4" s="186">
        <v>40198</v>
      </c>
      <c r="Q4" s="188"/>
      <c r="R4" s="188"/>
    </row>
    <row r="5" spans="1:18" ht="10.5">
      <c r="A5" s="16"/>
      <c r="B5" s="17" t="s">
        <v>23</v>
      </c>
      <c r="C5" s="18" t="s">
        <v>24</v>
      </c>
      <c r="D5" s="113">
        <v>2000</v>
      </c>
      <c r="E5" s="113">
        <v>0</v>
      </c>
      <c r="F5" s="113">
        <v>1980</v>
      </c>
      <c r="G5" s="113">
        <v>0</v>
      </c>
      <c r="H5" s="113">
        <v>1200</v>
      </c>
      <c r="I5" s="113">
        <v>0</v>
      </c>
      <c r="J5" s="113">
        <v>61019</v>
      </c>
      <c r="K5" s="113">
        <v>6171</v>
      </c>
      <c r="L5" s="113">
        <v>3000</v>
      </c>
      <c r="M5" s="113">
        <v>0</v>
      </c>
      <c r="N5" s="113">
        <v>0</v>
      </c>
      <c r="O5" s="113">
        <v>9990</v>
      </c>
      <c r="P5" s="249">
        <v>85360</v>
      </c>
      <c r="Q5" s="251">
        <v>133363</v>
      </c>
      <c r="R5" s="248">
        <v>31000</v>
      </c>
    </row>
    <row r="6" spans="1:18" ht="11.25" customHeight="1">
      <c r="A6" s="10"/>
      <c r="B6" s="17"/>
      <c r="C6" s="14" t="s">
        <v>76</v>
      </c>
      <c r="D6" s="113">
        <v>1150</v>
      </c>
      <c r="E6" s="113">
        <v>1150</v>
      </c>
      <c r="F6" s="113">
        <v>5534</v>
      </c>
      <c r="G6" s="113">
        <v>4650</v>
      </c>
      <c r="H6" s="113">
        <v>7345</v>
      </c>
      <c r="I6" s="113">
        <v>1150</v>
      </c>
      <c r="J6" s="113">
        <v>0</v>
      </c>
      <c r="K6" s="113">
        <v>650</v>
      </c>
      <c r="L6" s="113">
        <v>2300</v>
      </c>
      <c r="M6" s="113">
        <v>9710</v>
      </c>
      <c r="N6" s="113">
        <v>1150</v>
      </c>
      <c r="O6" s="113">
        <v>9933</v>
      </c>
      <c r="P6" s="249">
        <v>44722</v>
      </c>
      <c r="Q6" s="252"/>
      <c r="R6" s="250"/>
    </row>
    <row r="7" spans="1:18" ht="11.25" customHeight="1">
      <c r="A7" s="10"/>
      <c r="B7" s="17"/>
      <c r="C7" s="14" t="s">
        <v>77</v>
      </c>
      <c r="D7" s="113">
        <v>481</v>
      </c>
      <c r="E7" s="113">
        <v>0</v>
      </c>
      <c r="F7" s="113">
        <v>0</v>
      </c>
      <c r="G7" s="113">
        <v>0</v>
      </c>
      <c r="H7" s="113">
        <v>0</v>
      </c>
      <c r="I7" s="113">
        <v>0</v>
      </c>
      <c r="J7" s="113">
        <v>0</v>
      </c>
      <c r="K7" s="113">
        <v>2800</v>
      </c>
      <c r="L7" s="113">
        <v>0</v>
      </c>
      <c r="M7" s="113">
        <v>0</v>
      </c>
      <c r="N7" s="113">
        <v>0</v>
      </c>
      <c r="O7" s="113">
        <v>0</v>
      </c>
      <c r="P7" s="249">
        <v>3281</v>
      </c>
      <c r="Q7" s="253"/>
      <c r="R7" s="220"/>
    </row>
    <row r="8" spans="1:18" ht="10.5">
      <c r="A8" s="10"/>
      <c r="B8" s="20" t="s">
        <v>25</v>
      </c>
      <c r="C8" s="14" t="s">
        <v>26</v>
      </c>
      <c r="D8" s="112">
        <v>33333</v>
      </c>
      <c r="E8" s="246">
        <v>33333</v>
      </c>
      <c r="F8" s="246">
        <v>0</v>
      </c>
      <c r="G8" s="246">
        <v>0</v>
      </c>
      <c r="H8" s="246">
        <v>0</v>
      </c>
      <c r="I8" s="246">
        <v>0</v>
      </c>
      <c r="J8" s="246">
        <v>0</v>
      </c>
      <c r="K8" s="246">
        <v>50000</v>
      </c>
      <c r="L8" s="246">
        <v>33335</v>
      </c>
      <c r="M8" s="246">
        <v>33333</v>
      </c>
      <c r="N8" s="246">
        <v>93333</v>
      </c>
      <c r="O8" s="246">
        <v>33333</v>
      </c>
      <c r="P8" s="247">
        <v>310000</v>
      </c>
      <c r="Q8" s="126">
        <v>706294</v>
      </c>
      <c r="R8" s="126">
        <v>180000</v>
      </c>
    </row>
    <row r="9" spans="1:18" ht="10.5">
      <c r="A9" s="10"/>
      <c r="B9" s="22"/>
      <c r="C9" s="8" t="s">
        <v>27</v>
      </c>
      <c r="D9" s="112">
        <v>1500</v>
      </c>
      <c r="E9" s="112">
        <v>0</v>
      </c>
      <c r="F9" s="112">
        <v>53736</v>
      </c>
      <c r="G9" s="112">
        <v>2780</v>
      </c>
      <c r="H9" s="112">
        <v>37706</v>
      </c>
      <c r="I9" s="112">
        <v>0</v>
      </c>
      <c r="J9" s="112">
        <v>14800</v>
      </c>
      <c r="K9" s="112">
        <v>17880</v>
      </c>
      <c r="L9" s="112">
        <v>14800</v>
      </c>
      <c r="M9" s="112">
        <v>8444</v>
      </c>
      <c r="N9" s="112">
        <v>2530</v>
      </c>
      <c r="O9" s="112">
        <v>1000</v>
      </c>
      <c r="P9" s="186">
        <v>155176</v>
      </c>
      <c r="Q9" s="125"/>
      <c r="R9" s="125"/>
    </row>
    <row r="10" spans="1:18" ht="10.5">
      <c r="A10" s="10"/>
      <c r="B10" s="22"/>
      <c r="C10" s="8" t="s">
        <v>28</v>
      </c>
      <c r="D10" s="112">
        <v>8229</v>
      </c>
      <c r="E10" s="112">
        <v>10794</v>
      </c>
      <c r="F10" s="112">
        <v>6480</v>
      </c>
      <c r="G10" s="112">
        <v>1050</v>
      </c>
      <c r="H10" s="112">
        <v>0</v>
      </c>
      <c r="I10" s="112">
        <v>0</v>
      </c>
      <c r="J10" s="112">
        <v>27632</v>
      </c>
      <c r="K10" s="112">
        <v>22075</v>
      </c>
      <c r="L10" s="112">
        <v>7439</v>
      </c>
      <c r="M10" s="112">
        <v>627</v>
      </c>
      <c r="N10" s="112">
        <v>5907</v>
      </c>
      <c r="O10" s="112">
        <v>23612</v>
      </c>
      <c r="P10" s="186">
        <v>113845</v>
      </c>
      <c r="Q10" s="125"/>
      <c r="R10" s="125"/>
    </row>
    <row r="11" spans="1:18" ht="10.5">
      <c r="A11" s="10"/>
      <c r="B11" s="22"/>
      <c r="C11" s="8" t="s">
        <v>29</v>
      </c>
      <c r="D11" s="112">
        <v>2000</v>
      </c>
      <c r="E11" s="112">
        <v>0</v>
      </c>
      <c r="F11" s="112">
        <v>0</v>
      </c>
      <c r="G11" s="112">
        <v>0</v>
      </c>
      <c r="H11" s="112">
        <v>0</v>
      </c>
      <c r="I11" s="112">
        <v>0</v>
      </c>
      <c r="J11" s="112">
        <v>0</v>
      </c>
      <c r="K11" s="112">
        <v>3357</v>
      </c>
      <c r="L11" s="112">
        <v>0</v>
      </c>
      <c r="M11" s="112">
        <v>0</v>
      </c>
      <c r="N11" s="112">
        <v>0</v>
      </c>
      <c r="O11" s="112">
        <v>3693</v>
      </c>
      <c r="P11" s="186">
        <v>9050</v>
      </c>
      <c r="Q11" s="125"/>
      <c r="R11" s="125"/>
    </row>
    <row r="12" spans="1:18" ht="10.5">
      <c r="A12" s="10"/>
      <c r="B12" s="22"/>
      <c r="C12" s="8" t="s">
        <v>30</v>
      </c>
      <c r="D12" s="112">
        <v>0</v>
      </c>
      <c r="E12" s="112">
        <v>17500</v>
      </c>
      <c r="F12" s="112">
        <v>544</v>
      </c>
      <c r="G12" s="112">
        <v>0</v>
      </c>
      <c r="H12" s="112">
        <v>0</v>
      </c>
      <c r="I12" s="112">
        <v>0</v>
      </c>
      <c r="J12" s="112">
        <v>54955</v>
      </c>
      <c r="K12" s="112">
        <v>36438</v>
      </c>
      <c r="L12" s="112">
        <v>3187</v>
      </c>
      <c r="M12" s="112">
        <v>0</v>
      </c>
      <c r="N12" s="112">
        <v>699</v>
      </c>
      <c r="O12" s="112">
        <v>300</v>
      </c>
      <c r="P12" s="186">
        <v>113623</v>
      </c>
      <c r="Q12" s="125"/>
      <c r="R12" s="125"/>
    </row>
    <row r="13" spans="1:18" ht="10.5">
      <c r="A13" s="10"/>
      <c r="B13" s="22"/>
      <c r="C13" s="8" t="s">
        <v>31</v>
      </c>
      <c r="D13" s="112">
        <v>0</v>
      </c>
      <c r="E13" s="112">
        <v>0</v>
      </c>
      <c r="F13" s="112">
        <v>0</v>
      </c>
      <c r="G13" s="112">
        <v>0</v>
      </c>
      <c r="H13" s="112">
        <v>0</v>
      </c>
      <c r="I13" s="112">
        <v>0</v>
      </c>
      <c r="J13" s="112">
        <v>0</v>
      </c>
      <c r="K13" s="112">
        <v>0</v>
      </c>
      <c r="L13" s="112">
        <v>0</v>
      </c>
      <c r="M13" s="112">
        <v>0</v>
      </c>
      <c r="N13" s="112">
        <v>0</v>
      </c>
      <c r="O13" s="112">
        <v>0</v>
      </c>
      <c r="P13" s="186">
        <v>0</v>
      </c>
      <c r="Q13" s="125"/>
      <c r="R13" s="125"/>
    </row>
    <row r="14" spans="1:18" ht="10.5">
      <c r="A14" s="10"/>
      <c r="B14" s="22"/>
      <c r="C14" s="8" t="s">
        <v>32</v>
      </c>
      <c r="D14" s="113">
        <v>0</v>
      </c>
      <c r="E14" s="113">
        <v>0</v>
      </c>
      <c r="F14" s="113">
        <v>4600</v>
      </c>
      <c r="G14" s="113">
        <v>0</v>
      </c>
      <c r="H14" s="113">
        <v>0</v>
      </c>
      <c r="I14" s="113">
        <v>0</v>
      </c>
      <c r="J14" s="113">
        <v>0</v>
      </c>
      <c r="K14" s="113">
        <v>0</v>
      </c>
      <c r="L14" s="113">
        <v>0</v>
      </c>
      <c r="M14" s="113">
        <v>0</v>
      </c>
      <c r="N14" s="113">
        <v>0</v>
      </c>
      <c r="O14" s="113">
        <v>0</v>
      </c>
      <c r="P14" s="176">
        <v>4600</v>
      </c>
      <c r="Q14" s="125"/>
      <c r="R14" s="125"/>
    </row>
    <row r="15" spans="1:18" ht="10.5">
      <c r="A15" s="10"/>
      <c r="B15" s="23" t="s">
        <v>33</v>
      </c>
      <c r="C15" s="14" t="s">
        <v>34</v>
      </c>
      <c r="D15" s="112">
        <v>0</v>
      </c>
      <c r="E15" s="112">
        <v>0</v>
      </c>
      <c r="F15" s="112">
        <v>12500</v>
      </c>
      <c r="G15" s="112">
        <v>0</v>
      </c>
      <c r="H15" s="112">
        <v>0</v>
      </c>
      <c r="I15" s="112">
        <v>0</v>
      </c>
      <c r="J15" s="112">
        <v>12500</v>
      </c>
      <c r="K15" s="112">
        <v>12500</v>
      </c>
      <c r="L15" s="112">
        <v>12500</v>
      </c>
      <c r="M15" s="112">
        <v>2500</v>
      </c>
      <c r="N15" s="112">
        <v>2500</v>
      </c>
      <c r="O15" s="112">
        <v>0</v>
      </c>
      <c r="P15" s="186">
        <v>55000</v>
      </c>
      <c r="Q15" s="190">
        <v>428638</v>
      </c>
      <c r="R15" s="190">
        <v>530000</v>
      </c>
    </row>
    <row r="16" spans="1:18" ht="10.5">
      <c r="A16" s="10"/>
      <c r="B16" s="24"/>
      <c r="C16" s="8" t="s">
        <v>35</v>
      </c>
      <c r="D16" s="112">
        <v>0</v>
      </c>
      <c r="E16" s="112">
        <v>21666</v>
      </c>
      <c r="F16" s="112">
        <v>0</v>
      </c>
      <c r="G16" s="112">
        <v>0</v>
      </c>
      <c r="H16" s="112">
        <v>0</v>
      </c>
      <c r="I16" s="112">
        <v>0</v>
      </c>
      <c r="J16" s="112">
        <v>4500</v>
      </c>
      <c r="K16" s="112">
        <v>1832</v>
      </c>
      <c r="L16" s="112">
        <v>50669</v>
      </c>
      <c r="M16" s="112">
        <v>1000</v>
      </c>
      <c r="N16" s="112">
        <v>5321</v>
      </c>
      <c r="O16" s="112">
        <v>0</v>
      </c>
      <c r="P16" s="186">
        <v>84988</v>
      </c>
      <c r="Q16" s="191"/>
      <c r="R16" s="191"/>
    </row>
    <row r="17" spans="1:18" ht="10.5">
      <c r="A17" s="10"/>
      <c r="B17" s="24"/>
      <c r="C17" s="25" t="s">
        <v>36</v>
      </c>
      <c r="D17" s="192">
        <v>3524</v>
      </c>
      <c r="E17" s="192">
        <v>2470</v>
      </c>
      <c r="F17" s="192">
        <v>2560</v>
      </c>
      <c r="G17" s="192">
        <v>6202</v>
      </c>
      <c r="H17" s="192">
        <v>2425</v>
      </c>
      <c r="I17" s="192">
        <v>0</v>
      </c>
      <c r="J17" s="192">
        <v>21003</v>
      </c>
      <c r="K17" s="192">
        <v>13404</v>
      </c>
      <c r="L17" s="192">
        <v>11688</v>
      </c>
      <c r="M17" s="192">
        <v>9364</v>
      </c>
      <c r="N17" s="192">
        <v>9661</v>
      </c>
      <c r="O17" s="192">
        <v>6096</v>
      </c>
      <c r="P17" s="193">
        <v>88397</v>
      </c>
      <c r="Q17" s="191"/>
      <c r="R17" s="191"/>
    </row>
    <row r="18" spans="1:18" ht="10.5">
      <c r="A18" s="10"/>
      <c r="B18" s="24"/>
      <c r="C18" s="25" t="s">
        <v>37</v>
      </c>
      <c r="D18" s="181">
        <v>3190</v>
      </c>
      <c r="E18" s="181">
        <v>1000</v>
      </c>
      <c r="F18" s="181">
        <v>0</v>
      </c>
      <c r="G18" s="181">
        <v>0</v>
      </c>
      <c r="H18" s="181">
        <v>0</v>
      </c>
      <c r="I18" s="181">
        <v>0</v>
      </c>
      <c r="J18" s="181">
        <v>3825</v>
      </c>
      <c r="K18" s="181">
        <v>4740</v>
      </c>
      <c r="L18" s="181">
        <v>2780</v>
      </c>
      <c r="M18" s="181">
        <v>2000</v>
      </c>
      <c r="N18" s="181">
        <v>1900</v>
      </c>
      <c r="O18" s="181">
        <v>4530</v>
      </c>
      <c r="P18" s="180">
        <v>23965</v>
      </c>
      <c r="Q18" s="191"/>
      <c r="R18" s="191"/>
    </row>
    <row r="19" spans="1:18" ht="10.5">
      <c r="A19" s="10"/>
      <c r="B19" s="24"/>
      <c r="C19" s="14" t="s">
        <v>38</v>
      </c>
      <c r="D19" s="112">
        <v>1700</v>
      </c>
      <c r="E19" s="112">
        <v>0</v>
      </c>
      <c r="F19" s="112">
        <v>0</v>
      </c>
      <c r="G19" s="112">
        <v>12500</v>
      </c>
      <c r="H19" s="112">
        <v>0</v>
      </c>
      <c r="I19" s="112">
        <v>0</v>
      </c>
      <c r="J19" s="112">
        <v>66100</v>
      </c>
      <c r="K19" s="112">
        <v>1902</v>
      </c>
      <c r="L19" s="112">
        <v>2000</v>
      </c>
      <c r="M19" s="112">
        <v>12000</v>
      </c>
      <c r="N19" s="112">
        <v>18820</v>
      </c>
      <c r="O19" s="112">
        <v>47948</v>
      </c>
      <c r="P19" s="186">
        <v>162970</v>
      </c>
      <c r="Q19" s="191"/>
      <c r="R19" s="191"/>
    </row>
    <row r="20" spans="1:18" ht="10.5">
      <c r="A20" s="10"/>
      <c r="B20" s="26"/>
      <c r="C20" s="8" t="s">
        <v>39</v>
      </c>
      <c r="D20" s="113">
        <v>0</v>
      </c>
      <c r="E20" s="113">
        <v>0</v>
      </c>
      <c r="F20" s="113">
        <v>0</v>
      </c>
      <c r="G20" s="113">
        <v>0</v>
      </c>
      <c r="H20" s="113">
        <v>0</v>
      </c>
      <c r="I20" s="113">
        <v>0</v>
      </c>
      <c r="J20" s="113">
        <v>4800</v>
      </c>
      <c r="K20" s="113">
        <v>0</v>
      </c>
      <c r="L20" s="113">
        <v>0</v>
      </c>
      <c r="M20" s="113">
        <v>0</v>
      </c>
      <c r="N20" s="113">
        <v>0</v>
      </c>
      <c r="O20" s="113">
        <v>8518</v>
      </c>
      <c r="P20" s="176">
        <v>13318</v>
      </c>
      <c r="Q20" s="194"/>
      <c r="R20" s="194"/>
    </row>
    <row r="21" spans="1:18" ht="10.5">
      <c r="A21" s="16"/>
      <c r="B21" s="7" t="s">
        <v>40</v>
      </c>
      <c r="C21" s="27" t="s">
        <v>41</v>
      </c>
      <c r="D21" s="195">
        <v>36800</v>
      </c>
      <c r="E21" s="195">
        <v>65000</v>
      </c>
      <c r="F21" s="195">
        <v>13750</v>
      </c>
      <c r="G21" s="195">
        <v>9000</v>
      </c>
      <c r="H21" s="195">
        <v>0</v>
      </c>
      <c r="I21" s="195">
        <v>0</v>
      </c>
      <c r="J21" s="195">
        <v>19210</v>
      </c>
      <c r="K21" s="195">
        <v>90000</v>
      </c>
      <c r="L21" s="195">
        <v>10800</v>
      </c>
      <c r="M21" s="195">
        <v>10000</v>
      </c>
      <c r="N21" s="195">
        <v>10000</v>
      </c>
      <c r="O21" s="195">
        <v>15750</v>
      </c>
      <c r="P21" s="196">
        <v>280310</v>
      </c>
      <c r="Q21" s="187">
        <v>280310</v>
      </c>
      <c r="R21" s="187">
        <v>360000</v>
      </c>
    </row>
    <row r="22" spans="1:18" ht="10.5">
      <c r="A22" s="16"/>
      <c r="B22" s="13"/>
      <c r="C22" s="28" t="s">
        <v>42</v>
      </c>
      <c r="D22" s="100">
        <v>0</v>
      </c>
      <c r="E22" s="100">
        <v>0</v>
      </c>
      <c r="F22" s="100">
        <v>0</v>
      </c>
      <c r="G22" s="100">
        <v>0</v>
      </c>
      <c r="H22" s="100">
        <v>0</v>
      </c>
      <c r="I22" s="100">
        <v>0</v>
      </c>
      <c r="J22" s="100">
        <v>0</v>
      </c>
      <c r="K22" s="100">
        <v>0</v>
      </c>
      <c r="L22" s="100">
        <v>0</v>
      </c>
      <c r="M22" s="100">
        <v>0</v>
      </c>
      <c r="N22" s="100">
        <v>0</v>
      </c>
      <c r="O22" s="100">
        <v>0</v>
      </c>
      <c r="P22" s="179">
        <v>0</v>
      </c>
      <c r="Q22" s="189"/>
      <c r="R22" s="189"/>
    </row>
    <row r="23" spans="1:18" ht="10.5">
      <c r="A23" s="16"/>
      <c r="B23" s="29" t="s">
        <v>43</v>
      </c>
      <c r="C23" s="18" t="s">
        <v>44</v>
      </c>
      <c r="D23" s="113">
        <v>5656</v>
      </c>
      <c r="E23" s="113">
        <v>0</v>
      </c>
      <c r="F23" s="113">
        <v>0</v>
      </c>
      <c r="G23" s="113">
        <v>37500</v>
      </c>
      <c r="H23" s="113">
        <v>0</v>
      </c>
      <c r="I23" s="113">
        <v>0</v>
      </c>
      <c r="J23" s="113">
        <v>1782</v>
      </c>
      <c r="K23" s="113">
        <v>18399</v>
      </c>
      <c r="L23" s="113">
        <v>31346</v>
      </c>
      <c r="M23" s="113">
        <v>36000</v>
      </c>
      <c r="N23" s="113">
        <v>2170</v>
      </c>
      <c r="O23" s="113">
        <v>2000</v>
      </c>
      <c r="P23" s="176">
        <v>134853</v>
      </c>
      <c r="Q23" s="197">
        <v>134853</v>
      </c>
      <c r="R23" s="197">
        <v>24000</v>
      </c>
    </row>
    <row r="24" spans="1:18" ht="10.5">
      <c r="A24" s="10"/>
      <c r="B24" s="30" t="s">
        <v>45</v>
      </c>
      <c r="C24" s="14" t="s">
        <v>46</v>
      </c>
      <c r="D24" s="112">
        <v>65312</v>
      </c>
      <c r="E24" s="112">
        <v>2680</v>
      </c>
      <c r="F24" s="112">
        <v>3599</v>
      </c>
      <c r="G24" s="112">
        <v>0</v>
      </c>
      <c r="H24" s="112">
        <v>0</v>
      </c>
      <c r="I24" s="112">
        <v>0</v>
      </c>
      <c r="J24" s="112">
        <v>17510</v>
      </c>
      <c r="K24" s="112">
        <v>0</v>
      </c>
      <c r="L24" s="112">
        <v>1460</v>
      </c>
      <c r="M24" s="112">
        <v>640</v>
      </c>
      <c r="N24" s="112">
        <v>1000</v>
      </c>
      <c r="O24" s="112">
        <v>0</v>
      </c>
      <c r="P24" s="186">
        <v>92201</v>
      </c>
      <c r="Q24" s="198">
        <v>117731</v>
      </c>
      <c r="R24" s="198">
        <v>60000</v>
      </c>
    </row>
    <row r="25" spans="1:18" ht="10.5">
      <c r="A25" s="10"/>
      <c r="B25" s="31"/>
      <c r="C25" s="8" t="s">
        <v>47</v>
      </c>
      <c r="D25" s="113">
        <v>0</v>
      </c>
      <c r="E25" s="113">
        <v>0</v>
      </c>
      <c r="F25" s="113">
        <v>0</v>
      </c>
      <c r="G25" s="113">
        <v>0</v>
      </c>
      <c r="H25" s="113">
        <v>0</v>
      </c>
      <c r="I25" s="113">
        <v>0</v>
      </c>
      <c r="J25" s="113">
        <v>3953</v>
      </c>
      <c r="K25" s="113">
        <v>2220</v>
      </c>
      <c r="L25" s="113">
        <v>4359</v>
      </c>
      <c r="M25" s="113">
        <v>5700</v>
      </c>
      <c r="N25" s="113">
        <v>3000</v>
      </c>
      <c r="O25" s="113">
        <v>6298</v>
      </c>
      <c r="P25" s="176">
        <v>25530</v>
      </c>
      <c r="Q25" s="199"/>
      <c r="R25" s="199"/>
    </row>
    <row r="26" spans="1:18" ht="10.5">
      <c r="A26" s="16"/>
      <c r="B26" s="32" t="s">
        <v>48</v>
      </c>
      <c r="C26" s="33" t="s">
        <v>49</v>
      </c>
      <c r="D26" s="112">
        <v>0</v>
      </c>
      <c r="E26" s="112">
        <v>0</v>
      </c>
      <c r="F26" s="112">
        <v>0</v>
      </c>
      <c r="G26" s="112">
        <v>0</v>
      </c>
      <c r="H26" s="112">
        <v>0</v>
      </c>
      <c r="I26" s="112">
        <v>0</v>
      </c>
      <c r="J26" s="112">
        <v>8966</v>
      </c>
      <c r="K26" s="112">
        <v>8962</v>
      </c>
      <c r="L26" s="112">
        <v>8790</v>
      </c>
      <c r="M26" s="112">
        <v>0</v>
      </c>
      <c r="N26" s="112">
        <v>0</v>
      </c>
      <c r="O26" s="112">
        <v>0</v>
      </c>
      <c r="P26" s="186">
        <v>26718</v>
      </c>
      <c r="Q26" s="200">
        <v>26718</v>
      </c>
      <c r="R26" s="200">
        <v>120000</v>
      </c>
    </row>
    <row r="27" spans="1:18" ht="10.5">
      <c r="A27" s="16"/>
      <c r="B27" s="34" t="s">
        <v>50</v>
      </c>
      <c r="C27" s="18" t="s">
        <v>51</v>
      </c>
      <c r="D27" s="112">
        <v>9642</v>
      </c>
      <c r="E27" s="112">
        <v>6883</v>
      </c>
      <c r="F27" s="112">
        <v>0</v>
      </c>
      <c r="G27" s="112">
        <v>0</v>
      </c>
      <c r="H27" s="112">
        <v>0</v>
      </c>
      <c r="I27" s="112">
        <v>0</v>
      </c>
      <c r="J27" s="112">
        <v>14496</v>
      </c>
      <c r="K27" s="112">
        <v>16159</v>
      </c>
      <c r="L27" s="112">
        <v>15938</v>
      </c>
      <c r="M27" s="112">
        <v>12944</v>
      </c>
      <c r="N27" s="112">
        <v>13367</v>
      </c>
      <c r="O27" s="112">
        <v>13075</v>
      </c>
      <c r="P27" s="186">
        <v>102504</v>
      </c>
      <c r="Q27" s="201">
        <v>102504</v>
      </c>
      <c r="R27" s="201">
        <v>120000</v>
      </c>
    </row>
    <row r="28" spans="1:18" ht="10.5">
      <c r="A28" s="16"/>
      <c r="B28" s="638" t="s">
        <v>52</v>
      </c>
      <c r="C28" s="219" t="s">
        <v>53</v>
      </c>
      <c r="D28" s="220">
        <v>8000</v>
      </c>
      <c r="E28" s="220">
        <v>8000</v>
      </c>
      <c r="F28" s="220">
        <v>8000</v>
      </c>
      <c r="G28" s="220">
        <v>8000</v>
      </c>
      <c r="H28" s="220">
        <v>8000</v>
      </c>
      <c r="I28" s="220">
        <v>8000</v>
      </c>
      <c r="J28" s="220">
        <v>110000</v>
      </c>
      <c r="K28" s="220">
        <v>25132</v>
      </c>
      <c r="L28" s="220">
        <v>55132</v>
      </c>
      <c r="M28" s="220">
        <v>58829</v>
      </c>
      <c r="N28" s="220">
        <v>174454</v>
      </c>
      <c r="O28" s="220">
        <v>38699</v>
      </c>
      <c r="P28" s="221">
        <v>510246</v>
      </c>
      <c r="Q28" s="641">
        <v>749968</v>
      </c>
      <c r="R28" s="641">
        <v>220000</v>
      </c>
    </row>
    <row r="29" spans="1:18">
      <c r="A29" s="16"/>
      <c r="B29" s="639"/>
      <c r="C29" s="222" t="s">
        <v>74</v>
      </c>
      <c r="D29" s="220">
        <v>22062</v>
      </c>
      <c r="E29" s="220">
        <v>17463</v>
      </c>
      <c r="F29" s="220">
        <v>0</v>
      </c>
      <c r="G29" s="220">
        <v>0</v>
      </c>
      <c r="H29" s="220">
        <v>0</v>
      </c>
      <c r="I29" s="220">
        <v>0</v>
      </c>
      <c r="J29" s="220">
        <v>18398</v>
      </c>
      <c r="K29" s="220">
        <v>13225</v>
      </c>
      <c r="L29" s="220">
        <v>16206</v>
      </c>
      <c r="M29" s="220">
        <v>11221</v>
      </c>
      <c r="N29" s="220">
        <v>11921</v>
      </c>
      <c r="O29" s="220">
        <v>11434</v>
      </c>
      <c r="P29" s="221">
        <v>121930</v>
      </c>
      <c r="Q29" s="642"/>
      <c r="R29" s="642"/>
    </row>
    <row r="30" spans="1:18" ht="10.5">
      <c r="A30" s="16"/>
      <c r="B30" s="640"/>
      <c r="C30" s="219" t="s">
        <v>75</v>
      </c>
      <c r="D30" s="220">
        <v>14508</v>
      </c>
      <c r="E30" s="220">
        <v>14508</v>
      </c>
      <c r="F30" s="220">
        <v>0</v>
      </c>
      <c r="G30" s="220">
        <v>0</v>
      </c>
      <c r="H30" s="220">
        <v>0</v>
      </c>
      <c r="I30" s="220">
        <v>0</v>
      </c>
      <c r="J30" s="220">
        <v>11592</v>
      </c>
      <c r="K30" s="220">
        <v>11592</v>
      </c>
      <c r="L30" s="220">
        <v>11592</v>
      </c>
      <c r="M30" s="220">
        <v>18000</v>
      </c>
      <c r="N30" s="220">
        <v>18000</v>
      </c>
      <c r="O30" s="220">
        <v>18000</v>
      </c>
      <c r="P30" s="221">
        <v>117792</v>
      </c>
      <c r="Q30" s="643"/>
      <c r="R30" s="643"/>
    </row>
    <row r="31" spans="1:18" ht="10.5">
      <c r="A31" s="16"/>
      <c r="B31" s="34" t="s">
        <v>54</v>
      </c>
      <c r="C31" s="18" t="s">
        <v>55</v>
      </c>
      <c r="D31" s="112">
        <v>6752</v>
      </c>
      <c r="E31" s="112">
        <v>4552</v>
      </c>
      <c r="F31" s="112">
        <v>2040</v>
      </c>
      <c r="G31" s="112">
        <v>1080</v>
      </c>
      <c r="H31" s="112">
        <v>540</v>
      </c>
      <c r="I31" s="112">
        <v>540</v>
      </c>
      <c r="J31" s="112">
        <v>5580</v>
      </c>
      <c r="K31" s="112">
        <v>3832</v>
      </c>
      <c r="L31" s="112">
        <v>2552</v>
      </c>
      <c r="M31" s="112">
        <v>2552</v>
      </c>
      <c r="N31" s="112">
        <v>2552</v>
      </c>
      <c r="O31" s="112">
        <v>3910</v>
      </c>
      <c r="P31" s="186">
        <v>36482</v>
      </c>
      <c r="Q31" s="201">
        <v>36482</v>
      </c>
      <c r="R31" s="201">
        <v>24000</v>
      </c>
    </row>
    <row r="32" spans="1:18" ht="10.5">
      <c r="A32" s="16"/>
      <c r="B32" s="34" t="s">
        <v>56</v>
      </c>
      <c r="C32" s="18" t="s">
        <v>56</v>
      </c>
      <c r="D32" s="112">
        <v>22200</v>
      </c>
      <c r="E32" s="112">
        <v>22200</v>
      </c>
      <c r="F32" s="112">
        <v>24200</v>
      </c>
      <c r="G32" s="112">
        <v>22200</v>
      </c>
      <c r="H32" s="112">
        <v>22200</v>
      </c>
      <c r="I32" s="112">
        <v>22200</v>
      </c>
      <c r="J32" s="112">
        <v>22200</v>
      </c>
      <c r="K32" s="112">
        <v>22200</v>
      </c>
      <c r="L32" s="112">
        <v>22200</v>
      </c>
      <c r="M32" s="112">
        <v>22200</v>
      </c>
      <c r="N32" s="112">
        <v>22200</v>
      </c>
      <c r="O32" s="112">
        <v>22200</v>
      </c>
      <c r="P32" s="186">
        <v>268400</v>
      </c>
      <c r="Q32" s="201">
        <v>268400</v>
      </c>
      <c r="R32" s="201">
        <v>180000</v>
      </c>
    </row>
    <row r="33" spans="1:18" ht="10.5">
      <c r="A33" s="16"/>
      <c r="B33" s="35" t="s">
        <v>57</v>
      </c>
      <c r="C33" s="18" t="s">
        <v>57</v>
      </c>
      <c r="D33" s="113">
        <v>18526</v>
      </c>
      <c r="E33" s="113">
        <v>14383</v>
      </c>
      <c r="F33" s="113">
        <v>151200</v>
      </c>
      <c r="G33" s="113">
        <v>13500</v>
      </c>
      <c r="H33" s="113">
        <v>23500</v>
      </c>
      <c r="I33" s="113">
        <v>13500</v>
      </c>
      <c r="J33" s="113">
        <v>6194</v>
      </c>
      <c r="K33" s="113">
        <v>11716</v>
      </c>
      <c r="L33" s="113">
        <v>3969</v>
      </c>
      <c r="M33" s="113">
        <v>570</v>
      </c>
      <c r="N33" s="113">
        <v>1188</v>
      </c>
      <c r="O33" s="113">
        <v>38097</v>
      </c>
      <c r="P33" s="176">
        <v>296343</v>
      </c>
      <c r="Q33" s="201">
        <v>296343</v>
      </c>
      <c r="R33" s="201">
        <v>24000</v>
      </c>
    </row>
    <row r="34" spans="1:18" ht="10.5">
      <c r="A34" s="10"/>
      <c r="B34" s="36" t="s">
        <v>58</v>
      </c>
      <c r="C34" s="14" t="s">
        <v>59</v>
      </c>
      <c r="D34" s="112">
        <v>0</v>
      </c>
      <c r="E34" s="112">
        <v>0</v>
      </c>
      <c r="F34" s="112">
        <v>0</v>
      </c>
      <c r="G34" s="112">
        <v>0</v>
      </c>
      <c r="H34" s="112">
        <v>0</v>
      </c>
      <c r="I34" s="112">
        <v>0</v>
      </c>
      <c r="J34" s="112">
        <v>0</v>
      </c>
      <c r="K34" s="112">
        <v>0</v>
      </c>
      <c r="L34" s="112">
        <v>0</v>
      </c>
      <c r="M34" s="112">
        <v>0</v>
      </c>
      <c r="N34" s="112">
        <v>0</v>
      </c>
      <c r="O34" s="112">
        <v>0</v>
      </c>
      <c r="P34" s="186">
        <v>0</v>
      </c>
      <c r="Q34" s="202">
        <v>152605</v>
      </c>
      <c r="R34" s="202">
        <v>100000</v>
      </c>
    </row>
    <row r="35" spans="1:18" ht="10.5">
      <c r="A35" s="10"/>
      <c r="B35" s="37"/>
      <c r="C35" s="8" t="s">
        <v>60</v>
      </c>
      <c r="D35" s="112">
        <v>10016</v>
      </c>
      <c r="E35" s="112">
        <v>10016</v>
      </c>
      <c r="F35" s="112">
        <v>10016</v>
      </c>
      <c r="G35" s="112">
        <v>10016</v>
      </c>
      <c r="H35" s="112">
        <v>10016</v>
      </c>
      <c r="I35" s="112">
        <v>10016</v>
      </c>
      <c r="J35" s="112">
        <v>31429</v>
      </c>
      <c r="K35" s="112">
        <v>10016</v>
      </c>
      <c r="L35" s="112">
        <v>21016</v>
      </c>
      <c r="M35" s="112">
        <v>10016</v>
      </c>
      <c r="N35" s="112">
        <v>10016</v>
      </c>
      <c r="O35" s="112">
        <v>10016</v>
      </c>
      <c r="P35" s="203">
        <v>152605</v>
      </c>
      <c r="Q35" s="202"/>
      <c r="R35" s="202"/>
    </row>
    <row r="36" spans="1:18" ht="10.5">
      <c r="A36" s="38"/>
      <c r="B36" s="183" t="s">
        <v>61</v>
      </c>
      <c r="C36" s="13"/>
      <c r="D36" s="204">
        <v>293338</v>
      </c>
      <c r="E36" s="204">
        <v>260969</v>
      </c>
      <c r="F36" s="204">
        <v>304302</v>
      </c>
      <c r="G36" s="204">
        <v>130546</v>
      </c>
      <c r="H36" s="204">
        <v>112932</v>
      </c>
      <c r="I36" s="204">
        <v>55406</v>
      </c>
      <c r="J36" s="204">
        <v>573190</v>
      </c>
      <c r="K36" s="204">
        <v>420722</v>
      </c>
      <c r="L36" s="204">
        <v>364793</v>
      </c>
      <c r="M36" s="204">
        <v>296213</v>
      </c>
      <c r="N36" s="204">
        <v>425606</v>
      </c>
      <c r="O36" s="204">
        <v>342634</v>
      </c>
      <c r="P36" s="205">
        <v>3580651</v>
      </c>
      <c r="Q36" s="206">
        <v>3580651</v>
      </c>
      <c r="R36" s="206">
        <v>2033000</v>
      </c>
    </row>
    <row r="37" spans="1:18">
      <c r="B37" s="41"/>
      <c r="Q37" s="42"/>
    </row>
    <row r="38" spans="1:18" ht="10.5">
      <c r="A38" s="6" t="s">
        <v>62</v>
      </c>
      <c r="B38" s="43" t="s">
        <v>63</v>
      </c>
      <c r="C38" s="8" t="s">
        <v>64</v>
      </c>
      <c r="D38" s="113">
        <v>214054</v>
      </c>
      <c r="E38" s="113">
        <v>111554</v>
      </c>
      <c r="F38" s="113">
        <v>101608</v>
      </c>
      <c r="G38" s="113">
        <v>101608</v>
      </c>
      <c r="H38" s="113">
        <v>101608</v>
      </c>
      <c r="I38" s="113">
        <v>101608</v>
      </c>
      <c r="J38" s="113">
        <v>101608</v>
      </c>
      <c r="K38" s="113">
        <v>94311</v>
      </c>
      <c r="L38" s="113">
        <v>94311</v>
      </c>
      <c r="M38" s="113">
        <v>97515</v>
      </c>
      <c r="N38" s="113">
        <v>97515</v>
      </c>
      <c r="O38" s="113">
        <v>97515</v>
      </c>
      <c r="P38" s="207">
        <f t="shared" ref="P38:P43" si="0">SUM(D38:O38)</f>
        <v>1314815</v>
      </c>
      <c r="Q38" s="208">
        <v>1728090</v>
      </c>
      <c r="R38" s="209"/>
    </row>
    <row r="39" spans="1:18" ht="10.5">
      <c r="A39" s="10"/>
      <c r="B39" s="44" t="s">
        <v>62</v>
      </c>
      <c r="C39" s="14" t="s">
        <v>65</v>
      </c>
      <c r="D39" s="112">
        <v>0</v>
      </c>
      <c r="E39" s="112">
        <v>0</v>
      </c>
      <c r="F39" s="112">
        <v>43232</v>
      </c>
      <c r="G39" s="112">
        <v>43232</v>
      </c>
      <c r="H39" s="112">
        <v>43232</v>
      </c>
      <c r="I39" s="112">
        <v>43232</v>
      </c>
      <c r="J39" s="112">
        <v>76607</v>
      </c>
      <c r="K39" s="112">
        <v>45847</v>
      </c>
      <c r="L39" s="112">
        <v>43232</v>
      </c>
      <c r="M39" s="112">
        <v>46035</v>
      </c>
      <c r="N39" s="112">
        <v>42253</v>
      </c>
      <c r="O39" s="112">
        <v>62798</v>
      </c>
      <c r="P39" s="207">
        <f t="shared" si="0"/>
        <v>489700</v>
      </c>
      <c r="Q39" s="210"/>
      <c r="R39" s="211"/>
    </row>
    <row r="40" spans="1:18" ht="10.5">
      <c r="A40" s="10"/>
      <c r="B40" s="45"/>
      <c r="C40" s="18" t="s">
        <v>73</v>
      </c>
      <c r="D40" s="113">
        <v>15624</v>
      </c>
      <c r="E40" s="113">
        <v>72129</v>
      </c>
      <c r="F40" s="113">
        <v>25492</v>
      </c>
      <c r="G40" s="113">
        <v>25492</v>
      </c>
      <c r="H40" s="113">
        <v>25492</v>
      </c>
      <c r="I40" s="113">
        <v>25492</v>
      </c>
      <c r="J40" s="113">
        <v>84717</v>
      </c>
      <c r="K40" s="113">
        <v>169531</v>
      </c>
      <c r="L40" s="113">
        <v>75341</v>
      </c>
      <c r="M40" s="113">
        <v>25492</v>
      </c>
      <c r="N40" s="113">
        <v>32485</v>
      </c>
      <c r="O40" s="113">
        <v>27616</v>
      </c>
      <c r="P40" s="207">
        <f t="shared" si="0"/>
        <v>604903</v>
      </c>
      <c r="Q40" s="212"/>
      <c r="R40" s="213"/>
    </row>
    <row r="41" spans="1:18" ht="10.5">
      <c r="A41" s="16"/>
      <c r="B41" s="46"/>
      <c r="C41" s="47" t="s">
        <v>66</v>
      </c>
      <c r="D41" s="214">
        <v>34000</v>
      </c>
      <c r="E41" s="214">
        <v>0</v>
      </c>
      <c r="F41" s="214">
        <v>0</v>
      </c>
      <c r="G41" s="214">
        <v>0</v>
      </c>
      <c r="H41" s="214">
        <v>0</v>
      </c>
      <c r="I41" s="214">
        <v>0</v>
      </c>
      <c r="J41" s="214">
        <v>177500</v>
      </c>
      <c r="K41" s="214">
        <v>101796</v>
      </c>
      <c r="L41" s="214">
        <v>105796</v>
      </c>
      <c r="M41" s="214">
        <v>100000</v>
      </c>
      <c r="N41" s="214">
        <v>94500</v>
      </c>
      <c r="O41" s="214">
        <v>103000</v>
      </c>
      <c r="P41" s="207">
        <f t="shared" si="0"/>
        <v>716592</v>
      </c>
      <c r="Q41" s="200">
        <v>716592</v>
      </c>
      <c r="R41" s="112"/>
    </row>
    <row r="42" spans="1:18" ht="10.5">
      <c r="A42" s="10"/>
      <c r="B42" s="48" t="s">
        <v>58</v>
      </c>
      <c r="C42" s="8" t="s">
        <v>67</v>
      </c>
      <c r="D42" s="112">
        <v>0</v>
      </c>
      <c r="E42" s="112">
        <v>0</v>
      </c>
      <c r="F42" s="112">
        <v>0</v>
      </c>
      <c r="G42" s="112">
        <v>0</v>
      </c>
      <c r="H42" s="112">
        <v>0</v>
      </c>
      <c r="I42" s="112">
        <v>0</v>
      </c>
      <c r="J42" s="112">
        <v>3000</v>
      </c>
      <c r="K42" s="112">
        <v>0</v>
      </c>
      <c r="L42" s="112">
        <v>0</v>
      </c>
      <c r="M42" s="112">
        <v>0</v>
      </c>
      <c r="N42" s="112">
        <v>0</v>
      </c>
      <c r="O42" s="112">
        <v>0</v>
      </c>
      <c r="P42" s="207">
        <f t="shared" si="0"/>
        <v>3000</v>
      </c>
      <c r="Q42" s="216">
        <v>3000</v>
      </c>
      <c r="R42" s="216"/>
    </row>
    <row r="43" spans="1:18" ht="10.5">
      <c r="A43" s="10"/>
      <c r="B43" s="49"/>
      <c r="C43" s="8" t="s">
        <v>58</v>
      </c>
      <c r="D43" s="112">
        <v>0</v>
      </c>
      <c r="E43" s="112">
        <v>0</v>
      </c>
      <c r="F43" s="112">
        <v>0</v>
      </c>
      <c r="G43" s="112">
        <v>0</v>
      </c>
      <c r="H43" s="112">
        <v>0</v>
      </c>
      <c r="I43" s="112">
        <v>0</v>
      </c>
      <c r="J43" s="112">
        <v>0</v>
      </c>
      <c r="K43" s="112">
        <v>0</v>
      </c>
      <c r="L43" s="112">
        <v>0</v>
      </c>
      <c r="M43" s="112">
        <v>0</v>
      </c>
      <c r="N43" s="112">
        <v>0</v>
      </c>
      <c r="O43" s="112">
        <v>0</v>
      </c>
      <c r="P43" s="207">
        <f t="shared" si="0"/>
        <v>0</v>
      </c>
      <c r="Q43" s="217"/>
      <c r="R43" s="217"/>
    </row>
    <row r="44" spans="1:18" ht="10.5">
      <c r="A44" s="38"/>
      <c r="B44" s="184" t="s">
        <v>68</v>
      </c>
      <c r="C44" s="185"/>
      <c r="D44" s="204">
        <v>263678</v>
      </c>
      <c r="E44" s="204">
        <v>183683</v>
      </c>
      <c r="F44" s="204">
        <f>SUM(F38:F43)</f>
        <v>170332</v>
      </c>
      <c r="G44" s="204">
        <f>SUM(G38:G43)</f>
        <v>170332</v>
      </c>
      <c r="H44" s="204">
        <f>SUM(H38:H43)</f>
        <v>170332</v>
      </c>
      <c r="I44" s="204">
        <f>SUM(I38:I43)</f>
        <v>170332</v>
      </c>
      <c r="J44" s="204">
        <v>443432</v>
      </c>
      <c r="K44" s="204">
        <v>411485</v>
      </c>
      <c r="L44" s="204">
        <v>318680</v>
      </c>
      <c r="M44" s="204">
        <v>269042</v>
      </c>
      <c r="N44" s="204">
        <v>266753</v>
      </c>
      <c r="O44" s="204">
        <v>290929</v>
      </c>
      <c r="P44" s="205">
        <f>SUM(P38:P43)</f>
        <v>3129010</v>
      </c>
      <c r="Q44" s="206">
        <v>2447682</v>
      </c>
      <c r="R44" s="182"/>
    </row>
  </sheetData>
  <mergeCells count="3">
    <mergeCell ref="B28:B30"/>
    <mergeCell ref="Q28:Q30"/>
    <mergeCell ref="R28:R30"/>
  </mergeCells>
  <phoneticPr fontId="18" type="noConversion"/>
  <pageMargins left="0.75" right="0.75" top="1" bottom="1" header="0.5" footer="0.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具名範圍</vt:lpstr>
      </vt:variant>
      <vt:variant>
        <vt:i4>1</vt:i4>
      </vt:variant>
    </vt:vector>
  </HeadingPairs>
  <TitlesOfParts>
    <vt:vector size="25" baseType="lpstr">
      <vt:lpstr>信用卡</vt:lpstr>
      <vt:lpstr>淑琪</vt:lpstr>
      <vt:lpstr>Invest</vt:lpstr>
      <vt:lpstr>永豐貸款</vt:lpstr>
      <vt:lpstr>五樓</vt:lpstr>
      <vt:lpstr>大樂透</vt:lpstr>
      <vt:lpstr>中獎號碼</vt:lpstr>
      <vt:lpstr>比較表</vt:lpstr>
      <vt:lpstr>2008年總表</vt:lpstr>
      <vt:lpstr>2009年總表</vt:lpstr>
      <vt:lpstr>2015年總表</vt:lpstr>
      <vt:lpstr>2017年总表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  <vt:lpstr>'2009年總表'!Print_Area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Andrew CY</dc:creator>
  <cp:lastModifiedBy>huskywang</cp:lastModifiedBy>
  <cp:lastPrinted>2007-06-06T02:54:45Z</cp:lastPrinted>
  <dcterms:created xsi:type="dcterms:W3CDTF">2006-07-03T03:18:01Z</dcterms:created>
  <dcterms:modified xsi:type="dcterms:W3CDTF">2018-04-06T05:26:02Z</dcterms:modified>
</cp:coreProperties>
</file>