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relic\OneDrive - University of North Carolina at Chapel Hill\UNC\Research\WSC\Coding\WP\WaterPaths\"/>
    </mc:Choice>
  </mc:AlternateContent>
  <xr:revisionPtr revIDLastSave="900" documentId="8_{C8E35AC9-AE47-4BC1-9B89-0F02DB53718A}" xr6:coauthVersionLast="44" xr6:coauthVersionMax="44" xr10:uidLastSave="{2A21EA1F-2761-43C6-B4C3-AB0D10BA0615}"/>
  <bookViews>
    <workbookView xWindow="-108" yWindow="-108" windowWidth="23256" windowHeight="12576" activeTab="1" xr2:uid="{86269228-995F-4CCE-A765-45BC8EB19015}"/>
  </bookViews>
  <sheets>
    <sheet name="Pittsboro" sheetId="1" r:id="rId1"/>
    <sheet name="Chatham County Nor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1" i="1" l="1"/>
  <c r="T51" i="1"/>
  <c r="AC63" i="1"/>
  <c r="AC62" i="1"/>
  <c r="Z6" i="2" l="1"/>
  <c r="Q18" i="2"/>
  <c r="R51" i="1"/>
  <c r="R52" i="1" s="1"/>
  <c r="Q51" i="1"/>
  <c r="Q52" i="1" s="1"/>
  <c r="T50" i="1"/>
  <c r="Q49" i="1"/>
  <c r="S17" i="2"/>
  <c r="AC27" i="2"/>
  <c r="AC26" i="2"/>
  <c r="Z5" i="2"/>
  <c r="R12" i="2"/>
  <c r="L12" i="2"/>
  <c r="P12" i="2" l="1"/>
  <c r="Q16" i="2" s="1"/>
  <c r="M7" i="2"/>
  <c r="T4" i="2"/>
  <c r="T49" i="1"/>
  <c r="R50" i="1"/>
  <c r="Q50" i="1"/>
  <c r="R46" i="1"/>
  <c r="Q46" i="1"/>
  <c r="R45" i="1"/>
  <c r="Q45" i="1"/>
  <c r="Q44" i="1"/>
  <c r="R19" i="1"/>
  <c r="R18" i="1"/>
  <c r="H30" i="2"/>
  <c r="G30" i="2"/>
  <c r="G33" i="2"/>
  <c r="F31" i="2"/>
  <c r="F32" i="2"/>
  <c r="F33" i="2"/>
  <c r="F30" i="2"/>
  <c r="W11" i="1"/>
  <c r="S15" i="1"/>
  <c r="R15" i="1"/>
  <c r="P15" i="1"/>
  <c r="U16" i="1"/>
  <c r="H33" i="2"/>
  <c r="J37" i="1"/>
  <c r="J38" i="1"/>
  <c r="J39" i="1"/>
  <c r="J40" i="1"/>
  <c r="J41" i="1"/>
  <c r="J42" i="1"/>
  <c r="J43" i="1"/>
  <c r="J44" i="1"/>
  <c r="J45" i="1"/>
  <c r="J46" i="1"/>
  <c r="J47" i="1"/>
  <c r="J36" i="1"/>
  <c r="H37" i="2"/>
  <c r="H38" i="2"/>
  <c r="H39" i="2"/>
  <c r="H40" i="2"/>
  <c r="H41" i="2"/>
  <c r="H42" i="2"/>
  <c r="H43" i="2"/>
  <c r="H44" i="2"/>
  <c r="H45" i="2"/>
  <c r="H46" i="2"/>
  <c r="H47" i="2"/>
  <c r="H36" i="2"/>
  <c r="G50" i="1"/>
  <c r="G51" i="1"/>
  <c r="G52" i="1"/>
  <c r="G53" i="1"/>
  <c r="G54" i="1"/>
  <c r="G55" i="1"/>
  <c r="G56" i="1"/>
  <c r="G57" i="1"/>
  <c r="G58" i="1"/>
  <c r="G59" i="1"/>
  <c r="G60" i="1"/>
  <c r="G61" i="1"/>
  <c r="H37" i="1"/>
  <c r="H38" i="1"/>
  <c r="H39" i="1"/>
  <c r="H40" i="1"/>
  <c r="H41" i="1"/>
  <c r="H42" i="1"/>
  <c r="H43" i="1"/>
  <c r="H44" i="1"/>
  <c r="H45" i="1"/>
  <c r="H46" i="1"/>
  <c r="H47" i="1"/>
  <c r="H36" i="1"/>
  <c r="P13" i="2" l="1"/>
  <c r="Q17" i="2" s="1"/>
  <c r="K81" i="1"/>
  <c r="G47" i="1"/>
  <c r="K88" i="1" s="1"/>
  <c r="G46" i="1"/>
  <c r="K80" i="1" s="1"/>
  <c r="G45" i="1"/>
  <c r="K76" i="1" s="1"/>
  <c r="G44" i="1"/>
  <c r="K72" i="1" s="1"/>
  <c r="G43" i="1"/>
  <c r="K70" i="1" s="1"/>
  <c r="G42" i="1"/>
  <c r="K64" i="1" s="1"/>
  <c r="G41" i="1"/>
  <c r="K60" i="1" s="1"/>
  <c r="G40" i="1"/>
  <c r="K56" i="1" s="1"/>
  <c r="G39" i="1"/>
  <c r="K52" i="1" s="1"/>
  <c r="G38" i="1"/>
  <c r="K48" i="1" s="1"/>
  <c r="G37" i="1"/>
  <c r="K40" i="1" s="1"/>
  <c r="G36" i="1"/>
  <c r="K36" i="1" s="1"/>
  <c r="S14" i="1"/>
  <c r="S13" i="1"/>
  <c r="S12" i="1"/>
  <c r="S11" i="1"/>
  <c r="K85" i="1" l="1"/>
  <c r="K86" i="1"/>
  <c r="K41" i="1"/>
  <c r="K37" i="1"/>
  <c r="K87" i="1"/>
  <c r="K84" i="1"/>
  <c r="K82" i="1"/>
  <c r="K83" i="1"/>
  <c r="K79" i="1"/>
  <c r="K78" i="1"/>
  <c r="K75" i="1"/>
  <c r="K77" i="1"/>
  <c r="K73" i="1"/>
  <c r="K71" i="1"/>
  <c r="K74" i="1"/>
  <c r="K67" i="1"/>
  <c r="K68" i="1"/>
  <c r="K69" i="1"/>
  <c r="K66" i="1"/>
  <c r="K65" i="1"/>
  <c r="K62" i="1"/>
  <c r="K63" i="1"/>
  <c r="K58" i="1"/>
  <c r="K59" i="1"/>
  <c r="K61" i="1"/>
  <c r="K57" i="1"/>
  <c r="K54" i="1"/>
  <c r="K55" i="1"/>
  <c r="K53" i="1"/>
  <c r="K50" i="1"/>
  <c r="K51" i="1"/>
  <c r="K49" i="1"/>
  <c r="K46" i="1"/>
  <c r="K45" i="1"/>
  <c r="K47" i="1"/>
  <c r="K44" i="1"/>
  <c r="K42" i="1"/>
  <c r="K43" i="1"/>
  <c r="K38" i="1"/>
  <c r="K39" i="1"/>
  <c r="K88" i="2"/>
  <c r="K85" i="2"/>
  <c r="K86" i="2"/>
  <c r="K87" i="2"/>
  <c r="K80" i="2"/>
  <c r="K81" i="2"/>
  <c r="K82" i="2"/>
  <c r="K83" i="2"/>
  <c r="K76" i="2"/>
  <c r="K77" i="2"/>
  <c r="K78" i="2"/>
  <c r="K84" i="2"/>
  <c r="K79" i="2"/>
  <c r="K75" i="2"/>
  <c r="K72" i="2"/>
  <c r="K73" i="2"/>
  <c r="K74" i="2"/>
  <c r="K71" i="2"/>
  <c r="K67" i="2"/>
  <c r="K68" i="2"/>
  <c r="K69" i="2"/>
  <c r="K70" i="2"/>
  <c r="K66" i="2"/>
  <c r="K63" i="2"/>
  <c r="K64" i="2"/>
  <c r="K65" i="2"/>
  <c r="K62" i="2"/>
  <c r="K59" i="2"/>
  <c r="K60" i="2"/>
  <c r="K61" i="2"/>
  <c r="K58" i="2"/>
  <c r="K57" i="2"/>
  <c r="K54" i="2"/>
  <c r="K55" i="2"/>
  <c r="K56" i="2"/>
  <c r="K53" i="2"/>
  <c r="K50" i="2"/>
  <c r="K51" i="2"/>
  <c r="K52" i="2"/>
  <c r="K49" i="2"/>
  <c r="K45" i="2"/>
  <c r="K46" i="2"/>
  <c r="K47" i="2"/>
  <c r="K48" i="2"/>
  <c r="K44" i="2"/>
  <c r="K41" i="2"/>
  <c r="K42" i="2"/>
  <c r="K43" i="2"/>
  <c r="K40" i="2"/>
  <c r="K37" i="2"/>
  <c r="K38" i="2"/>
  <c r="K39" i="2"/>
  <c r="K36" i="2"/>
  <c r="E31" i="2"/>
  <c r="E32" i="2"/>
  <c r="E33" i="2"/>
  <c r="E30" i="2"/>
  <c r="G37" i="2"/>
  <c r="G38" i="2"/>
  <c r="G39" i="2"/>
  <c r="G40" i="2"/>
  <c r="G41" i="2"/>
  <c r="G42" i="2"/>
  <c r="G43" i="2"/>
  <c r="G44" i="2"/>
  <c r="G45" i="2"/>
  <c r="G46" i="2"/>
  <c r="G47" i="2"/>
  <c r="G36" i="2"/>
  <c r="C24" i="1" l="1"/>
  <c r="C25" i="1"/>
  <c r="C26" i="1"/>
  <c r="C21" i="1"/>
  <c r="C22" i="1"/>
  <c r="C20" i="1"/>
  <c r="K8" i="2"/>
  <c r="K16" i="2" s="1"/>
  <c r="J8" i="2"/>
  <c r="J15" i="2" s="1"/>
  <c r="I8" i="2"/>
  <c r="I13" i="2" s="1"/>
  <c r="H8" i="2"/>
  <c r="H13" i="2" s="1"/>
  <c r="G8" i="2"/>
  <c r="G16" i="2" s="1"/>
  <c r="F8" i="2"/>
  <c r="F15" i="2" s="1"/>
  <c r="E8" i="2"/>
  <c r="E14" i="2" s="1"/>
  <c r="D8" i="2"/>
  <c r="D13" i="2" s="1"/>
  <c r="C8" i="2"/>
  <c r="C16" i="2" s="1"/>
  <c r="B8" i="2"/>
  <c r="B15" i="2" s="1"/>
  <c r="L11" i="1"/>
  <c r="C11" i="1"/>
  <c r="D11" i="1"/>
  <c r="E11" i="1"/>
  <c r="F11" i="1"/>
  <c r="G11" i="1"/>
  <c r="H11" i="1"/>
  <c r="I11" i="1"/>
  <c r="J11" i="1"/>
  <c r="K11" i="1"/>
  <c r="C12" i="1"/>
  <c r="D12" i="1"/>
  <c r="E12" i="1"/>
  <c r="L12" i="1" s="1"/>
  <c r="F12" i="1"/>
  <c r="G12" i="1"/>
  <c r="H12" i="1"/>
  <c r="I12" i="1"/>
  <c r="J12" i="1"/>
  <c r="K12" i="1"/>
  <c r="C13" i="1"/>
  <c r="D13" i="1"/>
  <c r="E13" i="1"/>
  <c r="L13" i="1" s="1"/>
  <c r="F13" i="1"/>
  <c r="G13" i="1"/>
  <c r="H13" i="1"/>
  <c r="I13" i="1"/>
  <c r="J13" i="1"/>
  <c r="K13" i="1"/>
  <c r="C14" i="1"/>
  <c r="D14" i="1"/>
  <c r="E14" i="1"/>
  <c r="L14" i="1" s="1"/>
  <c r="F14" i="1"/>
  <c r="G14" i="1"/>
  <c r="H14" i="1"/>
  <c r="I14" i="1"/>
  <c r="J14" i="1"/>
  <c r="K14" i="1"/>
  <c r="C15" i="1"/>
  <c r="D15" i="1"/>
  <c r="E15" i="1"/>
  <c r="L15" i="1" s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B12" i="1"/>
  <c r="B13" i="1"/>
  <c r="B14" i="1"/>
  <c r="B15" i="1"/>
  <c r="B16" i="1"/>
  <c r="B11" i="1"/>
  <c r="C8" i="1"/>
  <c r="D8" i="1"/>
  <c r="E8" i="1"/>
  <c r="F8" i="1"/>
  <c r="G8" i="1"/>
  <c r="H8" i="1"/>
  <c r="I8" i="1"/>
  <c r="J8" i="1"/>
  <c r="K8" i="1"/>
  <c r="B8" i="1"/>
  <c r="L16" i="1" l="1"/>
  <c r="K11" i="2"/>
  <c r="K14" i="2"/>
  <c r="K15" i="2"/>
  <c r="J14" i="2"/>
  <c r="H15" i="2"/>
  <c r="H12" i="2"/>
  <c r="H11" i="2"/>
  <c r="H16" i="2"/>
  <c r="G15" i="2"/>
  <c r="G11" i="2"/>
  <c r="G14" i="2"/>
  <c r="F14" i="2"/>
  <c r="D11" i="2"/>
  <c r="D15" i="2"/>
  <c r="D12" i="2"/>
  <c r="D16" i="2"/>
  <c r="C15" i="2"/>
  <c r="C14" i="2"/>
  <c r="C11" i="2"/>
  <c r="B14" i="2"/>
  <c r="E12" i="2"/>
  <c r="B13" i="2"/>
  <c r="I16" i="2"/>
  <c r="E11" i="2"/>
  <c r="I11" i="2"/>
  <c r="B12" i="2"/>
  <c r="F12" i="2"/>
  <c r="J12" i="2"/>
  <c r="C13" i="2"/>
  <c r="G13" i="2"/>
  <c r="K13" i="2"/>
  <c r="D14" i="2"/>
  <c r="H14" i="2"/>
  <c r="E15" i="2"/>
  <c r="I15" i="2"/>
  <c r="B16" i="2"/>
  <c r="F16" i="2"/>
  <c r="J16" i="2"/>
  <c r="E13" i="2"/>
  <c r="I12" i="2"/>
  <c r="F13" i="2"/>
  <c r="J13" i="2"/>
  <c r="E16" i="2"/>
  <c r="B11" i="2"/>
  <c r="F11" i="2"/>
  <c r="J11" i="2"/>
  <c r="C12" i="2"/>
  <c r="G12" i="2"/>
  <c r="K12" i="2"/>
  <c r="I14" i="2"/>
  <c r="L14" i="2" l="1"/>
  <c r="L13" i="2"/>
  <c r="L15" i="2"/>
  <c r="L11" i="2"/>
  <c r="L16" i="2" l="1"/>
</calcChain>
</file>

<file path=xl/sharedStrings.xml><?xml version="1.0" encoding="utf-8"?>
<sst xmlns="http://schemas.openxmlformats.org/spreadsheetml/2006/main" count="251" uniqueCount="190">
  <si>
    <t>Demand Classes</t>
  </si>
  <si>
    <t>Future Year Demand Projections</t>
  </si>
  <si>
    <t>(from 2014 JLA Request)</t>
  </si>
  <si>
    <t>Residential</t>
  </si>
  <si>
    <t xml:space="preserve">Commercial - Institutional </t>
  </si>
  <si>
    <t>Industrial</t>
  </si>
  <si>
    <t>Bulk Sales</t>
  </si>
  <si>
    <t>Non-Revenue</t>
  </si>
  <si>
    <t>TOTAL</t>
  </si>
  <si>
    <t>USE FRACTIONS</t>
  </si>
  <si>
    <t>2030-2060 AVERAGES</t>
  </si>
  <si>
    <t>Non-residential</t>
  </si>
  <si>
    <t>System Process</t>
  </si>
  <si>
    <t>Non-revenue other</t>
  </si>
  <si>
    <t>Residential block rates</t>
  </si>
  <si>
    <t>0-5000 gal</t>
  </si>
  <si>
    <t>5001-8000</t>
  </si>
  <si>
    <t>8001+</t>
  </si>
  <si>
    <t>$/kgal</t>
  </si>
  <si>
    <t>ALSO SEE TABLES 26 AND 27 FROM REPORT</t>
  </si>
  <si>
    <t>Non-res</t>
  </si>
  <si>
    <t>0+ gal</t>
  </si>
  <si>
    <t>multi-unit</t>
  </si>
  <si>
    <t>0-2000 gal</t>
  </si>
  <si>
    <t>2001-6000</t>
  </si>
  <si>
    <t>6001+</t>
  </si>
  <si>
    <t>inside</t>
  </si>
  <si>
    <t>outside</t>
  </si>
  <si>
    <t>WASTEWATER</t>
  </si>
  <si>
    <t>ALSO FLAT FEES</t>
  </si>
  <si>
    <t>FOR ALL USERS</t>
  </si>
  <si>
    <t>BASE CHARGE</t>
  </si>
  <si>
    <t>block rates</t>
  </si>
  <si>
    <t>all sectors?</t>
  </si>
  <si>
    <t>bulk</t>
  </si>
  <si>
    <t xml:space="preserve">inside </t>
  </si>
  <si>
    <t>&lt; 1 in meter</t>
  </si>
  <si>
    <t>&gt; 1 in</t>
  </si>
  <si>
    <t>water</t>
  </si>
  <si>
    <t>wwater</t>
  </si>
  <si>
    <t>flat rate base charge for all user types</t>
  </si>
  <si>
    <t>dollars</t>
  </si>
  <si>
    <t>Use Restrictions</t>
  </si>
  <si>
    <t>Stages</t>
  </si>
  <si>
    <t>voluntary</t>
  </si>
  <si>
    <t>rationing</t>
  </si>
  <si>
    <t>emerg</t>
  </si>
  <si>
    <t>manda</t>
  </si>
  <si>
    <t>same as 2</t>
  </si>
  <si>
    <t>reduce use by 5%</t>
  </si>
  <si>
    <t>reduce use by 10% from last month bill</t>
  </si>
  <si>
    <t>reduce by 20%</t>
  </si>
  <si>
    <t>reduce by 25%</t>
  </si>
  <si>
    <t>drought surcharge 1.5 normal rates</t>
  </si>
  <si>
    <t>surcharge 2 times normal rate</t>
  </si>
  <si>
    <t>5 times normal rate</t>
  </si>
  <si>
    <t>?</t>
  </si>
  <si>
    <t>Use restrictions</t>
  </si>
  <si>
    <t>yearround, no emergency restriction schedule for the county?</t>
  </si>
  <si>
    <t>Commercial</t>
  </si>
  <si>
    <t>Institutional</t>
  </si>
  <si>
    <t>Metered Connections</t>
  </si>
  <si>
    <t>Sector (2018 LWSP)</t>
  </si>
  <si>
    <t xml:space="preserve">WW Discharge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</si>
  <si>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</si>
  <si>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</si>
  <si>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</si>
  <si>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</si>
  <si>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</si>
  <si>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</si>
  <si>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</si>
  <si>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</si>
  <si>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</si>
  <si>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</si>
  <si>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</si>
  <si>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</si>
  <si>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Daily (MGD)</t>
  </si>
  <si>
    <t>Avg Daily Withdrawals</t>
  </si>
  <si>
    <t>Avg Use (MGD, then as kgal/wk)</t>
  </si>
  <si>
    <t>ESTIMATED AVG REVENUE FROM WEEKLY RESIDENTIAL USE ($)</t>
  </si>
  <si>
    <t>ESTIMATE AVG FROM NON-RES USE</t>
  </si>
  <si>
    <t>$ REV PER MG</t>
  </si>
  <si>
    <t>WW Discharge as fraction of withdrawal</t>
  </si>
  <si>
    <t>WW discharge fraction in terms of weeks in year</t>
  </si>
  <si>
    <t>Sector (2013 LWSP)</t>
  </si>
  <si>
    <t>http://www.ncwater.org/WUDC/app/LWSP/report.php?pwsid=03-19-015</t>
  </si>
  <si>
    <t>stats from 2013 LWSP</t>
  </si>
  <si>
    <t>AVERAGE</t>
  </si>
  <si>
    <t>USE FOR MODELING</t>
  </si>
  <si>
    <t>ESTIMATED FRACTION OF TOTAL USE THAT IS</t>
  </si>
  <si>
    <t xml:space="preserve">INSIDE MUNICIPAL BOUNDARY: </t>
  </si>
  <si>
    <t>ESTIMATE BULK SALES PER MG</t>
  </si>
  <si>
    <t>Inst+Comm</t>
  </si>
  <si>
    <t>REVENUE AVG PER MG ($)</t>
  </si>
  <si>
    <t>Res</t>
  </si>
  <si>
    <t>Ind</t>
  </si>
  <si>
    <t>All Inside</t>
  </si>
  <si>
    <t>All Outside</t>
  </si>
  <si>
    <t>kgal/week/per capita</t>
  </si>
  <si>
    <t>accounted for</t>
  </si>
  <si>
    <t>total 2013 LWSP reported demand</t>
  </si>
  <si>
    <t>including non-rev estimate here</t>
  </si>
  <si>
    <t>2013 Revenues</t>
  </si>
  <si>
    <t>https://lgreports.nctreasurer.com/lgcfinancial/Reporting.aspx</t>
  </si>
  <si>
    <t>Water</t>
  </si>
  <si>
    <t>Sewer</t>
  </si>
  <si>
    <t>In $/year</t>
  </si>
  <si>
    <t>Total treated</t>
  </si>
  <si>
    <t>in MGY</t>
  </si>
  <si>
    <t>Total billed</t>
  </si>
  <si>
    <t>in $/MG billed</t>
  </si>
  <si>
    <t>in $/kgal billed</t>
  </si>
  <si>
    <t xml:space="preserve">non-bulk billed </t>
  </si>
  <si>
    <t>$/year bulk sales est.</t>
  </si>
  <si>
    <t>remaining 2013 rev</t>
  </si>
  <si>
    <t>in $/MG non-bulk billed</t>
  </si>
  <si>
    <t>(with 2019 rate)</t>
  </si>
  <si>
    <t>what I basically did here was take 2013 Pittsboro overall water and WW treated and compared it</t>
  </si>
  <si>
    <t>to their overall revenues for the year from both sources. There is some lost/non-revenue/process</t>
  </si>
  <si>
    <t>water that is not billed, so that is removed (got this exactly from the link above)</t>
  </si>
  <si>
    <t>because all parts of the system are under the same block rate, there is no need to account for</t>
  </si>
  <si>
    <t>"inside/outside" municipality billing issues or sector when calculating average revenue per MG</t>
  </si>
  <si>
    <t>Accounting for bulk sales… from 2013 LWSP records, 0.063 MGD was bulk sales</t>
  </si>
  <si>
    <t xml:space="preserve">however, we do need to account for bulk sales. From the LWSP for 2013, </t>
  </si>
  <si>
    <t>there were sales to Chapel Ridge averaged at 0.063 MGD, so I remove those from the billed</t>
  </si>
  <si>
    <t>water amount to calculate the average $/MG in revenue the system earns from all other billed sectors</t>
  </si>
  <si>
    <t>I did have to use the 2019 town bulk sales rate, not sure what the 2013 rate was…</t>
  </si>
  <si>
    <t>THIS IS THE FINAL AVERAGE REVENUE CALCULATION TO USE…</t>
  </si>
  <si>
    <t>2017 Revenue</t>
  </si>
  <si>
    <t>in $</t>
  </si>
  <si>
    <t>Billed use</t>
  </si>
  <si>
    <t>in MG</t>
  </si>
  <si>
    <t>MGD estimate</t>
  </si>
  <si>
    <t>Split billed water among sectors - residential/commercial and non-res</t>
  </si>
  <si>
    <t>From expected demand projections, split between residential (res + comm) and non-res (industrial)</t>
  </si>
  <si>
    <t>is about 60-40? So split historical billed use for this calculation accordingly</t>
  </si>
  <si>
    <t>because non-res is billed at a flat volumetric rate, deal with that first to determine</t>
  </si>
  <si>
    <t>average revenue per MG of block rate structured sales</t>
  </si>
  <si>
    <t>rev from non-res</t>
  </si>
  <si>
    <t>account for base charge of $15/mo by subtracting 15*12*number of accounts</t>
  </si>
  <si>
    <t>2017 CC North has about 8,000 res accounts</t>
  </si>
  <si>
    <t>DO SAME FOR NON-RES, THERE WERE ABOUT 760 ACCTS</t>
  </si>
  <si>
    <t>variable rev from non-res</t>
  </si>
  <si>
    <t>variable rev from res</t>
  </si>
  <si>
    <t>$/MG avg res variable rev</t>
  </si>
  <si>
    <t>remaining res tot rev</t>
  </si>
  <si>
    <t>this is really high relative to block rates….?</t>
  </si>
  <si>
    <t>res billed from 2017 records + multiplier to add in some commercial use that isn't accounted for? Use 2017 LWSP ratio of res/comm</t>
  </si>
  <si>
    <t>"----&gt;"</t>
  </si>
  <si>
    <t>now adjusted for other fees (see https://www.chathamnc.org/services/utilities-water-division/rates-meter-fees)</t>
  </si>
  <si>
    <t>and isn't terrible…</t>
  </si>
  <si>
    <t>WATER</t>
  </si>
  <si>
    <t>SEWER</t>
  </si>
  <si>
    <t>variable rev</t>
  </si>
  <si>
    <t>CC sewer rates webpage says 43 total sewer customers</t>
  </si>
  <si>
    <t>in $/MG</t>
  </si>
  <si>
    <t>"Other Operating Income"</t>
  </si>
  <si>
    <t>Raleigh Rate Sufficiency for 2017 Budget:</t>
  </si>
  <si>
    <t>Water Use Revenue</t>
  </si>
  <si>
    <t>FRACTION OTHER</t>
  </si>
  <si>
    <t>Justified?</t>
  </si>
  <si>
    <t>assume ~20% of variable res revenue from other fees (connection fees, repairs, etc)</t>
  </si>
  <si>
    <t>Accounting for bulk sales… 2013 LWSP had 1 bulk sales customer (Chapel Ridge), outside of muni</t>
  </si>
  <si>
    <t>assume Chapel Ridge</t>
  </si>
  <si>
    <t>has large (&gt; 1in) meter</t>
  </si>
  <si>
    <t>and is outside muni</t>
  </si>
  <si>
    <t>boundary</t>
  </si>
  <si>
    <t>remaining variable rev</t>
  </si>
  <si>
    <t>number of accounts</t>
  </si>
  <si>
    <t>FRACTION INSIDE MUNI</t>
  </si>
  <si>
    <t>when calculating base charges</t>
  </si>
  <si>
    <t>assume 90% are small meters</t>
  </si>
  <si>
    <t>assume 90% accounts inside</t>
  </si>
  <si>
    <t>muni limits return WW</t>
  </si>
  <si>
    <t>assume 80% water accounts</t>
  </si>
  <si>
    <t>inside muni</t>
  </si>
  <si>
    <t>before the final calculation, base charges were removed from revenues (roughly…)</t>
  </si>
  <si>
    <t>FINALLY, APPLY AN INFLATION CONSTANT TO ESTIMATE 2019 RATES FROM 2013 RESULTS</t>
  </si>
  <si>
    <t>https://www.in2013dollars.com/us/inflation/2013?endYear=2019&amp;amount=1</t>
  </si>
  <si>
    <t>FINALLY, APPLY 2017-&gt;2019 INFLATION ADJUSTMENT</t>
  </si>
  <si>
    <t>https://www.in2013dollars.com/us/inflation/2017?endYear=2019&amp;amount=1</t>
  </si>
  <si>
    <t>Realistic????</t>
  </si>
  <si>
    <t>FROM TAX PARCEL/ETJ SHAPEFILE</t>
  </si>
  <si>
    <t>AND WATER MAINS SPATIAL</t>
  </si>
  <si>
    <t>COMPARISONS:</t>
  </si>
  <si>
    <t>Parcels within 100m of main</t>
  </si>
  <si>
    <t>ETJ parcels within 100m</t>
  </si>
  <si>
    <t>Municipal parcels …</t>
  </si>
  <si>
    <t>FRACTION INSIDE</t>
  </si>
  <si>
    <t>FRACTION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</si>
</sst>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2" fillId="0" borderId="0" xfId="1"/>
    <xf numFmtId="0" fontId="0" fillId="0" borderId="0" xfId="0" applyFill="1"/>
    <xf numFmtId="0" fontId="0" fillId="3" borderId="0" xfId="0" applyFill="1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4" xfId="0" applyFill="1" applyBorder="1"/>
    <xf numFmtId="0" fontId="0" fillId="6" borderId="0" xfId="0" applyFill="1" applyBorder="1"/>
    <xf numFmtId="0" fontId="0" fillId="5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Border="1"/>
    <xf numFmtId="0" fontId="0" fillId="7" borderId="4" xfId="0" applyFill="1" applyBorder="1"/>
    <xf numFmtId="0" fontId="0" fillId="7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0" fillId="0" borderId="2" xfId="0" applyFill="1" applyBorder="1"/>
    <xf numFmtId="0" fontId="1" fillId="3" borderId="5" xfId="0" applyFont="1" applyFill="1" applyBorder="1"/>
    <xf numFmtId="0" fontId="1" fillId="3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Pittsboro!$J$36:$J$47</c:f>
              <c:numCache>
                <c:formatCode>General</c:formatCode>
                <c:ptCount val="12"/>
                <c:pt idx="0">
                  <c:v>0.63775578059392402</c:v>
                </c:pt>
                <c:pt idx="1">
                  <c:v>0.53951363407439379</c:v>
                </c:pt>
                <c:pt idx="2">
                  <c:v>0.57594028803335451</c:v>
                </c:pt>
                <c:pt idx="3">
                  <c:v>0.45221797867181779</c:v>
                </c:pt>
                <c:pt idx="4">
                  <c:v>0.53481890131831411</c:v>
                </c:pt>
                <c:pt idx="5">
                  <c:v>0.55591431743116748</c:v>
                </c:pt>
                <c:pt idx="6">
                  <c:v>0.57623237611445155</c:v>
                </c:pt>
                <c:pt idx="7">
                  <c:v>0.4509981171945624</c:v>
                </c:pt>
                <c:pt idx="8">
                  <c:v>0.47215248041239227</c:v>
                </c:pt>
                <c:pt idx="9">
                  <c:v>0.54184651000740003</c:v>
                </c:pt>
                <c:pt idx="10">
                  <c:v>0.5087048636698599</c:v>
                </c:pt>
                <c:pt idx="11">
                  <c:v>0.69555553892551658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1-4E5A-AE96-D27567F9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35272"/>
        <c:axId val="343535600"/>
      </c:lineChart>
      <c:catAx>
        <c:axId val="34353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5600"/>
        <c:crosses val="autoZero"/>
        <c:auto val="1"/>
        <c:lblAlgn val="ctr"/>
        <c:lblOffset val="100"/>
        <c:noMultiLvlLbl val="0"/>
      </c:catAx>
      <c:valAx>
        <c:axId val="343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'Chatham County North'!$G$36:$G$47</c:f>
              <c:numCache>
                <c:formatCode>General</c:formatCode>
                <c:ptCount val="12"/>
                <c:pt idx="0">
                  <c:v>0.127098976109215</c:v>
                </c:pt>
                <c:pt idx="1">
                  <c:v>0.11890982503364737</c:v>
                </c:pt>
                <c:pt idx="2">
                  <c:v>0.11976256983240224</c:v>
                </c:pt>
                <c:pt idx="3">
                  <c:v>8.8877654196157743E-2</c:v>
                </c:pt>
                <c:pt idx="4">
                  <c:v>8.9699792960662536E-2</c:v>
                </c:pt>
                <c:pt idx="5">
                  <c:v>6.5770265078755275E-2</c:v>
                </c:pt>
                <c:pt idx="6">
                  <c:v>7.0936581268374641E-2</c:v>
                </c:pt>
                <c:pt idx="7">
                  <c:v>8.4385707293196277E-2</c:v>
                </c:pt>
                <c:pt idx="8">
                  <c:v>9.6185286103542225E-2</c:v>
                </c:pt>
                <c:pt idx="9">
                  <c:v>0.10034110289937465</c:v>
                </c:pt>
                <c:pt idx="10">
                  <c:v>0.13115615615615614</c:v>
                </c:pt>
                <c:pt idx="11">
                  <c:v>0.12523230879199426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9-449B-8BDD-D0344A2A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55272"/>
        <c:axId val="343152976"/>
      </c:lineChart>
      <c:catAx>
        <c:axId val="34315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2976"/>
        <c:crosses val="autoZero"/>
        <c:auto val="1"/>
        <c:lblAlgn val="ctr"/>
        <c:lblOffset val="100"/>
        <c:noMultiLvlLbl val="0"/>
      </c:catAx>
      <c:valAx>
        <c:axId val="3431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120015</xdr:colOff>
      <xdr:row>23</xdr:row>
      <xdr:rowOff>56197</xdr:rowOff>
    </xdr:from>
    <xdr:to>
      <xdr:col>20</xdr:col>
      <xdr:colOff>424815</xdr:colOff>
      <xdr:row>38</xdr:row>
      <xdr:rowOff>82867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7D921-83B4-46A1-A32D-9CB2E457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29</xdr:row>
      <xdr:rowOff>18097</xdr:rowOff>
    </xdr:from>
    <xdr:to>
      <xdr:col>20</xdr:col>
      <xdr:colOff>0</xdr:colOff>
      <xdr:row>44</xdr:row>
      <xdr:rowOff>44767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B68B7-160A-4E1A-B2C1-E52AC80F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greports.nctreasurer.com/lgcfinancial/Reporting.aspx" TargetMode="External"/><Relationship Id="rId1" Type="http://schemas.openxmlformats.org/officeDocument/2006/relationships/hyperlink" Target="http://www.ncwater.org/WUDC/app/LWSP/report.php?pwsid=03-19-01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32C3-199C-4AD4-8644-5C42E8B4AA28}">
  <dimension ref="A1:AC88"/>
  <sheetViews>
    <sheetView topLeftCell="B33" zoomScale="80" zoomScaleNormal="80" workbookViewId="0">
      <selection activeCell="AB65" sqref="AB65"/>
    </sheetView>
  </sheetViews>
  <sheetFormatPr defaultRowHeight="14.4" x14ac:dyDescent="0.3"/>
  <cols>
    <col min="1" max="1" width="23.109375" customWidth="1"/>
    <col min="14" max="14" width="7.21875" customWidth="1"/>
    <col min="15" max="15" width="13" customWidth="1"/>
    <col min="22" max="22" width="11.5546875" customWidth="1"/>
  </cols>
  <sheetData>
    <row r="1" spans="1:27" x14ac:dyDescent="0.3">
      <c r="A1" t="s">
        <v>0</v>
      </c>
      <c r="B1" t="s">
        <v>1</v>
      </c>
      <c r="F1" t="s">
        <v>2</v>
      </c>
      <c r="O1" t="s">
        <v>42</v>
      </c>
    </row>
    <row r="2" spans="1:27" x14ac:dyDescent="0.3">
      <c r="B2">
        <v>2015</v>
      </c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>
        <v>2055</v>
      </c>
      <c r="K2">
        <v>2060</v>
      </c>
      <c r="O2" t="s">
        <v>43</v>
      </c>
    </row>
    <row r="3" spans="1:27" x14ac:dyDescent="0.3">
      <c r="A3" t="s">
        <v>3</v>
      </c>
      <c r="B3">
        <v>0.97</v>
      </c>
      <c r="C3">
        <v>1.78</v>
      </c>
      <c r="D3">
        <v>3.13</v>
      </c>
      <c r="E3">
        <v>4.49</v>
      </c>
      <c r="F3">
        <v>5.3</v>
      </c>
      <c r="G3">
        <v>6.11</v>
      </c>
      <c r="H3">
        <v>6.34</v>
      </c>
      <c r="I3">
        <v>6.57</v>
      </c>
      <c r="J3">
        <v>6.88</v>
      </c>
      <c r="K3">
        <v>7.19</v>
      </c>
      <c r="O3">
        <v>1</v>
      </c>
      <c r="P3" t="s">
        <v>44</v>
      </c>
      <c r="R3" t="s">
        <v>49</v>
      </c>
    </row>
    <row r="4" spans="1:27" x14ac:dyDescent="0.3">
      <c r="A4" t="s">
        <v>4</v>
      </c>
      <c r="B4">
        <v>0.35</v>
      </c>
      <c r="C4">
        <v>0.56999999999999995</v>
      </c>
      <c r="D4">
        <v>0.95</v>
      </c>
      <c r="E4">
        <v>1.32</v>
      </c>
      <c r="F4">
        <v>1.56</v>
      </c>
      <c r="G4">
        <v>1.79</v>
      </c>
      <c r="H4">
        <v>1.88</v>
      </c>
      <c r="I4">
        <v>1.97</v>
      </c>
      <c r="J4">
        <v>2.09</v>
      </c>
      <c r="K4">
        <v>2.21</v>
      </c>
      <c r="O4">
        <v>2</v>
      </c>
      <c r="P4" t="s">
        <v>47</v>
      </c>
      <c r="R4" t="s">
        <v>50</v>
      </c>
    </row>
    <row r="5" spans="1:27" x14ac:dyDescent="0.3">
      <c r="A5" t="s">
        <v>5</v>
      </c>
      <c r="B5">
        <v>0.15</v>
      </c>
      <c r="C5">
        <v>0.22</v>
      </c>
      <c r="D5">
        <v>0.35</v>
      </c>
      <c r="E5">
        <v>0.48</v>
      </c>
      <c r="F5">
        <v>0.54</v>
      </c>
      <c r="G5">
        <v>0.61</v>
      </c>
      <c r="H5">
        <v>0.61</v>
      </c>
      <c r="I5">
        <v>0.61</v>
      </c>
      <c r="J5">
        <v>0.61</v>
      </c>
      <c r="K5">
        <v>0.61</v>
      </c>
      <c r="O5">
        <v>3</v>
      </c>
      <c r="P5" t="s">
        <v>47</v>
      </c>
      <c r="Q5" t="s">
        <v>48</v>
      </c>
      <c r="R5" t="s">
        <v>51</v>
      </c>
      <c r="V5" t="s">
        <v>53</v>
      </c>
    </row>
    <row r="6" spans="1:27" x14ac:dyDescent="0.3">
      <c r="A6" t="s">
        <v>6</v>
      </c>
      <c r="B6">
        <v>0.18</v>
      </c>
      <c r="C6">
        <v>0.28999999999999998</v>
      </c>
      <c r="D6">
        <v>0.41</v>
      </c>
      <c r="E6">
        <v>0.52</v>
      </c>
      <c r="F6">
        <v>0.52</v>
      </c>
      <c r="G6">
        <v>0.52</v>
      </c>
      <c r="H6">
        <v>0.52</v>
      </c>
      <c r="I6">
        <v>0.52</v>
      </c>
      <c r="J6">
        <v>0.52</v>
      </c>
      <c r="K6">
        <v>0.52</v>
      </c>
      <c r="O6">
        <v>4</v>
      </c>
      <c r="P6" t="s">
        <v>46</v>
      </c>
      <c r="R6" t="s">
        <v>52</v>
      </c>
      <c r="V6" t="s">
        <v>54</v>
      </c>
    </row>
    <row r="7" spans="1:27" x14ac:dyDescent="0.3">
      <c r="A7" t="s">
        <v>7</v>
      </c>
      <c r="B7">
        <v>0.33</v>
      </c>
      <c r="C7">
        <v>0.47</v>
      </c>
      <c r="D7">
        <v>0.71</v>
      </c>
      <c r="E7">
        <v>0.96</v>
      </c>
      <c r="F7">
        <v>1.01</v>
      </c>
      <c r="G7">
        <v>1.06</v>
      </c>
      <c r="H7">
        <v>1.1000000000000001</v>
      </c>
      <c r="I7">
        <v>1.1400000000000001</v>
      </c>
      <c r="J7">
        <v>1.1800000000000002</v>
      </c>
      <c r="K7">
        <v>1.24</v>
      </c>
      <c r="O7">
        <v>5</v>
      </c>
      <c r="P7" t="s">
        <v>45</v>
      </c>
      <c r="R7" t="s">
        <v>56</v>
      </c>
      <c r="V7" t="s">
        <v>55</v>
      </c>
    </row>
    <row r="8" spans="1:27" x14ac:dyDescent="0.3">
      <c r="A8" t="s">
        <v>8</v>
      </c>
      <c r="B8">
        <f>SUM(B3:B7)</f>
        <v>1.9799999999999998</v>
      </c>
      <c r="C8">
        <f t="shared" ref="C8:K8" si="0">SUM(C3:C7)</f>
        <v>3.33</v>
      </c>
      <c r="D8">
        <f t="shared" si="0"/>
        <v>5.55</v>
      </c>
      <c r="E8">
        <f t="shared" si="0"/>
        <v>7.7700000000000005</v>
      </c>
      <c r="F8">
        <f t="shared" si="0"/>
        <v>8.93</v>
      </c>
      <c r="G8">
        <f t="shared" si="0"/>
        <v>10.09</v>
      </c>
      <c r="H8">
        <f t="shared" si="0"/>
        <v>10.449999999999998</v>
      </c>
      <c r="I8">
        <f t="shared" si="0"/>
        <v>10.81</v>
      </c>
      <c r="J8">
        <f t="shared" si="0"/>
        <v>11.279999999999998</v>
      </c>
      <c r="K8">
        <f t="shared" si="0"/>
        <v>11.77</v>
      </c>
    </row>
    <row r="9" spans="1:27" x14ac:dyDescent="0.3">
      <c r="O9" t="s">
        <v>85</v>
      </c>
      <c r="W9" t="s">
        <v>96</v>
      </c>
      <c r="X9" t="s">
        <v>97</v>
      </c>
    </row>
    <row r="10" spans="1:27" x14ac:dyDescent="0.3">
      <c r="A10" t="s">
        <v>9</v>
      </c>
      <c r="L10" t="s">
        <v>10</v>
      </c>
      <c r="O10" t="s">
        <v>84</v>
      </c>
      <c r="P10" t="s">
        <v>61</v>
      </c>
      <c r="R10" t="s">
        <v>78</v>
      </c>
      <c r="U10" s="3"/>
      <c r="V10" s="3" t="s">
        <v>93</v>
      </c>
      <c r="W10" s="3"/>
      <c r="X10" s="3"/>
      <c r="Y10" s="3"/>
      <c r="Z10" s="3"/>
      <c r="AA10" s="3"/>
    </row>
    <row r="11" spans="1:27" x14ac:dyDescent="0.3">
      <c r="A11" t="s">
        <v>3</v>
      </c>
      <c r="B11">
        <f>B3/B$8</f>
        <v>0.48989898989898994</v>
      </c>
      <c r="C11">
        <f t="shared" ref="C11:K11" si="1">C3/C$8</f>
        <v>0.53453453453453448</v>
      </c>
      <c r="D11">
        <f t="shared" si="1"/>
        <v>0.56396396396396398</v>
      </c>
      <c r="E11">
        <f t="shared" si="1"/>
        <v>0.57786357786357789</v>
      </c>
      <c r="F11">
        <f t="shared" si="1"/>
        <v>0.59350503919372899</v>
      </c>
      <c r="G11">
        <f t="shared" si="1"/>
        <v>0.60555004955401392</v>
      </c>
      <c r="H11">
        <f t="shared" si="1"/>
        <v>0.60669856459330151</v>
      </c>
      <c r="I11">
        <f t="shared" si="1"/>
        <v>0.60777058279370955</v>
      </c>
      <c r="J11">
        <f t="shared" si="1"/>
        <v>0.6099290780141845</v>
      </c>
      <c r="K11">
        <f t="shared" si="1"/>
        <v>0.61087510620220908</v>
      </c>
      <c r="L11" s="1">
        <f>AVERAGE(E11:K11)</f>
        <v>0.60174171403067511</v>
      </c>
      <c r="O11" s="5" t="s">
        <v>3</v>
      </c>
      <c r="P11">
        <v>1811</v>
      </c>
      <c r="R11">
        <v>0.17199999999999999</v>
      </c>
      <c r="S11">
        <f>R11*1000*7</f>
        <v>1204</v>
      </c>
      <c r="U11" s="3"/>
      <c r="V11" s="3" t="s">
        <v>94</v>
      </c>
      <c r="W11" s="3">
        <f>B20</f>
        <v>5.05</v>
      </c>
      <c r="X11" s="3"/>
      <c r="Y11" s="3"/>
      <c r="Z11" s="3"/>
      <c r="AA11" s="3"/>
    </row>
    <row r="12" spans="1:27" x14ac:dyDescent="0.3">
      <c r="A12" t="s">
        <v>4</v>
      </c>
      <c r="B12">
        <f t="shared" ref="B12:K16" si="2">B4/B$8</f>
        <v>0.17676767676767677</v>
      </c>
      <c r="C12">
        <f t="shared" si="2"/>
        <v>0.17117117117117114</v>
      </c>
      <c r="D12">
        <f t="shared" si="2"/>
        <v>0.17117117117117117</v>
      </c>
      <c r="E12">
        <f t="shared" si="2"/>
        <v>0.16988416988416988</v>
      </c>
      <c r="F12">
        <f t="shared" si="2"/>
        <v>0.17469204927211648</v>
      </c>
      <c r="G12">
        <f t="shared" si="2"/>
        <v>0.17740336967294351</v>
      </c>
      <c r="H12">
        <f t="shared" si="2"/>
        <v>0.17990430622009573</v>
      </c>
      <c r="I12">
        <f t="shared" si="2"/>
        <v>0.18223866790009249</v>
      </c>
      <c r="J12">
        <f t="shared" si="2"/>
        <v>0.18528368794326244</v>
      </c>
      <c r="K12">
        <f t="shared" si="2"/>
        <v>0.18776550552251486</v>
      </c>
      <c r="L12" s="1">
        <f t="shared" ref="L12:L15" si="3">AVERAGE(E12:K12)</f>
        <v>0.17959596520217078</v>
      </c>
      <c r="O12" s="6" t="s">
        <v>59</v>
      </c>
      <c r="P12">
        <v>243</v>
      </c>
      <c r="R12">
        <v>9.1999999999999998E-2</v>
      </c>
      <c r="S12">
        <f t="shared" ref="S12:S14" si="4">R12*1000*7</f>
        <v>644</v>
      </c>
      <c r="U12" s="3"/>
      <c r="V12" s="3" t="s">
        <v>95</v>
      </c>
      <c r="W12" s="3"/>
      <c r="X12" s="3"/>
      <c r="Y12" s="3"/>
      <c r="Z12" s="3"/>
      <c r="AA12" s="3"/>
    </row>
    <row r="13" spans="1:27" x14ac:dyDescent="0.3">
      <c r="A13" t="s">
        <v>5</v>
      </c>
      <c r="B13">
        <f t="shared" si="2"/>
        <v>7.575757575757576E-2</v>
      </c>
      <c r="C13">
        <f t="shared" si="2"/>
        <v>6.6066066066066062E-2</v>
      </c>
      <c r="D13">
        <f t="shared" si="2"/>
        <v>6.3063063063063057E-2</v>
      </c>
      <c r="E13">
        <f t="shared" si="2"/>
        <v>6.1776061776061771E-2</v>
      </c>
      <c r="F13">
        <f t="shared" si="2"/>
        <v>6.0470324748040316E-2</v>
      </c>
      <c r="G13">
        <f t="shared" si="2"/>
        <v>6.0455896927651138E-2</v>
      </c>
      <c r="H13">
        <f t="shared" si="2"/>
        <v>5.8373205741626806E-2</v>
      </c>
      <c r="I13">
        <f t="shared" si="2"/>
        <v>5.6429232192414427E-2</v>
      </c>
      <c r="J13">
        <f t="shared" si="2"/>
        <v>5.4078014184397172E-2</v>
      </c>
      <c r="K13">
        <f t="shared" si="2"/>
        <v>5.1826677994902294E-2</v>
      </c>
      <c r="L13" s="1">
        <f t="shared" si="3"/>
        <v>5.7629916223584841E-2</v>
      </c>
      <c r="O13" s="5" t="s">
        <v>5</v>
      </c>
      <c r="P13">
        <v>5</v>
      </c>
      <c r="R13">
        <v>6.0000000000000001E-3</v>
      </c>
      <c r="S13">
        <f t="shared" si="4"/>
        <v>42</v>
      </c>
      <c r="U13" s="3"/>
      <c r="V13" s="3" t="s">
        <v>92</v>
      </c>
      <c r="W13" s="3"/>
      <c r="X13" s="3"/>
      <c r="Y13" s="3"/>
      <c r="Z13" s="3"/>
      <c r="AA13" s="3"/>
    </row>
    <row r="14" spans="1:27" x14ac:dyDescent="0.3">
      <c r="A14" t="s">
        <v>6</v>
      </c>
      <c r="B14">
        <f t="shared" si="2"/>
        <v>9.0909090909090912E-2</v>
      </c>
      <c r="C14">
        <f t="shared" si="2"/>
        <v>8.7087087087087081E-2</v>
      </c>
      <c r="D14">
        <f t="shared" si="2"/>
        <v>7.3873873873873869E-2</v>
      </c>
      <c r="E14">
        <f t="shared" si="2"/>
        <v>6.6924066924066924E-2</v>
      </c>
      <c r="F14">
        <f t="shared" si="2"/>
        <v>5.823068309070549E-2</v>
      </c>
      <c r="G14">
        <f t="shared" si="2"/>
        <v>5.1536174430128846E-2</v>
      </c>
      <c r="H14">
        <f t="shared" si="2"/>
        <v>4.9760765550239248E-2</v>
      </c>
      <c r="I14">
        <f t="shared" si="2"/>
        <v>4.8103607770582792E-2</v>
      </c>
      <c r="J14">
        <f t="shared" si="2"/>
        <v>4.6099290780141855E-2</v>
      </c>
      <c r="K14">
        <f t="shared" si="2"/>
        <v>4.4180118946474091E-2</v>
      </c>
      <c r="L14" s="1">
        <f t="shared" si="3"/>
        <v>5.2119243927477035E-2</v>
      </c>
      <c r="O14" t="s">
        <v>60</v>
      </c>
      <c r="P14">
        <v>33</v>
      </c>
      <c r="R14">
        <v>2.5000000000000001E-2</v>
      </c>
      <c r="S14">
        <f t="shared" si="4"/>
        <v>175</v>
      </c>
      <c r="U14" s="3"/>
      <c r="V14" s="3"/>
      <c r="W14" s="3"/>
      <c r="X14" s="3"/>
      <c r="Y14" s="3"/>
      <c r="Z14" s="3"/>
      <c r="AA14" s="3"/>
    </row>
    <row r="15" spans="1:27" x14ac:dyDescent="0.3">
      <c r="A15" t="s">
        <v>7</v>
      </c>
      <c r="B15">
        <f t="shared" si="2"/>
        <v>0.16666666666666669</v>
      </c>
      <c r="C15">
        <f t="shared" si="2"/>
        <v>0.14114114114114112</v>
      </c>
      <c r="D15">
        <f t="shared" si="2"/>
        <v>0.12792792792792793</v>
      </c>
      <c r="E15">
        <f t="shared" si="2"/>
        <v>0.12355212355212354</v>
      </c>
      <c r="F15">
        <f t="shared" si="2"/>
        <v>0.11310190369540873</v>
      </c>
      <c r="G15">
        <f t="shared" si="2"/>
        <v>0.10505450941526265</v>
      </c>
      <c r="H15">
        <f t="shared" si="2"/>
        <v>0.10526315789473688</v>
      </c>
      <c r="I15">
        <f t="shared" si="2"/>
        <v>0.10545790934320075</v>
      </c>
      <c r="J15">
        <f t="shared" si="2"/>
        <v>0.10460992907801422</v>
      </c>
      <c r="K15">
        <f t="shared" si="2"/>
        <v>0.10535259133389975</v>
      </c>
      <c r="L15" s="1">
        <f t="shared" si="3"/>
        <v>0.10891316061609235</v>
      </c>
      <c r="O15" s="5" t="s">
        <v>92</v>
      </c>
      <c r="P15">
        <f>P12+P14</f>
        <v>276</v>
      </c>
      <c r="R15">
        <f>R12+R14</f>
        <v>0.11699999999999999</v>
      </c>
      <c r="S15">
        <f>R15*1000*7</f>
        <v>819</v>
      </c>
      <c r="U15" t="s">
        <v>91</v>
      </c>
    </row>
    <row r="16" spans="1:27" x14ac:dyDescent="0.3">
      <c r="A16" t="s">
        <v>8</v>
      </c>
      <c r="B16">
        <f t="shared" si="2"/>
        <v>1</v>
      </c>
      <c r="C16">
        <f t="shared" si="2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>SUM(L11:L15)</f>
        <v>1</v>
      </c>
      <c r="P16" s="4" t="s">
        <v>89</v>
      </c>
      <c r="Q16" s="4"/>
      <c r="R16" s="4"/>
      <c r="S16" s="4"/>
      <c r="T16" s="4"/>
      <c r="U16" s="1">
        <f>F20*1000</f>
        <v>10500</v>
      </c>
      <c r="V16" s="1" t="s">
        <v>81</v>
      </c>
      <c r="W16" s="1"/>
    </row>
    <row r="17" spans="1:22" x14ac:dyDescent="0.3">
      <c r="P17" s="4" t="s">
        <v>90</v>
      </c>
      <c r="Q17" s="4"/>
      <c r="R17" s="4"/>
      <c r="S17" s="4"/>
      <c r="T17" s="4">
        <v>0.75</v>
      </c>
    </row>
    <row r="18" spans="1:22" x14ac:dyDescent="0.3">
      <c r="A18" t="s">
        <v>33</v>
      </c>
      <c r="B18" t="s">
        <v>26</v>
      </c>
      <c r="C18" t="s">
        <v>27</v>
      </c>
      <c r="O18" s="7" t="s">
        <v>8</v>
      </c>
      <c r="P18" s="7"/>
      <c r="Q18" s="7"/>
      <c r="R18" s="7">
        <f>SUM(R11,R13,R15)</f>
        <v>0.29499999999999998</v>
      </c>
      <c r="S18" s="7" t="s">
        <v>99</v>
      </c>
      <c r="T18" s="7"/>
    </row>
    <row r="19" spans="1:22" x14ac:dyDescent="0.3">
      <c r="A19" t="s">
        <v>32</v>
      </c>
      <c r="B19" t="s">
        <v>18</v>
      </c>
      <c r="E19" t="s">
        <v>34</v>
      </c>
      <c r="F19" t="s">
        <v>18</v>
      </c>
      <c r="H19" t="s">
        <v>29</v>
      </c>
      <c r="O19" s="7"/>
      <c r="P19" s="7"/>
      <c r="Q19" s="7"/>
      <c r="R19" s="7">
        <f>R18/SUM(L11:L14)</f>
        <v>0.33105639872760467</v>
      </c>
      <c r="S19" s="7" t="s">
        <v>101</v>
      </c>
      <c r="T19" s="7"/>
    </row>
    <row r="20" spans="1:22" x14ac:dyDescent="0.3">
      <c r="A20" t="s">
        <v>23</v>
      </c>
      <c r="B20">
        <v>5.05</v>
      </c>
      <c r="C20">
        <f>B20*2</f>
        <v>10.1</v>
      </c>
      <c r="E20" t="s">
        <v>21</v>
      </c>
      <c r="F20" s="4">
        <v>10.5</v>
      </c>
      <c r="H20" t="s">
        <v>30</v>
      </c>
      <c r="R20" s="7">
        <v>0.56899999999999995</v>
      </c>
      <c r="S20" s="7" t="s">
        <v>100</v>
      </c>
      <c r="T20" s="7"/>
      <c r="U20" s="7"/>
      <c r="V20" s="7"/>
    </row>
    <row r="21" spans="1:22" x14ac:dyDescent="0.3">
      <c r="A21" t="s">
        <v>24</v>
      </c>
      <c r="B21">
        <v>5.9</v>
      </c>
      <c r="C21">
        <f t="shared" ref="C21:C26" si="5">B21*2</f>
        <v>11.8</v>
      </c>
      <c r="H21" t="s">
        <v>31</v>
      </c>
    </row>
    <row r="22" spans="1:22" x14ac:dyDescent="0.3">
      <c r="A22" t="s">
        <v>25</v>
      </c>
      <c r="B22">
        <v>7.01</v>
      </c>
      <c r="C22">
        <f t="shared" si="5"/>
        <v>14.02</v>
      </c>
      <c r="G22" t="s">
        <v>38</v>
      </c>
      <c r="H22" t="s">
        <v>35</v>
      </c>
      <c r="I22" t="s">
        <v>27</v>
      </c>
    </row>
    <row r="23" spans="1:22" x14ac:dyDescent="0.3">
      <c r="G23" t="s">
        <v>36</v>
      </c>
      <c r="H23">
        <v>13.59</v>
      </c>
      <c r="I23">
        <v>27.18</v>
      </c>
    </row>
    <row r="24" spans="1:22" x14ac:dyDescent="0.3">
      <c r="A24" t="s">
        <v>28</v>
      </c>
      <c r="B24">
        <v>7.6</v>
      </c>
      <c r="C24">
        <f t="shared" si="5"/>
        <v>15.2</v>
      </c>
      <c r="G24" t="s">
        <v>37</v>
      </c>
      <c r="H24">
        <v>25.09</v>
      </c>
      <c r="I24">
        <v>50.18</v>
      </c>
    </row>
    <row r="25" spans="1:22" x14ac:dyDescent="0.3">
      <c r="B25">
        <v>9.14</v>
      </c>
      <c r="C25">
        <f t="shared" si="5"/>
        <v>18.28</v>
      </c>
    </row>
    <row r="26" spans="1:22" x14ac:dyDescent="0.3">
      <c r="B26">
        <v>10.91</v>
      </c>
      <c r="C26">
        <f t="shared" si="5"/>
        <v>21.82</v>
      </c>
      <c r="G26" t="s">
        <v>39</v>
      </c>
      <c r="H26">
        <v>14.64</v>
      </c>
      <c r="I26">
        <v>29.28</v>
      </c>
    </row>
    <row r="27" spans="1:22" x14ac:dyDescent="0.3">
      <c r="H27">
        <v>27.18</v>
      </c>
      <c r="I27">
        <v>54.36</v>
      </c>
    </row>
    <row r="33" spans="1:28" x14ac:dyDescent="0.3">
      <c r="B33">
        <v>2013</v>
      </c>
      <c r="C33">
        <v>2012</v>
      </c>
      <c r="D33">
        <v>2013</v>
      </c>
      <c r="E33">
        <v>2012</v>
      </c>
      <c r="J33" s="1" t="s">
        <v>88</v>
      </c>
      <c r="K33" s="1"/>
    </row>
    <row r="34" spans="1:28" x14ac:dyDescent="0.3">
      <c r="A34" s="2" t="s">
        <v>85</v>
      </c>
      <c r="G34" t="s">
        <v>86</v>
      </c>
      <c r="J34" s="1" t="s">
        <v>87</v>
      </c>
      <c r="K34" s="1"/>
    </row>
    <row r="35" spans="1:28" x14ac:dyDescent="0.3">
      <c r="A35" t="s">
        <v>63</v>
      </c>
      <c r="B35" t="s">
        <v>76</v>
      </c>
      <c r="D35" t="s">
        <v>77</v>
      </c>
      <c r="G35" t="s">
        <v>82</v>
      </c>
      <c r="K35" t="s">
        <v>83</v>
      </c>
    </row>
    <row r="36" spans="1:28" x14ac:dyDescent="0.3">
      <c r="A36" t="s">
        <v>64</v>
      </c>
      <c r="B36">
        <v>0.36899999999999999</v>
      </c>
      <c r="C36">
        <v>0.28499999999999998</v>
      </c>
      <c r="D36">
        <v>0.51100000000000001</v>
      </c>
      <c r="E36">
        <v>0.51500000000000001</v>
      </c>
      <c r="G36" s="3">
        <f>B36/D36</f>
        <v>0.72211350293542076</v>
      </c>
      <c r="H36">
        <f>C36/E36</f>
        <v>0.55339805825242716</v>
      </c>
      <c r="J36" s="1">
        <f>AVERAGE(G36:H36)</f>
        <v>0.63775578059392402</v>
      </c>
      <c r="K36">
        <f>$G$36</f>
        <v>0.72211350293542076</v>
      </c>
    </row>
    <row r="37" spans="1:28" x14ac:dyDescent="0.3">
      <c r="A37" t="s">
        <v>65</v>
      </c>
      <c r="B37">
        <v>0.42399999999999999</v>
      </c>
      <c r="C37">
        <v>0.27900000000000003</v>
      </c>
      <c r="D37">
        <v>0.67800000000000005</v>
      </c>
      <c r="E37">
        <v>0.61499999999999999</v>
      </c>
      <c r="G37" s="3">
        <f t="shared" ref="G37:G47" si="6">B37/D37</f>
        <v>0.62536873156342176</v>
      </c>
      <c r="H37">
        <f t="shared" ref="H37:H47" si="7">C37/E37</f>
        <v>0.45365853658536592</v>
      </c>
      <c r="J37" s="1">
        <f t="shared" ref="J37:J47" si="8">AVERAGE(G37:H37)</f>
        <v>0.53951363407439379</v>
      </c>
      <c r="K37">
        <f t="shared" ref="K37:K39" si="9">$G$36</f>
        <v>0.72211350293542076</v>
      </c>
    </row>
    <row r="38" spans="1:28" x14ac:dyDescent="0.3">
      <c r="A38" t="s">
        <v>66</v>
      </c>
      <c r="B38">
        <v>0.39400000000000002</v>
      </c>
      <c r="C38">
        <v>0.32600000000000001</v>
      </c>
      <c r="D38">
        <v>0.70599999999999996</v>
      </c>
      <c r="E38">
        <v>0.54900000000000004</v>
      </c>
      <c r="G38" s="3">
        <f t="shared" si="6"/>
        <v>0.55807365439093493</v>
      </c>
      <c r="H38">
        <f t="shared" si="7"/>
        <v>0.59380692167577409</v>
      </c>
      <c r="J38" s="1">
        <f t="shared" si="8"/>
        <v>0.57594028803335451</v>
      </c>
      <c r="K38">
        <f t="shared" si="9"/>
        <v>0.72211350293542076</v>
      </c>
    </row>
    <row r="39" spans="1:28" x14ac:dyDescent="0.3">
      <c r="A39" t="s">
        <v>67</v>
      </c>
      <c r="B39">
        <v>0.4</v>
      </c>
      <c r="C39">
        <v>0.254</v>
      </c>
      <c r="D39">
        <v>0.82899999999999996</v>
      </c>
      <c r="E39">
        <v>0.60199999999999998</v>
      </c>
      <c r="G39" s="3">
        <f t="shared" si="6"/>
        <v>0.48250904704463216</v>
      </c>
      <c r="H39">
        <f t="shared" si="7"/>
        <v>0.42192691029900337</v>
      </c>
      <c r="J39" s="1">
        <f t="shared" si="8"/>
        <v>0.45221797867181779</v>
      </c>
      <c r="K39">
        <f t="shared" si="9"/>
        <v>0.72211350293542076</v>
      </c>
    </row>
    <row r="40" spans="1:28" ht="15" thickBot="1" x14ac:dyDescent="0.35">
      <c r="A40" t="s">
        <v>68</v>
      </c>
      <c r="B40">
        <v>0.373</v>
      </c>
      <c r="C40">
        <v>0.247</v>
      </c>
      <c r="D40">
        <v>0.55100000000000005</v>
      </c>
      <c r="E40">
        <v>0.629</v>
      </c>
      <c r="G40" s="3">
        <f t="shared" si="6"/>
        <v>0.67695099818511795</v>
      </c>
      <c r="H40">
        <f t="shared" si="7"/>
        <v>0.39268680445151033</v>
      </c>
      <c r="J40" s="1">
        <f t="shared" si="8"/>
        <v>0.53481890131831411</v>
      </c>
      <c r="K40">
        <f>$G$37</f>
        <v>0.62536873156342176</v>
      </c>
    </row>
    <row r="41" spans="1:28" x14ac:dyDescent="0.3">
      <c r="A41" t="s">
        <v>69</v>
      </c>
      <c r="B41">
        <v>0.42199999999999999</v>
      </c>
      <c r="C41">
        <v>0.23200000000000001</v>
      </c>
      <c r="D41">
        <v>0.55700000000000005</v>
      </c>
      <c r="E41">
        <v>0.65500000000000003</v>
      </c>
      <c r="G41" s="3">
        <f t="shared" si="6"/>
        <v>0.75763016157989216</v>
      </c>
      <c r="H41">
        <f t="shared" si="7"/>
        <v>0.35419847328244275</v>
      </c>
      <c r="J41" s="1">
        <f t="shared" si="8"/>
        <v>0.55591431743116748</v>
      </c>
      <c r="K41">
        <f t="shared" ref="K41:K43" si="10">$G$37</f>
        <v>0.62536873156342176</v>
      </c>
      <c r="M41" s="8" t="s">
        <v>127</v>
      </c>
      <c r="N41" s="9"/>
      <c r="O41" s="9"/>
      <c r="P41" s="9"/>
      <c r="Q41" s="9"/>
      <c r="R41" s="9"/>
      <c r="S41" s="34"/>
      <c r="T41" s="34"/>
      <c r="U41" s="34"/>
      <c r="V41" s="34"/>
      <c r="W41" s="34"/>
      <c r="X41" s="10"/>
    </row>
    <row r="42" spans="1:28" x14ac:dyDescent="0.3">
      <c r="A42" t="s">
        <v>70</v>
      </c>
      <c r="B42">
        <v>0.443</v>
      </c>
      <c r="C42">
        <v>0.249</v>
      </c>
      <c r="D42">
        <v>0.56000000000000005</v>
      </c>
      <c r="E42">
        <v>0.68899999999999995</v>
      </c>
      <c r="G42" s="3">
        <f t="shared" si="6"/>
        <v>0.79107142857142854</v>
      </c>
      <c r="H42">
        <f t="shared" si="7"/>
        <v>0.36139332365747462</v>
      </c>
      <c r="J42" s="1">
        <f t="shared" si="8"/>
        <v>0.57623237611445155</v>
      </c>
      <c r="K42">
        <f t="shared" si="10"/>
        <v>0.62536873156342176</v>
      </c>
      <c r="M42" s="11"/>
      <c r="N42" s="12"/>
      <c r="O42" s="21" t="s">
        <v>103</v>
      </c>
      <c r="P42" s="12"/>
      <c r="Q42" s="12"/>
      <c r="R42" s="12"/>
      <c r="S42" s="12"/>
      <c r="T42" s="12"/>
      <c r="U42" s="12"/>
      <c r="V42" s="12"/>
      <c r="W42" s="12"/>
      <c r="X42" s="13"/>
    </row>
    <row r="43" spans="1:28" x14ac:dyDescent="0.3">
      <c r="A43" t="s">
        <v>71</v>
      </c>
      <c r="B43">
        <v>0.27700000000000002</v>
      </c>
      <c r="C43">
        <v>0.254</v>
      </c>
      <c r="D43">
        <v>0.57699999999999996</v>
      </c>
      <c r="E43">
        <v>0.60199999999999998</v>
      </c>
      <c r="G43" s="3">
        <f t="shared" si="6"/>
        <v>0.48006932409012137</v>
      </c>
      <c r="H43">
        <f t="shared" si="7"/>
        <v>0.42192691029900337</v>
      </c>
      <c r="J43" s="1">
        <f t="shared" si="8"/>
        <v>0.4509981171945624</v>
      </c>
      <c r="K43">
        <f t="shared" si="10"/>
        <v>0.62536873156342176</v>
      </c>
      <c r="M43" s="11"/>
      <c r="N43" s="12"/>
      <c r="O43" s="12" t="s">
        <v>102</v>
      </c>
      <c r="P43" s="12"/>
      <c r="Q43" s="12" t="s">
        <v>104</v>
      </c>
      <c r="R43" s="12" t="s">
        <v>105</v>
      </c>
      <c r="S43" s="12"/>
      <c r="T43" s="12" t="s">
        <v>104</v>
      </c>
      <c r="U43" s="12" t="s">
        <v>105</v>
      </c>
      <c r="V43" s="12" t="s">
        <v>107</v>
      </c>
      <c r="W43" s="12"/>
      <c r="X43" s="13"/>
    </row>
    <row r="44" spans="1:28" ht="15" thickBot="1" x14ac:dyDescent="0.35">
      <c r="A44" t="s">
        <v>72</v>
      </c>
      <c r="B44">
        <v>0.29899999999999999</v>
      </c>
      <c r="C44">
        <v>0.28899999999999998</v>
      </c>
      <c r="D44">
        <v>0.68100000000000005</v>
      </c>
      <c r="E44">
        <v>0.57199999999999995</v>
      </c>
      <c r="G44" s="3">
        <f t="shared" si="6"/>
        <v>0.43906020558002934</v>
      </c>
      <c r="H44">
        <f t="shared" si="7"/>
        <v>0.50524475524475521</v>
      </c>
      <c r="J44" s="1">
        <f t="shared" si="8"/>
        <v>0.47215248041239227</v>
      </c>
      <c r="K44">
        <f>$G$38</f>
        <v>0.55807365439093493</v>
      </c>
      <c r="M44" s="11"/>
      <c r="N44" s="12"/>
      <c r="O44" s="12" t="s">
        <v>106</v>
      </c>
      <c r="P44" s="12"/>
      <c r="Q44" s="12">
        <f>1298000</f>
        <v>1298000</v>
      </c>
      <c r="R44" s="12">
        <v>1217000</v>
      </c>
      <c r="S44" s="12"/>
      <c r="T44" s="12">
        <v>199</v>
      </c>
      <c r="U44" s="12">
        <v>157</v>
      </c>
      <c r="V44" s="12" t="s">
        <v>108</v>
      </c>
      <c r="W44" s="12"/>
      <c r="X44" s="13"/>
      <c r="Z44" t="s">
        <v>181</v>
      </c>
    </row>
    <row r="45" spans="1:28" x14ac:dyDescent="0.3">
      <c r="A45" t="s">
        <v>73</v>
      </c>
      <c r="B45">
        <v>0.309</v>
      </c>
      <c r="C45">
        <v>0.32400000000000001</v>
      </c>
      <c r="D45">
        <v>0.65900000000000003</v>
      </c>
      <c r="E45">
        <v>0.52700000000000002</v>
      </c>
      <c r="G45" s="3">
        <f t="shared" si="6"/>
        <v>0.46889226100151743</v>
      </c>
      <c r="H45">
        <f t="shared" si="7"/>
        <v>0.61480075901328268</v>
      </c>
      <c r="J45" s="1">
        <f t="shared" si="8"/>
        <v>0.54184651000740003</v>
      </c>
      <c r="K45">
        <f t="shared" ref="K45:K48" si="11">$G$38</f>
        <v>0.55807365439093493</v>
      </c>
      <c r="M45" s="11"/>
      <c r="N45" s="12"/>
      <c r="O45" s="12" t="s">
        <v>110</v>
      </c>
      <c r="P45" s="12"/>
      <c r="Q45" s="12">
        <f>Q44/T45</f>
        <v>8539.4736842105267</v>
      </c>
      <c r="R45" s="12">
        <f>R44/U45</f>
        <v>12946.808510638299</v>
      </c>
      <c r="S45" s="12"/>
      <c r="T45" s="12">
        <v>152</v>
      </c>
      <c r="U45" s="12">
        <v>94</v>
      </c>
      <c r="V45" s="12" t="s">
        <v>109</v>
      </c>
      <c r="W45" s="12"/>
      <c r="X45" s="13"/>
      <c r="Z45" s="8" t="s">
        <v>163</v>
      </c>
      <c r="AA45" s="9"/>
      <c r="AB45" s="10"/>
    </row>
    <row r="46" spans="1:28" x14ac:dyDescent="0.3">
      <c r="A46" t="s">
        <v>74</v>
      </c>
      <c r="B46">
        <v>0.309</v>
      </c>
      <c r="C46">
        <v>0.24299999999999999</v>
      </c>
      <c r="D46">
        <v>0.55200000000000005</v>
      </c>
      <c r="E46">
        <v>0.53100000000000003</v>
      </c>
      <c r="G46" s="3">
        <f t="shared" si="6"/>
        <v>0.55978260869565211</v>
      </c>
      <c r="H46">
        <f t="shared" si="7"/>
        <v>0.45762711864406774</v>
      </c>
      <c r="J46" s="1">
        <f t="shared" si="8"/>
        <v>0.5087048636698599</v>
      </c>
      <c r="K46">
        <f t="shared" si="11"/>
        <v>0.55807365439093493</v>
      </c>
      <c r="M46" s="11"/>
      <c r="N46" s="12"/>
      <c r="O46" s="14" t="s">
        <v>111</v>
      </c>
      <c r="P46" s="14"/>
      <c r="Q46" s="14">
        <f>Q45/1000</f>
        <v>8.5394736842105274</v>
      </c>
      <c r="R46" s="14">
        <f>R45/1000</f>
        <v>12.946808510638299</v>
      </c>
      <c r="S46" s="12"/>
      <c r="T46" s="12"/>
      <c r="U46" s="12"/>
      <c r="V46" s="12"/>
      <c r="W46" s="12"/>
      <c r="X46" s="13"/>
      <c r="Z46" s="11" t="s">
        <v>164</v>
      </c>
      <c r="AA46" s="12"/>
      <c r="AB46" s="13"/>
    </row>
    <row r="47" spans="1:28" x14ac:dyDescent="0.3">
      <c r="A47" t="s">
        <v>75</v>
      </c>
      <c r="B47">
        <v>0.435</v>
      </c>
      <c r="C47">
        <v>0.28999999999999998</v>
      </c>
      <c r="D47">
        <v>0.54100000000000004</v>
      </c>
      <c r="E47">
        <v>0.49399999999999999</v>
      </c>
      <c r="G47" s="3">
        <f t="shared" si="6"/>
        <v>0.8040665434380776</v>
      </c>
      <c r="H47">
        <f t="shared" si="7"/>
        <v>0.58704453441295545</v>
      </c>
      <c r="J47" s="1">
        <f t="shared" si="8"/>
        <v>0.69555553892551658</v>
      </c>
      <c r="K47">
        <f t="shared" si="11"/>
        <v>0.55807365439093493</v>
      </c>
      <c r="M47" s="11"/>
      <c r="N47" s="12"/>
      <c r="O47" s="33" t="s">
        <v>162</v>
      </c>
      <c r="P47" s="12"/>
      <c r="Q47" s="12"/>
      <c r="R47" s="12"/>
      <c r="S47" s="12"/>
      <c r="T47" s="12"/>
      <c r="U47" s="12"/>
      <c r="V47" s="12"/>
      <c r="W47" s="12"/>
      <c r="X47" s="13"/>
      <c r="Z47" s="11" t="s">
        <v>165</v>
      </c>
      <c r="AA47" s="12"/>
      <c r="AB47" s="13"/>
    </row>
    <row r="48" spans="1:28" ht="15" thickBot="1" x14ac:dyDescent="0.35">
      <c r="K48">
        <f t="shared" si="11"/>
        <v>0.55807365439093493</v>
      </c>
      <c r="M48" s="11"/>
      <c r="N48" s="12"/>
      <c r="O48" s="12" t="s">
        <v>122</v>
      </c>
      <c r="P48" s="12"/>
      <c r="Q48" s="12"/>
      <c r="R48" s="12"/>
      <c r="S48" s="12"/>
      <c r="T48" s="12"/>
      <c r="U48" s="12"/>
      <c r="V48" s="12"/>
      <c r="W48" s="12"/>
      <c r="X48" s="13"/>
      <c r="Z48" s="18" t="s">
        <v>166</v>
      </c>
      <c r="AA48" s="19"/>
      <c r="AB48" s="20"/>
    </row>
    <row r="49" spans="2:29" x14ac:dyDescent="0.3">
      <c r="B49">
        <v>2010</v>
      </c>
      <c r="K49">
        <f>$G$39</f>
        <v>0.48250904704463216</v>
      </c>
      <c r="M49" s="15" t="s">
        <v>116</v>
      </c>
      <c r="N49" s="14"/>
      <c r="O49" s="14" t="s">
        <v>113</v>
      </c>
      <c r="P49" s="14"/>
      <c r="Q49" s="14">
        <f>(T45-T49)*1000*F20+12*50.18</f>
        <v>242049.66000000003</v>
      </c>
      <c r="R49" s="14">
        <v>0</v>
      </c>
      <c r="S49" s="12"/>
      <c r="T49" s="12">
        <f>T45-0.063*365</f>
        <v>129.005</v>
      </c>
      <c r="U49" s="12">
        <v>94</v>
      </c>
      <c r="V49" s="12" t="s">
        <v>112</v>
      </c>
      <c r="W49" s="12"/>
      <c r="X49" s="13"/>
      <c r="Z49" s="25" t="s">
        <v>172</v>
      </c>
      <c r="AA49" s="26"/>
      <c r="AB49" s="27"/>
    </row>
    <row r="50" spans="2:29" ht="15" thickBot="1" x14ac:dyDescent="0.35">
      <c r="B50">
        <v>0.59599999999999997</v>
      </c>
      <c r="D50">
        <v>0.58399999999999996</v>
      </c>
      <c r="G50">
        <f>B50/D50</f>
        <v>1.0205479452054795</v>
      </c>
      <c r="K50">
        <f t="shared" ref="K50:K52" si="12">$G$39</f>
        <v>0.48250904704463216</v>
      </c>
      <c r="M50" s="11"/>
      <c r="N50" s="12"/>
      <c r="O50" s="12" t="s">
        <v>114</v>
      </c>
      <c r="P50" s="12"/>
      <c r="Q50" s="12">
        <f>Q44-Q49</f>
        <v>1055950.3399999999</v>
      </c>
      <c r="R50" s="12">
        <f>R44-R49</f>
        <v>1217000</v>
      </c>
      <c r="S50" s="12"/>
      <c r="T50" s="12">
        <f>1811+243+5+33</f>
        <v>2092</v>
      </c>
      <c r="U50" s="12">
        <v>1627</v>
      </c>
      <c r="V50" s="12" t="s">
        <v>168</v>
      </c>
      <c r="W50" s="12"/>
      <c r="X50" s="13"/>
      <c r="Z50" s="30" t="s">
        <v>173</v>
      </c>
      <c r="AA50" s="31"/>
      <c r="AB50" s="32"/>
    </row>
    <row r="51" spans="2:29" x14ac:dyDescent="0.3">
      <c r="B51">
        <v>0.73099999999999998</v>
      </c>
      <c r="D51">
        <v>0.64600000000000002</v>
      </c>
      <c r="G51">
        <f t="shared" ref="G51:G61" si="13">B51/D51</f>
        <v>1.131578947368421</v>
      </c>
      <c r="K51">
        <f t="shared" si="12"/>
        <v>0.48250904704463216</v>
      </c>
      <c r="M51" s="11"/>
      <c r="N51" s="12"/>
      <c r="O51" s="33" t="s">
        <v>167</v>
      </c>
      <c r="Q51">
        <f>Q50-12*13.59*T50*T51*0.9-12*25.09*T50*T51*0.1-12*27.18*T50*(1-T51)*0.9-12*50.18*T50*(1-T51)*0.1</f>
        <v>612334.48986259522</v>
      </c>
      <c r="R51">
        <f>R50-12*14.64*U50*U51*0.9-12*27.18*U50*U51*0.1-12*29.28*U50*(1-U51)*0.9-12*54.36*U50*(1-U51)*0.1</f>
        <v>844977.97469618323</v>
      </c>
      <c r="T51" s="4">
        <f>AC62</f>
        <v>0.80114503816793892</v>
      </c>
      <c r="U51" s="24">
        <f>AC62</f>
        <v>0.80114503816793892</v>
      </c>
      <c r="V51" s="24" t="s">
        <v>169</v>
      </c>
      <c r="W51" s="24"/>
      <c r="X51" s="13"/>
      <c r="Z51" s="25" t="s">
        <v>170</v>
      </c>
      <c r="AA51" s="26"/>
      <c r="AB51" s="27"/>
    </row>
    <row r="52" spans="2:29" ht="15" thickBot="1" x14ac:dyDescent="0.35">
      <c r="B52">
        <v>0.56699999999999995</v>
      </c>
      <c r="D52">
        <v>0.58399999999999996</v>
      </c>
      <c r="G52">
        <f t="shared" si="13"/>
        <v>0.97089041095890405</v>
      </c>
      <c r="K52">
        <f t="shared" si="12"/>
        <v>0.48250904704463216</v>
      </c>
      <c r="M52" s="11"/>
      <c r="N52" s="12"/>
      <c r="O52" s="16" t="s">
        <v>115</v>
      </c>
      <c r="P52" s="16"/>
      <c r="Q52" s="16">
        <f>Q51/T49*1.1</f>
        <v>5221.2545160951495</v>
      </c>
      <c r="R52" s="16">
        <f>R51/U49*1.1</f>
        <v>9888.0401294234216</v>
      </c>
      <c r="S52" s="12" t="s">
        <v>88</v>
      </c>
      <c r="T52" s="12"/>
      <c r="U52" s="12"/>
      <c r="V52" s="12"/>
      <c r="W52" s="12"/>
      <c r="X52" s="13"/>
      <c r="Z52" s="30" t="s">
        <v>171</v>
      </c>
      <c r="AA52" s="31"/>
      <c r="AB52" s="32"/>
    </row>
    <row r="53" spans="2:29" x14ac:dyDescent="0.3">
      <c r="B53">
        <v>0.38200000000000001</v>
      </c>
      <c r="D53">
        <v>0.64</v>
      </c>
      <c r="G53">
        <f t="shared" si="13"/>
        <v>0.59687500000000004</v>
      </c>
      <c r="K53">
        <f>$G$40</f>
        <v>0.67695099818511795</v>
      </c>
      <c r="M53" s="11"/>
      <c r="N53" s="12"/>
      <c r="O53" s="17" t="s">
        <v>117</v>
      </c>
      <c r="P53" s="17"/>
      <c r="Q53" s="17"/>
      <c r="R53" s="17"/>
      <c r="S53" s="17"/>
      <c r="T53" s="17"/>
      <c r="U53" s="17"/>
      <c r="V53" s="17"/>
      <c r="W53" s="17"/>
      <c r="X53" s="13"/>
      <c r="Z53" s="25" t="s">
        <v>174</v>
      </c>
      <c r="AA53" s="26"/>
      <c r="AB53" s="27"/>
    </row>
    <row r="54" spans="2:29" ht="15" thickBot="1" x14ac:dyDescent="0.35">
      <c r="B54">
        <v>0.41299999999999998</v>
      </c>
      <c r="D54">
        <v>0.65500000000000003</v>
      </c>
      <c r="G54">
        <f t="shared" si="13"/>
        <v>0.63053435114503809</v>
      </c>
      <c r="K54">
        <f t="shared" ref="K54:K56" si="14">$G$40</f>
        <v>0.67695099818511795</v>
      </c>
      <c r="M54" s="11"/>
      <c r="N54" s="12"/>
      <c r="O54" s="17" t="s">
        <v>118</v>
      </c>
      <c r="P54" s="17"/>
      <c r="Q54" s="17"/>
      <c r="R54" s="17"/>
      <c r="S54" s="17"/>
      <c r="T54" s="17"/>
      <c r="U54" s="17"/>
      <c r="V54" s="17"/>
      <c r="W54" s="17"/>
      <c r="X54" s="13"/>
      <c r="Z54" s="30" t="s">
        <v>175</v>
      </c>
      <c r="AA54" s="31"/>
      <c r="AB54" s="32"/>
    </row>
    <row r="55" spans="2:29" ht="15" thickBot="1" x14ac:dyDescent="0.35">
      <c r="B55">
        <v>0.379</v>
      </c>
      <c r="D55">
        <v>0.63300000000000001</v>
      </c>
      <c r="G55">
        <f t="shared" si="13"/>
        <v>0.59873617693522907</v>
      </c>
      <c r="K55">
        <f t="shared" si="14"/>
        <v>0.67695099818511795</v>
      </c>
      <c r="M55" s="11"/>
      <c r="N55" s="12"/>
      <c r="O55" s="17" t="s">
        <v>119</v>
      </c>
      <c r="P55" s="17"/>
      <c r="Q55" s="17"/>
      <c r="R55" s="17"/>
      <c r="S55" s="17"/>
      <c r="T55" s="17"/>
      <c r="U55" s="17"/>
      <c r="V55" s="17"/>
      <c r="W55" s="17"/>
      <c r="X55" s="13"/>
    </row>
    <row r="56" spans="2:29" x14ac:dyDescent="0.3">
      <c r="B56">
        <v>0.311</v>
      </c>
      <c r="D56">
        <v>0.67700000000000005</v>
      </c>
      <c r="G56">
        <f t="shared" si="13"/>
        <v>0.45937961595273263</v>
      </c>
      <c r="K56">
        <f t="shared" si="14"/>
        <v>0.67695099818511795</v>
      </c>
      <c r="M56" s="11"/>
      <c r="N56" s="12"/>
      <c r="O56" s="17" t="s">
        <v>120</v>
      </c>
      <c r="P56" s="17"/>
      <c r="Q56" s="17"/>
      <c r="R56" s="17"/>
      <c r="S56" s="17"/>
      <c r="T56" s="17"/>
      <c r="U56" s="17"/>
      <c r="V56" s="17"/>
      <c r="W56" s="17"/>
      <c r="X56" s="13"/>
      <c r="Z56" s="25" t="s">
        <v>182</v>
      </c>
      <c r="AA56" s="26"/>
      <c r="AB56" s="26"/>
      <c r="AC56" s="27"/>
    </row>
    <row r="57" spans="2:29" x14ac:dyDescent="0.3">
      <c r="B57">
        <v>0.33400000000000002</v>
      </c>
      <c r="D57">
        <v>0.64800000000000002</v>
      </c>
      <c r="G57">
        <f t="shared" si="13"/>
        <v>0.51543209876543217</v>
      </c>
      <c r="K57">
        <f>$G$40</f>
        <v>0.67695099818511795</v>
      </c>
      <c r="M57" s="11"/>
      <c r="N57" s="12"/>
      <c r="O57" s="17" t="s">
        <v>121</v>
      </c>
      <c r="P57" s="17"/>
      <c r="Q57" s="17"/>
      <c r="R57" s="17"/>
      <c r="S57" s="17"/>
      <c r="T57" s="17"/>
      <c r="U57" s="17"/>
      <c r="V57" s="17"/>
      <c r="W57" s="17"/>
      <c r="X57" s="13"/>
      <c r="Z57" s="28" t="s">
        <v>183</v>
      </c>
      <c r="AA57" s="24"/>
      <c r="AB57" s="24"/>
      <c r="AC57" s="29"/>
    </row>
    <row r="58" spans="2:29" x14ac:dyDescent="0.3">
      <c r="B58">
        <v>0.32500000000000001</v>
      </c>
      <c r="D58">
        <v>0.68300000000000005</v>
      </c>
      <c r="G58">
        <f t="shared" si="13"/>
        <v>0.47584187408491946</v>
      </c>
      <c r="K58">
        <f>$G$41</f>
        <v>0.75763016157989216</v>
      </c>
      <c r="M58" s="11"/>
      <c r="N58" s="12"/>
      <c r="O58" s="17" t="s">
        <v>123</v>
      </c>
      <c r="P58" s="17"/>
      <c r="Q58" s="17"/>
      <c r="R58" s="17"/>
      <c r="S58" s="17"/>
      <c r="T58" s="17"/>
      <c r="U58" s="17"/>
      <c r="V58" s="17"/>
      <c r="W58" s="17"/>
      <c r="X58" s="13"/>
      <c r="Z58" s="28" t="s">
        <v>184</v>
      </c>
      <c r="AA58" s="24"/>
      <c r="AB58" s="24"/>
      <c r="AC58" s="29"/>
    </row>
    <row r="59" spans="2:29" x14ac:dyDescent="0.3">
      <c r="B59">
        <v>0.35799999999999998</v>
      </c>
      <c r="D59">
        <v>0.57399999999999995</v>
      </c>
      <c r="G59">
        <f t="shared" si="13"/>
        <v>0.62369337979094075</v>
      </c>
      <c r="K59">
        <f t="shared" ref="K59:K61" si="15">$G$41</f>
        <v>0.75763016157989216</v>
      </c>
      <c r="M59" s="11"/>
      <c r="N59" s="12"/>
      <c r="O59" s="17" t="s">
        <v>124</v>
      </c>
      <c r="P59" s="17"/>
      <c r="Q59" s="17"/>
      <c r="R59" s="17"/>
      <c r="S59" s="17"/>
      <c r="T59" s="17"/>
      <c r="U59" s="17"/>
      <c r="V59" s="17"/>
      <c r="W59" s="17"/>
      <c r="X59" s="13"/>
      <c r="Z59" s="28" t="s">
        <v>185</v>
      </c>
      <c r="AA59" s="24"/>
      <c r="AB59" s="24"/>
      <c r="AC59" s="29">
        <v>2620</v>
      </c>
    </row>
    <row r="60" spans="2:29" x14ac:dyDescent="0.3">
      <c r="B60">
        <v>0.36</v>
      </c>
      <c r="D60">
        <v>0.60299999999999998</v>
      </c>
      <c r="G60">
        <f t="shared" si="13"/>
        <v>0.59701492537313428</v>
      </c>
      <c r="K60">
        <f t="shared" si="15"/>
        <v>0.75763016157989216</v>
      </c>
      <c r="M60" s="11"/>
      <c r="N60" s="12"/>
      <c r="O60" s="17" t="s">
        <v>125</v>
      </c>
      <c r="P60" s="17"/>
      <c r="Q60" s="17"/>
      <c r="R60" s="17"/>
      <c r="S60" s="17"/>
      <c r="T60" s="17"/>
      <c r="U60" s="17"/>
      <c r="V60" s="17"/>
      <c r="W60" s="17"/>
      <c r="X60" s="13"/>
      <c r="Z60" s="28" t="s">
        <v>186</v>
      </c>
      <c r="AA60" s="24"/>
      <c r="AB60" s="24"/>
      <c r="AC60" s="29">
        <v>511</v>
      </c>
    </row>
    <row r="61" spans="2:29" x14ac:dyDescent="0.3">
      <c r="B61">
        <v>0.33900000000000002</v>
      </c>
      <c r="D61">
        <v>0.55500000000000005</v>
      </c>
      <c r="G61">
        <f t="shared" si="13"/>
        <v>0.61081081081081079</v>
      </c>
      <c r="K61">
        <f t="shared" si="15"/>
        <v>0.75763016157989216</v>
      </c>
      <c r="M61" s="11"/>
      <c r="N61" s="12"/>
      <c r="O61" s="17" t="s">
        <v>126</v>
      </c>
      <c r="P61" s="17"/>
      <c r="Q61" s="17"/>
      <c r="R61" s="17"/>
      <c r="S61" s="17"/>
      <c r="T61" s="17"/>
      <c r="U61" s="17"/>
      <c r="V61" s="17"/>
      <c r="W61" s="17"/>
      <c r="X61" s="13"/>
      <c r="Z61" s="28" t="s">
        <v>187</v>
      </c>
      <c r="AA61" s="24"/>
      <c r="AB61" s="24"/>
      <c r="AC61" s="29">
        <v>2099</v>
      </c>
    </row>
    <row r="62" spans="2:29" x14ac:dyDescent="0.3">
      <c r="K62">
        <f>$G$42</f>
        <v>0.79107142857142854</v>
      </c>
      <c r="M62" s="11"/>
      <c r="N62" s="12"/>
      <c r="O62" s="17" t="s">
        <v>176</v>
      </c>
      <c r="P62" s="17"/>
      <c r="Q62" s="17"/>
      <c r="R62" s="17"/>
      <c r="S62" s="17"/>
      <c r="T62" s="17"/>
      <c r="U62" s="17"/>
      <c r="V62" s="17"/>
      <c r="W62" s="17"/>
      <c r="X62" s="13"/>
      <c r="Z62" s="28" t="s">
        <v>188</v>
      </c>
      <c r="AA62" s="24"/>
      <c r="AB62" s="24"/>
      <c r="AC62" s="35">
        <f>AC61/AC59</f>
        <v>0.80114503816793892</v>
      </c>
    </row>
    <row r="63" spans="2:29" ht="15" thickBot="1" x14ac:dyDescent="0.35">
      <c r="K63">
        <f t="shared" ref="K63:K65" si="16">$G$42</f>
        <v>0.79107142857142854</v>
      </c>
      <c r="M63" s="11"/>
      <c r="N63" s="12"/>
      <c r="O63" s="17" t="s">
        <v>177</v>
      </c>
      <c r="P63" s="17"/>
      <c r="Q63" s="17"/>
      <c r="R63" s="17"/>
      <c r="S63" s="17"/>
      <c r="T63" s="17"/>
      <c r="U63" s="17"/>
      <c r="V63" s="17"/>
      <c r="W63" s="17"/>
      <c r="X63" s="13"/>
      <c r="Z63" s="30" t="s">
        <v>189</v>
      </c>
      <c r="AA63" s="31"/>
      <c r="AB63" s="31"/>
      <c r="AC63" s="36">
        <f>AC60/AC59</f>
        <v>0.19503816793893131</v>
      </c>
    </row>
    <row r="64" spans="2:29" ht="15" thickBot="1" x14ac:dyDescent="0.35">
      <c r="K64">
        <f t="shared" si="16"/>
        <v>0.79107142857142854</v>
      </c>
      <c r="M64" s="18"/>
      <c r="N64" s="19"/>
      <c r="O64" s="19" t="s">
        <v>178</v>
      </c>
      <c r="P64" s="19"/>
      <c r="Q64" s="19"/>
      <c r="R64" s="19"/>
      <c r="S64" s="19"/>
      <c r="T64" s="19"/>
      <c r="U64" s="19"/>
      <c r="V64" s="19"/>
      <c r="W64" s="19"/>
      <c r="X64" s="20"/>
    </row>
    <row r="65" spans="11:11" x14ac:dyDescent="0.3">
      <c r="K65">
        <f t="shared" si="16"/>
        <v>0.79107142857142854</v>
      </c>
    </row>
    <row r="66" spans="11:11" x14ac:dyDescent="0.3">
      <c r="K66">
        <f>$G$43</f>
        <v>0.48006932409012137</v>
      </c>
    </row>
    <row r="67" spans="11:11" x14ac:dyDescent="0.3">
      <c r="K67">
        <f t="shared" ref="K67:K70" si="17">$G$43</f>
        <v>0.48006932409012137</v>
      </c>
    </row>
    <row r="68" spans="11:11" x14ac:dyDescent="0.3">
      <c r="K68">
        <f t="shared" si="17"/>
        <v>0.48006932409012137</v>
      </c>
    </row>
    <row r="69" spans="11:11" x14ac:dyDescent="0.3">
      <c r="K69">
        <f t="shared" si="17"/>
        <v>0.48006932409012137</v>
      </c>
    </row>
    <row r="70" spans="11:11" x14ac:dyDescent="0.3">
      <c r="K70">
        <f t="shared" si="17"/>
        <v>0.48006932409012137</v>
      </c>
    </row>
    <row r="71" spans="11:11" x14ac:dyDescent="0.3">
      <c r="K71">
        <f>$G$44</f>
        <v>0.43906020558002934</v>
      </c>
    </row>
    <row r="72" spans="11:11" x14ac:dyDescent="0.3">
      <c r="K72">
        <f t="shared" ref="K72:K74" si="18">$G$44</f>
        <v>0.43906020558002934</v>
      </c>
    </row>
    <row r="73" spans="11:11" x14ac:dyDescent="0.3">
      <c r="K73">
        <f t="shared" si="18"/>
        <v>0.43906020558002934</v>
      </c>
    </row>
    <row r="74" spans="11:11" x14ac:dyDescent="0.3">
      <c r="K74">
        <f t="shared" si="18"/>
        <v>0.43906020558002934</v>
      </c>
    </row>
    <row r="75" spans="11:11" x14ac:dyDescent="0.3">
      <c r="K75">
        <f>$G$45</f>
        <v>0.46889226100151743</v>
      </c>
    </row>
    <row r="76" spans="11:11" x14ac:dyDescent="0.3">
      <c r="K76">
        <f t="shared" ref="K76:K78" si="19">$G$45</f>
        <v>0.46889226100151743</v>
      </c>
    </row>
    <row r="77" spans="11:11" x14ac:dyDescent="0.3">
      <c r="K77">
        <f t="shared" si="19"/>
        <v>0.46889226100151743</v>
      </c>
    </row>
    <row r="78" spans="11:11" x14ac:dyDescent="0.3">
      <c r="K78">
        <f t="shared" si="19"/>
        <v>0.46889226100151743</v>
      </c>
    </row>
    <row r="79" spans="11:11" x14ac:dyDescent="0.3">
      <c r="K79">
        <f>$G$46</f>
        <v>0.55978260869565211</v>
      </c>
    </row>
    <row r="80" spans="11:11" x14ac:dyDescent="0.3">
      <c r="K80">
        <f t="shared" ref="K80:K83" si="20">$G$46</f>
        <v>0.55978260869565211</v>
      </c>
    </row>
    <row r="81" spans="11:11" x14ac:dyDescent="0.3">
      <c r="K81">
        <f t="shared" si="20"/>
        <v>0.55978260869565211</v>
      </c>
    </row>
    <row r="82" spans="11:11" x14ac:dyDescent="0.3">
      <c r="K82">
        <f t="shared" si="20"/>
        <v>0.55978260869565211</v>
      </c>
    </row>
    <row r="83" spans="11:11" x14ac:dyDescent="0.3">
      <c r="K83">
        <f t="shared" si="20"/>
        <v>0.55978260869565211</v>
      </c>
    </row>
    <row r="84" spans="11:11" x14ac:dyDescent="0.3">
      <c r="K84">
        <f>$G$47</f>
        <v>0.8040665434380776</v>
      </c>
    </row>
    <row r="85" spans="11:11" x14ac:dyDescent="0.3">
      <c r="K85">
        <f t="shared" ref="K85:K88" si="21">$G$47</f>
        <v>0.8040665434380776</v>
      </c>
    </row>
    <row r="86" spans="11:11" x14ac:dyDescent="0.3">
      <c r="K86">
        <f t="shared" si="21"/>
        <v>0.8040665434380776</v>
      </c>
    </row>
    <row r="87" spans="11:11" x14ac:dyDescent="0.3">
      <c r="K87">
        <f t="shared" si="21"/>
        <v>0.8040665434380776</v>
      </c>
    </row>
    <row r="88" spans="11:11" x14ac:dyDescent="0.3">
      <c r="K88">
        <f t="shared" si="21"/>
        <v>0.8040665434380776</v>
      </c>
    </row>
  </sheetData>
  <hyperlinks>
    <hyperlink ref="A34" r:id="rId1" xr:uid="{97758F06-A8DB-4E52-A3AB-ED92A9353134}"/>
    <hyperlink ref="O42" r:id="rId2" xr:uid="{8ABA7CBE-B659-4C7A-8BC0-D40AFFDCB82D}"/>
  </hyperlinks>
  <pageMargins left="0.7" right="0.7" top="0.75" bottom="0.75" header="0.3" footer="0.3"/>
  <pageSetup orientation="portrait" horizontalDpi="4294967294" verticalDpi="4294967294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4F20-0A5F-4D69-9906-FFB905E30C7B}">
  <dimension ref="A1:AE88"/>
  <sheetViews>
    <sheetView tabSelected="1" topLeftCell="J1" workbookViewId="0">
      <selection activeCell="X25" sqref="X25"/>
    </sheetView>
  </sheetViews>
  <sheetFormatPr defaultRowHeight="14.4" x14ac:dyDescent="0.3"/>
  <cols>
    <col min="1" max="1" width="20" customWidth="1"/>
    <col min="19" max="19" width="10" bestFit="1" customWidth="1"/>
    <col min="25" max="25" width="11.6640625" customWidth="1"/>
  </cols>
  <sheetData>
    <row r="1" spans="1:31" ht="15" thickBot="1" x14ac:dyDescent="0.35">
      <c r="A1" t="s">
        <v>0</v>
      </c>
      <c r="B1" t="s">
        <v>1</v>
      </c>
      <c r="F1" t="s">
        <v>2</v>
      </c>
    </row>
    <row r="2" spans="1:31" x14ac:dyDescent="0.3">
      <c r="B2">
        <v>2015</v>
      </c>
      <c r="C2">
        <v>2020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J2">
        <v>2055</v>
      </c>
      <c r="K2">
        <v>2060</v>
      </c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x14ac:dyDescent="0.3">
      <c r="A3" t="s">
        <v>3</v>
      </c>
      <c r="B3">
        <v>1.66</v>
      </c>
      <c r="C3">
        <v>2.4</v>
      </c>
      <c r="D3">
        <v>3.18</v>
      </c>
      <c r="E3">
        <v>3.95</v>
      </c>
      <c r="F3">
        <v>4.7</v>
      </c>
      <c r="G3">
        <v>5.45</v>
      </c>
      <c r="H3">
        <v>6.21</v>
      </c>
      <c r="I3">
        <v>6.97</v>
      </c>
      <c r="J3">
        <v>7.95</v>
      </c>
      <c r="K3">
        <v>8.93</v>
      </c>
      <c r="N3" s="11"/>
      <c r="O3" s="12"/>
      <c r="P3" s="12" t="s">
        <v>128</v>
      </c>
      <c r="Q3" s="12"/>
      <c r="R3" s="12" t="s">
        <v>130</v>
      </c>
      <c r="S3" s="12"/>
      <c r="T3" s="12"/>
      <c r="U3" s="12"/>
      <c r="V3" s="12"/>
      <c r="W3" s="12"/>
      <c r="X3" s="12"/>
      <c r="Y3" s="12"/>
      <c r="Z3" s="12" t="s">
        <v>154</v>
      </c>
      <c r="AA3" s="12"/>
      <c r="AB3" s="12"/>
      <c r="AC3" s="12"/>
      <c r="AD3" s="12"/>
      <c r="AE3" s="13"/>
    </row>
    <row r="4" spans="1:31" x14ac:dyDescent="0.3">
      <c r="A4" t="s">
        <v>11</v>
      </c>
      <c r="B4">
        <v>0.49</v>
      </c>
      <c r="C4">
        <v>0.72</v>
      </c>
      <c r="D4">
        <v>1.05</v>
      </c>
      <c r="E4">
        <v>1.38</v>
      </c>
      <c r="F4">
        <v>1.78</v>
      </c>
      <c r="G4">
        <v>2.1800000000000002</v>
      </c>
      <c r="H4">
        <v>2.4900000000000002</v>
      </c>
      <c r="I4">
        <v>2.79</v>
      </c>
      <c r="J4">
        <v>3.18</v>
      </c>
      <c r="K4">
        <v>3.57</v>
      </c>
      <c r="N4" s="11" t="s">
        <v>129</v>
      </c>
      <c r="O4" s="12" t="s">
        <v>104</v>
      </c>
      <c r="P4" s="12">
        <v>8280000</v>
      </c>
      <c r="Q4" s="12"/>
      <c r="R4" s="12">
        <v>686</v>
      </c>
      <c r="S4" s="12" t="s">
        <v>131</v>
      </c>
      <c r="T4" s="12">
        <f>R4/365</f>
        <v>1.8794520547945206</v>
      </c>
      <c r="U4" s="12" t="s">
        <v>132</v>
      </c>
      <c r="V4" s="12"/>
      <c r="W4" s="12"/>
      <c r="X4" s="12"/>
      <c r="Y4" s="12"/>
      <c r="Z4" s="12" t="s">
        <v>152</v>
      </c>
      <c r="AA4" s="12"/>
      <c r="AB4" s="12"/>
      <c r="AC4" s="12"/>
      <c r="AD4" s="12"/>
      <c r="AE4" s="13"/>
    </row>
    <row r="5" spans="1:31" x14ac:dyDescent="0.3">
      <c r="A5" t="s">
        <v>12</v>
      </c>
      <c r="B5">
        <v>0.8</v>
      </c>
      <c r="C5">
        <v>1.06</v>
      </c>
      <c r="D5">
        <v>1.1599999999999999</v>
      </c>
      <c r="E5">
        <v>1.25</v>
      </c>
      <c r="F5">
        <v>1.52</v>
      </c>
      <c r="G5">
        <v>1.79</v>
      </c>
      <c r="H5">
        <v>1.61</v>
      </c>
      <c r="I5">
        <v>1.42</v>
      </c>
      <c r="J5">
        <v>1.62</v>
      </c>
      <c r="K5">
        <v>1.81</v>
      </c>
      <c r="N5" s="11"/>
      <c r="O5" s="12" t="s">
        <v>105</v>
      </c>
      <c r="P5" s="12">
        <v>22000</v>
      </c>
      <c r="Q5" s="12"/>
      <c r="R5" s="12">
        <v>2.2400000000000002</v>
      </c>
      <c r="S5" s="12"/>
      <c r="T5" s="12"/>
      <c r="U5" s="12"/>
      <c r="V5" s="12"/>
      <c r="W5" s="12"/>
      <c r="X5" s="12"/>
      <c r="Y5" s="12" t="s">
        <v>153</v>
      </c>
      <c r="Z5" s="12">
        <f>P5-15*12*43</f>
        <v>14260</v>
      </c>
      <c r="AA5" s="12"/>
      <c r="AB5" s="12"/>
      <c r="AC5" s="12"/>
      <c r="AD5" s="12"/>
      <c r="AE5" s="13"/>
    </row>
    <row r="6" spans="1:31" x14ac:dyDescent="0.3">
      <c r="A6" t="s">
        <v>12</v>
      </c>
      <c r="B6">
        <v>0.52</v>
      </c>
      <c r="C6">
        <v>0.74</v>
      </c>
      <c r="D6">
        <v>0.96</v>
      </c>
      <c r="E6">
        <v>1.17</v>
      </c>
      <c r="F6">
        <v>1.42</v>
      </c>
      <c r="G6">
        <v>1.67</v>
      </c>
      <c r="H6">
        <v>1.83</v>
      </c>
      <c r="I6">
        <v>1.98</v>
      </c>
      <c r="J6">
        <v>2.2599999999999998</v>
      </c>
      <c r="K6">
        <v>2.54</v>
      </c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23" t="s">
        <v>155</v>
      </c>
      <c r="Z6" s="23">
        <f>Z5/R5*1.04</f>
        <v>6620.7142857142844</v>
      </c>
      <c r="AA6" s="12"/>
      <c r="AB6" s="12"/>
      <c r="AC6" s="12"/>
      <c r="AD6" s="12"/>
      <c r="AE6" s="13"/>
    </row>
    <row r="7" spans="1:31" x14ac:dyDescent="0.3">
      <c r="A7" t="s">
        <v>13</v>
      </c>
      <c r="B7">
        <v>0.26</v>
      </c>
      <c r="C7">
        <v>0.37</v>
      </c>
      <c r="D7">
        <v>0.48</v>
      </c>
      <c r="E7">
        <v>0.57999999999999996</v>
      </c>
      <c r="F7">
        <v>0.71</v>
      </c>
      <c r="G7">
        <v>0.83</v>
      </c>
      <c r="H7">
        <v>0.91</v>
      </c>
      <c r="I7">
        <v>0.99</v>
      </c>
      <c r="J7">
        <v>1.1299999999999999</v>
      </c>
      <c r="K7">
        <v>1.27</v>
      </c>
      <c r="M7">
        <f>L12/L11</f>
        <v>0.39003031057407994</v>
      </c>
      <c r="N7" s="11"/>
      <c r="O7" s="12" t="s">
        <v>133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3"/>
    </row>
    <row r="8" spans="1:31" x14ac:dyDescent="0.3">
      <c r="A8" t="s">
        <v>8</v>
      </c>
      <c r="B8">
        <f>SUM(B3:B7)</f>
        <v>3.7300000000000004</v>
      </c>
      <c r="C8">
        <f t="shared" ref="C8:K8" si="0">SUM(C3:C7)</f>
        <v>5.29</v>
      </c>
      <c r="D8">
        <f t="shared" si="0"/>
        <v>6.83</v>
      </c>
      <c r="E8">
        <f t="shared" si="0"/>
        <v>8.33</v>
      </c>
      <c r="F8">
        <f t="shared" si="0"/>
        <v>10.129999999999999</v>
      </c>
      <c r="G8">
        <f t="shared" si="0"/>
        <v>11.920000000000002</v>
      </c>
      <c r="H8">
        <f t="shared" si="0"/>
        <v>13.049999999999999</v>
      </c>
      <c r="I8">
        <f t="shared" si="0"/>
        <v>14.15</v>
      </c>
      <c r="J8">
        <f t="shared" si="0"/>
        <v>16.14</v>
      </c>
      <c r="K8">
        <f t="shared" si="0"/>
        <v>18.12</v>
      </c>
      <c r="N8" s="11"/>
      <c r="O8" s="12" t="s">
        <v>134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 t="s">
        <v>179</v>
      </c>
      <c r="AA8" s="12"/>
      <c r="AB8" s="12"/>
      <c r="AC8" s="12"/>
      <c r="AD8" s="12"/>
      <c r="AE8" s="13"/>
    </row>
    <row r="9" spans="1:31" x14ac:dyDescent="0.3">
      <c r="N9" s="11"/>
      <c r="O9" s="12"/>
      <c r="P9" s="12" t="s">
        <v>135</v>
      </c>
      <c r="Q9" s="12"/>
      <c r="R9" s="12"/>
      <c r="S9" s="12"/>
      <c r="T9" s="12"/>
      <c r="U9" s="12"/>
      <c r="V9" s="12"/>
      <c r="W9" s="12"/>
      <c r="X9" s="12"/>
      <c r="Y9" s="12"/>
      <c r="Z9" s="12" t="s">
        <v>180</v>
      </c>
      <c r="AA9" s="12"/>
      <c r="AB9" s="12"/>
      <c r="AC9" s="12"/>
      <c r="AD9" s="12"/>
      <c r="AE9" s="13"/>
    </row>
    <row r="10" spans="1:31" x14ac:dyDescent="0.3">
      <c r="A10" t="s">
        <v>9</v>
      </c>
      <c r="B10" t="s">
        <v>19</v>
      </c>
      <c r="L10" t="s">
        <v>10</v>
      </c>
      <c r="N10" s="11"/>
      <c r="O10" s="12"/>
      <c r="P10" s="12" t="s">
        <v>136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/>
    </row>
    <row r="11" spans="1:31" x14ac:dyDescent="0.3">
      <c r="A11" t="s">
        <v>3</v>
      </c>
      <c r="B11">
        <f>B3/B$8</f>
        <v>0.4450402144772117</v>
      </c>
      <c r="C11">
        <f t="shared" ref="C11:K11" si="1">C3/C$8</f>
        <v>0.45368620037807184</v>
      </c>
      <c r="D11">
        <f t="shared" si="1"/>
        <v>0.46559297218155199</v>
      </c>
      <c r="E11">
        <f t="shared" si="1"/>
        <v>0.47418967587034816</v>
      </c>
      <c r="F11">
        <f t="shared" si="1"/>
        <v>0.46396841066140182</v>
      </c>
      <c r="G11">
        <f t="shared" si="1"/>
        <v>0.45721476510067111</v>
      </c>
      <c r="H11">
        <f t="shared" si="1"/>
        <v>0.4758620689655173</v>
      </c>
      <c r="I11">
        <f t="shared" si="1"/>
        <v>0.49257950530035333</v>
      </c>
      <c r="J11">
        <f t="shared" si="1"/>
        <v>0.49256505576208176</v>
      </c>
      <c r="K11">
        <f t="shared" si="1"/>
        <v>0.49282560706401762</v>
      </c>
      <c r="L11" s="1">
        <f>AVERAGE(E11:K11)</f>
        <v>0.47845786981777011</v>
      </c>
      <c r="N11" s="11"/>
      <c r="O11" s="12"/>
      <c r="P11" s="12" t="s">
        <v>137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3"/>
    </row>
    <row r="12" spans="1:31" x14ac:dyDescent="0.3">
      <c r="A12" t="s">
        <v>11</v>
      </c>
      <c r="B12">
        <f t="shared" ref="B12:K16" si="2">B4/B$8</f>
        <v>0.13136729222520105</v>
      </c>
      <c r="C12">
        <f t="shared" si="2"/>
        <v>0.13610586011342155</v>
      </c>
      <c r="D12">
        <f t="shared" si="2"/>
        <v>0.15373352855051245</v>
      </c>
      <c r="E12">
        <f t="shared" si="2"/>
        <v>0.16566626650660263</v>
      </c>
      <c r="F12">
        <f t="shared" si="2"/>
        <v>0.17571569595261602</v>
      </c>
      <c r="G12">
        <f t="shared" si="2"/>
        <v>0.18288590604026844</v>
      </c>
      <c r="H12">
        <f t="shared" si="2"/>
        <v>0.19080459770114946</v>
      </c>
      <c r="I12">
        <f t="shared" si="2"/>
        <v>0.19717314487632509</v>
      </c>
      <c r="J12">
        <f t="shared" si="2"/>
        <v>0.19702602230483271</v>
      </c>
      <c r="K12">
        <f t="shared" si="2"/>
        <v>0.19701986754966885</v>
      </c>
      <c r="L12" s="1">
        <f>AVERAGE(E12:K12)</f>
        <v>0.18661307156163759</v>
      </c>
      <c r="N12" s="11" t="s">
        <v>138</v>
      </c>
      <c r="O12" s="12"/>
      <c r="P12" s="12">
        <f>(R4-R12)*F20*1000+15*12*760</f>
        <v>894465.07462686568</v>
      </c>
      <c r="Q12" s="12"/>
      <c r="R12" s="12">
        <f>471+471*(0.14/1.34)</f>
        <v>520.20895522388059</v>
      </c>
      <c r="S12" s="12" t="s">
        <v>147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3"/>
    </row>
    <row r="13" spans="1:31" x14ac:dyDescent="0.3">
      <c r="A13" t="s">
        <v>12</v>
      </c>
      <c r="B13">
        <f t="shared" si="2"/>
        <v>0.21447721179624663</v>
      </c>
      <c r="C13">
        <f t="shared" si="2"/>
        <v>0.20037807183364839</v>
      </c>
      <c r="D13">
        <f t="shared" si="2"/>
        <v>0.16983894582723277</v>
      </c>
      <c r="E13">
        <f t="shared" si="2"/>
        <v>0.15006002400960383</v>
      </c>
      <c r="F13">
        <f t="shared" si="2"/>
        <v>0.15004935834155975</v>
      </c>
      <c r="G13">
        <f t="shared" si="2"/>
        <v>0.15016778523489932</v>
      </c>
      <c r="H13">
        <f t="shared" si="2"/>
        <v>0.12337164750957856</v>
      </c>
      <c r="I13">
        <f t="shared" si="2"/>
        <v>0.10035335689045935</v>
      </c>
      <c r="J13">
        <f t="shared" si="2"/>
        <v>0.10037174721189591</v>
      </c>
      <c r="K13">
        <f t="shared" si="2"/>
        <v>9.9889624724061807E-2</v>
      </c>
      <c r="L13" s="1">
        <f t="shared" ref="L13:L15" si="3">AVERAGE(E13:K13)</f>
        <v>0.12489479198886551</v>
      </c>
      <c r="N13" s="11" t="s">
        <v>145</v>
      </c>
      <c r="O13" s="12"/>
      <c r="P13" s="12">
        <f>P4-P12</f>
        <v>7385534.9253731342</v>
      </c>
      <c r="Q13" s="12" t="s">
        <v>139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3"/>
    </row>
    <row r="14" spans="1:31" x14ac:dyDescent="0.3">
      <c r="A14" t="s">
        <v>12</v>
      </c>
      <c r="B14">
        <f t="shared" si="2"/>
        <v>0.1394101876675603</v>
      </c>
      <c r="C14">
        <f t="shared" si="2"/>
        <v>0.13988657844990549</v>
      </c>
      <c r="D14">
        <f t="shared" si="2"/>
        <v>0.14055636896046853</v>
      </c>
      <c r="E14">
        <f t="shared" si="2"/>
        <v>0.14045618247298919</v>
      </c>
      <c r="F14">
        <f t="shared" si="2"/>
        <v>0.140177690029615</v>
      </c>
      <c r="G14">
        <f t="shared" si="2"/>
        <v>0.14010067114093958</v>
      </c>
      <c r="H14">
        <f t="shared" si="2"/>
        <v>0.14022988505747128</v>
      </c>
      <c r="I14">
        <f t="shared" si="2"/>
        <v>0.13992932862190813</v>
      </c>
      <c r="J14">
        <f t="shared" si="2"/>
        <v>0.1400247831474597</v>
      </c>
      <c r="K14">
        <f t="shared" si="2"/>
        <v>0.1401766004415011</v>
      </c>
      <c r="L14" s="1">
        <f t="shared" si="3"/>
        <v>0.14015644870169772</v>
      </c>
      <c r="N14" s="11"/>
      <c r="O14" s="12"/>
      <c r="P14" s="12"/>
      <c r="Q14" s="12"/>
      <c r="R14" s="12"/>
      <c r="S14" s="12" t="s">
        <v>140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3"/>
    </row>
    <row r="15" spans="1:31" x14ac:dyDescent="0.3">
      <c r="A15" t="s">
        <v>13</v>
      </c>
      <c r="B15">
        <f t="shared" si="2"/>
        <v>6.9705093833780152E-2</v>
      </c>
      <c r="C15">
        <f t="shared" si="2"/>
        <v>6.9943289224952743E-2</v>
      </c>
      <c r="D15">
        <f t="shared" si="2"/>
        <v>7.0278184480234263E-2</v>
      </c>
      <c r="E15">
        <f t="shared" si="2"/>
        <v>6.9627851140456179E-2</v>
      </c>
      <c r="F15">
        <f t="shared" si="2"/>
        <v>7.0088845014807499E-2</v>
      </c>
      <c r="G15">
        <f t="shared" si="2"/>
        <v>6.9630872483221459E-2</v>
      </c>
      <c r="H15">
        <f t="shared" si="2"/>
        <v>6.9731800766283533E-2</v>
      </c>
      <c r="I15">
        <f t="shared" si="2"/>
        <v>6.9964664310954064E-2</v>
      </c>
      <c r="J15">
        <f t="shared" si="2"/>
        <v>7.0012391573729849E-2</v>
      </c>
      <c r="K15">
        <f t="shared" si="2"/>
        <v>7.0088300220750549E-2</v>
      </c>
      <c r="L15" s="1">
        <f t="shared" si="3"/>
        <v>6.9877817930029021E-2</v>
      </c>
      <c r="N15" s="11"/>
      <c r="O15" s="12"/>
      <c r="P15" s="12"/>
      <c r="Q15" s="12"/>
      <c r="R15" s="12"/>
      <c r="S15" s="12" t="s">
        <v>141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3"/>
    </row>
    <row r="16" spans="1:31" x14ac:dyDescent="0.3">
      <c r="A16" t="s">
        <v>8</v>
      </c>
      <c r="B16">
        <f t="shared" si="2"/>
        <v>1</v>
      </c>
      <c r="C16">
        <f t="shared" si="2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>
        <f t="shared" si="2"/>
        <v>1</v>
      </c>
      <c r="K16">
        <f t="shared" si="2"/>
        <v>1</v>
      </c>
      <c r="L16">
        <f>SUM(L11:L15)</f>
        <v>1</v>
      </c>
      <c r="N16" s="11" t="s">
        <v>142</v>
      </c>
      <c r="O16" s="12"/>
      <c r="P16" s="12"/>
      <c r="Q16" s="12">
        <f>P12-15*12*760</f>
        <v>757665.07462686568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3"/>
    </row>
    <row r="17" spans="1:31" x14ac:dyDescent="0.3">
      <c r="N17" s="11" t="s">
        <v>143</v>
      </c>
      <c r="O17" s="12"/>
      <c r="P17" s="12"/>
      <c r="Q17" s="12">
        <f>P13-15*12*8000</f>
        <v>5945534.9253731342</v>
      </c>
      <c r="R17" s="12" t="s">
        <v>148</v>
      </c>
      <c r="S17" s="12">
        <f>Q17*(1-AC27)</f>
        <v>4740248.0171248838</v>
      </c>
      <c r="T17" s="24" t="s">
        <v>161</v>
      </c>
      <c r="U17" s="24"/>
      <c r="V17" s="24"/>
      <c r="W17" s="24"/>
      <c r="X17" s="24"/>
      <c r="Y17" s="24"/>
      <c r="Z17" s="24"/>
      <c r="AA17" s="24"/>
      <c r="AB17" s="12"/>
      <c r="AC17" s="12"/>
      <c r="AD17" s="12"/>
      <c r="AE17" s="13"/>
    </row>
    <row r="18" spans="1:31" x14ac:dyDescent="0.3">
      <c r="N18" s="22" t="s">
        <v>144</v>
      </c>
      <c r="O18" s="23"/>
      <c r="P18" s="23"/>
      <c r="Q18" s="23">
        <f>S17/R12*1.04</f>
        <v>9476.6879506874939</v>
      </c>
      <c r="R18" s="12" t="s">
        <v>146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3"/>
    </row>
    <row r="19" spans="1:31" x14ac:dyDescent="0.3">
      <c r="A19" t="s">
        <v>14</v>
      </c>
      <c r="B19" t="s">
        <v>18</v>
      </c>
      <c r="E19" t="s">
        <v>20</v>
      </c>
      <c r="F19" t="s">
        <v>18</v>
      </c>
      <c r="H19" t="s">
        <v>40</v>
      </c>
      <c r="N19" s="11"/>
      <c r="O19" s="12"/>
      <c r="P19" s="12"/>
      <c r="Q19" s="12" t="s">
        <v>151</v>
      </c>
      <c r="R19" s="12" t="s">
        <v>149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3"/>
    </row>
    <row r="20" spans="1:31" x14ac:dyDescent="0.3">
      <c r="A20" t="s">
        <v>15</v>
      </c>
      <c r="B20">
        <v>7</v>
      </c>
      <c r="C20">
        <v>7</v>
      </c>
      <c r="E20" t="s">
        <v>21</v>
      </c>
      <c r="F20">
        <v>4.57</v>
      </c>
      <c r="H20">
        <v>15</v>
      </c>
      <c r="I20" t="s">
        <v>41</v>
      </c>
      <c r="N20" s="11"/>
      <c r="O20" s="12"/>
      <c r="P20" s="12"/>
      <c r="Q20" s="12"/>
      <c r="R20" s="12" t="s">
        <v>150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3"/>
    </row>
    <row r="21" spans="1:31" ht="15" thickBot="1" x14ac:dyDescent="0.35">
      <c r="A21" t="s">
        <v>16</v>
      </c>
      <c r="B21">
        <v>8.5</v>
      </c>
      <c r="C21">
        <v>8.5</v>
      </c>
      <c r="N21" s="18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20"/>
    </row>
    <row r="22" spans="1:31" ht="15" thickBot="1" x14ac:dyDescent="0.35">
      <c r="A22" t="s">
        <v>17</v>
      </c>
      <c r="B22">
        <v>10</v>
      </c>
      <c r="C22">
        <v>10</v>
      </c>
    </row>
    <row r="23" spans="1:31" x14ac:dyDescent="0.3">
      <c r="C23" t="s">
        <v>22</v>
      </c>
      <c r="Y23" t="s">
        <v>160</v>
      </c>
      <c r="Z23" s="25" t="s">
        <v>157</v>
      </c>
      <c r="AA23" s="26"/>
      <c r="AB23" s="26"/>
      <c r="AC23" s="27"/>
    </row>
    <row r="24" spans="1:31" x14ac:dyDescent="0.3">
      <c r="Z24" s="28" t="s">
        <v>158</v>
      </c>
      <c r="AA24" s="24"/>
      <c r="AB24" s="24"/>
      <c r="AC24" s="29">
        <v>74669046</v>
      </c>
    </row>
    <row r="25" spans="1:31" x14ac:dyDescent="0.3">
      <c r="Z25" s="28" t="s">
        <v>156</v>
      </c>
      <c r="AA25" s="24"/>
      <c r="AB25" s="24"/>
      <c r="AC25" s="29">
        <v>18985847</v>
      </c>
    </row>
    <row r="26" spans="1:31" x14ac:dyDescent="0.3">
      <c r="A26" t="s">
        <v>57</v>
      </c>
      <c r="Z26" s="28" t="s">
        <v>8</v>
      </c>
      <c r="AA26" s="24"/>
      <c r="AB26" s="24"/>
      <c r="AC26" s="29">
        <f>AC24+AC25</f>
        <v>93654893</v>
      </c>
    </row>
    <row r="27" spans="1:31" ht="15" thickBot="1" x14ac:dyDescent="0.35">
      <c r="A27" t="s">
        <v>58</v>
      </c>
      <c r="Z27" s="30" t="s">
        <v>159</v>
      </c>
      <c r="AA27" s="31"/>
      <c r="AB27" s="31"/>
      <c r="AC27" s="36">
        <f>AC25/AC26</f>
        <v>0.20272135701441674</v>
      </c>
    </row>
    <row r="28" spans="1:31" x14ac:dyDescent="0.3">
      <c r="F28" s="7" t="s">
        <v>98</v>
      </c>
      <c r="G28" s="7"/>
      <c r="H28" s="7"/>
    </row>
    <row r="29" spans="1:31" x14ac:dyDescent="0.3">
      <c r="A29" t="s">
        <v>62</v>
      </c>
      <c r="B29" t="s">
        <v>61</v>
      </c>
      <c r="D29" t="s">
        <v>78</v>
      </c>
      <c r="G29" t="s">
        <v>79</v>
      </c>
    </row>
    <row r="30" spans="1:31" x14ac:dyDescent="0.3">
      <c r="A30" t="s">
        <v>3</v>
      </c>
      <c r="B30">
        <v>7568</v>
      </c>
      <c r="D30">
        <v>1.222</v>
      </c>
      <c r="E30">
        <f>D30*1000*7</f>
        <v>8554</v>
      </c>
      <c r="F30" s="7">
        <f>E30/B30</f>
        <v>1.1302854122621564</v>
      </c>
      <c r="G30">
        <f>B20*CEILING(F30,1)</f>
        <v>14</v>
      </c>
      <c r="H30" s="1">
        <f>G30/(E30/1000)*1000</f>
        <v>1636.6612111292961</v>
      </c>
      <c r="I30" s="1" t="s">
        <v>81</v>
      </c>
      <c r="J30" s="1"/>
    </row>
    <row r="31" spans="1:31" x14ac:dyDescent="0.3">
      <c r="A31" t="s">
        <v>59</v>
      </c>
      <c r="B31">
        <v>142</v>
      </c>
      <c r="D31">
        <v>0.125</v>
      </c>
      <c r="E31">
        <f t="shared" ref="E31:E33" si="4">D31*1000*7</f>
        <v>875</v>
      </c>
      <c r="F31" s="7">
        <f t="shared" ref="F31:F33" si="5">E31/B31</f>
        <v>6.1619718309859151</v>
      </c>
    </row>
    <row r="32" spans="1:31" x14ac:dyDescent="0.3">
      <c r="A32" t="s">
        <v>5</v>
      </c>
      <c r="B32">
        <v>21</v>
      </c>
      <c r="D32">
        <v>0.214</v>
      </c>
      <c r="E32">
        <f t="shared" si="4"/>
        <v>1498</v>
      </c>
      <c r="F32" s="7">
        <f t="shared" si="5"/>
        <v>71.333333333333329</v>
      </c>
      <c r="G32" t="s">
        <v>80</v>
      </c>
    </row>
    <row r="33" spans="1:11" x14ac:dyDescent="0.3">
      <c r="A33" t="s">
        <v>60</v>
      </c>
      <c r="B33">
        <v>34</v>
      </c>
      <c r="D33">
        <v>0.03</v>
      </c>
      <c r="E33">
        <f t="shared" si="4"/>
        <v>210</v>
      </c>
      <c r="F33" s="7">
        <f t="shared" si="5"/>
        <v>6.1764705882352944</v>
      </c>
      <c r="G33">
        <f>(E33+E32+E31)/1000 * F20</f>
        <v>11.804310000000001</v>
      </c>
      <c r="H33" s="1">
        <f>G33/((E33+E32+E31)/1000)*1000</f>
        <v>4570</v>
      </c>
    </row>
    <row r="34" spans="1:11" x14ac:dyDescent="0.3">
      <c r="B34">
        <v>2018</v>
      </c>
      <c r="C34">
        <v>2017</v>
      </c>
      <c r="D34">
        <v>2018</v>
      </c>
      <c r="E34">
        <v>2017</v>
      </c>
      <c r="G34">
        <v>2018</v>
      </c>
      <c r="H34">
        <v>2017</v>
      </c>
    </row>
    <row r="35" spans="1:11" x14ac:dyDescent="0.3">
      <c r="A35" t="s">
        <v>63</v>
      </c>
      <c r="B35" t="s">
        <v>76</v>
      </c>
      <c r="D35" t="s">
        <v>77</v>
      </c>
      <c r="G35" t="s">
        <v>82</v>
      </c>
      <c r="K35" t="s">
        <v>83</v>
      </c>
    </row>
    <row r="36" spans="1:11" x14ac:dyDescent="0.3">
      <c r="A36" t="s">
        <v>64</v>
      </c>
      <c r="B36">
        <v>0.1862</v>
      </c>
      <c r="C36">
        <v>0.13200000000000001</v>
      </c>
      <c r="D36">
        <v>1.4650000000000001</v>
      </c>
      <c r="E36">
        <v>1.3560000000000001</v>
      </c>
      <c r="G36" s="1">
        <f>B36/D36</f>
        <v>0.127098976109215</v>
      </c>
      <c r="H36">
        <f>C36/E36</f>
        <v>9.7345132743362831E-2</v>
      </c>
      <c r="K36">
        <f>$G$36</f>
        <v>0.127098976109215</v>
      </c>
    </row>
    <row r="37" spans="1:11" x14ac:dyDescent="0.3">
      <c r="A37" t="s">
        <v>65</v>
      </c>
      <c r="B37">
        <v>0.1767</v>
      </c>
      <c r="C37">
        <v>7.0000000000000007E-2</v>
      </c>
      <c r="D37">
        <v>1.486</v>
      </c>
      <c r="E37">
        <v>1.897</v>
      </c>
      <c r="G37" s="1">
        <f t="shared" ref="G37:G47" si="6">B37/D37</f>
        <v>0.11890982503364737</v>
      </c>
      <c r="H37">
        <f t="shared" ref="H37:H47" si="7">C37/E37</f>
        <v>3.6900369003690037E-2</v>
      </c>
      <c r="K37">
        <f t="shared" ref="K37:K39" si="8">$G$36</f>
        <v>0.127098976109215</v>
      </c>
    </row>
    <row r="38" spans="1:11" x14ac:dyDescent="0.3">
      <c r="A38" t="s">
        <v>66</v>
      </c>
      <c r="B38">
        <v>0.17150000000000001</v>
      </c>
      <c r="C38">
        <v>0.17499999999999999</v>
      </c>
      <c r="D38">
        <v>1.4319999999999999</v>
      </c>
      <c r="E38">
        <v>1.9179999999999999</v>
      </c>
      <c r="G38" s="1">
        <f t="shared" si="6"/>
        <v>0.11976256983240224</v>
      </c>
      <c r="H38">
        <f t="shared" si="7"/>
        <v>9.1240875912408759E-2</v>
      </c>
      <c r="K38">
        <f t="shared" si="8"/>
        <v>0.127098976109215</v>
      </c>
    </row>
    <row r="39" spans="1:11" x14ac:dyDescent="0.3">
      <c r="A39" t="s">
        <v>67</v>
      </c>
      <c r="B39">
        <v>0.17580000000000001</v>
      </c>
      <c r="C39">
        <v>0.21099999999999999</v>
      </c>
      <c r="D39">
        <v>1.978</v>
      </c>
      <c r="E39">
        <v>2.0739999999999998</v>
      </c>
      <c r="G39" s="1">
        <f t="shared" si="6"/>
        <v>8.8877654196157743E-2</v>
      </c>
      <c r="H39">
        <f t="shared" si="7"/>
        <v>0.1017357762777242</v>
      </c>
      <c r="K39">
        <f t="shared" si="8"/>
        <v>0.127098976109215</v>
      </c>
    </row>
    <row r="40" spans="1:11" x14ac:dyDescent="0.3">
      <c r="A40" t="s">
        <v>68</v>
      </c>
      <c r="B40">
        <v>0.17330000000000001</v>
      </c>
      <c r="C40">
        <v>0.188</v>
      </c>
      <c r="D40">
        <v>1.9319999999999999</v>
      </c>
      <c r="E40">
        <v>2.2570000000000001</v>
      </c>
      <c r="G40" s="1">
        <f t="shared" si="6"/>
        <v>8.9699792960662536E-2</v>
      </c>
      <c r="H40">
        <f t="shared" si="7"/>
        <v>8.3296411165263623E-2</v>
      </c>
      <c r="K40">
        <f>$G$37</f>
        <v>0.11890982503364737</v>
      </c>
    </row>
    <row r="41" spans="1:11" x14ac:dyDescent="0.3">
      <c r="A41" t="s">
        <v>69</v>
      </c>
      <c r="B41">
        <v>0.17119999999999999</v>
      </c>
      <c r="C41">
        <v>0.16</v>
      </c>
      <c r="D41">
        <v>2.6030000000000002</v>
      </c>
      <c r="E41">
        <v>2.3380000000000001</v>
      </c>
      <c r="G41" s="1">
        <f t="shared" si="6"/>
        <v>6.5770265078755275E-2</v>
      </c>
      <c r="H41">
        <f t="shared" si="7"/>
        <v>6.8434559452523525E-2</v>
      </c>
      <c r="K41">
        <f t="shared" ref="K41:K43" si="9">$G$37</f>
        <v>0.11890982503364737</v>
      </c>
    </row>
    <row r="42" spans="1:11" x14ac:dyDescent="0.3">
      <c r="A42" t="s">
        <v>70</v>
      </c>
      <c r="B42">
        <v>0.16889999999999999</v>
      </c>
      <c r="C42">
        <v>0.08</v>
      </c>
      <c r="D42">
        <v>2.3809999999999998</v>
      </c>
      <c r="E42">
        <v>2.6120000000000001</v>
      </c>
      <c r="G42" s="1">
        <f t="shared" si="6"/>
        <v>7.0936581268374641E-2</v>
      </c>
      <c r="H42">
        <f t="shared" si="7"/>
        <v>3.0627871362940276E-2</v>
      </c>
      <c r="K42">
        <f t="shared" si="9"/>
        <v>0.11890982503364737</v>
      </c>
    </row>
    <row r="43" spans="1:11" x14ac:dyDescent="0.3">
      <c r="A43" t="s">
        <v>71</v>
      </c>
      <c r="B43">
        <v>0.1724</v>
      </c>
      <c r="C43">
        <v>0.216</v>
      </c>
      <c r="D43">
        <v>2.0430000000000001</v>
      </c>
      <c r="E43">
        <v>2.2789999999999999</v>
      </c>
      <c r="G43" s="1">
        <f t="shared" si="6"/>
        <v>8.4385707293196277E-2</v>
      </c>
      <c r="H43">
        <f t="shared" si="7"/>
        <v>9.4778411584028083E-2</v>
      </c>
      <c r="K43">
        <f t="shared" si="9"/>
        <v>0.11890982503364737</v>
      </c>
    </row>
    <row r="44" spans="1:11" x14ac:dyDescent="0.3">
      <c r="A44" t="s">
        <v>72</v>
      </c>
      <c r="B44">
        <v>0.17649999999999999</v>
      </c>
      <c r="C44">
        <v>0.28299999999999997</v>
      </c>
      <c r="D44">
        <v>1.835</v>
      </c>
      <c r="E44">
        <v>2.4049999999999998</v>
      </c>
      <c r="G44" s="1">
        <f t="shared" si="6"/>
        <v>9.6185286103542225E-2</v>
      </c>
      <c r="H44">
        <f t="shared" si="7"/>
        <v>0.11767151767151766</v>
      </c>
      <c r="K44">
        <f>$G$38</f>
        <v>0.11976256983240224</v>
      </c>
    </row>
    <row r="45" spans="1:11" x14ac:dyDescent="0.3">
      <c r="A45" t="s">
        <v>73</v>
      </c>
      <c r="B45">
        <v>0.17649999999999999</v>
      </c>
      <c r="C45">
        <v>0.38700000000000001</v>
      </c>
      <c r="D45">
        <v>1.7589999999999999</v>
      </c>
      <c r="E45">
        <v>2.1520000000000001</v>
      </c>
      <c r="G45" s="1">
        <f t="shared" si="6"/>
        <v>0.10034110289937465</v>
      </c>
      <c r="H45">
        <f t="shared" si="7"/>
        <v>0.17983271375464682</v>
      </c>
      <c r="K45">
        <f t="shared" ref="K45:K48" si="10">$G$38</f>
        <v>0.11976256983240224</v>
      </c>
    </row>
    <row r="46" spans="1:11" x14ac:dyDescent="0.3">
      <c r="A46" t="s">
        <v>74</v>
      </c>
      <c r="B46">
        <v>0.17469999999999999</v>
      </c>
      <c r="C46">
        <v>0.47699999999999998</v>
      </c>
      <c r="D46">
        <v>1.3320000000000001</v>
      </c>
      <c r="E46">
        <v>1.603</v>
      </c>
      <c r="G46" s="1">
        <f t="shared" si="6"/>
        <v>0.13115615615615614</v>
      </c>
      <c r="H46">
        <f t="shared" si="7"/>
        <v>0.2975670617592015</v>
      </c>
      <c r="K46">
        <f t="shared" si="10"/>
        <v>0.11976256983240224</v>
      </c>
    </row>
    <row r="47" spans="1:11" x14ac:dyDescent="0.3">
      <c r="A47" t="s">
        <v>75</v>
      </c>
      <c r="B47">
        <v>0.17519999999999999</v>
      </c>
      <c r="C47">
        <v>0.52600000000000002</v>
      </c>
      <c r="D47">
        <v>1.399</v>
      </c>
      <c r="E47">
        <v>1.579</v>
      </c>
      <c r="G47" s="1">
        <f t="shared" si="6"/>
        <v>0.12523230879199426</v>
      </c>
      <c r="H47">
        <f t="shared" si="7"/>
        <v>0.33312222925902474</v>
      </c>
      <c r="K47">
        <f t="shared" si="10"/>
        <v>0.11976256983240224</v>
      </c>
    </row>
    <row r="48" spans="1:11" x14ac:dyDescent="0.3">
      <c r="K48">
        <f t="shared" si="10"/>
        <v>0.11976256983240224</v>
      </c>
    </row>
    <row r="49" spans="11:11" x14ac:dyDescent="0.3">
      <c r="K49">
        <f>$G$39</f>
        <v>8.8877654196157743E-2</v>
      </c>
    </row>
    <row r="50" spans="11:11" x14ac:dyDescent="0.3">
      <c r="K50">
        <f t="shared" ref="K50:K52" si="11">$G$39</f>
        <v>8.8877654196157743E-2</v>
      </c>
    </row>
    <row r="51" spans="11:11" x14ac:dyDescent="0.3">
      <c r="K51">
        <f t="shared" si="11"/>
        <v>8.8877654196157743E-2</v>
      </c>
    </row>
    <row r="52" spans="11:11" x14ac:dyDescent="0.3">
      <c r="K52">
        <f t="shared" si="11"/>
        <v>8.8877654196157743E-2</v>
      </c>
    </row>
    <row r="53" spans="11:11" x14ac:dyDescent="0.3">
      <c r="K53">
        <f>$G$40</f>
        <v>8.9699792960662536E-2</v>
      </c>
    </row>
    <row r="54" spans="11:11" x14ac:dyDescent="0.3">
      <c r="K54">
        <f t="shared" ref="K54:K56" si="12">$G$40</f>
        <v>8.9699792960662536E-2</v>
      </c>
    </row>
    <row r="55" spans="11:11" x14ac:dyDescent="0.3">
      <c r="K55">
        <f t="shared" si="12"/>
        <v>8.9699792960662536E-2</v>
      </c>
    </row>
    <row r="56" spans="11:11" x14ac:dyDescent="0.3">
      <c r="K56">
        <f t="shared" si="12"/>
        <v>8.9699792960662536E-2</v>
      </c>
    </row>
    <row r="57" spans="11:11" x14ac:dyDescent="0.3">
      <c r="K57">
        <f>$G$40</f>
        <v>8.9699792960662536E-2</v>
      </c>
    </row>
    <row r="58" spans="11:11" x14ac:dyDescent="0.3">
      <c r="K58">
        <f>$G$41</f>
        <v>6.5770265078755275E-2</v>
      </c>
    </row>
    <row r="59" spans="11:11" x14ac:dyDescent="0.3">
      <c r="K59">
        <f t="shared" ref="K59:K61" si="13">$G$41</f>
        <v>6.5770265078755275E-2</v>
      </c>
    </row>
    <row r="60" spans="11:11" x14ac:dyDescent="0.3">
      <c r="K60">
        <f t="shared" si="13"/>
        <v>6.5770265078755275E-2</v>
      </c>
    </row>
    <row r="61" spans="11:11" x14ac:dyDescent="0.3">
      <c r="K61">
        <f t="shared" si="13"/>
        <v>6.5770265078755275E-2</v>
      </c>
    </row>
    <row r="62" spans="11:11" x14ac:dyDescent="0.3">
      <c r="K62">
        <f>$G$42</f>
        <v>7.0936581268374641E-2</v>
      </c>
    </row>
    <row r="63" spans="11:11" x14ac:dyDescent="0.3">
      <c r="K63">
        <f t="shared" ref="K63:K65" si="14">$G$42</f>
        <v>7.0936581268374641E-2</v>
      </c>
    </row>
    <row r="64" spans="11:11" x14ac:dyDescent="0.3">
      <c r="K64">
        <f t="shared" si="14"/>
        <v>7.0936581268374641E-2</v>
      </c>
    </row>
    <row r="65" spans="11:11" x14ac:dyDescent="0.3">
      <c r="K65">
        <f t="shared" si="14"/>
        <v>7.0936581268374641E-2</v>
      </c>
    </row>
    <row r="66" spans="11:11" x14ac:dyDescent="0.3">
      <c r="K66">
        <f>$G$43</f>
        <v>8.4385707293196277E-2</v>
      </c>
    </row>
    <row r="67" spans="11:11" x14ac:dyDescent="0.3">
      <c r="K67">
        <f t="shared" ref="K67:K70" si="15">$G$43</f>
        <v>8.4385707293196277E-2</v>
      </c>
    </row>
    <row r="68" spans="11:11" x14ac:dyDescent="0.3">
      <c r="K68">
        <f t="shared" si="15"/>
        <v>8.4385707293196277E-2</v>
      </c>
    </row>
    <row r="69" spans="11:11" x14ac:dyDescent="0.3">
      <c r="K69">
        <f t="shared" si="15"/>
        <v>8.4385707293196277E-2</v>
      </c>
    </row>
    <row r="70" spans="11:11" x14ac:dyDescent="0.3">
      <c r="K70">
        <f t="shared" si="15"/>
        <v>8.4385707293196277E-2</v>
      </c>
    </row>
    <row r="71" spans="11:11" x14ac:dyDescent="0.3">
      <c r="K71">
        <f>$G$44</f>
        <v>9.6185286103542225E-2</v>
      </c>
    </row>
    <row r="72" spans="11:11" x14ac:dyDescent="0.3">
      <c r="K72">
        <f t="shared" ref="K72:K74" si="16">$G$44</f>
        <v>9.6185286103542225E-2</v>
      </c>
    </row>
    <row r="73" spans="11:11" x14ac:dyDescent="0.3">
      <c r="K73">
        <f t="shared" si="16"/>
        <v>9.6185286103542225E-2</v>
      </c>
    </row>
    <row r="74" spans="11:11" x14ac:dyDescent="0.3">
      <c r="K74">
        <f t="shared" si="16"/>
        <v>9.6185286103542225E-2</v>
      </c>
    </row>
    <row r="75" spans="11:11" x14ac:dyDescent="0.3">
      <c r="K75">
        <f>$G$45</f>
        <v>0.10034110289937465</v>
      </c>
    </row>
    <row r="76" spans="11:11" x14ac:dyDescent="0.3">
      <c r="K76">
        <f t="shared" ref="K76:K78" si="17">$G$45</f>
        <v>0.10034110289937465</v>
      </c>
    </row>
    <row r="77" spans="11:11" x14ac:dyDescent="0.3">
      <c r="K77">
        <f t="shared" si="17"/>
        <v>0.10034110289937465</v>
      </c>
    </row>
    <row r="78" spans="11:11" x14ac:dyDescent="0.3">
      <c r="K78">
        <f t="shared" si="17"/>
        <v>0.10034110289937465</v>
      </c>
    </row>
    <row r="79" spans="11:11" x14ac:dyDescent="0.3">
      <c r="K79">
        <f>$G$46</f>
        <v>0.13115615615615614</v>
      </c>
    </row>
    <row r="80" spans="11:11" x14ac:dyDescent="0.3">
      <c r="K80">
        <f t="shared" ref="K80:K83" si="18">$G$46</f>
        <v>0.13115615615615614</v>
      </c>
    </row>
    <row r="81" spans="11:11" x14ac:dyDescent="0.3">
      <c r="K81">
        <f t="shared" si="18"/>
        <v>0.13115615615615614</v>
      </c>
    </row>
    <row r="82" spans="11:11" x14ac:dyDescent="0.3">
      <c r="K82">
        <f t="shared" si="18"/>
        <v>0.13115615615615614</v>
      </c>
    </row>
    <row r="83" spans="11:11" x14ac:dyDescent="0.3">
      <c r="K83">
        <f t="shared" si="18"/>
        <v>0.13115615615615614</v>
      </c>
    </row>
    <row r="84" spans="11:11" x14ac:dyDescent="0.3">
      <c r="K84">
        <f>$G$47</f>
        <v>0.12523230879199426</v>
      </c>
    </row>
    <row r="85" spans="11:11" x14ac:dyDescent="0.3">
      <c r="K85">
        <f t="shared" ref="K85:K88" si="19">$G$47</f>
        <v>0.12523230879199426</v>
      </c>
    </row>
    <row r="86" spans="11:11" x14ac:dyDescent="0.3">
      <c r="K86">
        <f t="shared" si="19"/>
        <v>0.12523230879199426</v>
      </c>
    </row>
    <row r="87" spans="11:11" x14ac:dyDescent="0.3">
      <c r="K87">
        <f t="shared" si="19"/>
        <v>0.12523230879199426</v>
      </c>
    </row>
    <row r="88" spans="11:11" x14ac:dyDescent="0.3">
      <c r="K88">
        <f t="shared" si="19"/>
        <v>0.12523230879199426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2" ma:contentTypeDescription="Create a new document." ma:contentTypeScope="" ma:versionID="435b3f84c3e6ac3a6362078e5dcdd9d8">
  <xsd:schema xmlns:xsd="http://www.w3.org/2001/XMLSchema" xmlns:xs="http://www.w3.org/2001/XMLSchema" xmlns:p="http://schemas.microsoft.com/office/2006/metadata/properties" xmlns:ns3="8692fb02-64ee-477a-8829-0b8419474116" xmlns:ns4="e525f45e-12aa-43f1-99a0-18fd9df9a174" targetNamespace="http://schemas.microsoft.com/office/2006/metadata/properties" ma:root="true" ma:fieldsID="d840cc6d7d9f7d07b28237fe9e8defe4" ns3:_="" ns4:_="">
    <xsd:import namespace="8692fb02-64ee-477a-8829-0b8419474116"/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2fb02-64ee-477a-8829-0b84194741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C0AD74-3DEC-456F-ABBB-D0732A227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92fb02-64ee-477a-8829-0b8419474116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1425E3-A590-4E7D-89D6-7276CB45D9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F1E017-875F-490E-A03E-5D51D72E6807}">
  <ds:schemaRefs>
    <ds:schemaRef ds:uri="8692fb02-64ee-477a-8829-0b841947411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525f45e-12aa-43f1-99a0-18fd9df9a17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Pittsboro</vt:lpstr>
      <vt:lpstr>Chatham County North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Gorelick, David</dc:creator>
  <cp:lastModifiedBy>Gorelick, David</cp:lastModifiedBy>
  <dcterms:created xsi:type="dcterms:W3CDTF">2019-11-18T03:15:46Z</dcterms:created>
  <dcterms:modified xsi:type="dcterms:W3CDTF">2020-07-04T04:28:07Z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