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ndrewflack/Projects/madness2017/data/"/>
    </mc:Choice>
  </mc:AlternateContent>
  <bookViews>
    <workbookView xWindow="620" yWindow="1560" windowWidth="27400" windowHeight="15280" activeTab="7"/>
  </bookViews>
  <sheets>
    <sheet name="fte2017" sheetId="1" r:id="rId1"/>
    <sheet name="kenpom2017" sheetId="2" r:id="rId2"/>
    <sheet name="powerrank2017" sheetId="5" r:id="rId3"/>
    <sheet name="chalk2017" sheetId="6" r:id="rId4"/>
    <sheet name="Avg" sheetId="3" r:id="rId5"/>
    <sheet name="Diff" sheetId="4" r:id="rId6"/>
    <sheet name="Crowd" sheetId="7" r:id="rId7"/>
    <sheet name="Value Picks" sheetId="8" r:id="rId8"/>
  </sheets>
  <definedNames>
    <definedName name="_xlnm._FilterDatabase" localSheetId="7" hidden="1">'Value Picks'!$A$1:$I$65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8" l="1"/>
  <c r="I11" i="8"/>
  <c r="I18" i="8"/>
  <c r="I9" i="8"/>
  <c r="I46" i="8"/>
  <c r="I17" i="8"/>
  <c r="I65" i="8"/>
  <c r="I40" i="8"/>
  <c r="I43" i="8"/>
  <c r="I42" i="8"/>
  <c r="I10" i="8"/>
  <c r="I64" i="8"/>
  <c r="I47" i="8"/>
  <c r="I54" i="8"/>
  <c r="I12" i="8"/>
  <c r="I63" i="8"/>
  <c r="I62" i="8"/>
  <c r="I60" i="8"/>
  <c r="I14" i="8"/>
  <c r="I7" i="8"/>
  <c r="I61" i="8"/>
  <c r="I5" i="8"/>
  <c r="I45" i="8"/>
  <c r="I4" i="8"/>
  <c r="I53" i="8"/>
  <c r="I59" i="8"/>
  <c r="I2" i="8"/>
  <c r="I58" i="8"/>
  <c r="I57" i="8"/>
  <c r="I48" i="8"/>
  <c r="I16" i="8"/>
  <c r="I39" i="8"/>
  <c r="I8" i="8"/>
  <c r="I56" i="8"/>
  <c r="I52" i="8"/>
  <c r="I55" i="8"/>
  <c r="I50" i="8"/>
  <c r="I6" i="8"/>
  <c r="I51" i="8"/>
  <c r="I15" i="8"/>
  <c r="I49" i="8"/>
  <c r="I3" i="8"/>
  <c r="I44" i="8"/>
  <c r="I32" i="8"/>
  <c r="I36" i="8"/>
  <c r="I41" i="8"/>
  <c r="I20" i="8"/>
  <c r="I37" i="8"/>
  <c r="I38" i="8"/>
  <c r="I19" i="8"/>
  <c r="I33" i="8"/>
  <c r="I34" i="8"/>
  <c r="I21" i="8"/>
  <c r="I22" i="8"/>
  <c r="I23" i="8"/>
  <c r="I25" i="8"/>
  <c r="I29" i="8"/>
  <c r="I24" i="8"/>
  <c r="I31" i="8"/>
  <c r="I26" i="8"/>
  <c r="I30" i="8"/>
  <c r="I27" i="8"/>
  <c r="I28" i="8"/>
  <c r="I13" i="8"/>
  <c r="H35" i="8"/>
  <c r="H11" i="8"/>
  <c r="H18" i="8"/>
  <c r="H9" i="8"/>
  <c r="H46" i="8"/>
  <c r="H17" i="8"/>
  <c r="H65" i="8"/>
  <c r="H40" i="8"/>
  <c r="H43" i="8"/>
  <c r="H42" i="8"/>
  <c r="H10" i="8"/>
  <c r="H64" i="8"/>
  <c r="H47" i="8"/>
  <c r="H54" i="8"/>
  <c r="H12" i="8"/>
  <c r="H63" i="8"/>
  <c r="H62" i="8"/>
  <c r="H60" i="8"/>
  <c r="H14" i="8"/>
  <c r="H7" i="8"/>
  <c r="H61" i="8"/>
  <c r="H5" i="8"/>
  <c r="H45" i="8"/>
  <c r="H4" i="8"/>
  <c r="H53" i="8"/>
  <c r="H59" i="8"/>
  <c r="H2" i="8"/>
  <c r="H58" i="8"/>
  <c r="H57" i="8"/>
  <c r="H48" i="8"/>
  <c r="H16" i="8"/>
  <c r="H39" i="8"/>
  <c r="H8" i="8"/>
  <c r="H56" i="8"/>
  <c r="H52" i="8"/>
  <c r="H55" i="8"/>
  <c r="H50" i="8"/>
  <c r="H6" i="8"/>
  <c r="H51" i="8"/>
  <c r="H15" i="8"/>
  <c r="H49" i="8"/>
  <c r="H3" i="8"/>
  <c r="H44" i="8"/>
  <c r="H32" i="8"/>
  <c r="H36" i="8"/>
  <c r="H41" i="8"/>
  <c r="H20" i="8"/>
  <c r="H37" i="8"/>
  <c r="H38" i="8"/>
  <c r="H19" i="8"/>
  <c r="H33" i="8"/>
  <c r="H34" i="8"/>
  <c r="H21" i="8"/>
  <c r="H22" i="8"/>
  <c r="H23" i="8"/>
  <c r="H25" i="8"/>
  <c r="H29" i="8"/>
  <c r="H24" i="8"/>
  <c r="H31" i="8"/>
  <c r="H26" i="8"/>
  <c r="H30" i="8"/>
  <c r="H27" i="8"/>
  <c r="H28" i="8"/>
  <c r="H13" i="8"/>
  <c r="G13" i="8"/>
  <c r="F35" i="8"/>
  <c r="F11" i="8"/>
  <c r="F18" i="8"/>
  <c r="F9" i="8"/>
  <c r="F46" i="8"/>
  <c r="F17" i="8"/>
  <c r="F65" i="8"/>
  <c r="F40" i="8"/>
  <c r="F43" i="8"/>
  <c r="F42" i="8"/>
  <c r="F10" i="8"/>
  <c r="F64" i="8"/>
  <c r="F47" i="8"/>
  <c r="F54" i="8"/>
  <c r="F12" i="8"/>
  <c r="F63" i="8"/>
  <c r="F62" i="8"/>
  <c r="F60" i="8"/>
  <c r="F14" i="8"/>
  <c r="F7" i="8"/>
  <c r="F61" i="8"/>
  <c r="F5" i="8"/>
  <c r="F45" i="8"/>
  <c r="F4" i="8"/>
  <c r="F53" i="8"/>
  <c r="F59" i="8"/>
  <c r="F2" i="8"/>
  <c r="F58" i="8"/>
  <c r="F57" i="8"/>
  <c r="F48" i="8"/>
  <c r="F16" i="8"/>
  <c r="F39" i="8"/>
  <c r="F8" i="8"/>
  <c r="F56" i="8"/>
  <c r="F52" i="8"/>
  <c r="F55" i="8"/>
  <c r="F50" i="8"/>
  <c r="F6" i="8"/>
  <c r="F51" i="8"/>
  <c r="F15" i="8"/>
  <c r="F49" i="8"/>
  <c r="F3" i="8"/>
  <c r="F44" i="8"/>
  <c r="F32" i="8"/>
  <c r="F36" i="8"/>
  <c r="F41" i="8"/>
  <c r="F20" i="8"/>
  <c r="F37" i="8"/>
  <c r="F38" i="8"/>
  <c r="F19" i="8"/>
  <c r="F33" i="8"/>
  <c r="F34" i="8"/>
  <c r="F21" i="8"/>
  <c r="F22" i="8"/>
  <c r="F23" i="8"/>
  <c r="F25" i="8"/>
  <c r="F29" i="8"/>
  <c r="F24" i="8"/>
  <c r="F31" i="8"/>
  <c r="F26" i="8"/>
  <c r="F30" i="8"/>
  <c r="F27" i="8"/>
  <c r="F28" i="8"/>
  <c r="F13" i="8"/>
  <c r="E35" i="8"/>
  <c r="E11" i="8"/>
  <c r="E18" i="8"/>
  <c r="E9" i="8"/>
  <c r="E46" i="8"/>
  <c r="E17" i="8"/>
  <c r="E65" i="8"/>
  <c r="E40" i="8"/>
  <c r="E43" i="8"/>
  <c r="E42" i="8"/>
  <c r="E10" i="8"/>
  <c r="E64" i="8"/>
  <c r="E47" i="8"/>
  <c r="E54" i="8"/>
  <c r="E12" i="8"/>
  <c r="E63" i="8"/>
  <c r="E62" i="8"/>
  <c r="E60" i="8"/>
  <c r="E14" i="8"/>
  <c r="E7" i="8"/>
  <c r="E61" i="8"/>
  <c r="E5" i="8"/>
  <c r="E45" i="8"/>
  <c r="E4" i="8"/>
  <c r="E53" i="8"/>
  <c r="E59" i="8"/>
  <c r="E2" i="8"/>
  <c r="E58" i="8"/>
  <c r="E57" i="8"/>
  <c r="E48" i="8"/>
  <c r="E16" i="8"/>
  <c r="E39" i="8"/>
  <c r="E8" i="8"/>
  <c r="E56" i="8"/>
  <c r="E52" i="8"/>
  <c r="E55" i="8"/>
  <c r="E50" i="8"/>
  <c r="E6" i="8"/>
  <c r="E51" i="8"/>
  <c r="E15" i="8"/>
  <c r="E49" i="8"/>
  <c r="E3" i="8"/>
  <c r="E44" i="8"/>
  <c r="E32" i="8"/>
  <c r="E36" i="8"/>
  <c r="E41" i="8"/>
  <c r="E20" i="8"/>
  <c r="E37" i="8"/>
  <c r="E38" i="8"/>
  <c r="E19" i="8"/>
  <c r="E33" i="8"/>
  <c r="E34" i="8"/>
  <c r="E21" i="8"/>
  <c r="E22" i="8"/>
  <c r="E23" i="8"/>
  <c r="E25" i="8"/>
  <c r="E29" i="8"/>
  <c r="E24" i="8"/>
  <c r="E31" i="8"/>
  <c r="E26" i="8"/>
  <c r="E30" i="8"/>
  <c r="E27" i="8"/>
  <c r="E28" i="8"/>
  <c r="E13" i="8"/>
  <c r="D35" i="8"/>
  <c r="D11" i="8"/>
  <c r="D18" i="8"/>
  <c r="D9" i="8"/>
  <c r="D46" i="8"/>
  <c r="D17" i="8"/>
  <c r="D65" i="8"/>
  <c r="D40" i="8"/>
  <c r="D43" i="8"/>
  <c r="D42" i="8"/>
  <c r="D10" i="8"/>
  <c r="D64" i="8"/>
  <c r="D47" i="8"/>
  <c r="D54" i="8"/>
  <c r="D12" i="8"/>
  <c r="D63" i="8"/>
  <c r="D62" i="8"/>
  <c r="D60" i="8"/>
  <c r="D14" i="8"/>
  <c r="D7" i="8"/>
  <c r="D61" i="8"/>
  <c r="D5" i="8"/>
  <c r="D45" i="8"/>
  <c r="D4" i="8"/>
  <c r="D53" i="8"/>
  <c r="D59" i="8"/>
  <c r="D2" i="8"/>
  <c r="D58" i="8"/>
  <c r="D57" i="8"/>
  <c r="D48" i="8"/>
  <c r="D16" i="8"/>
  <c r="D39" i="8"/>
  <c r="D8" i="8"/>
  <c r="D56" i="8"/>
  <c r="D52" i="8"/>
  <c r="D55" i="8"/>
  <c r="D50" i="8"/>
  <c r="D6" i="8"/>
  <c r="D51" i="8"/>
  <c r="D15" i="8"/>
  <c r="D49" i="8"/>
  <c r="D3" i="8"/>
  <c r="D44" i="8"/>
  <c r="D32" i="8"/>
  <c r="D36" i="8"/>
  <c r="D41" i="8"/>
  <c r="D20" i="8"/>
  <c r="D37" i="8"/>
  <c r="D38" i="8"/>
  <c r="D19" i="8"/>
  <c r="D33" i="8"/>
  <c r="D34" i="8"/>
  <c r="D21" i="8"/>
  <c r="D22" i="8"/>
  <c r="D23" i="8"/>
  <c r="D25" i="8"/>
  <c r="D29" i="8"/>
  <c r="D24" i="8"/>
  <c r="D31" i="8"/>
  <c r="D26" i="8"/>
  <c r="D30" i="8"/>
  <c r="D27" i="8"/>
  <c r="D28" i="8"/>
  <c r="D13" i="8"/>
  <c r="G35" i="8"/>
  <c r="G11" i="8"/>
  <c r="G18" i="8"/>
  <c r="G9" i="8"/>
  <c r="G46" i="8"/>
  <c r="G17" i="8"/>
  <c r="G65" i="8"/>
  <c r="G40" i="8"/>
  <c r="G43" i="8"/>
  <c r="G42" i="8"/>
  <c r="G10" i="8"/>
  <c r="G64" i="8"/>
  <c r="G47" i="8"/>
  <c r="G54" i="8"/>
  <c r="G12" i="8"/>
  <c r="G63" i="8"/>
  <c r="G62" i="8"/>
  <c r="G60" i="8"/>
  <c r="G14" i="8"/>
  <c r="G7" i="8"/>
  <c r="G61" i="8"/>
  <c r="G5" i="8"/>
  <c r="G45" i="8"/>
  <c r="G4" i="8"/>
  <c r="G53" i="8"/>
  <c r="G59" i="8"/>
  <c r="G2" i="8"/>
  <c r="G58" i="8"/>
  <c r="G57" i="8"/>
  <c r="G48" i="8"/>
  <c r="G16" i="8"/>
  <c r="G39" i="8"/>
  <c r="G8" i="8"/>
  <c r="G56" i="8"/>
  <c r="G52" i="8"/>
  <c r="G55" i="8"/>
  <c r="G50" i="8"/>
  <c r="G6" i="8"/>
  <c r="G51" i="8"/>
  <c r="G15" i="8"/>
  <c r="G49" i="8"/>
  <c r="G3" i="8"/>
  <c r="G44" i="8"/>
  <c r="G32" i="8"/>
  <c r="G36" i="8"/>
  <c r="G41" i="8"/>
  <c r="G20" i="8"/>
  <c r="G37" i="8"/>
  <c r="G38" i="8"/>
  <c r="G19" i="8"/>
  <c r="G33" i="8"/>
  <c r="G34" i="8"/>
  <c r="G21" i="8"/>
  <c r="G22" i="8"/>
  <c r="G23" i="8"/>
  <c r="G25" i="8"/>
  <c r="G29" i="8"/>
  <c r="G24" i="8"/>
  <c r="G31" i="8"/>
  <c r="G26" i="8"/>
  <c r="G30" i="8"/>
  <c r="G27" i="8"/>
  <c r="G28" i="8"/>
  <c r="V21" i="3"/>
  <c r="W21" i="3"/>
  <c r="X21" i="3"/>
  <c r="Y21" i="3"/>
  <c r="Z21" i="3"/>
  <c r="AA21" i="3"/>
  <c r="AC21" i="3"/>
  <c r="AB21" i="3"/>
  <c r="D35" i="3"/>
  <c r="D37" i="3"/>
  <c r="D38" i="3"/>
  <c r="D25" i="3"/>
  <c r="D6" i="3"/>
  <c r="D27" i="3"/>
  <c r="D26" i="3"/>
  <c r="D8" i="3"/>
  <c r="D20" i="3"/>
  <c r="D12" i="3"/>
  <c r="D19" i="3"/>
  <c r="D2" i="3"/>
  <c r="D15" i="3"/>
  <c r="D9" i="3"/>
  <c r="D43" i="3"/>
  <c r="D10" i="3"/>
  <c r="D4" i="3"/>
  <c r="D3" i="3"/>
  <c r="D36" i="3"/>
  <c r="D13" i="3"/>
  <c r="D33" i="3"/>
  <c r="D5" i="3"/>
  <c r="D14" i="3"/>
  <c r="D11" i="3"/>
  <c r="D17" i="3"/>
  <c r="D31" i="3"/>
  <c r="D29" i="3"/>
  <c r="D18" i="3"/>
  <c r="D24" i="3"/>
  <c r="D16" i="3"/>
  <c r="D30" i="3"/>
  <c r="D34" i="3"/>
  <c r="D28" i="3"/>
  <c r="D40" i="3"/>
  <c r="D23" i="3"/>
  <c r="D22" i="3"/>
  <c r="D7" i="3"/>
  <c r="D21" i="3"/>
  <c r="D48" i="3"/>
  <c r="D42" i="3"/>
  <c r="D45" i="3"/>
  <c r="D41" i="3"/>
  <c r="D47" i="3"/>
  <c r="D49" i="3"/>
  <c r="D56" i="3"/>
  <c r="D39" i="3"/>
  <c r="D58" i="3"/>
  <c r="D44" i="3"/>
  <c r="D46" i="3"/>
  <c r="D50" i="3"/>
  <c r="D53" i="3"/>
  <c r="D57" i="3"/>
  <c r="D52" i="3"/>
  <c r="D51" i="3"/>
  <c r="D54" i="3"/>
  <c r="D55" i="3"/>
  <c r="D59" i="3"/>
  <c r="D60" i="3"/>
  <c r="D63" i="3"/>
  <c r="D66" i="3"/>
  <c r="D61" i="3"/>
  <c r="D65" i="3"/>
  <c r="D62" i="3"/>
  <c r="D64" i="3"/>
  <c r="D68" i="3"/>
  <c r="D69" i="3"/>
  <c r="D67" i="3"/>
  <c r="D32" i="3"/>
  <c r="V22" i="3"/>
  <c r="W22" i="3"/>
  <c r="X22" i="3"/>
  <c r="Y22" i="3"/>
  <c r="Z22" i="3"/>
  <c r="V23" i="3"/>
  <c r="W23" i="3"/>
  <c r="X23" i="3"/>
  <c r="Y23" i="3"/>
  <c r="Z23" i="3"/>
  <c r="S31" i="3"/>
  <c r="S32" i="3"/>
  <c r="S33" i="3"/>
  <c r="S34" i="3"/>
  <c r="R24" i="3"/>
  <c r="V24" i="3"/>
  <c r="W24" i="3"/>
  <c r="X24" i="3"/>
  <c r="Y24" i="3"/>
  <c r="Z24" i="3"/>
  <c r="V25" i="3"/>
  <c r="W25" i="3"/>
  <c r="X25" i="3"/>
  <c r="U25" i="3"/>
  <c r="Y25" i="3"/>
  <c r="Z25" i="3"/>
  <c r="AA22" i="3"/>
  <c r="AC22" i="3"/>
  <c r="AB22" i="3"/>
  <c r="E49" i="3"/>
  <c r="AA23" i="3"/>
  <c r="AB23" i="3"/>
  <c r="AC23" i="3"/>
  <c r="AA24" i="3"/>
  <c r="AB24" i="3"/>
  <c r="AC24" i="3"/>
  <c r="AA25" i="3"/>
  <c r="AB25" i="3"/>
  <c r="AC25" i="3"/>
  <c r="E9" i="3"/>
  <c r="Z42" i="3"/>
  <c r="R13" i="1"/>
  <c r="R16" i="1"/>
  <c r="R24" i="1"/>
  <c r="R42" i="1"/>
  <c r="R12" i="1"/>
  <c r="R10" i="1"/>
  <c r="R40" i="1"/>
  <c r="R17" i="1"/>
  <c r="R25" i="1"/>
  <c r="R20" i="1"/>
  <c r="R32" i="1"/>
  <c r="R14" i="1"/>
  <c r="R23" i="1"/>
  <c r="R31" i="1"/>
  <c r="R21" i="1"/>
  <c r="R35" i="1"/>
  <c r="R26" i="1"/>
  <c r="R29" i="1"/>
  <c r="R11" i="1"/>
  <c r="R37" i="1"/>
  <c r="R19" i="1"/>
  <c r="R28" i="1"/>
  <c r="R30" i="1"/>
  <c r="R22" i="1"/>
  <c r="R27" i="1"/>
  <c r="R7" i="1"/>
  <c r="R5" i="1"/>
  <c r="R34" i="1"/>
  <c r="R38" i="1"/>
  <c r="R18" i="1"/>
  <c r="R8" i="1"/>
  <c r="R44" i="1"/>
  <c r="R43" i="1"/>
  <c r="R9" i="1"/>
  <c r="R41" i="1"/>
  <c r="R45" i="1"/>
  <c r="R49" i="1"/>
  <c r="R3" i="1"/>
  <c r="R2" i="1"/>
  <c r="R4" i="1"/>
  <c r="R33" i="1"/>
  <c r="R39" i="1"/>
  <c r="R36" i="1"/>
  <c r="R6" i="1"/>
  <c r="R48" i="1"/>
  <c r="R50" i="1"/>
  <c r="R52" i="1"/>
  <c r="R56" i="1"/>
  <c r="R51" i="1"/>
  <c r="R54" i="1"/>
  <c r="R55" i="1"/>
  <c r="R53" i="1"/>
  <c r="R46" i="1"/>
  <c r="R47" i="1"/>
  <c r="R57" i="1"/>
  <c r="R58" i="1"/>
  <c r="R59" i="1"/>
  <c r="R63" i="1"/>
  <c r="R60" i="1"/>
  <c r="R61" i="1"/>
  <c r="R62" i="1"/>
  <c r="R65" i="1"/>
  <c r="R64" i="1"/>
  <c r="R66" i="1"/>
  <c r="R67" i="1"/>
  <c r="R68" i="1"/>
  <c r="R69" i="1"/>
  <c r="R15" i="1"/>
  <c r="Z43" i="3"/>
  <c r="V38" i="3"/>
  <c r="Y31" i="3"/>
  <c r="Y32" i="3"/>
  <c r="Y33" i="3"/>
  <c r="X31" i="3"/>
  <c r="X32" i="3"/>
  <c r="X33" i="3"/>
  <c r="X40" i="3"/>
  <c r="W40" i="3"/>
  <c r="T41" i="3"/>
  <c r="T42" i="3"/>
  <c r="T43" i="3"/>
  <c r="T44" i="3"/>
  <c r="T40" i="3"/>
  <c r="X26" i="3"/>
  <c r="V26" i="3"/>
  <c r="W26" i="3"/>
  <c r="Y26" i="3"/>
  <c r="AB26" i="3"/>
  <c r="I60" i="4"/>
  <c r="I7" i="4"/>
  <c r="I9" i="4"/>
  <c r="I49" i="4"/>
  <c r="I64" i="4"/>
  <c r="I6" i="4"/>
  <c r="I57" i="4"/>
  <c r="I24" i="4"/>
  <c r="I29" i="4"/>
  <c r="I40" i="4"/>
  <c r="I26" i="4"/>
  <c r="I30" i="4"/>
  <c r="I23" i="4"/>
  <c r="I11" i="4"/>
  <c r="I42" i="4"/>
  <c r="I5" i="4"/>
  <c r="I27" i="4"/>
  <c r="I62" i="4"/>
  <c r="I25" i="4"/>
  <c r="I22" i="4"/>
  <c r="I58" i="4"/>
  <c r="I44" i="4"/>
  <c r="I39" i="4"/>
  <c r="I45" i="4"/>
  <c r="I56" i="4"/>
  <c r="I28" i="4"/>
  <c r="I8" i="4"/>
  <c r="I4" i="4"/>
  <c r="I38" i="4"/>
  <c r="I3" i="4"/>
  <c r="I21" i="4"/>
  <c r="I61" i="4"/>
  <c r="I59" i="4"/>
  <c r="I65" i="4"/>
  <c r="I41" i="4"/>
  <c r="I63" i="4"/>
  <c r="I55" i="4"/>
  <c r="I31" i="4"/>
  <c r="I32" i="4"/>
  <c r="I54" i="4"/>
  <c r="I48" i="4"/>
  <c r="I47" i="4"/>
  <c r="I10" i="4"/>
  <c r="I37" i="4"/>
  <c r="I14" i="4"/>
  <c r="I2" i="4"/>
  <c r="I20" i="4"/>
  <c r="I43" i="4"/>
  <c r="I67" i="4"/>
  <c r="I15" i="4"/>
  <c r="I50" i="4"/>
  <c r="I16" i="4"/>
  <c r="I12" i="4"/>
  <c r="I66" i="4"/>
  <c r="I33" i="4"/>
  <c r="I13" i="4"/>
  <c r="I51" i="4"/>
  <c r="I17" i="4"/>
  <c r="I68" i="4"/>
  <c r="I34" i="4"/>
  <c r="I52" i="4"/>
  <c r="I36" i="4"/>
  <c r="I53" i="4"/>
  <c r="I69" i="4"/>
  <c r="I18" i="4"/>
  <c r="I19" i="4"/>
  <c r="I35" i="4"/>
  <c r="I46" i="4"/>
  <c r="H60" i="4"/>
  <c r="H7" i="4"/>
  <c r="H9" i="4"/>
  <c r="H49" i="4"/>
  <c r="H64" i="4"/>
  <c r="H6" i="4"/>
  <c r="H57" i="4"/>
  <c r="H24" i="4"/>
  <c r="H29" i="4"/>
  <c r="H40" i="4"/>
  <c r="H26" i="4"/>
  <c r="H30" i="4"/>
  <c r="H23" i="4"/>
  <c r="H11" i="4"/>
  <c r="H42" i="4"/>
  <c r="H5" i="4"/>
  <c r="H27" i="4"/>
  <c r="H62" i="4"/>
  <c r="H25" i="4"/>
  <c r="H22" i="4"/>
  <c r="H58" i="4"/>
  <c r="H44" i="4"/>
  <c r="H39" i="4"/>
  <c r="H45" i="4"/>
  <c r="H56" i="4"/>
  <c r="H28" i="4"/>
  <c r="H8" i="4"/>
  <c r="H4" i="4"/>
  <c r="H38" i="4"/>
  <c r="H3" i="4"/>
  <c r="H21" i="4"/>
  <c r="H61" i="4"/>
  <c r="H59" i="4"/>
  <c r="H65" i="4"/>
  <c r="H41" i="4"/>
  <c r="H63" i="4"/>
  <c r="H55" i="4"/>
  <c r="H31" i="4"/>
  <c r="H32" i="4"/>
  <c r="H54" i="4"/>
  <c r="H48" i="4"/>
  <c r="H47" i="4"/>
  <c r="H10" i="4"/>
  <c r="H37" i="4"/>
  <c r="H14" i="4"/>
  <c r="H2" i="4"/>
  <c r="H20" i="4"/>
  <c r="H43" i="4"/>
  <c r="H67" i="4"/>
  <c r="H15" i="4"/>
  <c r="H50" i="4"/>
  <c r="H16" i="4"/>
  <c r="H12" i="4"/>
  <c r="H66" i="4"/>
  <c r="H33" i="4"/>
  <c r="H13" i="4"/>
  <c r="H51" i="4"/>
  <c r="H17" i="4"/>
  <c r="H68" i="4"/>
  <c r="H34" i="4"/>
  <c r="H52" i="4"/>
  <c r="H36" i="4"/>
  <c r="H53" i="4"/>
  <c r="H69" i="4"/>
  <c r="H18" i="4"/>
  <c r="H19" i="4"/>
  <c r="H35" i="4"/>
  <c r="H46" i="4"/>
  <c r="G60" i="4"/>
  <c r="G7" i="4"/>
  <c r="G9" i="4"/>
  <c r="G49" i="4"/>
  <c r="G64" i="4"/>
  <c r="G6" i="4"/>
  <c r="G57" i="4"/>
  <c r="G24" i="4"/>
  <c r="G29" i="4"/>
  <c r="G40" i="4"/>
  <c r="G26" i="4"/>
  <c r="G30" i="4"/>
  <c r="G23" i="4"/>
  <c r="G11" i="4"/>
  <c r="G42" i="4"/>
  <c r="G5" i="4"/>
  <c r="G27" i="4"/>
  <c r="G62" i="4"/>
  <c r="G25" i="4"/>
  <c r="G22" i="4"/>
  <c r="G58" i="4"/>
  <c r="G44" i="4"/>
  <c r="G39" i="4"/>
  <c r="G45" i="4"/>
  <c r="G56" i="4"/>
  <c r="G28" i="4"/>
  <c r="G8" i="4"/>
  <c r="G4" i="4"/>
  <c r="G38" i="4"/>
  <c r="G3" i="4"/>
  <c r="G21" i="4"/>
  <c r="G61" i="4"/>
  <c r="G59" i="4"/>
  <c r="G65" i="4"/>
  <c r="G41" i="4"/>
  <c r="G63" i="4"/>
  <c r="G55" i="4"/>
  <c r="G31" i="4"/>
  <c r="G32" i="4"/>
  <c r="G54" i="4"/>
  <c r="G48" i="4"/>
  <c r="G47" i="4"/>
  <c r="G10" i="4"/>
  <c r="G37" i="4"/>
  <c r="G14" i="4"/>
  <c r="G2" i="4"/>
  <c r="G20" i="4"/>
  <c r="G43" i="4"/>
  <c r="G67" i="4"/>
  <c r="G15" i="4"/>
  <c r="G50" i="4"/>
  <c r="G16" i="4"/>
  <c r="G12" i="4"/>
  <c r="G66" i="4"/>
  <c r="G33" i="4"/>
  <c r="G13" i="4"/>
  <c r="G51" i="4"/>
  <c r="G17" i="4"/>
  <c r="G68" i="4"/>
  <c r="G34" i="4"/>
  <c r="G52" i="4"/>
  <c r="G36" i="4"/>
  <c r="G53" i="4"/>
  <c r="G69" i="4"/>
  <c r="G18" i="4"/>
  <c r="G19" i="4"/>
  <c r="G35" i="4"/>
  <c r="G46" i="4"/>
  <c r="F60" i="4"/>
  <c r="F7" i="4"/>
  <c r="F9" i="4"/>
  <c r="F49" i="4"/>
  <c r="F64" i="4"/>
  <c r="F6" i="4"/>
  <c r="F57" i="4"/>
  <c r="F24" i="4"/>
  <c r="F29" i="4"/>
  <c r="F40" i="4"/>
  <c r="F26" i="4"/>
  <c r="F30" i="4"/>
  <c r="F23" i="4"/>
  <c r="F11" i="4"/>
  <c r="F42" i="4"/>
  <c r="F5" i="4"/>
  <c r="F27" i="4"/>
  <c r="F62" i="4"/>
  <c r="F25" i="4"/>
  <c r="F22" i="4"/>
  <c r="F58" i="4"/>
  <c r="F44" i="4"/>
  <c r="F39" i="4"/>
  <c r="F45" i="4"/>
  <c r="F56" i="4"/>
  <c r="F28" i="4"/>
  <c r="F8" i="4"/>
  <c r="F4" i="4"/>
  <c r="F38" i="4"/>
  <c r="F3" i="4"/>
  <c r="F21" i="4"/>
  <c r="F61" i="4"/>
  <c r="F59" i="4"/>
  <c r="F65" i="4"/>
  <c r="F41" i="4"/>
  <c r="F63" i="4"/>
  <c r="F55" i="4"/>
  <c r="F31" i="4"/>
  <c r="F32" i="4"/>
  <c r="F54" i="4"/>
  <c r="F48" i="4"/>
  <c r="F47" i="4"/>
  <c r="F10" i="4"/>
  <c r="F37" i="4"/>
  <c r="F14" i="4"/>
  <c r="F2" i="4"/>
  <c r="F20" i="4"/>
  <c r="F43" i="4"/>
  <c r="F67" i="4"/>
  <c r="F15" i="4"/>
  <c r="F50" i="4"/>
  <c r="F16" i="4"/>
  <c r="F12" i="4"/>
  <c r="F66" i="4"/>
  <c r="F33" i="4"/>
  <c r="F13" i="4"/>
  <c r="F51" i="4"/>
  <c r="F17" i="4"/>
  <c r="F68" i="4"/>
  <c r="F34" i="4"/>
  <c r="F52" i="4"/>
  <c r="F36" i="4"/>
  <c r="F53" i="4"/>
  <c r="F69" i="4"/>
  <c r="F18" i="4"/>
  <c r="F19" i="4"/>
  <c r="F35" i="4"/>
  <c r="F46" i="4"/>
  <c r="E60" i="4"/>
  <c r="E7" i="4"/>
  <c r="E9" i="4"/>
  <c r="E49" i="4"/>
  <c r="E64" i="4"/>
  <c r="E6" i="4"/>
  <c r="E57" i="4"/>
  <c r="E24" i="4"/>
  <c r="E29" i="4"/>
  <c r="E40" i="4"/>
  <c r="E26" i="4"/>
  <c r="E30" i="4"/>
  <c r="E23" i="4"/>
  <c r="E11" i="4"/>
  <c r="E42" i="4"/>
  <c r="E5" i="4"/>
  <c r="E27" i="4"/>
  <c r="E62" i="4"/>
  <c r="E25" i="4"/>
  <c r="E22" i="4"/>
  <c r="E58" i="4"/>
  <c r="E44" i="4"/>
  <c r="E39" i="4"/>
  <c r="E45" i="4"/>
  <c r="E56" i="4"/>
  <c r="E28" i="4"/>
  <c r="E8" i="4"/>
  <c r="E4" i="4"/>
  <c r="E38" i="4"/>
  <c r="E3" i="4"/>
  <c r="E21" i="4"/>
  <c r="E61" i="4"/>
  <c r="E59" i="4"/>
  <c r="E65" i="4"/>
  <c r="E41" i="4"/>
  <c r="E63" i="4"/>
  <c r="E55" i="4"/>
  <c r="E31" i="4"/>
  <c r="E32" i="4"/>
  <c r="E54" i="4"/>
  <c r="E48" i="4"/>
  <c r="E47" i="4"/>
  <c r="E10" i="4"/>
  <c r="E37" i="4"/>
  <c r="E14" i="4"/>
  <c r="E2" i="4"/>
  <c r="E20" i="4"/>
  <c r="E43" i="4"/>
  <c r="E67" i="4"/>
  <c r="E15" i="4"/>
  <c r="E50" i="4"/>
  <c r="E16" i="4"/>
  <c r="E12" i="4"/>
  <c r="E66" i="4"/>
  <c r="E33" i="4"/>
  <c r="E13" i="4"/>
  <c r="E51" i="4"/>
  <c r="E17" i="4"/>
  <c r="E68" i="4"/>
  <c r="E34" i="4"/>
  <c r="E52" i="4"/>
  <c r="E36" i="4"/>
  <c r="E53" i="4"/>
  <c r="E69" i="4"/>
  <c r="E18" i="4"/>
  <c r="E19" i="4"/>
  <c r="E35" i="4"/>
  <c r="E46" i="4"/>
  <c r="D60" i="4"/>
  <c r="K60" i="4"/>
  <c r="D7" i="4"/>
  <c r="K7" i="4"/>
  <c r="D9" i="4"/>
  <c r="K9" i="4"/>
  <c r="D49" i="4"/>
  <c r="K49" i="4"/>
  <c r="D64" i="4"/>
  <c r="K64" i="4"/>
  <c r="D6" i="4"/>
  <c r="K6" i="4"/>
  <c r="D57" i="4"/>
  <c r="K57" i="4"/>
  <c r="D24" i="4"/>
  <c r="K24" i="4"/>
  <c r="D29" i="4"/>
  <c r="K29" i="4"/>
  <c r="D40" i="4"/>
  <c r="K40" i="4"/>
  <c r="D26" i="4"/>
  <c r="K26" i="4"/>
  <c r="D30" i="4"/>
  <c r="K30" i="4"/>
  <c r="D23" i="4"/>
  <c r="K23" i="4"/>
  <c r="D11" i="4"/>
  <c r="K11" i="4"/>
  <c r="D42" i="4"/>
  <c r="K42" i="4"/>
  <c r="D5" i="4"/>
  <c r="K5" i="4"/>
  <c r="D27" i="4"/>
  <c r="K27" i="4"/>
  <c r="D62" i="4"/>
  <c r="K62" i="4"/>
  <c r="D25" i="4"/>
  <c r="K25" i="4"/>
  <c r="D22" i="4"/>
  <c r="K22" i="4"/>
  <c r="D58" i="4"/>
  <c r="K58" i="4"/>
  <c r="D44" i="4"/>
  <c r="K44" i="4"/>
  <c r="D39" i="4"/>
  <c r="K39" i="4"/>
  <c r="D45" i="4"/>
  <c r="K45" i="4"/>
  <c r="D56" i="4"/>
  <c r="K56" i="4"/>
  <c r="D28" i="4"/>
  <c r="K28" i="4"/>
  <c r="D8" i="4"/>
  <c r="K8" i="4"/>
  <c r="D4" i="4"/>
  <c r="K4" i="4"/>
  <c r="D38" i="4"/>
  <c r="K38" i="4"/>
  <c r="D3" i="4"/>
  <c r="K3" i="4"/>
  <c r="D21" i="4"/>
  <c r="K21" i="4"/>
  <c r="D61" i="4"/>
  <c r="K61" i="4"/>
  <c r="D59" i="4"/>
  <c r="K59" i="4"/>
  <c r="D65" i="4"/>
  <c r="K65" i="4"/>
  <c r="D41" i="4"/>
  <c r="K41" i="4"/>
  <c r="D63" i="4"/>
  <c r="K63" i="4"/>
  <c r="D55" i="4"/>
  <c r="K55" i="4"/>
  <c r="D31" i="4"/>
  <c r="K31" i="4"/>
  <c r="D32" i="4"/>
  <c r="K32" i="4"/>
  <c r="D54" i="4"/>
  <c r="K54" i="4"/>
  <c r="D48" i="4"/>
  <c r="K48" i="4"/>
  <c r="D47" i="4"/>
  <c r="K47" i="4"/>
  <c r="D10" i="4"/>
  <c r="K10" i="4"/>
  <c r="D37" i="4"/>
  <c r="K37" i="4"/>
  <c r="D14" i="4"/>
  <c r="K14" i="4"/>
  <c r="D2" i="4"/>
  <c r="K2" i="4"/>
  <c r="D20" i="4"/>
  <c r="K20" i="4"/>
  <c r="D43" i="4"/>
  <c r="K43" i="4"/>
  <c r="D67" i="4"/>
  <c r="K67" i="4"/>
  <c r="D15" i="4"/>
  <c r="K15" i="4"/>
  <c r="D50" i="4"/>
  <c r="K50" i="4"/>
  <c r="D16" i="4"/>
  <c r="K16" i="4"/>
  <c r="D12" i="4"/>
  <c r="K12" i="4"/>
  <c r="D66" i="4"/>
  <c r="K66" i="4"/>
  <c r="D33" i="4"/>
  <c r="K33" i="4"/>
  <c r="D13" i="4"/>
  <c r="K13" i="4"/>
  <c r="D51" i="4"/>
  <c r="K51" i="4"/>
  <c r="D17" i="4"/>
  <c r="K17" i="4"/>
  <c r="D68" i="4"/>
  <c r="K68" i="4"/>
  <c r="D34" i="4"/>
  <c r="K34" i="4"/>
  <c r="D52" i="4"/>
  <c r="K52" i="4"/>
  <c r="D36" i="4"/>
  <c r="K36" i="4"/>
  <c r="D53" i="4"/>
  <c r="K53" i="4"/>
  <c r="D69" i="4"/>
  <c r="K69" i="4"/>
  <c r="D18" i="4"/>
  <c r="K18" i="4"/>
  <c r="D19" i="4"/>
  <c r="K19" i="4"/>
  <c r="D35" i="4"/>
  <c r="K35" i="4"/>
  <c r="D46" i="4"/>
  <c r="K46" i="4"/>
  <c r="Q39" i="1"/>
  <c r="Q33" i="1"/>
  <c r="Q47" i="1"/>
  <c r="Q46" i="1"/>
  <c r="Q68" i="1"/>
  <c r="Q69" i="1"/>
  <c r="Q67" i="1"/>
  <c r="Q6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4" i="1"/>
  <c r="Q35" i="1"/>
  <c r="Q36" i="1"/>
  <c r="Q37" i="1"/>
  <c r="Q38" i="1"/>
  <c r="Q40" i="1"/>
  <c r="Q41" i="1"/>
  <c r="Q42" i="1"/>
  <c r="Q43" i="1"/>
  <c r="Q44" i="1"/>
  <c r="Q45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AA26" i="3"/>
  <c r="Z26" i="3"/>
  <c r="AC26" i="3"/>
  <c r="E24" i="3"/>
  <c r="E6" i="3"/>
  <c r="E37" i="3"/>
  <c r="E66" i="3"/>
  <c r="E69" i="3"/>
  <c r="E40" i="3"/>
  <c r="E12" i="3"/>
  <c r="E38" i="3"/>
  <c r="E50" i="3"/>
  <c r="E64" i="3"/>
  <c r="E52" i="3"/>
  <c r="E44" i="3"/>
  <c r="E7" i="3"/>
  <c r="E34" i="3"/>
  <c r="E13" i="3"/>
  <c r="E36" i="3"/>
  <c r="E26" i="3"/>
  <c r="E67" i="3"/>
  <c r="E59" i="3"/>
  <c r="E53" i="3"/>
  <c r="E45" i="3"/>
  <c r="E23" i="3"/>
  <c r="E11" i="3"/>
  <c r="E33" i="3"/>
  <c r="E8" i="3"/>
  <c r="E65" i="3"/>
  <c r="E54" i="3"/>
  <c r="E39" i="3"/>
  <c r="E48" i="3"/>
  <c r="E16" i="3"/>
  <c r="E5" i="3"/>
  <c r="E4" i="3"/>
  <c r="E25" i="3"/>
  <c r="F37" i="3"/>
  <c r="F6" i="3"/>
  <c r="F8" i="3"/>
  <c r="F36" i="3"/>
  <c r="F9" i="3"/>
  <c r="F5" i="3"/>
  <c r="F11" i="3"/>
  <c r="F34" i="3"/>
  <c r="F40" i="3"/>
  <c r="F48" i="3"/>
  <c r="F45" i="3"/>
  <c r="F44" i="3"/>
  <c r="F50" i="3"/>
  <c r="F54" i="3"/>
  <c r="F59" i="3"/>
  <c r="F64" i="3"/>
  <c r="F69" i="3"/>
  <c r="F35" i="3"/>
  <c r="F25" i="3"/>
  <c r="F27" i="3"/>
  <c r="F20" i="3"/>
  <c r="F3" i="3"/>
  <c r="F10" i="3"/>
  <c r="F14" i="3"/>
  <c r="F18" i="3"/>
  <c r="F29" i="3"/>
  <c r="F22" i="3"/>
  <c r="F21" i="3"/>
  <c r="F47" i="3"/>
  <c r="F56" i="3"/>
  <c r="F57" i="3"/>
  <c r="F51" i="3"/>
  <c r="F63" i="3"/>
  <c r="F61" i="3"/>
  <c r="F32" i="3"/>
  <c r="F43" i="3"/>
  <c r="F2" i="3"/>
  <c r="F15" i="3"/>
  <c r="F19" i="3"/>
  <c r="F31" i="3"/>
  <c r="F17" i="3"/>
  <c r="F30" i="3"/>
  <c r="F28" i="3"/>
  <c r="F42" i="3"/>
  <c r="F41" i="3"/>
  <c r="F58" i="3"/>
  <c r="F46" i="3"/>
  <c r="F55" i="3"/>
  <c r="F60" i="3"/>
  <c r="F62" i="3"/>
  <c r="F68" i="3"/>
  <c r="F65" i="3"/>
  <c r="F52" i="3"/>
  <c r="F39" i="3"/>
  <c r="F7" i="3"/>
  <c r="F16" i="3"/>
  <c r="F13" i="3"/>
  <c r="F4" i="3"/>
  <c r="F26" i="3"/>
  <c r="F67" i="3"/>
  <c r="F66" i="3"/>
  <c r="F53" i="3"/>
  <c r="F49" i="3"/>
  <c r="F23" i="3"/>
  <c r="F24" i="3"/>
  <c r="F33" i="3"/>
  <c r="F12" i="3"/>
  <c r="F38" i="3"/>
  <c r="E35" i="3"/>
  <c r="E68" i="3"/>
  <c r="E62" i="3"/>
  <c r="E60" i="3"/>
  <c r="E55" i="3"/>
  <c r="E46" i="3"/>
  <c r="E58" i="3"/>
  <c r="E41" i="3"/>
  <c r="E42" i="3"/>
  <c r="E28" i="3"/>
  <c r="E30" i="3"/>
  <c r="E17" i="3"/>
  <c r="E31" i="3"/>
  <c r="E19" i="3"/>
  <c r="E15" i="3"/>
  <c r="E2" i="3"/>
  <c r="E43" i="3"/>
  <c r="E32" i="3"/>
  <c r="E61" i="3"/>
  <c r="E63" i="3"/>
  <c r="E51" i="3"/>
  <c r="E57" i="3"/>
  <c r="E56" i="3"/>
  <c r="E47" i="3"/>
  <c r="E21" i="3"/>
  <c r="E22" i="3"/>
  <c r="E29" i="3"/>
  <c r="E18" i="3"/>
  <c r="E14" i="3"/>
  <c r="E10" i="3"/>
  <c r="E3" i="3"/>
  <c r="E20" i="3"/>
  <c r="E27" i="3"/>
  <c r="G32" i="3"/>
  <c r="G37" i="3"/>
  <c r="G38" i="3"/>
  <c r="G25" i="3"/>
  <c r="G26" i="3"/>
  <c r="G27" i="3"/>
  <c r="G6" i="3"/>
  <c r="G43" i="3"/>
  <c r="G8" i="3"/>
  <c r="G2" i="3"/>
  <c r="G20" i="3"/>
  <c r="G12" i="3"/>
  <c r="G3" i="3"/>
  <c r="G4" i="3"/>
  <c r="G15" i="3"/>
  <c r="G36" i="3"/>
  <c r="G19" i="3"/>
  <c r="G9" i="3"/>
  <c r="G33" i="3"/>
  <c r="G10" i="3"/>
  <c r="G13" i="3"/>
  <c r="G14" i="3"/>
  <c r="G5" i="3"/>
  <c r="G31" i="3"/>
  <c r="G11" i="3"/>
  <c r="G17" i="3"/>
  <c r="G18" i="3"/>
  <c r="G24" i="3"/>
  <c r="G29" i="3"/>
  <c r="G16" i="3"/>
  <c r="G30" i="3"/>
  <c r="G34" i="3"/>
  <c r="G28" i="3"/>
  <c r="G40" i="3"/>
  <c r="G23" i="3"/>
  <c r="G22" i="3"/>
  <c r="G7" i="3"/>
  <c r="G21" i="3"/>
  <c r="G48" i="3"/>
  <c r="G42" i="3"/>
  <c r="G45" i="3"/>
  <c r="G41" i="3"/>
  <c r="G47" i="3"/>
  <c r="G49" i="3"/>
  <c r="G56" i="3"/>
  <c r="G39" i="3"/>
  <c r="G58" i="3"/>
  <c r="G44" i="3"/>
  <c r="G46" i="3"/>
  <c r="G50" i="3"/>
  <c r="G53" i="3"/>
  <c r="G57" i="3"/>
  <c r="G52" i="3"/>
  <c r="G51" i="3"/>
  <c r="G54" i="3"/>
  <c r="G55" i="3"/>
  <c r="G59" i="3"/>
  <c r="G60" i="3"/>
  <c r="G63" i="3"/>
  <c r="G66" i="3"/>
  <c r="G61" i="3"/>
  <c r="G65" i="3"/>
  <c r="G62" i="3"/>
  <c r="G64" i="3"/>
  <c r="G68" i="3"/>
  <c r="G69" i="3"/>
  <c r="G67" i="3"/>
  <c r="G35" i="3"/>
  <c r="H32" i="3"/>
  <c r="H26" i="3"/>
  <c r="H8" i="3"/>
  <c r="H3" i="3"/>
  <c r="H19" i="3"/>
  <c r="H13" i="3"/>
  <c r="H11" i="3"/>
  <c r="H29" i="3"/>
  <c r="H28" i="3"/>
  <c r="H7" i="3"/>
  <c r="H45" i="3"/>
  <c r="H56" i="3"/>
  <c r="H46" i="3"/>
  <c r="H52" i="3"/>
  <c r="H59" i="3"/>
  <c r="H61" i="3"/>
  <c r="H68" i="3"/>
  <c r="H37" i="3"/>
  <c r="H27" i="3"/>
  <c r="H2" i="3"/>
  <c r="H4" i="3"/>
  <c r="H9" i="3"/>
  <c r="H14" i="3"/>
  <c r="H17" i="3"/>
  <c r="H16" i="3"/>
  <c r="H40" i="3"/>
  <c r="H21" i="3"/>
  <c r="H41" i="3"/>
  <c r="H39" i="3"/>
  <c r="H50" i="3"/>
  <c r="H51" i="3"/>
  <c r="H60" i="3"/>
  <c r="H65" i="3"/>
  <c r="H69" i="3"/>
  <c r="H38" i="3"/>
  <c r="H6" i="3"/>
  <c r="H20" i="3"/>
  <c r="H15" i="3"/>
  <c r="H33" i="3"/>
  <c r="H5" i="3"/>
  <c r="H18" i="3"/>
  <c r="H30" i="3"/>
  <c r="H23" i="3"/>
  <c r="H48" i="3"/>
  <c r="H47" i="3"/>
  <c r="H58" i="3"/>
  <c r="H53" i="3"/>
  <c r="H54" i="3"/>
  <c r="H63" i="3"/>
  <c r="H62" i="3"/>
  <c r="H67" i="3"/>
  <c r="H25" i="3"/>
  <c r="H43" i="3"/>
  <c r="H12" i="3"/>
  <c r="H36" i="3"/>
  <c r="H10" i="3"/>
  <c r="H31" i="3"/>
  <c r="H24" i="3"/>
  <c r="H34" i="3"/>
  <c r="H22" i="3"/>
  <c r="H42" i="3"/>
  <c r="H49" i="3"/>
  <c r="H44" i="3"/>
  <c r="H57" i="3"/>
  <c r="H55" i="3"/>
  <c r="H66" i="3"/>
  <c r="H64" i="3"/>
  <c r="H35" i="3"/>
  <c r="I32" i="3"/>
  <c r="I38" i="3"/>
  <c r="I26" i="3"/>
  <c r="I6" i="3"/>
  <c r="I8" i="3"/>
  <c r="I20" i="3"/>
  <c r="I3" i="3"/>
  <c r="I15" i="3"/>
  <c r="I19" i="3"/>
  <c r="I33" i="3"/>
  <c r="I13" i="3"/>
  <c r="I5" i="3"/>
  <c r="I11" i="3"/>
  <c r="I18" i="3"/>
  <c r="I29" i="3"/>
  <c r="I30" i="3"/>
  <c r="I28" i="3"/>
  <c r="I23" i="3"/>
  <c r="I7" i="3"/>
  <c r="I48" i="3"/>
  <c r="I45" i="3"/>
  <c r="I47" i="3"/>
  <c r="I56" i="3"/>
  <c r="I58" i="3"/>
  <c r="I46" i="3"/>
  <c r="I53" i="3"/>
  <c r="I52" i="3"/>
  <c r="I54" i="3"/>
  <c r="I59" i="3"/>
  <c r="I63" i="3"/>
  <c r="I61" i="3"/>
  <c r="I62" i="3"/>
  <c r="I68" i="3"/>
  <c r="I67" i="3"/>
  <c r="I37" i="3"/>
  <c r="I25" i="3"/>
  <c r="I27" i="3"/>
  <c r="I43" i="3"/>
  <c r="I2" i="3"/>
  <c r="I12" i="3"/>
  <c r="I4" i="3"/>
  <c r="I36" i="3"/>
  <c r="I9" i="3"/>
  <c r="I10" i="3"/>
  <c r="I14" i="3"/>
  <c r="I31" i="3"/>
  <c r="I17" i="3"/>
  <c r="I24" i="3"/>
  <c r="I16" i="3"/>
  <c r="I34" i="3"/>
  <c r="I40" i="3"/>
  <c r="I22" i="3"/>
  <c r="I21" i="3"/>
  <c r="I42" i="3"/>
  <c r="I41" i="3"/>
  <c r="I49" i="3"/>
  <c r="I39" i="3"/>
  <c r="I44" i="3"/>
  <c r="I50" i="3"/>
  <c r="I57" i="3"/>
  <c r="I51" i="3"/>
  <c r="I55" i="3"/>
  <c r="I60" i="3"/>
  <c r="I66" i="3"/>
  <c r="I65" i="3"/>
  <c r="I64" i="3"/>
  <c r="I69" i="3"/>
  <c r="I35" i="3"/>
  <c r="J22" i="3"/>
  <c r="J55" i="3"/>
  <c r="J39" i="3"/>
  <c r="J66" i="3"/>
  <c r="J35" i="3"/>
  <c r="J20" i="3"/>
  <c r="J50" i="3"/>
  <c r="J41" i="3"/>
  <c r="J51" i="3"/>
  <c r="O5" i="3"/>
  <c r="J14" i="3"/>
  <c r="J58" i="3"/>
  <c r="J52" i="3"/>
  <c r="J40" i="3"/>
  <c r="J19" i="3"/>
  <c r="J63" i="3"/>
  <c r="J25" i="3"/>
  <c r="J17" i="3"/>
  <c r="J10" i="3"/>
  <c r="J61" i="3"/>
  <c r="J33" i="3"/>
  <c r="J37" i="3"/>
  <c r="J27" i="3"/>
  <c r="J45" i="3"/>
  <c r="J7" i="3"/>
  <c r="J53" i="3"/>
  <c r="O7" i="3"/>
  <c r="J15" i="3"/>
  <c r="J46" i="3"/>
  <c r="J57" i="3"/>
  <c r="J54" i="3"/>
  <c r="O2" i="3"/>
  <c r="J29" i="3"/>
  <c r="J49" i="3"/>
  <c r="J13" i="3"/>
  <c r="J4" i="3"/>
  <c r="J36" i="3"/>
  <c r="J67" i="3"/>
  <c r="J64" i="3"/>
  <c r="J59" i="3"/>
  <c r="J69" i="3"/>
  <c r="J34" i="3"/>
  <c r="J26" i="3"/>
  <c r="J62" i="3"/>
  <c r="J6" i="3"/>
  <c r="J31" i="3"/>
  <c r="J30" i="3"/>
  <c r="J38" i="3"/>
  <c r="J9" i="3"/>
  <c r="J24" i="3"/>
  <c r="J18" i="3"/>
  <c r="J28" i="3"/>
  <c r="J21" i="3"/>
  <c r="J11" i="3"/>
  <c r="J8" i="3"/>
  <c r="J32" i="3"/>
  <c r="J60" i="3"/>
  <c r="J43" i="3"/>
  <c r="J44" i="3"/>
  <c r="J23" i="3"/>
  <c r="J47" i="3"/>
  <c r="J5" i="3"/>
  <c r="J56" i="3"/>
  <c r="J12" i="3"/>
  <c r="J65" i="3"/>
  <c r="J48" i="3"/>
  <c r="J16" i="3"/>
  <c r="O9" i="3"/>
  <c r="J3" i="3"/>
  <c r="O10" i="3"/>
  <c r="J68" i="3"/>
  <c r="J42" i="3"/>
  <c r="O6" i="3"/>
  <c r="O3" i="3"/>
  <c r="O8" i="3"/>
  <c r="O4" i="3"/>
  <c r="J2" i="3"/>
  <c r="O11" i="3"/>
  <c r="U40" i="3"/>
</calcChain>
</file>

<file path=xl/sharedStrings.xml><?xml version="1.0" encoding="utf-8"?>
<sst xmlns="http://schemas.openxmlformats.org/spreadsheetml/2006/main" count="1292" uniqueCount="133">
  <si>
    <t>gender</t>
  </si>
  <si>
    <t>forecast_date</t>
  </si>
  <si>
    <t>playin_flag</t>
  </si>
  <si>
    <t>rd1_win</t>
  </si>
  <si>
    <t>rd2_win</t>
  </si>
  <si>
    <t>rd3_win</t>
  </si>
  <si>
    <t>rd4_win</t>
  </si>
  <si>
    <t>rd5_win</t>
  </si>
  <si>
    <t>rd6_win</t>
  </si>
  <si>
    <t>rd7_win</t>
  </si>
  <si>
    <t>team_alive</t>
  </si>
  <si>
    <t>team_id</t>
  </si>
  <si>
    <t>team_name</t>
  </si>
  <si>
    <t>team_rating</t>
  </si>
  <si>
    <t>team_region</t>
  </si>
  <si>
    <t>team_seed</t>
  </si>
  <si>
    <t>mens</t>
  </si>
  <si>
    <t>Villanova</t>
  </si>
  <si>
    <t>East</t>
  </si>
  <si>
    <t>Gonzaga</t>
  </si>
  <si>
    <t>West</t>
  </si>
  <si>
    <t>Kansas</t>
  </si>
  <si>
    <t>Midwest</t>
  </si>
  <si>
    <t>Kentucky</t>
  </si>
  <si>
    <t>South</t>
  </si>
  <si>
    <t>North Carolina</t>
  </si>
  <si>
    <t>Duke</t>
  </si>
  <si>
    <t>Louisville</t>
  </si>
  <si>
    <t>Arizona</t>
  </si>
  <si>
    <t>West Virginia</t>
  </si>
  <si>
    <t>UCLA</t>
  </si>
  <si>
    <t>Virginia</t>
  </si>
  <si>
    <t>Saint Mary's (CA)</t>
  </si>
  <si>
    <t>Purdue</t>
  </si>
  <si>
    <t>Wichita State</t>
  </si>
  <si>
    <t>Southern Methodist</t>
  </si>
  <si>
    <t>Iowa State</t>
  </si>
  <si>
    <t>Baylor</t>
  </si>
  <si>
    <t>Oregon</t>
  </si>
  <si>
    <t>Butler</t>
  </si>
  <si>
    <t>Florida</t>
  </si>
  <si>
    <t>Florida State</t>
  </si>
  <si>
    <t>Cincinnati</t>
  </si>
  <si>
    <t>Wisconsin</t>
  </si>
  <si>
    <t>Michigan</t>
  </si>
  <si>
    <t>Notre Dame</t>
  </si>
  <si>
    <t>Creighton</t>
  </si>
  <si>
    <t>Oklahoma State</t>
  </si>
  <si>
    <t>Miami (FL)</t>
  </si>
  <si>
    <t>Arkansas</t>
  </si>
  <si>
    <t>Vanderbilt</t>
  </si>
  <si>
    <t>Rhode Island</t>
  </si>
  <si>
    <t>Kansas State</t>
  </si>
  <si>
    <t>South Carolina</t>
  </si>
  <si>
    <t>Seton Hall</t>
  </si>
  <si>
    <t>Dayton</t>
  </si>
  <si>
    <t>Marquette</t>
  </si>
  <si>
    <t>Michigan State</t>
  </si>
  <si>
    <t>Wake Forest</t>
  </si>
  <si>
    <t>Xavier</t>
  </si>
  <si>
    <t>Virginia Commonwealth</t>
  </si>
  <si>
    <t>Middle Tennessee</t>
  </si>
  <si>
    <t>Maryland</t>
  </si>
  <si>
    <t>Northwestern</t>
  </si>
  <si>
    <t>Minnesota</t>
  </si>
  <si>
    <t>Providence</t>
  </si>
  <si>
    <t>Southern California</t>
  </si>
  <si>
    <t>Nevada</t>
  </si>
  <si>
    <t>Princeton</t>
  </si>
  <si>
    <t>North Carolina-Wilmington</t>
  </si>
  <si>
    <t>Virginia Tech</t>
  </si>
  <si>
    <t>Vermont</t>
  </si>
  <si>
    <t>Bucknell</t>
  </si>
  <si>
    <t>East Tennessee State</t>
  </si>
  <si>
    <t>Winthrop</t>
  </si>
  <si>
    <t>Florida Gulf Coast</t>
  </si>
  <si>
    <t>New Mexico State</t>
  </si>
  <si>
    <t>Iona</t>
  </si>
  <si>
    <t>Kent State</t>
  </si>
  <si>
    <t>Troy</t>
  </si>
  <si>
    <t>Northern Kentucky</t>
  </si>
  <si>
    <t>South Dakota State</t>
  </si>
  <si>
    <t>North Dakota</t>
  </si>
  <si>
    <t>Texas Southern</t>
  </si>
  <si>
    <t>Jacksonville State</t>
  </si>
  <si>
    <t>North Carolina Central</t>
  </si>
  <si>
    <t>UC-Davis</t>
  </si>
  <si>
    <t>Mount St. Mary's</t>
  </si>
  <si>
    <t>New Orleans</t>
  </si>
  <si>
    <t>EV</t>
  </si>
  <si>
    <t>Craig</t>
  </si>
  <si>
    <t>seed</t>
  </si>
  <si>
    <t>region</t>
  </si>
  <si>
    <t>team</t>
  </si>
  <si>
    <t>R32</t>
  </si>
  <si>
    <t>R16</t>
  </si>
  <si>
    <t>R8</t>
  </si>
  <si>
    <t>R4</t>
  </si>
  <si>
    <t>NCG</t>
  </si>
  <si>
    <t>title</t>
  </si>
  <si>
    <t>picked_by</t>
  </si>
  <si>
    <t>Mark</t>
  </si>
  <si>
    <t>Fanning</t>
  </si>
  <si>
    <t>Jeff</t>
  </si>
  <si>
    <t>Ed</t>
  </si>
  <si>
    <t>Crouse</t>
  </si>
  <si>
    <t>Glen</t>
  </si>
  <si>
    <t>Nathan</t>
  </si>
  <si>
    <t>Joel</t>
  </si>
  <si>
    <t>Andrew</t>
  </si>
  <si>
    <t>player</t>
  </si>
  <si>
    <t>ttl</t>
  </si>
  <si>
    <t>red</t>
  </si>
  <si>
    <t>green</t>
  </si>
  <si>
    <t>538 higher</t>
  </si>
  <si>
    <t>kenpom higher</t>
  </si>
  <si>
    <t>ttl_wins</t>
  </si>
  <si>
    <t>kenpom</t>
  </si>
  <si>
    <t>wt_538</t>
  </si>
  <si>
    <t>wt_kenpom</t>
  </si>
  <si>
    <t>powerrank</t>
  </si>
  <si>
    <t>Brier Score 2015</t>
  </si>
  <si>
    <t>wt_powerrank</t>
  </si>
  <si>
    <t>chalk</t>
  </si>
  <si>
    <t>wt_chalk</t>
  </si>
  <si>
    <t>unc</t>
  </si>
  <si>
    <t>villanova</t>
  </si>
  <si>
    <t>oklahoma</t>
  </si>
  <si>
    <t>syracuse</t>
  </si>
  <si>
    <t>538 2016</t>
  </si>
  <si>
    <t>chalk 2016</t>
  </si>
  <si>
    <t>chalk R4 Brier score is average number of 1 seeds in final 4</t>
  </si>
  <si>
    <t>= 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</si>
</sst>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18" fillId="0" borderId="0" xfId="0" applyFont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Avg!$O$1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Avg!$N$2:$N$11</c:f>
              <c:strCache>
                <c:ptCount val="10"/>
                <c:pt idx="0">
                  <c:v>Jeff</c:v>
                </c:pt>
                <c:pt idx="1">
                  <c:v>Glen</c:v>
                </c:pt>
                <c:pt idx="2">
                  <c:v>Joel</c:v>
                </c:pt>
                <c:pt idx="3">
                  <c:v>Mark</c:v>
                </c:pt>
                <c:pt idx="4">
                  <c:v>Ed</c:v>
                </c:pt>
                <c:pt idx="5">
                  <c:v>Fanning</c:v>
                </c:pt>
                <c:pt idx="6">
                  <c:v>Nathan</c:v>
                </c:pt>
                <c:pt idx="7">
                  <c:v>Crouse</c:v>
                </c:pt>
                <c:pt idx="8">
                  <c:v>Andrew</c:v>
                </c:pt>
                <c:pt idx="9">
                  <c:v>Craig</c:v>
                </c:pt>
              </c:strCache>
            </c:strRef>
          </c:cat>
          <c:val>
            <c:numRef>
              <c:f>Avg!$O$2:$O$11</c:f>
              <c:numCache>
                <c:formatCode>0.00</c:formatCode>
                <c:ptCount val="10"/>
                <c:pt idx="0">
                  <c:v>5.392376229883765</c:v>
                </c:pt>
                <c:pt idx="1">
                  <c:v>5.639122217940677</c:v>
                </c:pt>
                <c:pt idx="2">
                  <c:v>6.715265233606469</c:v>
                </c:pt>
                <c:pt idx="3">
                  <c:v>6.730868756737388</c:v>
                </c:pt>
                <c:pt idx="4">
                  <c:v>17.39615378602167</c:v>
                </c:pt>
                <c:pt idx="5">
                  <c:v>11.16698065395176</c:v>
                </c:pt>
                <c:pt idx="6">
                  <c:v>11.21005420038004</c:v>
                </c:pt>
                <c:pt idx="7">
                  <c:v>11.70857198101441</c:v>
                </c:pt>
                <c:pt idx="8">
                  <c:v>18.29730063294888</c:v>
                </c:pt>
                <c:pt idx="9">
                  <c:v>25.74945278387213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14156880"/>
        <c:axId val="-713374592"/>
      </c:barChart>
      <c:catAx>
        <c:axId val="-71415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374592"/>
        <c:crosses val="autoZero"/>
        <c:auto val="1"/>
        <c:lblAlgn val="ctr"/>
        <c:lblOffset val="100"/>
        <c:noMultiLvlLbl val="0"/>
      </c:catAx>
      <c:valAx>
        <c:axId val="-7133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1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Diff!$S$1</c:f>
              <c:strCache>
                <c:ptCount val="1"/>
                <c:pt idx="0">
                  <c:v>ttl_wins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Diff!$R$2:$R$69</c:f>
              <c:strCache>
                <c:ptCount val="68"/>
                <c:pt idx="0">
                  <c:v>Kansas</c:v>
                </c:pt>
                <c:pt idx="1">
                  <c:v>Duke</c:v>
                </c:pt>
                <c:pt idx="2">
                  <c:v>Villanova</c:v>
                </c:pt>
                <c:pt idx="3">
                  <c:v>Kentucky</c:v>
                </c:pt>
                <c:pt idx="4">
                  <c:v>Arizona</c:v>
                </c:pt>
                <c:pt idx="5">
                  <c:v>Louisville</c:v>
                </c:pt>
                <c:pt idx="6">
                  <c:v>Butler</c:v>
                </c:pt>
                <c:pt idx="7">
                  <c:v>Michigan</c:v>
                </c:pt>
                <c:pt idx="8">
                  <c:v>UCLA</c:v>
                </c:pt>
                <c:pt idx="9">
                  <c:v>Iowa State</c:v>
                </c:pt>
                <c:pt idx="10">
                  <c:v>Dayton</c:v>
                </c:pt>
                <c:pt idx="11">
                  <c:v>Purdue</c:v>
                </c:pt>
                <c:pt idx="12">
                  <c:v>Wisconsin</c:v>
                </c:pt>
                <c:pt idx="13">
                  <c:v>Notre Dame</c:v>
                </c:pt>
                <c:pt idx="14">
                  <c:v>Seton Hall</c:v>
                </c:pt>
                <c:pt idx="15">
                  <c:v>Virginia</c:v>
                </c:pt>
                <c:pt idx="16">
                  <c:v>Rhode Island</c:v>
                </c:pt>
                <c:pt idx="17">
                  <c:v>West Virginia</c:v>
                </c:pt>
                <c:pt idx="18">
                  <c:v>Vanderbilt</c:v>
                </c:pt>
                <c:pt idx="19">
                  <c:v>South Carolina</c:v>
                </c:pt>
                <c:pt idx="20">
                  <c:v>South Dakota State</c:v>
                </c:pt>
                <c:pt idx="21">
                  <c:v>Saint Mary's (CA)</c:v>
                </c:pt>
                <c:pt idx="22">
                  <c:v>Providence</c:v>
                </c:pt>
                <c:pt idx="23">
                  <c:v>Texas Southern</c:v>
                </c:pt>
                <c:pt idx="24">
                  <c:v>Mount St. Mary's</c:v>
                </c:pt>
                <c:pt idx="25">
                  <c:v>UC-Davis</c:v>
                </c:pt>
                <c:pt idx="26">
                  <c:v>Maryland</c:v>
                </c:pt>
                <c:pt idx="27">
                  <c:v>Northern Kentucky</c:v>
                </c:pt>
                <c:pt idx="28">
                  <c:v>Florida Gulf Coast</c:v>
                </c:pt>
                <c:pt idx="29">
                  <c:v>Middle Tennessee</c:v>
                </c:pt>
                <c:pt idx="30">
                  <c:v>New Orleans</c:v>
                </c:pt>
                <c:pt idx="31">
                  <c:v>Kent State</c:v>
                </c:pt>
                <c:pt idx="32">
                  <c:v>Wake Forest</c:v>
                </c:pt>
                <c:pt idx="33">
                  <c:v>Southern California</c:v>
                </c:pt>
                <c:pt idx="34">
                  <c:v>Bucknell</c:v>
                </c:pt>
                <c:pt idx="35">
                  <c:v>Kansas State</c:v>
                </c:pt>
                <c:pt idx="36">
                  <c:v>North Dakota</c:v>
                </c:pt>
                <c:pt idx="37">
                  <c:v>North Carolina Central</c:v>
                </c:pt>
                <c:pt idx="38">
                  <c:v>Iona</c:v>
                </c:pt>
                <c:pt idx="39">
                  <c:v>Northwestern</c:v>
                </c:pt>
                <c:pt idx="40">
                  <c:v>Jacksonville State</c:v>
                </c:pt>
                <c:pt idx="41">
                  <c:v>Arkansas</c:v>
                </c:pt>
                <c:pt idx="42">
                  <c:v>Virginia Commonwealth</c:v>
                </c:pt>
                <c:pt idx="43">
                  <c:v>Winthrop</c:v>
                </c:pt>
                <c:pt idx="44">
                  <c:v>Southern Methodist</c:v>
                </c:pt>
                <c:pt idx="45">
                  <c:v>Troy</c:v>
                </c:pt>
                <c:pt idx="46">
                  <c:v>Michigan State</c:v>
                </c:pt>
                <c:pt idx="47">
                  <c:v>North Carolina-Wilmington</c:v>
                </c:pt>
                <c:pt idx="48">
                  <c:v>East Tennessee State</c:v>
                </c:pt>
                <c:pt idx="49">
                  <c:v>Xavier</c:v>
                </c:pt>
                <c:pt idx="50">
                  <c:v>Cincinnati</c:v>
                </c:pt>
                <c:pt idx="51">
                  <c:v>New Mexico State</c:v>
                </c:pt>
                <c:pt idx="52">
                  <c:v>North Carolina</c:v>
                </c:pt>
                <c:pt idx="53">
                  <c:v>Florida State</c:v>
                </c:pt>
                <c:pt idx="54">
                  <c:v>Miami (FL)</c:v>
                </c:pt>
                <c:pt idx="55">
                  <c:v>Princeton</c:v>
                </c:pt>
                <c:pt idx="56">
                  <c:v>Baylor</c:v>
                </c:pt>
                <c:pt idx="57">
                  <c:v>Creighton</c:v>
                </c:pt>
                <c:pt idx="58">
                  <c:v>Oregon</c:v>
                </c:pt>
                <c:pt idx="59">
                  <c:v>Minnesota</c:v>
                </c:pt>
                <c:pt idx="60">
                  <c:v>Vermont</c:v>
                </c:pt>
                <c:pt idx="61">
                  <c:v>Nevada</c:v>
                </c:pt>
                <c:pt idx="62">
                  <c:v>Gonzaga</c:v>
                </c:pt>
                <c:pt idx="63">
                  <c:v>Florida</c:v>
                </c:pt>
                <c:pt idx="64">
                  <c:v>Virginia Tech</c:v>
                </c:pt>
                <c:pt idx="65">
                  <c:v>Marquette</c:v>
                </c:pt>
                <c:pt idx="66">
                  <c:v>Oklahoma State</c:v>
                </c:pt>
                <c:pt idx="67">
                  <c:v>Wichita State</c:v>
                </c:pt>
              </c:strCache>
            </c:strRef>
          </c:cat>
          <c:val>
            <c:numRef>
              <c:f>Diff!$S$2:$S$69</c:f>
              <c:numCache>
                <c:formatCode>0.000</c:formatCode>
                <c:ptCount val="68"/>
                <c:pt idx="0">
                  <c:v>0.586182826566</c:v>
                </c:pt>
                <c:pt idx="1">
                  <c:v>0.554239078277</c:v>
                </c:pt>
                <c:pt idx="2">
                  <c:v>0.525875460702</c:v>
                </c:pt>
                <c:pt idx="3">
                  <c:v>0.40685352124</c:v>
                </c:pt>
                <c:pt idx="4">
                  <c:v>0.345872402605</c:v>
                </c:pt>
                <c:pt idx="5">
                  <c:v>0.2648391737</c:v>
                </c:pt>
                <c:pt idx="6">
                  <c:v>0.165012529322</c:v>
                </c:pt>
                <c:pt idx="7">
                  <c:v>0.130496407068</c:v>
                </c:pt>
                <c:pt idx="8">
                  <c:v>0.108703990059</c:v>
                </c:pt>
                <c:pt idx="9">
                  <c:v>0.087912711047</c:v>
                </c:pt>
                <c:pt idx="10">
                  <c:v>0.079198758653</c:v>
                </c:pt>
                <c:pt idx="11">
                  <c:v>0.0722189204860001</c:v>
                </c:pt>
                <c:pt idx="12">
                  <c:v>0.0643383505929999</c:v>
                </c:pt>
                <c:pt idx="13">
                  <c:v>0.0597600472409999</c:v>
                </c:pt>
                <c:pt idx="14">
                  <c:v>0.055695965467</c:v>
                </c:pt>
                <c:pt idx="15">
                  <c:v>0.05416286415</c:v>
                </c:pt>
                <c:pt idx="16">
                  <c:v>0.04843436361</c:v>
                </c:pt>
                <c:pt idx="17">
                  <c:v>0.0484335483079999</c:v>
                </c:pt>
                <c:pt idx="18">
                  <c:v>0.044563612857</c:v>
                </c:pt>
                <c:pt idx="19">
                  <c:v>0.014650614566</c:v>
                </c:pt>
                <c:pt idx="20">
                  <c:v>0.010659942507</c:v>
                </c:pt>
                <c:pt idx="21">
                  <c:v>0.00685414419700004</c:v>
                </c:pt>
                <c:pt idx="22">
                  <c:v>0.00413861782800001</c:v>
                </c:pt>
                <c:pt idx="23">
                  <c:v>0.000329989824</c:v>
                </c:pt>
                <c:pt idx="24">
                  <c:v>-0.002188455247</c:v>
                </c:pt>
                <c:pt idx="25">
                  <c:v>-0.002410893641</c:v>
                </c:pt>
                <c:pt idx="26">
                  <c:v>-0.00565326879200008</c:v>
                </c:pt>
                <c:pt idx="27">
                  <c:v>-0.010931675477</c:v>
                </c:pt>
                <c:pt idx="28">
                  <c:v>-0.013295693258</c:v>
                </c:pt>
                <c:pt idx="29">
                  <c:v>-0.015448844542</c:v>
                </c:pt>
                <c:pt idx="30">
                  <c:v>-0.021391162057</c:v>
                </c:pt>
                <c:pt idx="31">
                  <c:v>-0.022195700737</c:v>
                </c:pt>
                <c:pt idx="32">
                  <c:v>-0.023500298832</c:v>
                </c:pt>
                <c:pt idx="33">
                  <c:v>-0.023887834157</c:v>
                </c:pt>
                <c:pt idx="34">
                  <c:v>-0.029197747326</c:v>
                </c:pt>
                <c:pt idx="35">
                  <c:v>-0.030500442729</c:v>
                </c:pt>
                <c:pt idx="36">
                  <c:v>-0.030636499895</c:v>
                </c:pt>
                <c:pt idx="37">
                  <c:v>-0.031363702432</c:v>
                </c:pt>
                <c:pt idx="38">
                  <c:v>-0.033066473408</c:v>
                </c:pt>
                <c:pt idx="39">
                  <c:v>-0.042181971427</c:v>
                </c:pt>
                <c:pt idx="40">
                  <c:v>-0.046511682037</c:v>
                </c:pt>
                <c:pt idx="41">
                  <c:v>-0.049837167016</c:v>
                </c:pt>
                <c:pt idx="42">
                  <c:v>-0.053277884007</c:v>
                </c:pt>
                <c:pt idx="43">
                  <c:v>-0.05426997075</c:v>
                </c:pt>
                <c:pt idx="44">
                  <c:v>-0.05691023539</c:v>
                </c:pt>
                <c:pt idx="45">
                  <c:v>-0.0606129972</c:v>
                </c:pt>
                <c:pt idx="46">
                  <c:v>-0.070178542271</c:v>
                </c:pt>
                <c:pt idx="47">
                  <c:v>-0.075182956177</c:v>
                </c:pt>
                <c:pt idx="48">
                  <c:v>-0.075438005035</c:v>
                </c:pt>
                <c:pt idx="49">
                  <c:v>-0.076428173055</c:v>
                </c:pt>
                <c:pt idx="50">
                  <c:v>-0.076799422708</c:v>
                </c:pt>
                <c:pt idx="51">
                  <c:v>-0.086139878217</c:v>
                </c:pt>
                <c:pt idx="52">
                  <c:v>-0.0888438650369997</c:v>
                </c:pt>
                <c:pt idx="53">
                  <c:v>-0.0892772059319999</c:v>
                </c:pt>
                <c:pt idx="54">
                  <c:v>-0.0925295019319999</c:v>
                </c:pt>
                <c:pt idx="55">
                  <c:v>-0.102910407403</c:v>
                </c:pt>
                <c:pt idx="56">
                  <c:v>-0.111326186182</c:v>
                </c:pt>
                <c:pt idx="57">
                  <c:v>-0.114786067214</c:v>
                </c:pt>
                <c:pt idx="58">
                  <c:v>-0.117162617122</c:v>
                </c:pt>
                <c:pt idx="59">
                  <c:v>-0.133670825178</c:v>
                </c:pt>
                <c:pt idx="60">
                  <c:v>-0.144777591842</c:v>
                </c:pt>
                <c:pt idx="61">
                  <c:v>-0.164566908929</c:v>
                </c:pt>
                <c:pt idx="62">
                  <c:v>-0.186124542577</c:v>
                </c:pt>
                <c:pt idx="63">
                  <c:v>-0.18954580136</c:v>
                </c:pt>
                <c:pt idx="64">
                  <c:v>-0.191673168249</c:v>
                </c:pt>
                <c:pt idx="65">
                  <c:v>-0.223301033242</c:v>
                </c:pt>
                <c:pt idx="66">
                  <c:v>-0.322171451039</c:v>
                </c:pt>
                <c:pt idx="67">
                  <c:v>-0.350033089817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714865888"/>
        <c:axId val="-714192416"/>
      </c:barChart>
      <c:catAx>
        <c:axId val="-7148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192416"/>
        <c:crosses val="autoZero"/>
        <c:auto val="1"/>
        <c:lblAlgn val="ctr"/>
        <c:lblOffset val="100"/>
        <c:noMultiLvlLbl val="0"/>
      </c:catAx>
      <c:valAx>
        <c:axId val="-714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8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0</xdr:row>
      <xdr:rowOff>147637</xdr:rowOff>
    </xdr:from>
    <xdr:to>
      <xdr:col>23</xdr:col>
      <xdr:colOff>190500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733425</xdr:colOff>
      <xdr:row>5</xdr:row>
      <xdr:rowOff>142875</xdr:rowOff>
    </xdr:from>
    <xdr:to>
      <xdr:col>26</xdr:col>
      <xdr:colOff>542925</xdr:colOff>
      <xdr:row>66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K2" sqref="K2"/>
    </sheetView>
  </sheetViews>
  <sheetFormatPr baseColWidth="10" defaultColWidth="8.83203125" defaultRowHeight="15" x14ac:dyDescent="0.2"/>
  <cols>
    <col min="2" max="2" width="13.33203125" bestFit="1" customWidth="1"/>
    <col min="4" max="4" width="17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89</v>
      </c>
    </row>
    <row r="2" spans="1:18" x14ac:dyDescent="0.2">
      <c r="A2" t="s">
        <v>16</v>
      </c>
      <c r="B2" s="1">
        <v>42806</v>
      </c>
      <c r="C2" t="b">
        <v>0</v>
      </c>
      <c r="D2" t="s">
        <v>17</v>
      </c>
      <c r="E2">
        <v>1</v>
      </c>
      <c r="F2">
        <v>0.98763200174800003</v>
      </c>
      <c r="G2">
        <v>0.80322130668900005</v>
      </c>
      <c r="H2">
        <v>0.58920600398599998</v>
      </c>
      <c r="I2">
        <v>0.40173709175900002</v>
      </c>
      <c r="J2">
        <v>0.24112521355800001</v>
      </c>
      <c r="K2">
        <v>0.14995384296200001</v>
      </c>
      <c r="L2" t="b">
        <v>1</v>
      </c>
      <c r="M2">
        <v>222</v>
      </c>
      <c r="N2">
        <v>95.18</v>
      </c>
      <c r="O2" t="s">
        <v>18</v>
      </c>
      <c r="P2">
        <v>1</v>
      </c>
      <c r="Q2">
        <f t="shared" ref="Q2:Q32" si="0">SUM(F2:K2)*P2</f>
        <v>3.1728754607020004</v>
      </c>
      <c r="R2">
        <f>VLOOKUP(D2,Avg!$C$2:$K$69,9,FALSE)</f>
        <v>0</v>
      </c>
    </row>
    <row r="3" spans="1:18" x14ac:dyDescent="0.2">
      <c r="A3" t="s">
        <v>16</v>
      </c>
      <c r="B3" s="1">
        <v>42806</v>
      </c>
      <c r="C3" t="b">
        <v>0</v>
      </c>
      <c r="D3" t="s">
        <v>19</v>
      </c>
      <c r="E3">
        <v>1</v>
      </c>
      <c r="F3">
        <v>0.97679563068099995</v>
      </c>
      <c r="G3">
        <v>0.84020327831099995</v>
      </c>
      <c r="H3">
        <v>0.59533292900099999</v>
      </c>
      <c r="I3">
        <v>0.41466401651399998</v>
      </c>
      <c r="J3">
        <v>0.22939963345600001</v>
      </c>
      <c r="K3">
        <v>0.13847996945999999</v>
      </c>
      <c r="L3" t="b">
        <v>1</v>
      </c>
      <c r="M3">
        <v>2250</v>
      </c>
      <c r="N3">
        <v>93.71</v>
      </c>
      <c r="O3" t="s">
        <v>20</v>
      </c>
      <c r="P3">
        <v>1</v>
      </c>
      <c r="Q3">
        <f t="shared" si="0"/>
        <v>3.1948754574230001</v>
      </c>
      <c r="R3">
        <f>VLOOKUP(D3,Avg!$C$2:$K$69,9,FALSE)</f>
        <v>0</v>
      </c>
    </row>
    <row r="4" spans="1:18" x14ac:dyDescent="0.2">
      <c r="A4" t="s">
        <v>16</v>
      </c>
      <c r="B4" s="1">
        <v>42806</v>
      </c>
      <c r="C4" t="b">
        <v>0</v>
      </c>
      <c r="D4" t="s">
        <v>21</v>
      </c>
      <c r="E4">
        <v>1</v>
      </c>
      <c r="F4">
        <v>0.979612036046</v>
      </c>
      <c r="G4">
        <v>0.80557280141999998</v>
      </c>
      <c r="H4">
        <v>0.55659643887499999</v>
      </c>
      <c r="I4">
        <v>0.38029915008699999</v>
      </c>
      <c r="J4">
        <v>0.212211901047</v>
      </c>
      <c r="K4">
        <v>0.103890499091</v>
      </c>
      <c r="L4" t="b">
        <v>1</v>
      </c>
      <c r="M4">
        <v>2305</v>
      </c>
      <c r="N4">
        <v>92.18</v>
      </c>
      <c r="O4" t="s">
        <v>22</v>
      </c>
      <c r="P4">
        <v>1</v>
      </c>
      <c r="Q4">
        <f t="shared" si="0"/>
        <v>3.038182826566</v>
      </c>
      <c r="R4">
        <f>VLOOKUP(D4,Avg!$C$2:$K$69,9,FALSE)</f>
        <v>0</v>
      </c>
    </row>
    <row r="5" spans="1:18" x14ac:dyDescent="0.2">
      <c r="A5" t="s">
        <v>16</v>
      </c>
      <c r="B5" s="1">
        <v>42806</v>
      </c>
      <c r="C5" t="b">
        <v>0</v>
      </c>
      <c r="D5" t="s">
        <v>23</v>
      </c>
      <c r="E5">
        <v>1</v>
      </c>
      <c r="F5">
        <v>0.96680637880200004</v>
      </c>
      <c r="G5">
        <v>0.68192340728</v>
      </c>
      <c r="H5">
        <v>0.47482891546700001</v>
      </c>
      <c r="I5">
        <v>0.30224984267600002</v>
      </c>
      <c r="J5">
        <v>0.16823762626399999</v>
      </c>
      <c r="K5">
        <v>8.1807350750999999E-2</v>
      </c>
      <c r="L5" t="b">
        <v>1</v>
      </c>
      <c r="M5">
        <v>96</v>
      </c>
      <c r="N5">
        <v>92.28</v>
      </c>
      <c r="O5" t="s">
        <v>24</v>
      </c>
      <c r="P5">
        <v>2</v>
      </c>
      <c r="Q5">
        <f t="shared" si="0"/>
        <v>5.3517070424800011</v>
      </c>
      <c r="R5">
        <f>VLOOKUP(D5,Avg!$C$2:$K$69,9,FALSE)</f>
        <v>0</v>
      </c>
    </row>
    <row r="6" spans="1:18" x14ac:dyDescent="0.2">
      <c r="A6" t="s">
        <v>16</v>
      </c>
      <c r="B6" s="1">
        <v>42806</v>
      </c>
      <c r="C6" t="b">
        <v>0</v>
      </c>
      <c r="D6" t="s">
        <v>25</v>
      </c>
      <c r="E6">
        <v>1</v>
      </c>
      <c r="F6">
        <v>0.97927533949599999</v>
      </c>
      <c r="G6">
        <v>0.798724712655</v>
      </c>
      <c r="H6">
        <v>0.57984197962600004</v>
      </c>
      <c r="I6">
        <v>0.29854891572600001</v>
      </c>
      <c r="J6">
        <v>0.15479222979500001</v>
      </c>
      <c r="K6">
        <v>6.9972957665000002E-2</v>
      </c>
      <c r="L6" t="b">
        <v>1</v>
      </c>
      <c r="M6">
        <v>153</v>
      </c>
      <c r="N6">
        <v>91.74</v>
      </c>
      <c r="O6" t="s">
        <v>24</v>
      </c>
      <c r="P6">
        <v>1</v>
      </c>
      <c r="Q6">
        <f t="shared" si="0"/>
        <v>2.8811561349630002</v>
      </c>
      <c r="R6">
        <f>VLOOKUP(D6,Avg!$C$2:$K$69,9,FALSE)</f>
        <v>0</v>
      </c>
    </row>
    <row r="7" spans="1:18" x14ac:dyDescent="0.2">
      <c r="A7" t="s">
        <v>16</v>
      </c>
      <c r="B7" s="1">
        <v>42806</v>
      </c>
      <c r="C7" t="b">
        <v>0</v>
      </c>
      <c r="D7" t="s">
        <v>26</v>
      </c>
      <c r="E7">
        <v>1</v>
      </c>
      <c r="F7">
        <v>0.96690349434400003</v>
      </c>
      <c r="G7">
        <v>0.77986968716000005</v>
      </c>
      <c r="H7">
        <v>0.51011610707300004</v>
      </c>
      <c r="I7">
        <v>0.23657493387199999</v>
      </c>
      <c r="J7">
        <v>0.12211405819</v>
      </c>
      <c r="K7">
        <v>6.6660797637999994E-2</v>
      </c>
      <c r="L7" t="b">
        <v>1</v>
      </c>
      <c r="M7">
        <v>150</v>
      </c>
      <c r="N7">
        <v>92.26</v>
      </c>
      <c r="O7" t="s">
        <v>18</v>
      </c>
      <c r="P7">
        <v>2</v>
      </c>
      <c r="Q7">
        <f t="shared" si="0"/>
        <v>5.3644781565539992</v>
      </c>
      <c r="R7">
        <f>VLOOKUP(D7,Avg!$C$2:$K$69,9,FALSE)</f>
        <v>0</v>
      </c>
    </row>
    <row r="8" spans="1:18" x14ac:dyDescent="0.2">
      <c r="A8" t="s">
        <v>16</v>
      </c>
      <c r="B8" s="1">
        <v>42806</v>
      </c>
      <c r="C8" t="b">
        <v>0</v>
      </c>
      <c r="D8" t="s">
        <v>27</v>
      </c>
      <c r="E8">
        <v>1</v>
      </c>
      <c r="F8">
        <v>0.97381811850300004</v>
      </c>
      <c r="G8">
        <v>0.66818552247100005</v>
      </c>
      <c r="H8">
        <v>0.46517938654699997</v>
      </c>
      <c r="I8">
        <v>0.21609735035899999</v>
      </c>
      <c r="J8">
        <v>0.11082204806199999</v>
      </c>
      <c r="K8">
        <v>4.9736747758000001E-2</v>
      </c>
      <c r="L8" t="b">
        <v>1</v>
      </c>
      <c r="M8">
        <v>97</v>
      </c>
      <c r="N8">
        <v>90.8</v>
      </c>
      <c r="O8" t="s">
        <v>22</v>
      </c>
      <c r="P8">
        <v>2</v>
      </c>
      <c r="Q8">
        <f t="shared" si="0"/>
        <v>4.9676783473999997</v>
      </c>
      <c r="R8">
        <f>VLOOKUP(D8,Avg!$C$2:$K$69,9,FALSE)</f>
        <v>0</v>
      </c>
    </row>
    <row r="9" spans="1:18" x14ac:dyDescent="0.2">
      <c r="A9" t="s">
        <v>16</v>
      </c>
      <c r="B9" s="1">
        <v>42806</v>
      </c>
      <c r="C9" t="b">
        <v>0</v>
      </c>
      <c r="D9" t="s">
        <v>28</v>
      </c>
      <c r="E9">
        <v>1</v>
      </c>
      <c r="F9">
        <v>0.95250163496499995</v>
      </c>
      <c r="G9">
        <v>0.56827507764399998</v>
      </c>
      <c r="H9">
        <v>0.39245336166400002</v>
      </c>
      <c r="I9">
        <v>0.161012216087</v>
      </c>
      <c r="J9">
        <v>7.9675081501E-2</v>
      </c>
      <c r="K9">
        <v>4.3955030744E-2</v>
      </c>
      <c r="L9" t="b">
        <v>1</v>
      </c>
      <c r="M9">
        <v>12</v>
      </c>
      <c r="N9">
        <v>88.99</v>
      </c>
      <c r="O9" t="s">
        <v>20</v>
      </c>
      <c r="P9">
        <v>2</v>
      </c>
      <c r="Q9">
        <f t="shared" si="0"/>
        <v>4.3957448052100005</v>
      </c>
      <c r="R9">
        <f>VLOOKUP(D9,Avg!$C$2:$K$69,9,FALSE)</f>
        <v>0</v>
      </c>
    </row>
    <row r="10" spans="1:18" x14ac:dyDescent="0.2">
      <c r="A10" t="s">
        <v>16</v>
      </c>
      <c r="B10" s="1">
        <v>42806</v>
      </c>
      <c r="C10" t="b">
        <v>0</v>
      </c>
      <c r="D10" t="s">
        <v>29</v>
      </c>
      <c r="E10">
        <v>1</v>
      </c>
      <c r="F10">
        <v>0.90182951503599995</v>
      </c>
      <c r="G10">
        <v>0.64560099046800001</v>
      </c>
      <c r="H10">
        <v>0.25600598143999997</v>
      </c>
      <c r="I10">
        <v>0.14689020424099999</v>
      </c>
      <c r="J10">
        <v>6.7773822183000001E-2</v>
      </c>
      <c r="K10">
        <v>3.5333034940000001E-2</v>
      </c>
      <c r="L10" t="b">
        <v>1</v>
      </c>
      <c r="M10">
        <v>277</v>
      </c>
      <c r="N10">
        <v>90.8</v>
      </c>
      <c r="O10" t="s">
        <v>20</v>
      </c>
      <c r="P10">
        <v>4</v>
      </c>
      <c r="Q10">
        <f t="shared" si="0"/>
        <v>8.2137341932319998</v>
      </c>
      <c r="R10" t="str">
        <f>VLOOKUP(D10,Avg!$C$2:$K$69,9,FALSE)</f>
        <v>Craig</v>
      </c>
    </row>
    <row r="11" spans="1:18" x14ac:dyDescent="0.2">
      <c r="A11" t="s">
        <v>16</v>
      </c>
      <c r="B11" s="1">
        <v>42806</v>
      </c>
      <c r="C11" t="b">
        <v>0</v>
      </c>
      <c r="D11" t="s">
        <v>30</v>
      </c>
      <c r="E11">
        <v>1</v>
      </c>
      <c r="F11">
        <v>0.94172364257600005</v>
      </c>
      <c r="G11">
        <v>0.61453888773999998</v>
      </c>
      <c r="H11">
        <v>0.20831978658299999</v>
      </c>
      <c r="I11">
        <v>9.7548959502999993E-2</v>
      </c>
      <c r="J11">
        <v>5.2713170726999999E-2</v>
      </c>
      <c r="K11">
        <v>2.4859542929999999E-2</v>
      </c>
      <c r="L11" t="b">
        <v>1</v>
      </c>
      <c r="M11">
        <v>26</v>
      </c>
      <c r="N11">
        <v>88.02</v>
      </c>
      <c r="O11" t="s">
        <v>24</v>
      </c>
      <c r="P11">
        <v>3</v>
      </c>
      <c r="Q11">
        <f t="shared" si="0"/>
        <v>5.8191119701770004</v>
      </c>
      <c r="R11">
        <f>VLOOKUP(D11,Avg!$C$2:$K$69,9,FALSE)</f>
        <v>0</v>
      </c>
    </row>
    <row r="12" spans="1:18" x14ac:dyDescent="0.2">
      <c r="A12" t="s">
        <v>16</v>
      </c>
      <c r="B12" s="1">
        <v>42806</v>
      </c>
      <c r="C12" t="b">
        <v>0</v>
      </c>
      <c r="D12" t="s">
        <v>31</v>
      </c>
      <c r="E12">
        <v>1</v>
      </c>
      <c r="F12">
        <v>0.84476691150100003</v>
      </c>
      <c r="G12">
        <v>0.49157769056</v>
      </c>
      <c r="H12">
        <v>0.178718248947</v>
      </c>
      <c r="I12">
        <v>9.5957030871999999E-2</v>
      </c>
      <c r="J12">
        <v>4.7313097802E-2</v>
      </c>
      <c r="K12">
        <v>2.4829884468E-2</v>
      </c>
      <c r="L12" t="b">
        <v>1</v>
      </c>
      <c r="M12">
        <v>258</v>
      </c>
      <c r="N12">
        <v>90.02</v>
      </c>
      <c r="O12" t="s">
        <v>18</v>
      </c>
      <c r="P12">
        <v>5</v>
      </c>
      <c r="Q12">
        <f t="shared" si="0"/>
        <v>8.41581432075</v>
      </c>
      <c r="R12" t="str">
        <f>VLOOKUP(D12,Avg!$C$2:$K$69,9,FALSE)</f>
        <v>Ed</v>
      </c>
    </row>
    <row r="13" spans="1:18" x14ac:dyDescent="0.2">
      <c r="A13" t="s">
        <v>16</v>
      </c>
      <c r="B13" s="1">
        <v>42806</v>
      </c>
      <c r="C13" t="b">
        <v>0</v>
      </c>
      <c r="D13" t="s">
        <v>32</v>
      </c>
      <c r="E13">
        <v>1</v>
      </c>
      <c r="F13">
        <v>0.73777078765799997</v>
      </c>
      <c r="G13">
        <v>0.35055167173200003</v>
      </c>
      <c r="H13">
        <v>0.25752048190400001</v>
      </c>
      <c r="I13">
        <v>0.117770504604</v>
      </c>
      <c r="J13">
        <v>4.6161800816999998E-2</v>
      </c>
      <c r="K13">
        <v>2.1078897482000002E-2</v>
      </c>
      <c r="L13" t="b">
        <v>1</v>
      </c>
      <c r="M13">
        <v>2608</v>
      </c>
      <c r="N13">
        <v>87.39</v>
      </c>
      <c r="O13" t="s">
        <v>20</v>
      </c>
      <c r="P13">
        <v>7</v>
      </c>
      <c r="Q13">
        <f t="shared" si="0"/>
        <v>10.715979009379</v>
      </c>
      <c r="R13" t="str">
        <f>VLOOKUP(D13,Avg!$C$2:$K$69,9,FALSE)</f>
        <v>Andrew</v>
      </c>
    </row>
    <row r="14" spans="1:18" x14ac:dyDescent="0.2">
      <c r="A14" t="s">
        <v>16</v>
      </c>
      <c r="B14" s="1">
        <v>42806</v>
      </c>
      <c r="C14" t="b">
        <v>0</v>
      </c>
      <c r="D14" t="s">
        <v>33</v>
      </c>
      <c r="E14">
        <v>1</v>
      </c>
      <c r="F14">
        <v>0.85969631101300004</v>
      </c>
      <c r="G14">
        <v>0.50612891305600005</v>
      </c>
      <c r="H14">
        <v>0.19661565395899999</v>
      </c>
      <c r="I14">
        <v>0.106255355754</v>
      </c>
      <c r="J14">
        <v>4.9423484121999997E-2</v>
      </c>
      <c r="K14">
        <v>2.0099202582E-2</v>
      </c>
      <c r="L14" t="b">
        <v>1</v>
      </c>
      <c r="M14">
        <v>2509</v>
      </c>
      <c r="N14">
        <v>88.61</v>
      </c>
      <c r="O14" t="s">
        <v>22</v>
      </c>
      <c r="P14">
        <v>4</v>
      </c>
      <c r="Q14">
        <f t="shared" si="0"/>
        <v>6.9528756819440005</v>
      </c>
      <c r="R14">
        <f>VLOOKUP(D14,Avg!$C$2:$K$69,9,FALSE)</f>
        <v>0</v>
      </c>
    </row>
    <row r="15" spans="1:18" x14ac:dyDescent="0.2">
      <c r="A15" t="s">
        <v>16</v>
      </c>
      <c r="B15" s="1">
        <v>42806</v>
      </c>
      <c r="C15" t="b">
        <v>0</v>
      </c>
      <c r="D15" t="s">
        <v>34</v>
      </c>
      <c r="E15">
        <v>1</v>
      </c>
      <c r="F15">
        <v>0.69235830947099997</v>
      </c>
      <c r="G15">
        <v>0.244216762846</v>
      </c>
      <c r="H15">
        <v>0.149894118977</v>
      </c>
      <c r="I15">
        <v>8.3845937221999997E-2</v>
      </c>
      <c r="J15">
        <v>4.3748013930000003E-2</v>
      </c>
      <c r="K15">
        <v>1.9903767736999999E-2</v>
      </c>
      <c r="L15" t="b">
        <v>1</v>
      </c>
      <c r="M15">
        <v>2724</v>
      </c>
      <c r="N15">
        <v>88.86</v>
      </c>
      <c r="O15" t="s">
        <v>24</v>
      </c>
      <c r="P15">
        <v>10</v>
      </c>
      <c r="Q15">
        <f t="shared" si="0"/>
        <v>12.339669101829998</v>
      </c>
      <c r="R15" t="str">
        <f>VLOOKUP(D15,Avg!$C$2:$K$69,9,FALSE)</f>
        <v>Craig</v>
      </c>
    </row>
    <row r="16" spans="1:18" x14ac:dyDescent="0.2">
      <c r="A16" t="s">
        <v>16</v>
      </c>
      <c r="B16" s="1">
        <v>42806</v>
      </c>
      <c r="C16" t="b">
        <v>0</v>
      </c>
      <c r="D16" t="s">
        <v>35</v>
      </c>
      <c r="E16">
        <v>1</v>
      </c>
      <c r="F16">
        <v>0.78964169630699999</v>
      </c>
      <c r="G16">
        <v>0.45629966633300001</v>
      </c>
      <c r="H16">
        <v>0.19790373503</v>
      </c>
      <c r="I16">
        <v>7.1711275902999999E-2</v>
      </c>
      <c r="J16">
        <v>3.3629270789999999E-2</v>
      </c>
      <c r="K16">
        <v>1.6904120246999998E-2</v>
      </c>
      <c r="L16" t="b">
        <v>1</v>
      </c>
      <c r="M16">
        <v>2567</v>
      </c>
      <c r="N16">
        <v>88.43</v>
      </c>
      <c r="O16" t="s">
        <v>18</v>
      </c>
      <c r="P16">
        <v>6</v>
      </c>
      <c r="Q16">
        <f t="shared" si="0"/>
        <v>9.3965385876599985</v>
      </c>
      <c r="R16" t="str">
        <f>VLOOKUP(D16,Avg!$C$2:$K$69,9,FALSE)</f>
        <v>Andrew</v>
      </c>
    </row>
    <row r="17" spans="1:18" x14ac:dyDescent="0.2">
      <c r="A17" t="s">
        <v>16</v>
      </c>
      <c r="B17" s="1">
        <v>42806</v>
      </c>
      <c r="C17" t="b">
        <v>0</v>
      </c>
      <c r="D17" t="s">
        <v>36</v>
      </c>
      <c r="E17">
        <v>1</v>
      </c>
      <c r="F17">
        <v>0.83087963062000003</v>
      </c>
      <c r="G17">
        <v>0.41926545040899998</v>
      </c>
      <c r="H17">
        <v>0.165322582089</v>
      </c>
      <c r="I17">
        <v>9.0313293305E-2</v>
      </c>
      <c r="J17">
        <v>4.1477263395999997E-2</v>
      </c>
      <c r="K17">
        <v>1.6654491228000001E-2</v>
      </c>
      <c r="L17" t="b">
        <v>1</v>
      </c>
      <c r="M17">
        <v>66</v>
      </c>
      <c r="N17">
        <v>87.92</v>
      </c>
      <c r="O17" t="s">
        <v>22</v>
      </c>
      <c r="P17">
        <v>5</v>
      </c>
      <c r="Q17">
        <f t="shared" si="0"/>
        <v>7.8195635552350007</v>
      </c>
      <c r="R17">
        <f>VLOOKUP(D17,Avg!$C$2:$K$69,9,FALSE)</f>
        <v>0</v>
      </c>
    </row>
    <row r="18" spans="1:18" x14ac:dyDescent="0.2">
      <c r="A18" t="s">
        <v>16</v>
      </c>
      <c r="B18" s="1">
        <v>42806</v>
      </c>
      <c r="C18" t="b">
        <v>0</v>
      </c>
      <c r="D18" t="s">
        <v>37</v>
      </c>
      <c r="E18">
        <v>1</v>
      </c>
      <c r="F18">
        <v>0.90349888491100006</v>
      </c>
      <c r="G18">
        <v>0.46061431473499997</v>
      </c>
      <c r="H18">
        <v>0.18842652251100001</v>
      </c>
      <c r="I18">
        <v>6.4282634938999994E-2</v>
      </c>
      <c r="J18">
        <v>2.8869538874000001E-2</v>
      </c>
      <c r="K18">
        <v>1.3981917848E-2</v>
      </c>
      <c r="L18" t="b">
        <v>1</v>
      </c>
      <c r="M18">
        <v>239</v>
      </c>
      <c r="N18">
        <v>87.66</v>
      </c>
      <c r="O18" t="s">
        <v>18</v>
      </c>
      <c r="P18">
        <v>3</v>
      </c>
      <c r="Q18">
        <f t="shared" si="0"/>
        <v>4.9790214414539999</v>
      </c>
      <c r="R18">
        <f>VLOOKUP(D18,Avg!$C$2:$K$69,9,FALSE)</f>
        <v>0</v>
      </c>
    </row>
    <row r="19" spans="1:18" x14ac:dyDescent="0.2">
      <c r="A19" t="s">
        <v>16</v>
      </c>
      <c r="B19" s="1">
        <v>42806</v>
      </c>
      <c r="C19" t="b">
        <v>0</v>
      </c>
      <c r="D19" t="s">
        <v>38</v>
      </c>
      <c r="E19">
        <v>1</v>
      </c>
      <c r="F19">
        <v>0.922453144793</v>
      </c>
      <c r="G19">
        <v>0.61253091051499997</v>
      </c>
      <c r="H19">
        <v>0.21081950971399999</v>
      </c>
      <c r="I19">
        <v>6.5982422402000002E-2</v>
      </c>
      <c r="J19">
        <v>2.9510769900999999E-2</v>
      </c>
      <c r="K19">
        <v>1.1540625553E-2</v>
      </c>
      <c r="L19" t="b">
        <v>1</v>
      </c>
      <c r="M19">
        <v>2483</v>
      </c>
      <c r="N19">
        <v>87.3</v>
      </c>
      <c r="O19" t="s">
        <v>22</v>
      </c>
      <c r="P19">
        <v>3</v>
      </c>
      <c r="Q19">
        <f t="shared" si="0"/>
        <v>5.5585121486339997</v>
      </c>
      <c r="R19">
        <f>VLOOKUP(D19,Avg!$C$2:$K$69,9,FALSE)</f>
        <v>0</v>
      </c>
    </row>
    <row r="20" spans="1:18" x14ac:dyDescent="0.2">
      <c r="A20" t="s">
        <v>16</v>
      </c>
      <c r="B20" s="1">
        <v>42806</v>
      </c>
      <c r="C20" t="b">
        <v>0</v>
      </c>
      <c r="D20" t="s">
        <v>39</v>
      </c>
      <c r="E20">
        <v>1</v>
      </c>
      <c r="F20">
        <v>0.89020590606600003</v>
      </c>
      <c r="G20">
        <v>0.62012561110499997</v>
      </c>
      <c r="H20">
        <v>0.231390822307</v>
      </c>
      <c r="I20">
        <v>8.6281939128999993E-2</v>
      </c>
      <c r="J20">
        <v>3.298443953E-2</v>
      </c>
      <c r="K20">
        <v>1.1023811184999999E-2</v>
      </c>
      <c r="L20" t="b">
        <v>1</v>
      </c>
      <c r="M20">
        <v>2086</v>
      </c>
      <c r="N20">
        <v>86.52</v>
      </c>
      <c r="O20" t="s">
        <v>24</v>
      </c>
      <c r="P20">
        <v>4</v>
      </c>
      <c r="Q20">
        <f t="shared" si="0"/>
        <v>7.488050117288001</v>
      </c>
      <c r="R20">
        <f>VLOOKUP(D20,Avg!$C$2:$K$69,9,FALSE)</f>
        <v>0</v>
      </c>
    </row>
    <row r="21" spans="1:18" x14ac:dyDescent="0.2">
      <c r="A21" t="s">
        <v>16</v>
      </c>
      <c r="B21" s="1">
        <v>42806</v>
      </c>
      <c r="C21" t="b">
        <v>0</v>
      </c>
      <c r="D21" t="s">
        <v>40</v>
      </c>
      <c r="E21">
        <v>1</v>
      </c>
      <c r="F21">
        <v>0.87491805237700004</v>
      </c>
      <c r="G21">
        <v>0.44357012510100002</v>
      </c>
      <c r="H21">
        <v>0.12650591017900001</v>
      </c>
      <c r="I21">
        <v>5.7340558777999998E-2</v>
      </c>
      <c r="J21">
        <v>2.3554631132000001E-2</v>
      </c>
      <c r="K21">
        <v>1.0564921073E-2</v>
      </c>
      <c r="L21" t="b">
        <v>1</v>
      </c>
      <c r="M21">
        <v>57</v>
      </c>
      <c r="N21">
        <v>87.84</v>
      </c>
      <c r="O21" t="s">
        <v>18</v>
      </c>
      <c r="P21">
        <v>4</v>
      </c>
      <c r="Q21">
        <f t="shared" si="0"/>
        <v>6.1458167945600017</v>
      </c>
      <c r="R21">
        <f>VLOOKUP(D21,Avg!$C$2:$K$69,9,FALSE)</f>
        <v>0</v>
      </c>
    </row>
    <row r="22" spans="1:18" x14ac:dyDescent="0.2">
      <c r="A22" t="s">
        <v>16</v>
      </c>
      <c r="B22" s="1">
        <v>42806</v>
      </c>
      <c r="C22" t="b">
        <v>0</v>
      </c>
      <c r="D22" t="s">
        <v>41</v>
      </c>
      <c r="E22">
        <v>1</v>
      </c>
      <c r="F22">
        <v>0.87545933742399995</v>
      </c>
      <c r="G22">
        <v>0.61994803190500003</v>
      </c>
      <c r="H22">
        <v>0.22357992729000001</v>
      </c>
      <c r="I22">
        <v>6.9806578733999994E-2</v>
      </c>
      <c r="J22">
        <v>2.4619697151999999E-2</v>
      </c>
      <c r="K22">
        <v>1.0309221562999999E-2</v>
      </c>
      <c r="L22" t="b">
        <v>1</v>
      </c>
      <c r="M22">
        <v>52</v>
      </c>
      <c r="N22">
        <v>87.22</v>
      </c>
      <c r="O22" t="s">
        <v>20</v>
      </c>
      <c r="P22">
        <v>3</v>
      </c>
      <c r="Q22">
        <f t="shared" si="0"/>
        <v>5.4711683822040005</v>
      </c>
      <c r="R22">
        <f>VLOOKUP(D22,Avg!$C$2:$K$69,9,FALSE)</f>
        <v>0</v>
      </c>
    </row>
    <row r="23" spans="1:18" x14ac:dyDescent="0.2">
      <c r="A23" t="s">
        <v>16</v>
      </c>
      <c r="B23" s="1">
        <v>42806</v>
      </c>
      <c r="C23" t="b">
        <v>0</v>
      </c>
      <c r="D23" t="s">
        <v>42</v>
      </c>
      <c r="E23">
        <v>1</v>
      </c>
      <c r="F23">
        <v>0.62799231294799995</v>
      </c>
      <c r="G23">
        <v>0.25816187228699999</v>
      </c>
      <c r="H23">
        <v>0.10170891537600001</v>
      </c>
      <c r="I23">
        <v>5.3018996818999999E-2</v>
      </c>
      <c r="J23">
        <v>2.3916960306999999E-2</v>
      </c>
      <c r="K23">
        <v>9.4015195549999996E-3</v>
      </c>
      <c r="L23" t="b">
        <v>1</v>
      </c>
      <c r="M23">
        <v>2132</v>
      </c>
      <c r="N23">
        <v>87.35</v>
      </c>
      <c r="O23" t="s">
        <v>24</v>
      </c>
      <c r="P23">
        <v>6</v>
      </c>
      <c r="Q23">
        <f t="shared" si="0"/>
        <v>6.4452034637519988</v>
      </c>
      <c r="R23">
        <f>VLOOKUP(D23,Avg!$C$2:$K$69,9,FALSE)</f>
        <v>0</v>
      </c>
    </row>
    <row r="24" spans="1:18" x14ac:dyDescent="0.2">
      <c r="A24" t="s">
        <v>16</v>
      </c>
      <c r="B24" s="1">
        <v>42806</v>
      </c>
      <c r="C24" t="b">
        <v>0</v>
      </c>
      <c r="D24" t="s">
        <v>43</v>
      </c>
      <c r="E24">
        <v>1</v>
      </c>
      <c r="F24">
        <v>0.78979804093899997</v>
      </c>
      <c r="G24">
        <v>0.17621419688699999</v>
      </c>
      <c r="H24">
        <v>9.1755651982000003E-2</v>
      </c>
      <c r="I24">
        <v>4.4102419263000001E-2</v>
      </c>
      <c r="J24">
        <v>1.9314220584000001E-2</v>
      </c>
      <c r="K24">
        <v>9.1538209380000006E-3</v>
      </c>
      <c r="L24" t="b">
        <v>1</v>
      </c>
      <c r="M24">
        <v>275</v>
      </c>
      <c r="N24">
        <v>87.84</v>
      </c>
      <c r="O24" t="s">
        <v>18</v>
      </c>
      <c r="P24">
        <v>8</v>
      </c>
      <c r="Q24">
        <f t="shared" si="0"/>
        <v>9.0427068047440002</v>
      </c>
      <c r="R24" t="str">
        <f>VLOOKUP(D24,Avg!$C$2:$K$69,9,FALSE)</f>
        <v>Nathan</v>
      </c>
    </row>
    <row r="25" spans="1:18" x14ac:dyDescent="0.2">
      <c r="A25" t="s">
        <v>16</v>
      </c>
      <c r="B25" s="1">
        <v>42806</v>
      </c>
      <c r="C25" t="b">
        <v>0</v>
      </c>
      <c r="D25" t="s">
        <v>44</v>
      </c>
      <c r="E25">
        <v>1</v>
      </c>
      <c r="F25">
        <v>0.63343538974199998</v>
      </c>
      <c r="G25">
        <v>0.22970175400599999</v>
      </c>
      <c r="H25">
        <v>0.13602618555500001</v>
      </c>
      <c r="I25">
        <v>5.006435897E-2</v>
      </c>
      <c r="J25">
        <v>2.1324030609999999E-2</v>
      </c>
      <c r="K25">
        <v>7.9446881849999998E-3</v>
      </c>
      <c r="L25" t="b">
        <v>1</v>
      </c>
      <c r="M25">
        <v>130</v>
      </c>
      <c r="N25">
        <v>86.86</v>
      </c>
      <c r="O25" t="s">
        <v>22</v>
      </c>
      <c r="P25">
        <v>7</v>
      </c>
      <c r="Q25">
        <f t="shared" si="0"/>
        <v>7.5494748494760007</v>
      </c>
      <c r="R25" t="str">
        <f>VLOOKUP(D25,Avg!$C$2:$K$69,9,FALSE)</f>
        <v>Ed</v>
      </c>
    </row>
    <row r="26" spans="1:18" x14ac:dyDescent="0.2">
      <c r="A26" t="s">
        <v>16</v>
      </c>
      <c r="B26" s="1">
        <v>42806</v>
      </c>
      <c r="C26" t="b">
        <v>0</v>
      </c>
      <c r="D26" t="s">
        <v>45</v>
      </c>
      <c r="E26">
        <v>1</v>
      </c>
      <c r="F26">
        <v>0.75470816721400003</v>
      </c>
      <c r="G26">
        <v>0.27681012544599998</v>
      </c>
      <c r="H26">
        <v>8.2734021214999995E-2</v>
      </c>
      <c r="I26">
        <v>3.8876176976000001E-2</v>
      </c>
      <c r="J26">
        <v>1.4374156817E-2</v>
      </c>
      <c r="K26">
        <v>6.2573995730000002E-3</v>
      </c>
      <c r="L26" t="b">
        <v>1</v>
      </c>
      <c r="M26">
        <v>87</v>
      </c>
      <c r="N26">
        <v>86.68</v>
      </c>
      <c r="O26" t="s">
        <v>20</v>
      </c>
      <c r="P26">
        <v>5</v>
      </c>
      <c r="Q26">
        <f t="shared" si="0"/>
        <v>5.8688002362049998</v>
      </c>
      <c r="R26">
        <f>VLOOKUP(D26,Avg!$C$2:$K$69,9,FALSE)</f>
        <v>0</v>
      </c>
    </row>
    <row r="27" spans="1:18" x14ac:dyDescent="0.2">
      <c r="A27" t="s">
        <v>16</v>
      </c>
      <c r="B27" s="1">
        <v>42806</v>
      </c>
      <c r="C27" t="b">
        <v>0</v>
      </c>
      <c r="D27" t="s">
        <v>46</v>
      </c>
      <c r="E27">
        <v>1</v>
      </c>
      <c r="F27">
        <v>0.56085915866500002</v>
      </c>
      <c r="G27">
        <v>0.21936621526299999</v>
      </c>
      <c r="H27">
        <v>8.2632247490999997E-2</v>
      </c>
      <c r="I27">
        <v>2.8122710754E-2</v>
      </c>
      <c r="J27">
        <v>1.0679373557000001E-2</v>
      </c>
      <c r="K27">
        <v>3.5542270559999999E-3</v>
      </c>
      <c r="L27" t="b">
        <v>1</v>
      </c>
      <c r="M27">
        <v>156</v>
      </c>
      <c r="N27">
        <v>84.43</v>
      </c>
      <c r="O27" t="s">
        <v>22</v>
      </c>
      <c r="P27">
        <v>6</v>
      </c>
      <c r="Q27">
        <f t="shared" si="0"/>
        <v>5.4312835967159998</v>
      </c>
      <c r="R27">
        <f>VLOOKUP(D27,Avg!$C$2:$K$69,9,FALSE)</f>
        <v>0</v>
      </c>
    </row>
    <row r="28" spans="1:18" x14ac:dyDescent="0.2">
      <c r="A28" t="s">
        <v>16</v>
      </c>
      <c r="B28" s="1">
        <v>42806</v>
      </c>
      <c r="C28" t="b">
        <v>0</v>
      </c>
      <c r="D28" t="s">
        <v>47</v>
      </c>
      <c r="E28">
        <v>1</v>
      </c>
      <c r="F28">
        <v>0.36656461025800002</v>
      </c>
      <c r="G28">
        <v>9.9963700170000003E-2</v>
      </c>
      <c r="H28">
        <v>5.7101230454E-2</v>
      </c>
      <c r="I28">
        <v>2.0032276899000001E-2</v>
      </c>
      <c r="J28">
        <v>8.2170152560000001E-3</v>
      </c>
      <c r="K28">
        <v>2.9497159240000001E-3</v>
      </c>
      <c r="L28" t="b">
        <v>1</v>
      </c>
      <c r="M28">
        <v>197</v>
      </c>
      <c r="N28">
        <v>84.71</v>
      </c>
      <c r="O28" t="s">
        <v>22</v>
      </c>
      <c r="P28">
        <v>10</v>
      </c>
      <c r="Q28">
        <f t="shared" si="0"/>
        <v>5.5482854896099996</v>
      </c>
      <c r="R28">
        <f>VLOOKUP(D28,Avg!$C$2:$K$69,9,FALSE)</f>
        <v>0</v>
      </c>
    </row>
    <row r="29" spans="1:18" x14ac:dyDescent="0.2">
      <c r="A29" t="s">
        <v>16</v>
      </c>
      <c r="B29" s="1">
        <v>42806</v>
      </c>
      <c r="C29" t="b">
        <v>0</v>
      </c>
      <c r="D29" t="s">
        <v>48</v>
      </c>
      <c r="E29">
        <v>1</v>
      </c>
      <c r="F29">
        <v>0.55124140430699997</v>
      </c>
      <c r="G29">
        <v>0.11158846408799999</v>
      </c>
      <c r="H29">
        <v>4.0975026465000002E-2</v>
      </c>
      <c r="I29">
        <v>1.5984554480999998E-2</v>
      </c>
      <c r="J29">
        <v>5.8212389639999999E-3</v>
      </c>
      <c r="K29">
        <v>1.859809763E-3</v>
      </c>
      <c r="L29" t="b">
        <v>1</v>
      </c>
      <c r="M29">
        <v>2390</v>
      </c>
      <c r="N29">
        <v>84.56</v>
      </c>
      <c r="O29" t="s">
        <v>22</v>
      </c>
      <c r="P29">
        <v>8</v>
      </c>
      <c r="Q29">
        <f t="shared" si="0"/>
        <v>5.8197639845440001</v>
      </c>
      <c r="R29" t="str">
        <f>VLOOKUP(D29,Avg!$C$2:$K$69,9,FALSE)</f>
        <v>Crouse</v>
      </c>
    </row>
    <row r="30" spans="1:18" x14ac:dyDescent="0.2">
      <c r="A30" t="s">
        <v>16</v>
      </c>
      <c r="B30" s="1">
        <v>42806</v>
      </c>
      <c r="C30" t="b">
        <v>0</v>
      </c>
      <c r="D30" t="s">
        <v>49</v>
      </c>
      <c r="E30">
        <v>1</v>
      </c>
      <c r="F30">
        <v>0.50573823900600001</v>
      </c>
      <c r="G30">
        <v>0.101191930091</v>
      </c>
      <c r="H30">
        <v>5.3221267146999998E-2</v>
      </c>
      <c r="I30">
        <v>1.7318660989E-2</v>
      </c>
      <c r="J30">
        <v>5.9181758359999996E-3</v>
      </c>
      <c r="K30">
        <v>1.774559915E-3</v>
      </c>
      <c r="L30" t="b">
        <v>1</v>
      </c>
      <c r="M30">
        <v>8</v>
      </c>
      <c r="N30">
        <v>83.19</v>
      </c>
      <c r="O30" t="s">
        <v>24</v>
      </c>
      <c r="P30">
        <v>8</v>
      </c>
      <c r="Q30">
        <f t="shared" si="0"/>
        <v>5.4813026638720004</v>
      </c>
      <c r="R30">
        <f>VLOOKUP(D30,Avg!$C$2:$K$69,9,FALSE)</f>
        <v>0</v>
      </c>
    </row>
    <row r="31" spans="1:18" x14ac:dyDescent="0.2">
      <c r="A31" t="s">
        <v>16</v>
      </c>
      <c r="B31" s="1">
        <v>42806</v>
      </c>
      <c r="C31" t="b">
        <v>0</v>
      </c>
      <c r="D31" t="s">
        <v>50</v>
      </c>
      <c r="E31">
        <v>1</v>
      </c>
      <c r="F31">
        <v>0.54570718406899998</v>
      </c>
      <c r="G31">
        <v>8.9275728201999999E-2</v>
      </c>
      <c r="H31">
        <v>3.2689651797000001E-2</v>
      </c>
      <c r="I31">
        <v>1.2532032674E-2</v>
      </c>
      <c r="J31">
        <v>3.7733575450000002E-3</v>
      </c>
      <c r="K31">
        <v>1.38565857E-3</v>
      </c>
      <c r="L31" t="b">
        <v>1</v>
      </c>
      <c r="M31">
        <v>238</v>
      </c>
      <c r="N31">
        <v>83.79</v>
      </c>
      <c r="O31" t="s">
        <v>20</v>
      </c>
      <c r="P31">
        <v>9</v>
      </c>
      <c r="Q31">
        <f t="shared" si="0"/>
        <v>6.1682725157129994</v>
      </c>
      <c r="R31">
        <f>VLOOKUP(D31,Avg!$C$2:$K$69,9,FALSE)</f>
        <v>0</v>
      </c>
    </row>
    <row r="32" spans="1:18" x14ac:dyDescent="0.2">
      <c r="A32" t="s">
        <v>16</v>
      </c>
      <c r="B32" s="1">
        <v>42806</v>
      </c>
      <c r="C32" t="b">
        <v>0</v>
      </c>
      <c r="D32" t="s">
        <v>51</v>
      </c>
      <c r="E32">
        <v>1</v>
      </c>
      <c r="F32">
        <v>0.43914084133499998</v>
      </c>
      <c r="G32">
        <v>0.153258665386</v>
      </c>
      <c r="H32">
        <v>4.6331760937999997E-2</v>
      </c>
      <c r="I32">
        <v>1.2863550511999999E-2</v>
      </c>
      <c r="J32">
        <v>4.4732360100000002E-3</v>
      </c>
      <c r="K32">
        <v>1.366309429E-3</v>
      </c>
      <c r="L32" t="b">
        <v>1</v>
      </c>
      <c r="M32">
        <v>227</v>
      </c>
      <c r="N32">
        <v>84.02</v>
      </c>
      <c r="O32" t="s">
        <v>22</v>
      </c>
      <c r="P32">
        <v>11</v>
      </c>
      <c r="Q32">
        <f t="shared" si="0"/>
        <v>7.2317779997099985</v>
      </c>
      <c r="R32" t="str">
        <f>VLOOKUP(D32,Avg!$C$2:$K$69,9,FALSE)</f>
        <v>Crouse</v>
      </c>
    </row>
    <row r="33" spans="1:18" x14ac:dyDescent="0.2">
      <c r="A33" t="s">
        <v>16</v>
      </c>
      <c r="B33" s="1">
        <v>42806</v>
      </c>
      <c r="C33" t="b">
        <v>1</v>
      </c>
      <c r="D33" s="6" t="s">
        <v>52</v>
      </c>
      <c r="E33">
        <v>0.47609117510799998</v>
      </c>
      <c r="F33">
        <v>0.187298816901</v>
      </c>
      <c r="G33">
        <v>6.3258468563000006E-2</v>
      </c>
      <c r="H33">
        <v>1.9092152503E-2</v>
      </c>
      <c r="I33">
        <v>8.2135856149999995E-3</v>
      </c>
      <c r="J33">
        <v>3.2875437929999998E-3</v>
      </c>
      <c r="K33">
        <v>1.1489898960000001E-3</v>
      </c>
      <c r="L33" t="b">
        <v>1</v>
      </c>
      <c r="M33">
        <v>2306</v>
      </c>
      <c r="N33">
        <v>83.08</v>
      </c>
      <c r="O33" t="s">
        <v>24</v>
      </c>
      <c r="P33">
        <v>11</v>
      </c>
      <c r="Q33">
        <f>(SUM(F33:K33,F34:K34)/2)*P33</f>
        <v>5.7142259451035011</v>
      </c>
      <c r="R33">
        <f>VLOOKUP(D33,Avg!$C$2:$K$69,9,FALSE)</f>
        <v>0</v>
      </c>
    </row>
    <row r="34" spans="1:18" x14ac:dyDescent="0.2">
      <c r="A34" t="s">
        <v>16</v>
      </c>
      <c r="B34" s="1">
        <v>42806</v>
      </c>
      <c r="C34" t="b">
        <v>0</v>
      </c>
      <c r="D34" t="s">
        <v>53</v>
      </c>
      <c r="E34">
        <v>1</v>
      </c>
      <c r="F34">
        <v>0.567264572844</v>
      </c>
      <c r="G34">
        <v>0.12788435313999999</v>
      </c>
      <c r="H34">
        <v>4.6432448692E-2</v>
      </c>
      <c r="I34">
        <v>1.0826562453E-2</v>
      </c>
      <c r="J34">
        <v>3.1782182559999999E-3</v>
      </c>
      <c r="K34">
        <v>1.0644591809999999E-3</v>
      </c>
      <c r="L34" t="b">
        <v>1</v>
      </c>
      <c r="M34">
        <v>2579</v>
      </c>
      <c r="N34">
        <v>83.08</v>
      </c>
      <c r="O34" t="s">
        <v>18</v>
      </c>
      <c r="P34">
        <v>7</v>
      </c>
      <c r="Q34">
        <f>SUM(F34:K34)*P34</f>
        <v>5.2965543019619989</v>
      </c>
      <c r="R34">
        <f>VLOOKUP(D34,Avg!$C$2:$K$69,9,FALSE)</f>
        <v>0</v>
      </c>
    </row>
    <row r="35" spans="1:18" x14ac:dyDescent="0.2">
      <c r="A35" t="s">
        <v>16</v>
      </c>
      <c r="B35" s="1">
        <v>42806</v>
      </c>
      <c r="C35" t="b">
        <v>0</v>
      </c>
      <c r="D35" t="s">
        <v>54</v>
      </c>
      <c r="E35">
        <v>1</v>
      </c>
      <c r="F35">
        <v>0.49426176099399999</v>
      </c>
      <c r="G35">
        <v>9.7550713420999996E-2</v>
      </c>
      <c r="H35">
        <v>4.5016707606000003E-2</v>
      </c>
      <c r="I35">
        <v>1.2438020197000001E-2</v>
      </c>
      <c r="J35">
        <v>3.8036726520000001E-3</v>
      </c>
      <c r="K35">
        <v>1.025090597E-3</v>
      </c>
      <c r="L35" t="b">
        <v>1</v>
      </c>
      <c r="M35">
        <v>2550</v>
      </c>
      <c r="N35">
        <v>82.95</v>
      </c>
      <c r="O35" t="s">
        <v>24</v>
      </c>
      <c r="P35">
        <v>9</v>
      </c>
      <c r="Q35">
        <f>SUM(F35:K35)*P35</f>
        <v>5.8868636892029986</v>
      </c>
      <c r="R35">
        <f>VLOOKUP(D35,Avg!$C$2:$K$69,9,FALSE)</f>
        <v>0</v>
      </c>
    </row>
    <row r="36" spans="1:18" x14ac:dyDescent="0.2">
      <c r="A36" t="s">
        <v>16</v>
      </c>
      <c r="B36" s="1">
        <v>42806</v>
      </c>
      <c r="C36" t="b">
        <v>0</v>
      </c>
      <c r="D36" t="s">
        <v>55</v>
      </c>
      <c r="E36">
        <v>1</v>
      </c>
      <c r="F36">
        <v>0.30764169052899998</v>
      </c>
      <c r="G36">
        <v>7.0096543859999999E-2</v>
      </c>
      <c r="H36">
        <v>2.8488468994E-2</v>
      </c>
      <c r="I36">
        <v>1.0813929866999999E-2</v>
      </c>
      <c r="J36">
        <v>3.5397752089999998E-3</v>
      </c>
      <c r="K36">
        <v>1.018350194E-3</v>
      </c>
      <c r="L36" t="b">
        <v>1</v>
      </c>
      <c r="M36">
        <v>2168</v>
      </c>
      <c r="N36">
        <v>82.84</v>
      </c>
      <c r="O36" t="s">
        <v>24</v>
      </c>
      <c r="P36">
        <v>7</v>
      </c>
      <c r="Q36">
        <f>SUM(F36:K36)*P36</f>
        <v>2.9511913105709997</v>
      </c>
      <c r="R36">
        <f>VLOOKUP(D36,Avg!$C$2:$K$69,9,FALSE)</f>
        <v>0</v>
      </c>
    </row>
    <row r="37" spans="1:18" x14ac:dyDescent="0.2">
      <c r="A37" t="s">
        <v>16</v>
      </c>
      <c r="B37" s="1">
        <v>42806</v>
      </c>
      <c r="C37" t="b">
        <v>0</v>
      </c>
      <c r="D37" t="s">
        <v>56</v>
      </c>
      <c r="E37">
        <v>1</v>
      </c>
      <c r="F37">
        <v>0.432735427156</v>
      </c>
      <c r="G37">
        <v>8.6480328391999997E-2</v>
      </c>
      <c r="H37">
        <v>3.4046864364E-2</v>
      </c>
      <c r="I37">
        <v>8.6580899059999997E-3</v>
      </c>
      <c r="J37">
        <v>2.7747141000000002E-3</v>
      </c>
      <c r="K37">
        <v>1.00354284E-3</v>
      </c>
      <c r="L37" t="b">
        <v>1</v>
      </c>
      <c r="M37">
        <v>269</v>
      </c>
      <c r="N37">
        <v>83.01</v>
      </c>
      <c r="O37" t="s">
        <v>18</v>
      </c>
      <c r="P37">
        <v>10</v>
      </c>
      <c r="Q37">
        <f>SUM(F37:K37)*P37</f>
        <v>5.6569896675800004</v>
      </c>
      <c r="R37" t="str">
        <f>VLOOKUP(D37,Avg!$C$2:$K$69,9,FALSE)</f>
        <v>Craig</v>
      </c>
    </row>
    <row r="38" spans="1:18" x14ac:dyDescent="0.2">
      <c r="A38" t="s">
        <v>16</v>
      </c>
      <c r="B38" s="1">
        <v>42806</v>
      </c>
      <c r="C38" t="b">
        <v>0</v>
      </c>
      <c r="D38" t="s">
        <v>57</v>
      </c>
      <c r="E38">
        <v>1</v>
      </c>
      <c r="F38">
        <v>0.44875859569299997</v>
      </c>
      <c r="G38">
        <v>8.0259936463000003E-2</v>
      </c>
      <c r="H38">
        <v>2.7907106530999998E-2</v>
      </c>
      <c r="I38">
        <v>1.0376899401999999E-2</v>
      </c>
      <c r="J38">
        <v>3.360842366E-3</v>
      </c>
      <c r="K38">
        <v>9.5807727399999998E-4</v>
      </c>
      <c r="L38" t="b">
        <v>1</v>
      </c>
      <c r="M38">
        <v>127</v>
      </c>
      <c r="N38">
        <v>82.79</v>
      </c>
      <c r="O38" t="s">
        <v>22</v>
      </c>
      <c r="P38">
        <v>9</v>
      </c>
      <c r="Q38">
        <f>SUM(F38:K38)*P38</f>
        <v>5.1445931195609997</v>
      </c>
      <c r="R38">
        <f>VLOOKUP(D38,Avg!$C$2:$K$69,9,FALSE)</f>
        <v>0</v>
      </c>
    </row>
    <row r="39" spans="1:18" x14ac:dyDescent="0.2">
      <c r="A39" t="s">
        <v>16</v>
      </c>
      <c r="B39" s="1">
        <v>42806</v>
      </c>
      <c r="C39" t="b">
        <v>1</v>
      </c>
      <c r="D39" s="6" t="s">
        <v>58</v>
      </c>
      <c r="E39">
        <v>0.52390882489199997</v>
      </c>
      <c r="F39">
        <v>0.18470887015000001</v>
      </c>
      <c r="G39">
        <v>5.6508128199000002E-2</v>
      </c>
      <c r="H39">
        <v>1.6560447911999999E-2</v>
      </c>
      <c r="I39">
        <v>6.9711824300000003E-3</v>
      </c>
      <c r="J39">
        <v>2.540491816E-3</v>
      </c>
      <c r="K39">
        <v>8.1058066100000005E-4</v>
      </c>
      <c r="L39" t="b">
        <v>1</v>
      </c>
      <c r="M39">
        <v>154</v>
      </c>
      <c r="N39">
        <v>82.96</v>
      </c>
      <c r="O39" t="s">
        <v>24</v>
      </c>
      <c r="P39">
        <v>11</v>
      </c>
      <c r="Q39">
        <f>(SUM(F39:K39,F38:K38)/2)*P39</f>
        <v>4.6184663739334999</v>
      </c>
      <c r="R39" t="str">
        <f>VLOOKUP(D39,Avg!$C$2:$K$69,9,FALSE)</f>
        <v>Glen</v>
      </c>
    </row>
    <row r="40" spans="1:18" x14ac:dyDescent="0.2">
      <c r="A40" t="s">
        <v>16</v>
      </c>
      <c r="B40" s="1">
        <v>42806</v>
      </c>
      <c r="C40" t="b">
        <v>0</v>
      </c>
      <c r="D40" t="s">
        <v>59</v>
      </c>
      <c r="E40">
        <v>1</v>
      </c>
      <c r="F40">
        <v>0.49428172536100001</v>
      </c>
      <c r="G40">
        <v>0.16719960204699999</v>
      </c>
      <c r="H40">
        <v>4.2373494900000003E-2</v>
      </c>
      <c r="I40">
        <v>9.4728029490000008E-3</v>
      </c>
      <c r="J40">
        <v>2.4517088639999999E-3</v>
      </c>
      <c r="K40">
        <v>7.9249282399999996E-4</v>
      </c>
      <c r="L40" t="b">
        <v>1</v>
      </c>
      <c r="M40">
        <v>2752</v>
      </c>
      <c r="N40">
        <v>82.34</v>
      </c>
      <c r="O40" t="s">
        <v>20</v>
      </c>
      <c r="P40">
        <v>11</v>
      </c>
      <c r="Q40">
        <f t="shared" ref="Q40:Q45" si="1">SUM(F40:K40)*P40</f>
        <v>7.8822900963949998</v>
      </c>
      <c r="R40" t="str">
        <f>VLOOKUP(D40,Avg!$C$2:$K$69,9,FALSE)</f>
        <v>Joel</v>
      </c>
    </row>
    <row r="41" spans="1:18" x14ac:dyDescent="0.2">
      <c r="A41" t="s">
        <v>16</v>
      </c>
      <c r="B41" s="1">
        <v>42806</v>
      </c>
      <c r="C41" t="b">
        <v>0</v>
      </c>
      <c r="D41" t="s">
        <v>60</v>
      </c>
      <c r="E41">
        <v>1</v>
      </c>
      <c r="F41">
        <v>0.26222921234199997</v>
      </c>
      <c r="G41">
        <v>7.6255128253999993E-2</v>
      </c>
      <c r="H41">
        <v>3.6011588151000001E-2</v>
      </c>
      <c r="I41">
        <v>8.5286792E-3</v>
      </c>
      <c r="J41">
        <v>2.3170902249999999E-3</v>
      </c>
      <c r="K41">
        <v>7.8041782100000002E-4</v>
      </c>
      <c r="L41" t="b">
        <v>1</v>
      </c>
      <c r="M41">
        <v>2670</v>
      </c>
      <c r="N41">
        <v>82.93</v>
      </c>
      <c r="O41" t="s">
        <v>20</v>
      </c>
      <c r="P41">
        <v>10</v>
      </c>
      <c r="Q41">
        <f t="shared" si="1"/>
        <v>3.8612211599299999</v>
      </c>
      <c r="R41">
        <f>VLOOKUP(D41,Avg!$C$2:$K$69,9,FALSE)</f>
        <v>0</v>
      </c>
    </row>
    <row r="42" spans="1:18" x14ac:dyDescent="0.2">
      <c r="A42" t="s">
        <v>16</v>
      </c>
      <c r="B42" s="1">
        <v>42806</v>
      </c>
      <c r="C42" t="b">
        <v>0</v>
      </c>
      <c r="D42" t="s">
        <v>61</v>
      </c>
      <c r="E42">
        <v>1</v>
      </c>
      <c r="F42">
        <v>0.48043775947400003</v>
      </c>
      <c r="G42">
        <v>0.16441149966900001</v>
      </c>
      <c r="H42">
        <v>4.3759257842999999E-2</v>
      </c>
      <c r="I42">
        <v>1.1922664867999999E-2</v>
      </c>
      <c r="J42">
        <v>3.2400889769999999E-3</v>
      </c>
      <c r="K42">
        <v>7.7988462699999999E-4</v>
      </c>
      <c r="L42" t="b">
        <v>1</v>
      </c>
      <c r="M42">
        <v>2393</v>
      </c>
      <c r="N42">
        <v>81.28</v>
      </c>
      <c r="O42" t="s">
        <v>24</v>
      </c>
      <c r="P42">
        <v>12</v>
      </c>
      <c r="Q42">
        <f t="shared" si="1"/>
        <v>8.4546138654960004</v>
      </c>
      <c r="R42" t="str">
        <f>VLOOKUP(D42,Avg!$C$2:$K$69,9,FALSE)</f>
        <v>Fanning</v>
      </c>
    </row>
    <row r="43" spans="1:18" x14ac:dyDescent="0.2">
      <c r="A43" t="s">
        <v>16</v>
      </c>
      <c r="B43" s="1">
        <v>42806</v>
      </c>
      <c r="C43" t="b">
        <v>0</v>
      </c>
      <c r="D43" t="s">
        <v>62</v>
      </c>
      <c r="E43">
        <v>1</v>
      </c>
      <c r="F43">
        <v>0.50571827463899999</v>
      </c>
      <c r="G43">
        <v>0.172976794701</v>
      </c>
      <c r="H43">
        <v>4.2858486996999998E-2</v>
      </c>
      <c r="I43">
        <v>9.3790235429999994E-3</v>
      </c>
      <c r="J43">
        <v>2.365913402E-3</v>
      </c>
      <c r="K43">
        <v>7.48237926E-4</v>
      </c>
      <c r="L43" t="b">
        <v>1</v>
      </c>
      <c r="M43">
        <v>120</v>
      </c>
      <c r="N43">
        <v>82.48</v>
      </c>
      <c r="O43" t="s">
        <v>20</v>
      </c>
      <c r="P43">
        <v>6</v>
      </c>
      <c r="Q43">
        <f t="shared" si="1"/>
        <v>4.4042803872479999</v>
      </c>
      <c r="R43" t="str">
        <f>VLOOKUP(D43,Avg!$C$2:$K$69,9,FALSE)</f>
        <v>Glen</v>
      </c>
    </row>
    <row r="44" spans="1:18" x14ac:dyDescent="0.2">
      <c r="A44" t="s">
        <v>16</v>
      </c>
      <c r="B44" s="1">
        <v>42806</v>
      </c>
      <c r="C44" t="b">
        <v>0</v>
      </c>
      <c r="D44" t="s">
        <v>63</v>
      </c>
      <c r="E44">
        <v>1</v>
      </c>
      <c r="F44">
        <v>0.45429281593100002</v>
      </c>
      <c r="G44">
        <v>6.6373981917000002E-2</v>
      </c>
      <c r="H44">
        <v>2.2163655144999999E-2</v>
      </c>
      <c r="I44">
        <v>7.8240922339999994E-3</v>
      </c>
      <c r="J44">
        <v>2.139142037E-3</v>
      </c>
      <c r="K44">
        <v>7.2434130900000005E-4</v>
      </c>
      <c r="L44" t="b">
        <v>1</v>
      </c>
      <c r="M44">
        <v>77</v>
      </c>
      <c r="N44">
        <v>82.6</v>
      </c>
      <c r="O44" t="s">
        <v>20</v>
      </c>
      <c r="P44">
        <v>8</v>
      </c>
      <c r="Q44">
        <f t="shared" si="1"/>
        <v>4.4281442285840003</v>
      </c>
      <c r="R44" t="str">
        <f>VLOOKUP(D44,Avg!$C$2:$K$69,9,FALSE)</f>
        <v>Mark</v>
      </c>
    </row>
    <row r="45" spans="1:18" x14ac:dyDescent="0.2">
      <c r="A45" t="s">
        <v>16</v>
      </c>
      <c r="B45" s="1">
        <v>42806</v>
      </c>
      <c r="C45" t="b">
        <v>0</v>
      </c>
      <c r="D45" t="s">
        <v>64</v>
      </c>
      <c r="E45">
        <v>1</v>
      </c>
      <c r="F45">
        <v>0.51956224052599997</v>
      </c>
      <c r="G45">
        <v>0.18458311667499999</v>
      </c>
      <c r="H45">
        <v>4.2529634298000003E-2</v>
      </c>
      <c r="I45">
        <v>1.0122564751999999E-2</v>
      </c>
      <c r="J45">
        <v>2.831157322E-3</v>
      </c>
      <c r="K45">
        <v>7.0046124899999997E-4</v>
      </c>
      <c r="L45" t="b">
        <v>1</v>
      </c>
      <c r="M45">
        <v>135</v>
      </c>
      <c r="N45">
        <v>81.23</v>
      </c>
      <c r="O45" t="s">
        <v>24</v>
      </c>
      <c r="P45">
        <v>5</v>
      </c>
      <c r="Q45">
        <f t="shared" si="1"/>
        <v>3.8016458741100001</v>
      </c>
      <c r="R45">
        <f>VLOOKUP(D45,Avg!$C$2:$K$69,9,FALSE)</f>
        <v>0</v>
      </c>
    </row>
    <row r="46" spans="1:18" x14ac:dyDescent="0.2">
      <c r="A46" t="s">
        <v>16</v>
      </c>
      <c r="B46" s="1">
        <v>42806</v>
      </c>
      <c r="C46" t="b">
        <v>1</v>
      </c>
      <c r="D46" s="5" t="s">
        <v>65</v>
      </c>
      <c r="E46">
        <v>0.58221111643300005</v>
      </c>
      <c r="F46">
        <v>0.12302839713700001</v>
      </c>
      <c r="G46">
        <v>4.0913089093000003E-2</v>
      </c>
      <c r="H46">
        <v>1.2438687037999999E-2</v>
      </c>
      <c r="I46">
        <v>3.1377870710000001E-3</v>
      </c>
      <c r="J46">
        <v>9.1561071200000005E-4</v>
      </c>
      <c r="K46">
        <v>3.0504677699999999E-4</v>
      </c>
      <c r="L46" t="b">
        <v>1</v>
      </c>
      <c r="M46">
        <v>2507</v>
      </c>
      <c r="N46">
        <v>81.75</v>
      </c>
      <c r="O46" t="s">
        <v>18</v>
      </c>
      <c r="P46">
        <v>11</v>
      </c>
      <c r="Q46">
        <f>(SUM(F46:K47)/2)*P46</f>
        <v>1.6951043101904997</v>
      </c>
      <c r="R46" t="str">
        <f>VLOOKUP(D46,Avg!$C$2:$K$69,9,FALSE)</f>
        <v>Joel</v>
      </c>
    </row>
    <row r="47" spans="1:18" x14ac:dyDescent="0.2">
      <c r="A47" t="s">
        <v>16</v>
      </c>
      <c r="B47" s="1">
        <v>42806</v>
      </c>
      <c r="C47" t="b">
        <v>1</v>
      </c>
      <c r="D47" s="5" t="s">
        <v>66</v>
      </c>
      <c r="E47">
        <v>0.417788883567</v>
      </c>
      <c r="F47">
        <v>8.7329906555999995E-2</v>
      </c>
      <c r="G47">
        <v>2.8813693554E-2</v>
      </c>
      <c r="H47">
        <v>8.2980967139999993E-3</v>
      </c>
      <c r="I47">
        <v>1.9819116930000001E-3</v>
      </c>
      <c r="J47">
        <v>7.3599316499999999E-4</v>
      </c>
      <c r="K47">
        <v>3.0256416100000002E-4</v>
      </c>
      <c r="L47" t="b">
        <v>1</v>
      </c>
      <c r="M47">
        <v>30</v>
      </c>
      <c r="N47">
        <v>81.180000000000007</v>
      </c>
      <c r="O47" t="s">
        <v>18</v>
      </c>
      <c r="P47">
        <v>11</v>
      </c>
      <c r="Q47">
        <f>(SUM(F46:K47)/2)*P47</f>
        <v>1.6951043101904997</v>
      </c>
      <c r="R47">
        <f>VLOOKUP(D47,Avg!$C$2:$K$69,9,FALSE)</f>
        <v>0</v>
      </c>
    </row>
    <row r="48" spans="1:18" x14ac:dyDescent="0.2">
      <c r="A48" t="s">
        <v>16</v>
      </c>
      <c r="B48" s="1">
        <v>42806</v>
      </c>
      <c r="C48" t="b">
        <v>0</v>
      </c>
      <c r="D48" t="s">
        <v>67</v>
      </c>
      <c r="E48">
        <v>1</v>
      </c>
      <c r="F48">
        <v>0.16912036938</v>
      </c>
      <c r="G48">
        <v>3.8797278455E-2</v>
      </c>
      <c r="H48">
        <v>6.8736390399999998E-3</v>
      </c>
      <c r="I48">
        <v>1.9860063300000002E-3</v>
      </c>
      <c r="J48">
        <v>6.6183582500000001E-4</v>
      </c>
      <c r="K48">
        <v>1.93962041E-4</v>
      </c>
      <c r="L48" t="b">
        <v>1</v>
      </c>
      <c r="M48">
        <v>2440</v>
      </c>
      <c r="N48">
        <v>80.73</v>
      </c>
      <c r="O48" t="s">
        <v>22</v>
      </c>
      <c r="P48">
        <v>12</v>
      </c>
      <c r="Q48">
        <f t="shared" ref="Q48:Q65" si="2">SUM(F48:K48)*P48</f>
        <v>2.611597092852</v>
      </c>
      <c r="R48" t="str">
        <f>VLOOKUP(D48,Avg!$C$2:$K$69,9,FALSE)</f>
        <v>Ed</v>
      </c>
    </row>
    <row r="49" spans="1:18" x14ac:dyDescent="0.2">
      <c r="A49" t="s">
        <v>16</v>
      </c>
      <c r="B49" s="1">
        <v>42806</v>
      </c>
      <c r="C49" t="b">
        <v>0</v>
      </c>
      <c r="D49" t="s">
        <v>68</v>
      </c>
      <c r="E49">
        <v>1</v>
      </c>
      <c r="F49">
        <v>0.245291832786</v>
      </c>
      <c r="G49">
        <v>4.9146791543000001E-2</v>
      </c>
      <c r="H49">
        <v>7.3504113879999996E-3</v>
      </c>
      <c r="I49">
        <v>1.982721266E-3</v>
      </c>
      <c r="J49">
        <v>4.0903812300000002E-4</v>
      </c>
      <c r="K49">
        <v>1.08797491E-4</v>
      </c>
      <c r="L49" t="b">
        <v>1</v>
      </c>
      <c r="M49">
        <v>163</v>
      </c>
      <c r="N49">
        <v>80</v>
      </c>
      <c r="O49" t="s">
        <v>20</v>
      </c>
      <c r="P49">
        <v>12</v>
      </c>
      <c r="Q49">
        <f t="shared" si="2"/>
        <v>3.6514751111640011</v>
      </c>
      <c r="R49" t="str">
        <f>VLOOKUP(D49,Avg!$C$2:$K$69,9,FALSE)</f>
        <v>Nathan</v>
      </c>
    </row>
    <row r="50" spans="1:18" x14ac:dyDescent="0.2">
      <c r="A50" t="s">
        <v>16</v>
      </c>
      <c r="B50" s="1">
        <v>42806</v>
      </c>
      <c r="C50" t="b">
        <v>0</v>
      </c>
      <c r="D50" t="s">
        <v>69</v>
      </c>
      <c r="E50">
        <v>1</v>
      </c>
      <c r="F50">
        <v>0.155233088499</v>
      </c>
      <c r="G50">
        <v>4.2110696367000003E-2</v>
      </c>
      <c r="H50">
        <v>5.9876174710000001E-3</v>
      </c>
      <c r="I50">
        <v>1.578643986E-3</v>
      </c>
      <c r="J50">
        <v>3.7360280000000001E-4</v>
      </c>
      <c r="K50">
        <v>1.033947E-4</v>
      </c>
      <c r="L50" t="b">
        <v>1</v>
      </c>
      <c r="M50">
        <v>350</v>
      </c>
      <c r="N50">
        <v>80.19</v>
      </c>
      <c r="O50" t="s">
        <v>18</v>
      </c>
      <c r="P50">
        <v>12</v>
      </c>
      <c r="Q50">
        <f t="shared" si="2"/>
        <v>2.4646445258760004</v>
      </c>
      <c r="R50" t="str">
        <f>VLOOKUP(D50,Avg!$C$2:$K$69,9,FALSE)</f>
        <v>Mark</v>
      </c>
    </row>
    <row r="51" spans="1:18" x14ac:dyDescent="0.2">
      <c r="A51" t="s">
        <v>16</v>
      </c>
      <c r="B51" s="1">
        <v>42806</v>
      </c>
      <c r="C51" t="b">
        <v>0</v>
      </c>
      <c r="D51" t="s">
        <v>70</v>
      </c>
      <c r="E51">
        <v>1</v>
      </c>
      <c r="F51">
        <v>0.210201959061</v>
      </c>
      <c r="G51">
        <v>1.9472191077999999E-2</v>
      </c>
      <c r="H51">
        <v>5.2760953180000002E-3</v>
      </c>
      <c r="I51">
        <v>1.3667671449999999E-3</v>
      </c>
      <c r="J51">
        <v>3.2138524599999998E-4</v>
      </c>
      <c r="K51">
        <v>8.8433902999999995E-5</v>
      </c>
      <c r="L51" t="b">
        <v>1</v>
      </c>
      <c r="M51">
        <v>259</v>
      </c>
      <c r="N51">
        <v>80.02</v>
      </c>
      <c r="O51" t="s">
        <v>18</v>
      </c>
      <c r="P51">
        <v>9</v>
      </c>
      <c r="Q51">
        <f t="shared" si="2"/>
        <v>2.1305414857590002</v>
      </c>
      <c r="R51">
        <f>VLOOKUP(D51,Avg!$C$2:$K$69,9,FALSE)</f>
        <v>0</v>
      </c>
    </row>
    <row r="52" spans="1:18" x14ac:dyDescent="0.2">
      <c r="A52" t="s">
        <v>16</v>
      </c>
      <c r="B52" s="1">
        <v>42806</v>
      </c>
      <c r="C52" t="b">
        <v>0</v>
      </c>
      <c r="D52" t="s">
        <v>71</v>
      </c>
      <c r="E52">
        <v>1</v>
      </c>
      <c r="F52">
        <v>0.14030368898699999</v>
      </c>
      <c r="G52">
        <v>3.5808358079999998E-2</v>
      </c>
      <c r="H52">
        <v>5.5029394770000004E-3</v>
      </c>
      <c r="I52">
        <v>1.404734306E-3</v>
      </c>
      <c r="J52">
        <v>3.32617909E-4</v>
      </c>
      <c r="K52">
        <v>7.0069399000000001E-5</v>
      </c>
      <c r="L52" t="b">
        <v>1</v>
      </c>
      <c r="M52">
        <v>261</v>
      </c>
      <c r="N52">
        <v>79.489999999999995</v>
      </c>
      <c r="O52" t="s">
        <v>22</v>
      </c>
      <c r="P52">
        <v>13</v>
      </c>
      <c r="Q52">
        <f t="shared" si="2"/>
        <v>2.3844913060539996</v>
      </c>
      <c r="R52" t="str">
        <f>VLOOKUP(D52,Avg!$C$2:$K$69,9,FALSE)</f>
        <v>Jeff</v>
      </c>
    </row>
    <row r="53" spans="1:18" x14ac:dyDescent="0.2">
      <c r="A53" t="s">
        <v>16</v>
      </c>
      <c r="B53" s="1">
        <v>42806</v>
      </c>
      <c r="C53" t="b">
        <v>0</v>
      </c>
      <c r="D53" t="s">
        <v>72</v>
      </c>
      <c r="E53">
        <v>1</v>
      </c>
      <c r="F53">
        <v>9.8170484963999993E-2</v>
      </c>
      <c r="G53">
        <v>2.8442092541999999E-2</v>
      </c>
      <c r="H53">
        <v>3.2760565279999999E-3</v>
      </c>
      <c r="I53">
        <v>7.0330580400000003E-4</v>
      </c>
      <c r="J53">
        <v>1.15270637E-4</v>
      </c>
      <c r="K53">
        <v>2.5042198999999999E-5</v>
      </c>
      <c r="L53" t="b">
        <v>1</v>
      </c>
      <c r="M53">
        <v>2083</v>
      </c>
      <c r="N53">
        <v>77.930000000000007</v>
      </c>
      <c r="O53" t="s">
        <v>20</v>
      </c>
      <c r="P53">
        <v>13</v>
      </c>
      <c r="Q53">
        <f t="shared" si="2"/>
        <v>1.6995192847620002</v>
      </c>
      <c r="R53" t="str">
        <f>VLOOKUP(D53,Avg!$C$2:$K$69,9,FALSE)</f>
        <v>Jeff</v>
      </c>
    </row>
    <row r="54" spans="1:18" x14ac:dyDescent="0.2">
      <c r="A54" t="s">
        <v>16</v>
      </c>
      <c r="B54" s="1">
        <v>42806</v>
      </c>
      <c r="C54" t="b">
        <v>0</v>
      </c>
      <c r="D54" t="s">
        <v>73</v>
      </c>
      <c r="E54">
        <v>1</v>
      </c>
      <c r="F54">
        <v>0.12508194762300001</v>
      </c>
      <c r="G54">
        <v>2.2741487971999999E-2</v>
      </c>
      <c r="H54">
        <v>2.4673015269999999E-3</v>
      </c>
      <c r="I54">
        <v>5.1680689399999998E-4</v>
      </c>
      <c r="J54">
        <v>1.00943835E-4</v>
      </c>
      <c r="K54">
        <v>2.3507113999999999E-5</v>
      </c>
      <c r="L54" t="b">
        <v>1</v>
      </c>
      <c r="M54">
        <v>2193</v>
      </c>
      <c r="N54">
        <v>78.05</v>
      </c>
      <c r="O54" t="s">
        <v>18</v>
      </c>
      <c r="P54">
        <v>13</v>
      </c>
      <c r="Q54">
        <f t="shared" si="2"/>
        <v>1.9621159345450001</v>
      </c>
      <c r="R54" t="str">
        <f>VLOOKUP(D54,Avg!$C$2:$K$69,9,FALSE)</f>
        <v>Fanning</v>
      </c>
    </row>
    <row r="55" spans="1:18" x14ac:dyDescent="0.2">
      <c r="A55" t="s">
        <v>16</v>
      </c>
      <c r="B55" s="1">
        <v>42806</v>
      </c>
      <c r="C55" t="b">
        <v>0</v>
      </c>
      <c r="D55" t="s">
        <v>74</v>
      </c>
      <c r="E55">
        <v>1</v>
      </c>
      <c r="F55">
        <v>0.109794093934</v>
      </c>
      <c r="G55">
        <v>3.087977255E-2</v>
      </c>
      <c r="H55">
        <v>3.8953108769999999E-3</v>
      </c>
      <c r="I55">
        <v>5.2219078699999996E-4</v>
      </c>
      <c r="J55">
        <v>7.8059028000000003E-5</v>
      </c>
      <c r="K55">
        <v>1.0602074E-5</v>
      </c>
      <c r="L55" t="b">
        <v>1</v>
      </c>
      <c r="M55">
        <v>2737</v>
      </c>
      <c r="N55">
        <v>75.53</v>
      </c>
      <c r="O55" t="s">
        <v>24</v>
      </c>
      <c r="P55">
        <v>13</v>
      </c>
      <c r="Q55">
        <f t="shared" si="2"/>
        <v>1.8873403802500002</v>
      </c>
      <c r="R55" t="str">
        <f>VLOOKUP(D55,Avg!$C$2:$K$69,9,FALSE)</f>
        <v>Mark</v>
      </c>
    </row>
    <row r="56" spans="1:18" x14ac:dyDescent="0.2">
      <c r="A56" t="s">
        <v>16</v>
      </c>
      <c r="B56" s="1">
        <v>42806</v>
      </c>
      <c r="C56" t="b">
        <v>0</v>
      </c>
      <c r="D56" t="s">
        <v>75</v>
      </c>
      <c r="E56">
        <v>1</v>
      </c>
      <c r="F56">
        <v>0.12454066257599999</v>
      </c>
      <c r="G56">
        <v>3.9875571346999997E-2</v>
      </c>
      <c r="H56">
        <v>4.3902413390000004E-3</v>
      </c>
      <c r="I56">
        <v>4.4342743E-4</v>
      </c>
      <c r="J56">
        <v>5.5080775999999997E-5</v>
      </c>
      <c r="K56">
        <v>9.3232739999999999E-6</v>
      </c>
      <c r="L56" t="b">
        <v>1</v>
      </c>
      <c r="M56">
        <v>526</v>
      </c>
      <c r="N56">
        <v>75.81</v>
      </c>
      <c r="O56" t="s">
        <v>20</v>
      </c>
      <c r="P56">
        <v>14</v>
      </c>
      <c r="Q56">
        <f t="shared" si="2"/>
        <v>2.3704002943879998</v>
      </c>
      <c r="R56" t="str">
        <f>VLOOKUP(D56,Avg!$C$2:$K$69,9,FALSE)</f>
        <v>Fanning</v>
      </c>
    </row>
    <row r="57" spans="1:18" x14ac:dyDescent="0.2">
      <c r="A57" t="s">
        <v>16</v>
      </c>
      <c r="B57" s="1">
        <v>42806</v>
      </c>
      <c r="C57" t="b">
        <v>0</v>
      </c>
      <c r="D57" t="s">
        <v>76</v>
      </c>
      <c r="E57">
        <v>1</v>
      </c>
      <c r="F57">
        <v>9.6501115089E-2</v>
      </c>
      <c r="G57">
        <v>1.3359236284000001E-2</v>
      </c>
      <c r="H57">
        <v>1.6676781210000001E-3</v>
      </c>
      <c r="I57">
        <v>1.72057783E-4</v>
      </c>
      <c r="J57">
        <v>3.2634422999999997E-5</v>
      </c>
      <c r="K57">
        <v>7.4000829999999998E-6</v>
      </c>
      <c r="L57" t="b">
        <v>1</v>
      </c>
      <c r="M57">
        <v>166</v>
      </c>
      <c r="N57">
        <v>75.599999999999994</v>
      </c>
      <c r="O57" t="s">
        <v>18</v>
      </c>
      <c r="P57">
        <v>14</v>
      </c>
      <c r="Q57">
        <f t="shared" si="2"/>
        <v>1.564361704962</v>
      </c>
      <c r="R57" t="str">
        <f>VLOOKUP(D57,Avg!$C$2:$K$69,9,FALSE)</f>
        <v>Jeff</v>
      </c>
    </row>
    <row r="58" spans="1:18" x14ac:dyDescent="0.2">
      <c r="A58" t="s">
        <v>16</v>
      </c>
      <c r="B58" s="1">
        <v>42806</v>
      </c>
      <c r="C58" t="b">
        <v>0</v>
      </c>
      <c r="D58" t="s">
        <v>77</v>
      </c>
      <c r="E58">
        <v>1</v>
      </c>
      <c r="F58">
        <v>7.7546855206999998E-2</v>
      </c>
      <c r="G58">
        <v>1.4844208835000001E-2</v>
      </c>
      <c r="H58">
        <v>1.6508432280000001E-3</v>
      </c>
      <c r="I58">
        <v>1.80558859E-4</v>
      </c>
      <c r="J58">
        <v>2.7325321000000002E-5</v>
      </c>
      <c r="K58">
        <v>3.7351419999999999E-6</v>
      </c>
      <c r="L58" t="b">
        <v>1</v>
      </c>
      <c r="M58">
        <v>314</v>
      </c>
      <c r="N58">
        <v>75.489999999999995</v>
      </c>
      <c r="O58" t="s">
        <v>22</v>
      </c>
      <c r="P58">
        <v>14</v>
      </c>
      <c r="Q58">
        <f t="shared" si="2"/>
        <v>1.3195493722879998</v>
      </c>
      <c r="R58">
        <f>VLOOKUP(D58,Avg!$C$2:$K$69,9,FALSE)</f>
        <v>0</v>
      </c>
    </row>
    <row r="59" spans="1:18" x14ac:dyDescent="0.2">
      <c r="A59" t="s">
        <v>16</v>
      </c>
      <c r="B59" s="1">
        <v>42806</v>
      </c>
      <c r="C59" t="b">
        <v>0</v>
      </c>
      <c r="D59" t="s">
        <v>78</v>
      </c>
      <c r="E59">
        <v>1</v>
      </c>
      <c r="F59">
        <v>5.8276357424000003E-2</v>
      </c>
      <c r="G59">
        <v>7.5326432100000004E-3</v>
      </c>
      <c r="H59">
        <v>6.3485288000000005E-4</v>
      </c>
      <c r="I59">
        <v>9.5967627E-5</v>
      </c>
      <c r="J59">
        <v>1.2897036000000001E-5</v>
      </c>
      <c r="K59">
        <v>1.581086E-6</v>
      </c>
      <c r="L59" t="b">
        <v>1</v>
      </c>
      <c r="M59">
        <v>2309</v>
      </c>
      <c r="N59">
        <v>74.27</v>
      </c>
      <c r="O59" t="s">
        <v>24</v>
      </c>
      <c r="P59">
        <v>14</v>
      </c>
      <c r="Q59">
        <f t="shared" si="2"/>
        <v>0.93176018968199992</v>
      </c>
      <c r="R59">
        <f>VLOOKUP(D59,Avg!$C$2:$K$69,9,FALSE)</f>
        <v>0</v>
      </c>
    </row>
    <row r="60" spans="1:18" x14ac:dyDescent="0.2">
      <c r="A60" t="s">
        <v>16</v>
      </c>
      <c r="B60" s="1">
        <v>42806</v>
      </c>
      <c r="C60" t="b">
        <v>0</v>
      </c>
      <c r="D60" t="s">
        <v>79</v>
      </c>
      <c r="E60">
        <v>1</v>
      </c>
      <c r="F60">
        <v>3.3096505656000003E-2</v>
      </c>
      <c r="G60">
        <v>5.7656313090000003E-3</v>
      </c>
      <c r="H60">
        <v>6.69860458E-4</v>
      </c>
      <c r="I60">
        <v>4.9033070999999997E-5</v>
      </c>
      <c r="J60">
        <v>5.2665579999999998E-6</v>
      </c>
      <c r="K60" s="2">
        <v>7.0574800000000003E-7</v>
      </c>
      <c r="L60" t="b">
        <v>1</v>
      </c>
      <c r="M60">
        <v>2653</v>
      </c>
      <c r="N60">
        <v>73.28</v>
      </c>
      <c r="O60" t="s">
        <v>18</v>
      </c>
      <c r="P60">
        <v>15</v>
      </c>
      <c r="Q60">
        <f t="shared" si="2"/>
        <v>0.59380504199999995</v>
      </c>
      <c r="R60">
        <f>VLOOKUP(D60,Avg!$C$2:$K$69,9,FALSE)</f>
        <v>0</v>
      </c>
    </row>
    <row r="61" spans="1:18" x14ac:dyDescent="0.2">
      <c r="A61" t="s">
        <v>16</v>
      </c>
      <c r="B61" s="1">
        <v>42806</v>
      </c>
      <c r="C61" t="b">
        <v>0</v>
      </c>
      <c r="D61" t="s">
        <v>80</v>
      </c>
      <c r="E61">
        <v>1</v>
      </c>
      <c r="F61">
        <v>3.3193621197999998E-2</v>
      </c>
      <c r="G61">
        <v>3.7632860150000002E-3</v>
      </c>
      <c r="H61">
        <v>4.72341308E-4</v>
      </c>
      <c r="I61">
        <v>6.1523434999999997E-5</v>
      </c>
      <c r="J61">
        <v>6.851955E-6</v>
      </c>
      <c r="K61" s="2">
        <v>7.0061200000000003E-7</v>
      </c>
      <c r="L61" t="b">
        <v>1</v>
      </c>
      <c r="M61">
        <v>94</v>
      </c>
      <c r="N61">
        <v>72.83</v>
      </c>
      <c r="O61" t="s">
        <v>24</v>
      </c>
      <c r="P61">
        <v>15</v>
      </c>
      <c r="Q61">
        <f t="shared" si="2"/>
        <v>0.562474867845</v>
      </c>
      <c r="R61">
        <f>VLOOKUP(D61,Avg!$C$2:$K$69,9,FALSE)</f>
        <v>0</v>
      </c>
    </row>
    <row r="62" spans="1:18" x14ac:dyDescent="0.2">
      <c r="A62" t="s">
        <v>16</v>
      </c>
      <c r="B62" s="1">
        <v>42806</v>
      </c>
      <c r="C62" t="b">
        <v>0</v>
      </c>
      <c r="D62" t="s">
        <v>81</v>
      </c>
      <c r="E62">
        <v>1</v>
      </c>
      <c r="F62">
        <v>2.3204369318999999E-2</v>
      </c>
      <c r="G62">
        <v>4.1470115700000003E-3</v>
      </c>
      <c r="H62">
        <v>4.4729348699999998E-4</v>
      </c>
      <c r="I62">
        <v>5.5355855E-5</v>
      </c>
      <c r="J62">
        <v>5.2252369999999999E-6</v>
      </c>
      <c r="K62" s="2">
        <v>6.8703899999999996E-7</v>
      </c>
      <c r="L62" t="b">
        <v>1</v>
      </c>
      <c r="M62">
        <v>2571</v>
      </c>
      <c r="N62">
        <v>72.790000000000006</v>
      </c>
      <c r="O62" t="s">
        <v>20</v>
      </c>
      <c r="P62">
        <v>16</v>
      </c>
      <c r="Q62">
        <f t="shared" si="2"/>
        <v>0.44575908011200005</v>
      </c>
      <c r="R62">
        <f>VLOOKUP(D62,Avg!$C$2:$K$69,9,FALSE)</f>
        <v>0</v>
      </c>
    </row>
    <row r="63" spans="1:18" x14ac:dyDescent="0.2">
      <c r="A63" t="s">
        <v>16</v>
      </c>
      <c r="B63" s="1">
        <v>42806</v>
      </c>
      <c r="C63" t="b">
        <v>0</v>
      </c>
      <c r="D63" t="s">
        <v>82</v>
      </c>
      <c r="E63">
        <v>1</v>
      </c>
      <c r="F63">
        <v>4.7498365034999997E-2</v>
      </c>
      <c r="G63">
        <v>4.9181223710000003E-3</v>
      </c>
      <c r="H63">
        <v>8.1241775599999997E-4</v>
      </c>
      <c r="I63">
        <v>5.8861889000000003E-5</v>
      </c>
      <c r="J63">
        <v>5.111259E-6</v>
      </c>
      <c r="K63" s="2">
        <v>6.2179499999999999E-7</v>
      </c>
      <c r="L63" t="b">
        <v>1</v>
      </c>
      <c r="M63">
        <v>155</v>
      </c>
      <c r="N63">
        <v>72.33</v>
      </c>
      <c r="O63" t="s">
        <v>20</v>
      </c>
      <c r="P63">
        <v>15</v>
      </c>
      <c r="Q63">
        <f t="shared" si="2"/>
        <v>0.79940250157499992</v>
      </c>
      <c r="R63">
        <f>VLOOKUP(D63,Avg!$C$2:$K$69,9,FALSE)</f>
        <v>0</v>
      </c>
    </row>
    <row r="64" spans="1:18" x14ac:dyDescent="0.2">
      <c r="A64" t="s">
        <v>16</v>
      </c>
      <c r="B64" s="1">
        <v>42806</v>
      </c>
      <c r="C64" t="b">
        <v>0</v>
      </c>
      <c r="D64" t="s">
        <v>83</v>
      </c>
      <c r="E64">
        <v>1</v>
      </c>
      <c r="F64">
        <v>2.0724660504E-2</v>
      </c>
      <c r="G64">
        <v>2.5326438329999999E-3</v>
      </c>
      <c r="H64">
        <v>3.4502029599999998E-4</v>
      </c>
      <c r="I64">
        <v>2.5118357999999998E-5</v>
      </c>
      <c r="J64">
        <v>2.3447990000000002E-6</v>
      </c>
      <c r="K64" s="2">
        <v>2.0203399999999999E-7</v>
      </c>
      <c r="L64" t="b">
        <v>1</v>
      </c>
      <c r="M64">
        <v>2640</v>
      </c>
      <c r="N64">
        <v>70.989999999999995</v>
      </c>
      <c r="O64" t="s">
        <v>24</v>
      </c>
      <c r="P64">
        <v>16</v>
      </c>
      <c r="Q64">
        <f t="shared" si="2"/>
        <v>0.37807983718399996</v>
      </c>
      <c r="R64">
        <f>VLOOKUP(D64,Avg!$C$2:$K$69,9,FALSE)</f>
        <v>0</v>
      </c>
    </row>
    <row r="65" spans="1:18" x14ac:dyDescent="0.2">
      <c r="A65" t="s">
        <v>16</v>
      </c>
      <c r="B65" s="1">
        <v>42806</v>
      </c>
      <c r="C65" t="b">
        <v>0</v>
      </c>
      <c r="D65" t="s">
        <v>84</v>
      </c>
      <c r="E65">
        <v>1</v>
      </c>
      <c r="F65">
        <v>2.6181881497000001E-2</v>
      </c>
      <c r="G65">
        <v>2.1490233519999998E-3</v>
      </c>
      <c r="H65">
        <v>2.58836074E-4</v>
      </c>
      <c r="I65">
        <v>1.6908121999999998E-5</v>
      </c>
      <c r="J65">
        <v>1.540458E-6</v>
      </c>
      <c r="K65" s="2">
        <v>1.2846E-7</v>
      </c>
      <c r="L65" t="b">
        <v>1</v>
      </c>
      <c r="M65">
        <v>55</v>
      </c>
      <c r="N65">
        <v>71.17</v>
      </c>
      <c r="O65" t="s">
        <v>22</v>
      </c>
      <c r="P65">
        <v>15</v>
      </c>
      <c r="Q65">
        <f t="shared" si="2"/>
        <v>0.42912476944499994</v>
      </c>
      <c r="R65">
        <f>VLOOKUP(D65,Avg!$C$2:$K$69,9,FALSE)</f>
        <v>0</v>
      </c>
    </row>
    <row r="66" spans="1:18" x14ac:dyDescent="0.2">
      <c r="A66" t="s">
        <v>16</v>
      </c>
      <c r="B66" s="1">
        <v>42806</v>
      </c>
      <c r="C66" t="b">
        <v>1</v>
      </c>
      <c r="D66" s="3" t="s">
        <v>85</v>
      </c>
      <c r="E66">
        <v>0.62905991628199998</v>
      </c>
      <c r="F66">
        <v>1.3628353268E-2</v>
      </c>
      <c r="G66">
        <v>1.8091138970000001E-3</v>
      </c>
      <c r="H66">
        <v>1.52018074E-4</v>
      </c>
      <c r="I66">
        <v>1.5225361999999999E-5</v>
      </c>
      <c r="J66">
        <v>1.4591200000000001E-6</v>
      </c>
      <c r="K66" s="2">
        <v>1.2784699999999999E-7</v>
      </c>
      <c r="L66" t="b">
        <v>1</v>
      </c>
      <c r="M66">
        <v>2428</v>
      </c>
      <c r="N66">
        <v>71.040000000000006</v>
      </c>
      <c r="O66" t="s">
        <v>22</v>
      </c>
      <c r="P66">
        <v>16</v>
      </c>
      <c r="Q66">
        <f>(SUM(F66:K67)/2)*P66</f>
        <v>0.18556323141600001</v>
      </c>
      <c r="R66">
        <f>VLOOKUP(D66,Avg!$C$2:$K$69,9,FALSE)</f>
        <v>0</v>
      </c>
    </row>
    <row r="67" spans="1:18" x14ac:dyDescent="0.2">
      <c r="A67" t="s">
        <v>16</v>
      </c>
      <c r="B67" s="1">
        <v>42806</v>
      </c>
      <c r="C67" t="b">
        <v>1</v>
      </c>
      <c r="D67" s="3" t="s">
        <v>86</v>
      </c>
      <c r="E67">
        <v>0.37094008371800002</v>
      </c>
      <c r="F67">
        <v>6.759610686E-3</v>
      </c>
      <c r="G67">
        <v>7.6968413299999998E-4</v>
      </c>
      <c r="H67">
        <v>5.4595490000000002E-5</v>
      </c>
      <c r="I67">
        <v>4.644096E-6</v>
      </c>
      <c r="J67" s="2">
        <v>5.1910000000000004E-7</v>
      </c>
      <c r="K67" s="2">
        <v>5.2853999999999998E-8</v>
      </c>
      <c r="L67" t="b">
        <v>1</v>
      </c>
      <c r="M67">
        <v>302</v>
      </c>
      <c r="N67">
        <v>69.94</v>
      </c>
      <c r="O67" t="s">
        <v>22</v>
      </c>
      <c r="P67">
        <v>16</v>
      </c>
      <c r="Q67">
        <f>(SUM(F66:K67)/2)*P67</f>
        <v>0.18556323141600001</v>
      </c>
      <c r="R67">
        <f>VLOOKUP(D67,Avg!$C$2:$K$69,9,FALSE)</f>
        <v>0</v>
      </c>
    </row>
    <row r="68" spans="1:18" x14ac:dyDescent="0.2">
      <c r="A68" t="s">
        <v>16</v>
      </c>
      <c r="B68" s="1">
        <v>42806</v>
      </c>
      <c r="C68" t="b">
        <v>1</v>
      </c>
      <c r="D68" s="4" t="s">
        <v>87</v>
      </c>
      <c r="E68">
        <v>0.55524952522500004</v>
      </c>
      <c r="F68">
        <v>7.7912723050000002E-3</v>
      </c>
      <c r="G68">
        <v>7.5628616200000001E-4</v>
      </c>
      <c r="H68">
        <v>5.8984082000000001E-5</v>
      </c>
      <c r="I68">
        <v>4.6365319999999996E-6</v>
      </c>
      <c r="J68" s="2">
        <v>3.34888E-7</v>
      </c>
      <c r="K68" s="2">
        <v>3.0784E-8</v>
      </c>
      <c r="L68" t="b">
        <v>1</v>
      </c>
      <c r="M68">
        <v>116</v>
      </c>
      <c r="N68">
        <v>69.78</v>
      </c>
      <c r="O68" t="s">
        <v>18</v>
      </c>
      <c r="P68">
        <v>16</v>
      </c>
      <c r="Q68">
        <f>(SUM(F68:K69)/2)*P68</f>
        <v>0.10840306156799998</v>
      </c>
      <c r="R68">
        <f>VLOOKUP(D68,Avg!$C$2:$K$69,9,FALSE)</f>
        <v>0</v>
      </c>
    </row>
    <row r="69" spans="1:18" x14ac:dyDescent="0.2">
      <c r="A69" t="s">
        <v>16</v>
      </c>
      <c r="B69" s="1">
        <v>42806</v>
      </c>
      <c r="C69" t="b">
        <v>1</v>
      </c>
      <c r="D69" s="4" t="s">
        <v>88</v>
      </c>
      <c r="E69">
        <v>0.44475047477500002</v>
      </c>
      <c r="F69">
        <v>4.5767259459999999E-3</v>
      </c>
      <c r="G69">
        <v>3.3601918399999998E-4</v>
      </c>
      <c r="H69">
        <v>2.4186506999999999E-5</v>
      </c>
      <c r="I69">
        <v>1.7580810000000001E-6</v>
      </c>
      <c r="J69" s="2">
        <v>1.3505599999999999E-7</v>
      </c>
      <c r="K69" s="2">
        <v>1.3169E-8</v>
      </c>
      <c r="L69" t="b">
        <v>1</v>
      </c>
      <c r="M69">
        <v>2443</v>
      </c>
      <c r="N69">
        <v>69.239999999999995</v>
      </c>
      <c r="O69" t="s">
        <v>18</v>
      </c>
      <c r="P69">
        <v>16</v>
      </c>
      <c r="Q69">
        <f>(SUM(F68:K69)/2)*P69</f>
        <v>0.10840306156799998</v>
      </c>
      <c r="R69">
        <f>VLOOKUP(D69,Avg!$C$2:$K$69,9,FALSE)</f>
        <v>0</v>
      </c>
    </row>
  </sheetData>
  <sortState ref="A2:R69">
    <sortCondition descending="1" ref="K2:K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9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">
      <c r="A2">
        <v>1</v>
      </c>
      <c r="B2" t="s">
        <v>20</v>
      </c>
      <c r="C2" t="s">
        <v>19</v>
      </c>
      <c r="D2">
        <v>0.98499999999999999</v>
      </c>
      <c r="E2">
        <v>0.83900000000000008</v>
      </c>
      <c r="F2">
        <v>0.60199999999999998</v>
      </c>
      <c r="G2">
        <v>0.45399999999999996</v>
      </c>
      <c r="H2">
        <v>0.29600000000000004</v>
      </c>
      <c r="I2">
        <v>0.20499999999999999</v>
      </c>
    </row>
    <row r="3" spans="1:9" x14ac:dyDescent="0.2">
      <c r="A3">
        <v>1</v>
      </c>
      <c r="B3" t="s">
        <v>18</v>
      </c>
      <c r="C3" t="s">
        <v>17</v>
      </c>
      <c r="D3">
        <v>0.96799999999999997</v>
      </c>
      <c r="E3">
        <v>0.70200000000000007</v>
      </c>
      <c r="F3">
        <v>0.434</v>
      </c>
      <c r="G3">
        <v>0.28300000000000003</v>
      </c>
      <c r="H3">
        <v>0.16</v>
      </c>
      <c r="I3">
        <v>0.1</v>
      </c>
    </row>
    <row r="4" spans="1:9" x14ac:dyDescent="0.2">
      <c r="A4">
        <v>1</v>
      </c>
      <c r="B4" t="s">
        <v>24</v>
      </c>
      <c r="C4" t="s">
        <v>25</v>
      </c>
      <c r="D4">
        <v>0.98</v>
      </c>
      <c r="E4">
        <v>0.78599999999999992</v>
      </c>
      <c r="F4">
        <v>0.57299999999999995</v>
      </c>
      <c r="G4">
        <v>0.33299999999999996</v>
      </c>
      <c r="H4">
        <v>0.19899999999999998</v>
      </c>
      <c r="I4">
        <v>9.9000000000000005E-2</v>
      </c>
    </row>
    <row r="5" spans="1:9" x14ac:dyDescent="0.2">
      <c r="A5">
        <v>2</v>
      </c>
      <c r="B5" t="s">
        <v>24</v>
      </c>
      <c r="C5" t="s">
        <v>23</v>
      </c>
      <c r="D5">
        <v>0.95599999999999996</v>
      </c>
      <c r="E5">
        <v>0.56200000000000006</v>
      </c>
      <c r="F5">
        <v>0.36099999999999999</v>
      </c>
      <c r="G5">
        <v>0.21</v>
      </c>
      <c r="H5">
        <v>0.122</v>
      </c>
      <c r="I5">
        <v>5.7999999999999996E-2</v>
      </c>
    </row>
    <row r="6" spans="1:9" x14ac:dyDescent="0.2">
      <c r="A6">
        <v>1</v>
      </c>
      <c r="B6" t="s">
        <v>22</v>
      </c>
      <c r="C6" t="s">
        <v>21</v>
      </c>
      <c r="D6">
        <v>0.95299999999999996</v>
      </c>
      <c r="E6">
        <v>0.69099999999999995</v>
      </c>
      <c r="F6">
        <v>0.41100000000000003</v>
      </c>
      <c r="G6">
        <v>0.22800000000000001</v>
      </c>
      <c r="H6">
        <v>0.11699999999999999</v>
      </c>
      <c r="I6">
        <v>5.2000000000000005E-2</v>
      </c>
    </row>
    <row r="7" spans="1:9" x14ac:dyDescent="0.2">
      <c r="A7">
        <v>2</v>
      </c>
      <c r="B7" t="s">
        <v>22</v>
      </c>
      <c r="C7" t="s">
        <v>27</v>
      </c>
      <c r="D7">
        <v>0.93400000000000005</v>
      </c>
      <c r="E7">
        <v>0.56399999999999995</v>
      </c>
      <c r="F7">
        <v>0.35499999999999998</v>
      </c>
      <c r="G7">
        <v>0.20499999999999999</v>
      </c>
      <c r="H7">
        <v>0.11</v>
      </c>
      <c r="I7">
        <v>5.0999999999999997E-2</v>
      </c>
    </row>
    <row r="8" spans="1:9" x14ac:dyDescent="0.2">
      <c r="A8">
        <v>4</v>
      </c>
      <c r="B8" t="s">
        <v>20</v>
      </c>
      <c r="C8" t="s">
        <v>29</v>
      </c>
      <c r="D8">
        <v>0.879</v>
      </c>
      <c r="E8">
        <v>0.60599999999999998</v>
      </c>
      <c r="F8">
        <v>0.247</v>
      </c>
      <c r="G8">
        <v>0.153</v>
      </c>
      <c r="H8">
        <v>7.8E-2</v>
      </c>
      <c r="I8">
        <v>4.2000000000000003E-2</v>
      </c>
    </row>
    <row r="9" spans="1:9" x14ac:dyDescent="0.2">
      <c r="A9">
        <v>10</v>
      </c>
      <c r="B9" t="s">
        <v>24</v>
      </c>
      <c r="C9" t="s">
        <v>34</v>
      </c>
      <c r="D9">
        <v>0.75</v>
      </c>
      <c r="E9">
        <v>0.373</v>
      </c>
      <c r="F9">
        <v>0.22899999999999998</v>
      </c>
      <c r="G9">
        <v>0.128</v>
      </c>
      <c r="H9">
        <v>7.0999999999999994E-2</v>
      </c>
      <c r="I9">
        <v>3.3000000000000002E-2</v>
      </c>
    </row>
    <row r="10" spans="1:9" x14ac:dyDescent="0.2">
      <c r="A10">
        <v>2</v>
      </c>
      <c r="B10" t="s">
        <v>18</v>
      </c>
      <c r="C10" t="s">
        <v>26</v>
      </c>
      <c r="D10">
        <v>0.91700000000000004</v>
      </c>
      <c r="E10">
        <v>0.629</v>
      </c>
      <c r="F10">
        <v>0.33500000000000002</v>
      </c>
      <c r="G10">
        <v>0.15</v>
      </c>
      <c r="H10">
        <v>6.5000000000000002E-2</v>
      </c>
      <c r="I10">
        <v>3.2000000000000001E-2</v>
      </c>
    </row>
    <row r="11" spans="1:9" x14ac:dyDescent="0.2">
      <c r="A11">
        <v>4</v>
      </c>
      <c r="B11" t="s">
        <v>18</v>
      </c>
      <c r="C11" t="s">
        <v>40</v>
      </c>
      <c r="D11">
        <v>0.82900000000000007</v>
      </c>
      <c r="E11">
        <v>0.46700000000000003</v>
      </c>
      <c r="F11">
        <v>0.22</v>
      </c>
      <c r="G11">
        <v>0.12300000000000001</v>
      </c>
      <c r="H11">
        <v>5.7000000000000002E-2</v>
      </c>
      <c r="I11">
        <v>0.03</v>
      </c>
    </row>
    <row r="12" spans="1:9" x14ac:dyDescent="0.2">
      <c r="A12">
        <v>5</v>
      </c>
      <c r="B12" t="s">
        <v>18</v>
      </c>
      <c r="C12" t="s">
        <v>31</v>
      </c>
      <c r="D12">
        <v>0.78500000000000003</v>
      </c>
      <c r="E12">
        <v>0.435</v>
      </c>
      <c r="F12">
        <v>0.20899999999999999</v>
      </c>
      <c r="G12">
        <v>0.11599999999999999</v>
      </c>
      <c r="H12">
        <v>5.5E-2</v>
      </c>
      <c r="I12">
        <v>2.8999999999999998E-2</v>
      </c>
    </row>
    <row r="13" spans="1:9" x14ac:dyDescent="0.2">
      <c r="A13">
        <v>3</v>
      </c>
      <c r="B13" t="s">
        <v>22</v>
      </c>
      <c r="C13" t="s">
        <v>38</v>
      </c>
      <c r="D13">
        <v>0.89400000000000002</v>
      </c>
      <c r="E13">
        <v>0.57200000000000006</v>
      </c>
      <c r="F13">
        <v>0.27500000000000002</v>
      </c>
      <c r="G13">
        <v>0.13900000000000001</v>
      </c>
      <c r="H13">
        <v>6.4000000000000001E-2</v>
      </c>
      <c r="I13">
        <v>2.6000000000000002E-2</v>
      </c>
    </row>
    <row r="14" spans="1:9" x14ac:dyDescent="0.2">
      <c r="A14">
        <v>3</v>
      </c>
      <c r="B14" t="s">
        <v>18</v>
      </c>
      <c r="C14" t="s">
        <v>37</v>
      </c>
      <c r="D14">
        <v>0.84099999999999997</v>
      </c>
      <c r="E14">
        <v>0.46899999999999997</v>
      </c>
      <c r="F14">
        <v>0.26500000000000001</v>
      </c>
      <c r="G14">
        <v>0.11900000000000001</v>
      </c>
      <c r="H14">
        <v>5.2000000000000005E-2</v>
      </c>
      <c r="I14">
        <v>2.5000000000000001E-2</v>
      </c>
    </row>
    <row r="15" spans="1:9" x14ac:dyDescent="0.2">
      <c r="A15">
        <v>6</v>
      </c>
      <c r="B15" t="s">
        <v>18</v>
      </c>
      <c r="C15" t="s">
        <v>35</v>
      </c>
      <c r="D15">
        <v>0.76700000000000002</v>
      </c>
      <c r="E15">
        <v>0.42899999999999999</v>
      </c>
      <c r="F15">
        <v>0.24399999999999999</v>
      </c>
      <c r="G15">
        <v>0.11</v>
      </c>
      <c r="H15">
        <v>4.9000000000000002E-2</v>
      </c>
      <c r="I15">
        <v>2.4E-2</v>
      </c>
    </row>
    <row r="16" spans="1:9" x14ac:dyDescent="0.2">
      <c r="A16">
        <v>4</v>
      </c>
      <c r="B16" t="s">
        <v>22</v>
      </c>
      <c r="C16" t="s">
        <v>33</v>
      </c>
      <c r="D16">
        <v>0.76800000000000002</v>
      </c>
      <c r="E16">
        <v>0.45299999999999996</v>
      </c>
      <c r="F16">
        <v>0.24</v>
      </c>
      <c r="G16">
        <v>0.12300000000000001</v>
      </c>
      <c r="H16">
        <v>5.7999999999999996E-2</v>
      </c>
      <c r="I16">
        <v>2.4E-2</v>
      </c>
    </row>
    <row r="17" spans="1:9" x14ac:dyDescent="0.2">
      <c r="A17">
        <v>7</v>
      </c>
      <c r="B17" t="s">
        <v>20</v>
      </c>
      <c r="C17" t="s">
        <v>32</v>
      </c>
      <c r="D17">
        <v>0.71</v>
      </c>
      <c r="E17">
        <v>0.40299999999999997</v>
      </c>
      <c r="F17">
        <v>0.24600000000000002</v>
      </c>
      <c r="G17">
        <v>9.8000000000000004E-2</v>
      </c>
      <c r="H17">
        <v>4.4999999999999998E-2</v>
      </c>
      <c r="I17">
        <v>2.2000000000000002E-2</v>
      </c>
    </row>
    <row r="18" spans="1:9" x14ac:dyDescent="0.2">
      <c r="A18">
        <v>3</v>
      </c>
      <c r="B18" t="s">
        <v>24</v>
      </c>
      <c r="C18" t="s">
        <v>30</v>
      </c>
      <c r="D18">
        <v>0.92200000000000004</v>
      </c>
      <c r="E18">
        <v>0.52300000000000002</v>
      </c>
      <c r="F18">
        <v>0.21600000000000003</v>
      </c>
      <c r="G18">
        <v>0.10300000000000001</v>
      </c>
      <c r="H18">
        <v>4.9000000000000002E-2</v>
      </c>
      <c r="I18">
        <v>1.8000000000000002E-2</v>
      </c>
    </row>
    <row r="19" spans="1:9" x14ac:dyDescent="0.2">
      <c r="A19">
        <v>3</v>
      </c>
      <c r="B19" t="s">
        <v>20</v>
      </c>
      <c r="C19" t="s">
        <v>41</v>
      </c>
      <c r="D19">
        <v>0.86299999999999999</v>
      </c>
      <c r="E19">
        <v>0.59099999999999997</v>
      </c>
      <c r="F19">
        <v>0.29899999999999999</v>
      </c>
      <c r="G19">
        <v>0.10099999999999999</v>
      </c>
      <c r="H19">
        <v>4.0999999999999995E-2</v>
      </c>
      <c r="I19">
        <v>1.8000000000000002E-2</v>
      </c>
    </row>
    <row r="20" spans="1:9" x14ac:dyDescent="0.2">
      <c r="A20">
        <v>2</v>
      </c>
      <c r="B20" t="s">
        <v>20</v>
      </c>
      <c r="C20" t="s">
        <v>28</v>
      </c>
      <c r="D20">
        <v>0.92500000000000004</v>
      </c>
      <c r="E20">
        <v>0.48899999999999999</v>
      </c>
      <c r="F20">
        <v>0.28199999999999997</v>
      </c>
      <c r="G20">
        <v>9.8000000000000004E-2</v>
      </c>
      <c r="H20">
        <v>0.04</v>
      </c>
      <c r="I20">
        <v>1.8000000000000002E-2</v>
      </c>
    </row>
    <row r="21" spans="1:9" x14ac:dyDescent="0.2">
      <c r="A21">
        <v>5</v>
      </c>
      <c r="B21" t="s">
        <v>22</v>
      </c>
      <c r="C21" t="s">
        <v>36</v>
      </c>
      <c r="D21">
        <v>0.73099999999999998</v>
      </c>
      <c r="E21">
        <v>0.39200000000000002</v>
      </c>
      <c r="F21">
        <v>0.19699999999999998</v>
      </c>
      <c r="G21">
        <v>9.6000000000000002E-2</v>
      </c>
      <c r="H21">
        <v>4.2999999999999997E-2</v>
      </c>
      <c r="I21">
        <v>1.7000000000000001E-2</v>
      </c>
    </row>
    <row r="22" spans="1:9" x14ac:dyDescent="0.2">
      <c r="A22">
        <v>4</v>
      </c>
      <c r="B22" t="s">
        <v>24</v>
      </c>
      <c r="C22" t="s">
        <v>39</v>
      </c>
      <c r="D22">
        <v>0.84299999999999997</v>
      </c>
      <c r="E22">
        <v>0.52200000000000002</v>
      </c>
      <c r="F22">
        <v>0.20899999999999999</v>
      </c>
      <c r="G22">
        <v>8.5000000000000006E-2</v>
      </c>
      <c r="H22">
        <v>3.6000000000000004E-2</v>
      </c>
      <c r="I22">
        <v>1.2E-2</v>
      </c>
    </row>
    <row r="23" spans="1:9" x14ac:dyDescent="0.2">
      <c r="A23">
        <v>6</v>
      </c>
      <c r="B23" t="s">
        <v>24</v>
      </c>
      <c r="C23" t="s">
        <v>42</v>
      </c>
      <c r="D23">
        <v>0.61299999999999999</v>
      </c>
      <c r="E23">
        <v>0.315</v>
      </c>
      <c r="F23">
        <v>0.127</v>
      </c>
      <c r="G23">
        <v>5.9000000000000004E-2</v>
      </c>
      <c r="H23">
        <v>2.7000000000000003E-2</v>
      </c>
      <c r="I23">
        <v>0.01</v>
      </c>
    </row>
    <row r="24" spans="1:9" x14ac:dyDescent="0.2">
      <c r="A24">
        <v>7</v>
      </c>
      <c r="B24" t="s">
        <v>22</v>
      </c>
      <c r="C24" t="s">
        <v>44</v>
      </c>
      <c r="D24">
        <v>0.51300000000000001</v>
      </c>
      <c r="E24">
        <v>0.22500000000000001</v>
      </c>
      <c r="F24">
        <v>0.11900000000000001</v>
      </c>
      <c r="G24">
        <v>5.5999999999999994E-2</v>
      </c>
      <c r="H24">
        <v>2.5000000000000001E-2</v>
      </c>
      <c r="I24">
        <v>0.01</v>
      </c>
    </row>
    <row r="25" spans="1:9" x14ac:dyDescent="0.2">
      <c r="A25">
        <v>10</v>
      </c>
      <c r="B25" t="s">
        <v>22</v>
      </c>
      <c r="C25" t="s">
        <v>47</v>
      </c>
      <c r="D25">
        <v>0.48700000000000004</v>
      </c>
      <c r="E25">
        <v>0.20300000000000001</v>
      </c>
      <c r="F25">
        <v>0.107</v>
      </c>
      <c r="G25">
        <v>5.0999999999999997E-2</v>
      </c>
      <c r="H25">
        <v>2.1000000000000001E-2</v>
      </c>
      <c r="I25">
        <v>8.0000000000000002E-3</v>
      </c>
    </row>
    <row r="26" spans="1:9" x14ac:dyDescent="0.2">
      <c r="A26">
        <v>8</v>
      </c>
      <c r="B26" t="s">
        <v>18</v>
      </c>
      <c r="C26" t="s">
        <v>43</v>
      </c>
      <c r="D26">
        <v>0.66500000000000004</v>
      </c>
      <c r="E26">
        <v>0.22699999999999998</v>
      </c>
      <c r="F26">
        <v>0.1</v>
      </c>
      <c r="G26">
        <v>4.8000000000000001E-2</v>
      </c>
      <c r="H26">
        <v>1.8000000000000002E-2</v>
      </c>
      <c r="I26">
        <v>8.0000000000000002E-3</v>
      </c>
    </row>
    <row r="27" spans="1:9" x14ac:dyDescent="0.2">
      <c r="A27">
        <v>5</v>
      </c>
      <c r="B27" t="s">
        <v>20</v>
      </c>
      <c r="C27" t="s">
        <v>45</v>
      </c>
      <c r="D27">
        <v>0.68700000000000006</v>
      </c>
      <c r="E27">
        <v>0.28300000000000003</v>
      </c>
      <c r="F27">
        <v>8.3000000000000004E-2</v>
      </c>
      <c r="G27">
        <v>0.04</v>
      </c>
      <c r="H27">
        <v>1.4999999999999999E-2</v>
      </c>
      <c r="I27">
        <v>6.0000000000000001E-3</v>
      </c>
    </row>
    <row r="28" spans="1:9" x14ac:dyDescent="0.2">
      <c r="A28">
        <v>6</v>
      </c>
      <c r="B28" t="s">
        <v>22</v>
      </c>
      <c r="C28" t="s">
        <v>46</v>
      </c>
      <c r="D28">
        <v>0.59799999999999998</v>
      </c>
      <c r="E28">
        <v>0.26500000000000001</v>
      </c>
      <c r="F28">
        <v>9.9000000000000005E-2</v>
      </c>
      <c r="G28">
        <v>0.04</v>
      </c>
      <c r="H28">
        <v>1.3999999999999999E-2</v>
      </c>
      <c r="I28">
        <v>4.0000000000000001E-3</v>
      </c>
    </row>
    <row r="29" spans="1:9" x14ac:dyDescent="0.2">
      <c r="A29">
        <v>8</v>
      </c>
      <c r="B29" t="s">
        <v>22</v>
      </c>
      <c r="C29" t="s">
        <v>48</v>
      </c>
      <c r="D29">
        <v>0.54299999999999993</v>
      </c>
      <c r="E29">
        <v>0.17499999999999999</v>
      </c>
      <c r="F29">
        <v>6.8000000000000005E-2</v>
      </c>
      <c r="G29">
        <v>2.4E-2</v>
      </c>
      <c r="H29">
        <v>8.0000000000000002E-3</v>
      </c>
      <c r="I29">
        <v>2E-3</v>
      </c>
    </row>
    <row r="30" spans="1:9" x14ac:dyDescent="0.2">
      <c r="A30">
        <v>5</v>
      </c>
      <c r="B30" t="s">
        <v>24</v>
      </c>
      <c r="C30" t="s">
        <v>64</v>
      </c>
      <c r="D30">
        <v>0.54299999999999993</v>
      </c>
      <c r="E30">
        <v>0.247</v>
      </c>
      <c r="F30">
        <v>7.2999999999999995E-2</v>
      </c>
      <c r="G30">
        <v>2.2000000000000002E-2</v>
      </c>
      <c r="H30">
        <v>6.9999999999999993E-3</v>
      </c>
      <c r="I30">
        <v>2E-3</v>
      </c>
    </row>
    <row r="31" spans="1:9" x14ac:dyDescent="0.2">
      <c r="A31">
        <v>10</v>
      </c>
      <c r="B31" t="s">
        <v>18</v>
      </c>
      <c r="C31" t="s">
        <v>56</v>
      </c>
      <c r="D31">
        <v>0.51200000000000001</v>
      </c>
      <c r="E31">
        <v>0.185</v>
      </c>
      <c r="F31">
        <v>6.7000000000000004E-2</v>
      </c>
      <c r="G31">
        <v>1.9E-2</v>
      </c>
      <c r="H31">
        <v>5.0000000000000001E-3</v>
      </c>
      <c r="I31">
        <v>1E-3</v>
      </c>
    </row>
    <row r="32" spans="1:9" x14ac:dyDescent="0.2">
      <c r="A32">
        <v>7</v>
      </c>
      <c r="B32" t="s">
        <v>18</v>
      </c>
      <c r="C32" t="s">
        <v>53</v>
      </c>
      <c r="D32">
        <v>0.48799999999999999</v>
      </c>
      <c r="E32">
        <v>0.17100000000000001</v>
      </c>
      <c r="F32">
        <v>6.0999999999999999E-2</v>
      </c>
      <c r="G32">
        <v>1.7000000000000001E-2</v>
      </c>
      <c r="H32">
        <v>4.0000000000000001E-3</v>
      </c>
      <c r="I32">
        <v>1E-3</v>
      </c>
    </row>
    <row r="33" spans="1:9" x14ac:dyDescent="0.2">
      <c r="A33">
        <v>11</v>
      </c>
      <c r="B33" t="s">
        <v>20</v>
      </c>
      <c r="C33" t="s">
        <v>59</v>
      </c>
      <c r="D33">
        <v>0.51300000000000001</v>
      </c>
      <c r="E33">
        <v>0.19399999999999998</v>
      </c>
      <c r="F33">
        <v>6.7000000000000004E-2</v>
      </c>
      <c r="G33">
        <v>1.3999999999999999E-2</v>
      </c>
      <c r="H33">
        <v>4.0000000000000001E-3</v>
      </c>
      <c r="I33">
        <v>1E-3</v>
      </c>
    </row>
    <row r="34" spans="1:9" x14ac:dyDescent="0.2">
      <c r="A34">
        <v>8</v>
      </c>
      <c r="B34" t="s">
        <v>24</v>
      </c>
      <c r="C34" t="s">
        <v>49</v>
      </c>
      <c r="D34">
        <v>0.54100000000000004</v>
      </c>
      <c r="E34">
        <v>0.121</v>
      </c>
      <c r="F34">
        <v>5.2999999999999999E-2</v>
      </c>
      <c r="G34">
        <v>1.4999999999999999E-2</v>
      </c>
      <c r="H34">
        <v>4.0000000000000001E-3</v>
      </c>
      <c r="I34">
        <v>1E-3</v>
      </c>
    </row>
    <row r="35" spans="1:9" x14ac:dyDescent="0.2">
      <c r="A35">
        <v>11</v>
      </c>
      <c r="B35" t="s">
        <v>22</v>
      </c>
      <c r="C35" t="s">
        <v>51</v>
      </c>
      <c r="D35">
        <v>0.40200000000000002</v>
      </c>
      <c r="E35">
        <v>0.14499999999999999</v>
      </c>
      <c r="F35">
        <v>4.2999999999999997E-2</v>
      </c>
      <c r="G35">
        <v>1.3999999999999999E-2</v>
      </c>
      <c r="H35">
        <v>4.0000000000000001E-3</v>
      </c>
      <c r="I35">
        <v>1E-3</v>
      </c>
    </row>
    <row r="36" spans="1:9" x14ac:dyDescent="0.2">
      <c r="A36">
        <v>12</v>
      </c>
      <c r="B36" t="s">
        <v>24</v>
      </c>
      <c r="C36" t="s">
        <v>61</v>
      </c>
      <c r="D36">
        <v>0.45700000000000002</v>
      </c>
      <c r="E36">
        <v>0.192</v>
      </c>
      <c r="F36">
        <v>5.2000000000000005E-2</v>
      </c>
      <c r="G36">
        <v>1.3999999999999999E-2</v>
      </c>
      <c r="H36">
        <v>4.0000000000000001E-3</v>
      </c>
      <c r="I36">
        <v>1E-3</v>
      </c>
    </row>
    <row r="37" spans="1:9" x14ac:dyDescent="0.2">
      <c r="A37">
        <v>9</v>
      </c>
      <c r="B37" t="s">
        <v>22</v>
      </c>
      <c r="C37" t="s">
        <v>57</v>
      </c>
      <c r="D37">
        <v>0.45700000000000002</v>
      </c>
      <c r="E37">
        <v>0.125</v>
      </c>
      <c r="F37">
        <v>4.2000000000000003E-2</v>
      </c>
      <c r="G37">
        <v>1.3000000000000001E-2</v>
      </c>
      <c r="H37">
        <v>4.0000000000000001E-3</v>
      </c>
      <c r="I37">
        <v>8.0000000000000004E-4</v>
      </c>
    </row>
    <row r="38" spans="1:9" x14ac:dyDescent="0.2">
      <c r="A38">
        <v>11</v>
      </c>
      <c r="B38" t="s">
        <v>24</v>
      </c>
      <c r="C38" t="s">
        <v>52</v>
      </c>
      <c r="D38">
        <v>0.19899999999999998</v>
      </c>
      <c r="E38">
        <v>7.9000000000000001E-2</v>
      </c>
      <c r="F38">
        <v>2.3E-2</v>
      </c>
      <c r="G38">
        <v>8.0000000000000002E-3</v>
      </c>
      <c r="H38">
        <v>3.0000000000000001E-3</v>
      </c>
      <c r="I38">
        <v>8.0000000000000004E-4</v>
      </c>
    </row>
    <row r="39" spans="1:9" x14ac:dyDescent="0.2">
      <c r="A39">
        <v>9</v>
      </c>
      <c r="B39" t="s">
        <v>20</v>
      </c>
      <c r="C39" t="s">
        <v>50</v>
      </c>
      <c r="D39">
        <v>0.51500000000000001</v>
      </c>
      <c r="E39">
        <v>8.3000000000000004E-2</v>
      </c>
      <c r="F39">
        <v>2.7999999999999997E-2</v>
      </c>
      <c r="G39">
        <v>1.1000000000000001E-2</v>
      </c>
      <c r="H39">
        <v>3.0000000000000001E-3</v>
      </c>
      <c r="I39">
        <v>8.0000000000000004E-4</v>
      </c>
    </row>
    <row r="40" spans="1:9" x14ac:dyDescent="0.2">
      <c r="A40">
        <v>6</v>
      </c>
      <c r="B40" t="s">
        <v>20</v>
      </c>
      <c r="C40" t="s">
        <v>62</v>
      </c>
      <c r="D40">
        <v>0.48700000000000004</v>
      </c>
      <c r="E40">
        <v>0.17800000000000002</v>
      </c>
      <c r="F40">
        <v>0.06</v>
      </c>
      <c r="G40">
        <v>1.1000000000000001E-2</v>
      </c>
      <c r="H40">
        <v>3.0000000000000001E-3</v>
      </c>
      <c r="I40">
        <v>7.000000000000001E-4</v>
      </c>
    </row>
    <row r="41" spans="1:9" x14ac:dyDescent="0.2">
      <c r="A41">
        <v>8</v>
      </c>
      <c r="B41" t="s">
        <v>20</v>
      </c>
      <c r="C41" t="s">
        <v>63</v>
      </c>
      <c r="D41">
        <v>0.48499999999999999</v>
      </c>
      <c r="E41">
        <v>7.4999999999999997E-2</v>
      </c>
      <c r="F41">
        <v>2.4E-2</v>
      </c>
      <c r="G41">
        <v>9.0000000000000011E-3</v>
      </c>
      <c r="H41">
        <v>2E-3</v>
      </c>
      <c r="I41">
        <v>7.000000000000001E-4</v>
      </c>
    </row>
    <row r="42" spans="1:9" x14ac:dyDescent="0.2">
      <c r="A42">
        <v>11</v>
      </c>
      <c r="B42" t="s">
        <v>24</v>
      </c>
      <c r="C42" t="s">
        <v>58</v>
      </c>
      <c r="D42">
        <v>0.18899999999999997</v>
      </c>
      <c r="E42">
        <v>7.2999999999999995E-2</v>
      </c>
      <c r="F42">
        <v>0.02</v>
      </c>
      <c r="G42">
        <v>6.9999999999999993E-3</v>
      </c>
      <c r="H42">
        <v>2E-3</v>
      </c>
      <c r="I42">
        <v>5.9999999999999995E-4</v>
      </c>
    </row>
    <row r="43" spans="1:9" x14ac:dyDescent="0.2">
      <c r="A43">
        <v>7</v>
      </c>
      <c r="B43" t="s">
        <v>24</v>
      </c>
      <c r="C43" t="s">
        <v>55</v>
      </c>
      <c r="D43">
        <v>0.25</v>
      </c>
      <c r="E43">
        <v>6.0999999999999999E-2</v>
      </c>
      <c r="F43">
        <v>2.2000000000000002E-2</v>
      </c>
      <c r="G43">
        <v>6.9999999999999993E-3</v>
      </c>
      <c r="H43">
        <v>2E-3</v>
      </c>
      <c r="I43">
        <v>4.0000000000000002E-4</v>
      </c>
    </row>
    <row r="44" spans="1:9" x14ac:dyDescent="0.2">
      <c r="A44">
        <v>9</v>
      </c>
      <c r="B44" t="s">
        <v>24</v>
      </c>
      <c r="C44" t="s">
        <v>54</v>
      </c>
      <c r="D44">
        <v>0.45899999999999996</v>
      </c>
      <c r="E44">
        <v>9.0999999999999998E-2</v>
      </c>
      <c r="F44">
        <v>3.6000000000000004E-2</v>
      </c>
      <c r="G44">
        <v>9.0000000000000011E-3</v>
      </c>
      <c r="H44">
        <v>3.0000000000000001E-3</v>
      </c>
      <c r="I44">
        <v>4.0000000000000002E-4</v>
      </c>
    </row>
    <row r="45" spans="1:9" x14ac:dyDescent="0.2">
      <c r="A45">
        <v>10</v>
      </c>
      <c r="B45" t="s">
        <v>20</v>
      </c>
      <c r="C45" t="s">
        <v>60</v>
      </c>
      <c r="D45">
        <v>0.28999999999999998</v>
      </c>
      <c r="E45">
        <v>0.10099999999999999</v>
      </c>
      <c r="F45">
        <v>3.9E-2</v>
      </c>
      <c r="G45">
        <v>6.9999999999999993E-3</v>
      </c>
      <c r="H45">
        <v>2E-3</v>
      </c>
      <c r="I45">
        <v>4.0000000000000002E-4</v>
      </c>
    </row>
    <row r="46" spans="1:9" x14ac:dyDescent="0.2">
      <c r="A46">
        <v>9</v>
      </c>
      <c r="B46" t="s">
        <v>18</v>
      </c>
      <c r="C46" t="s">
        <v>70</v>
      </c>
      <c r="D46">
        <v>0.33500000000000002</v>
      </c>
      <c r="E46">
        <v>6.7000000000000004E-2</v>
      </c>
      <c r="F46">
        <v>1.9E-2</v>
      </c>
      <c r="G46">
        <v>6.0000000000000001E-3</v>
      </c>
      <c r="H46">
        <v>1E-3</v>
      </c>
      <c r="I46">
        <v>4.0000000000000002E-4</v>
      </c>
    </row>
    <row r="47" spans="1:9" x14ac:dyDescent="0.2">
      <c r="A47">
        <v>12</v>
      </c>
      <c r="B47" t="s">
        <v>22</v>
      </c>
      <c r="C47" t="s">
        <v>67</v>
      </c>
      <c r="D47">
        <v>0.26899999999999996</v>
      </c>
      <c r="E47">
        <v>8.3000000000000004E-2</v>
      </c>
      <c r="F47">
        <v>2.3E-2</v>
      </c>
      <c r="G47">
        <v>6.0000000000000001E-3</v>
      </c>
      <c r="H47">
        <v>1E-3</v>
      </c>
      <c r="I47">
        <v>2.0000000000000001E-4</v>
      </c>
    </row>
    <row r="48" spans="1:9" x14ac:dyDescent="0.2">
      <c r="A48">
        <v>13</v>
      </c>
      <c r="B48" t="s">
        <v>22</v>
      </c>
      <c r="C48" t="s">
        <v>71</v>
      </c>
      <c r="D48">
        <v>0.23199999999999998</v>
      </c>
      <c r="E48">
        <v>7.2000000000000008E-2</v>
      </c>
      <c r="F48">
        <v>1.9E-2</v>
      </c>
      <c r="G48">
        <v>4.0000000000000001E-3</v>
      </c>
      <c r="H48">
        <v>1E-3</v>
      </c>
      <c r="I48">
        <v>2.0000000000000001E-4</v>
      </c>
    </row>
    <row r="49" spans="1:9" x14ac:dyDescent="0.2">
      <c r="A49">
        <v>12</v>
      </c>
      <c r="B49" t="s">
        <v>20</v>
      </c>
      <c r="C49" t="s">
        <v>68</v>
      </c>
      <c r="D49">
        <v>0.313</v>
      </c>
      <c r="E49">
        <v>7.6999999999999999E-2</v>
      </c>
      <c r="F49">
        <v>1.2E-2</v>
      </c>
      <c r="G49">
        <v>4.0000000000000001E-3</v>
      </c>
      <c r="H49">
        <v>1E-3</v>
      </c>
      <c r="I49">
        <v>2.0000000000000001E-4</v>
      </c>
    </row>
    <row r="50" spans="1:9" x14ac:dyDescent="0.2">
      <c r="A50">
        <v>11</v>
      </c>
      <c r="B50" t="s">
        <v>18</v>
      </c>
      <c r="C50" t="s">
        <v>65</v>
      </c>
      <c r="D50">
        <v>0.125</v>
      </c>
      <c r="E50">
        <v>3.7999999999999999E-2</v>
      </c>
      <c r="F50">
        <v>1.1000000000000001E-2</v>
      </c>
      <c r="G50">
        <v>2E-3</v>
      </c>
      <c r="H50">
        <v>5.0000000000000001E-4</v>
      </c>
      <c r="I50">
        <v>1E-4</v>
      </c>
    </row>
    <row r="51" spans="1:9" x14ac:dyDescent="0.2">
      <c r="A51">
        <v>12</v>
      </c>
      <c r="B51" t="s">
        <v>18</v>
      </c>
      <c r="C51" t="s">
        <v>69</v>
      </c>
      <c r="D51">
        <v>0.215</v>
      </c>
      <c r="E51">
        <v>5.2999999999999999E-2</v>
      </c>
      <c r="F51">
        <v>0.01</v>
      </c>
      <c r="G51">
        <v>2E-3</v>
      </c>
      <c r="H51">
        <v>5.0000000000000001E-4</v>
      </c>
      <c r="I51">
        <v>7.0000000000000007E-5</v>
      </c>
    </row>
    <row r="52" spans="1:9" x14ac:dyDescent="0.2">
      <c r="A52">
        <v>13</v>
      </c>
      <c r="B52" t="s">
        <v>18</v>
      </c>
      <c r="C52" t="s">
        <v>73</v>
      </c>
      <c r="D52">
        <v>0.17100000000000001</v>
      </c>
      <c r="E52">
        <v>4.4999999999999998E-2</v>
      </c>
      <c r="F52">
        <v>8.0000000000000002E-3</v>
      </c>
      <c r="G52">
        <v>2E-3</v>
      </c>
      <c r="H52">
        <v>2.9999999999999997E-4</v>
      </c>
      <c r="I52">
        <v>7.0000000000000007E-5</v>
      </c>
    </row>
    <row r="53" spans="1:9" x14ac:dyDescent="0.2">
      <c r="A53">
        <v>11</v>
      </c>
      <c r="B53" t="s">
        <v>18</v>
      </c>
      <c r="C53" t="s">
        <v>66</v>
      </c>
      <c r="D53">
        <v>0.10800000000000001</v>
      </c>
      <c r="E53">
        <v>3.2000000000000001E-2</v>
      </c>
      <c r="F53">
        <v>9.0000000000000011E-3</v>
      </c>
      <c r="G53">
        <v>2E-3</v>
      </c>
      <c r="H53">
        <v>2.9999999999999997E-4</v>
      </c>
      <c r="I53">
        <v>5.0000000000000002E-5</v>
      </c>
    </row>
    <row r="54" spans="1:9" x14ac:dyDescent="0.2">
      <c r="A54">
        <v>13</v>
      </c>
      <c r="B54" t="s">
        <v>20</v>
      </c>
      <c r="C54" t="s">
        <v>72</v>
      </c>
      <c r="D54">
        <v>0.121</v>
      </c>
      <c r="E54">
        <v>3.4000000000000002E-2</v>
      </c>
      <c r="F54">
        <v>4.0000000000000001E-3</v>
      </c>
      <c r="G54">
        <v>8.0000000000000004E-4</v>
      </c>
      <c r="H54">
        <v>1E-4</v>
      </c>
      <c r="I54">
        <v>3.0000000000000001E-5</v>
      </c>
    </row>
    <row r="55" spans="1:9" x14ac:dyDescent="0.2">
      <c r="A55">
        <v>14</v>
      </c>
      <c r="B55" t="s">
        <v>20</v>
      </c>
      <c r="C55" t="s">
        <v>75</v>
      </c>
      <c r="D55">
        <v>0.13699999999999998</v>
      </c>
      <c r="E55">
        <v>3.7999999999999999E-2</v>
      </c>
      <c r="F55">
        <v>6.9999999999999993E-3</v>
      </c>
      <c r="G55">
        <v>5.0000000000000001E-4</v>
      </c>
      <c r="H55">
        <v>8.9999999999999992E-5</v>
      </c>
      <c r="I55">
        <v>2.0000000000000002E-5</v>
      </c>
    </row>
    <row r="56" spans="1:9" x14ac:dyDescent="0.2">
      <c r="A56">
        <v>14</v>
      </c>
      <c r="B56" t="s">
        <v>18</v>
      </c>
      <c r="C56" t="s">
        <v>76</v>
      </c>
      <c r="D56">
        <v>0.159</v>
      </c>
      <c r="E56">
        <v>3.2000000000000001E-2</v>
      </c>
      <c r="F56">
        <v>6.0000000000000001E-3</v>
      </c>
      <c r="G56">
        <v>8.0000000000000004E-4</v>
      </c>
      <c r="H56">
        <v>7.0000000000000007E-5</v>
      </c>
      <c r="I56">
        <v>1.0000000000000001E-5</v>
      </c>
    </row>
    <row r="57" spans="1:9" x14ac:dyDescent="0.2">
      <c r="A57">
        <v>13</v>
      </c>
      <c r="B57" t="s">
        <v>24</v>
      </c>
      <c r="C57" t="s">
        <v>74</v>
      </c>
      <c r="D57">
        <v>0.157</v>
      </c>
      <c r="E57">
        <v>3.7999999999999999E-2</v>
      </c>
      <c r="F57">
        <v>4.0000000000000001E-3</v>
      </c>
      <c r="G57">
        <v>4.0000000000000002E-4</v>
      </c>
      <c r="H57">
        <v>4.0000000000000003E-5</v>
      </c>
      <c r="I57">
        <v>1.0000000000000001E-5</v>
      </c>
    </row>
    <row r="58" spans="1:9" x14ac:dyDescent="0.2">
      <c r="A58">
        <v>14</v>
      </c>
      <c r="B58" t="s">
        <v>22</v>
      </c>
      <c r="C58" t="s">
        <v>77</v>
      </c>
      <c r="D58">
        <v>0.106</v>
      </c>
      <c r="E58">
        <v>1.9E-2</v>
      </c>
      <c r="F58">
        <v>2E-3</v>
      </c>
      <c r="G58">
        <v>2.9999999999999997E-4</v>
      </c>
      <c r="H58">
        <v>2.0000000000000002E-5</v>
      </c>
      <c r="I58">
        <v>0</v>
      </c>
    </row>
    <row r="59" spans="1:9" x14ac:dyDescent="0.2">
      <c r="A59">
        <v>15</v>
      </c>
      <c r="B59" t="s">
        <v>22</v>
      </c>
      <c r="C59" t="s">
        <v>84</v>
      </c>
      <c r="D59">
        <v>6.6000000000000003E-2</v>
      </c>
      <c r="E59">
        <v>8.0000000000000002E-3</v>
      </c>
      <c r="F59">
        <v>1E-3</v>
      </c>
      <c r="G59">
        <v>1E-4</v>
      </c>
      <c r="H59">
        <v>2.0000000000000002E-5</v>
      </c>
      <c r="I59">
        <v>0</v>
      </c>
    </row>
    <row r="60" spans="1:9" x14ac:dyDescent="0.2">
      <c r="A60">
        <v>15</v>
      </c>
      <c r="B60" t="s">
        <v>18</v>
      </c>
      <c r="C60" t="s">
        <v>79</v>
      </c>
      <c r="D60">
        <v>8.3000000000000004E-2</v>
      </c>
      <c r="E60">
        <v>1.4999999999999999E-2</v>
      </c>
      <c r="F60">
        <v>2E-3</v>
      </c>
      <c r="G60">
        <v>2.0000000000000001E-4</v>
      </c>
      <c r="H60">
        <v>0</v>
      </c>
      <c r="I60">
        <v>0</v>
      </c>
    </row>
    <row r="61" spans="1:9" x14ac:dyDescent="0.2">
      <c r="A61">
        <v>16</v>
      </c>
      <c r="B61" t="s">
        <v>22</v>
      </c>
      <c r="C61" t="s">
        <v>85</v>
      </c>
      <c r="D61">
        <v>3.7999999999999999E-2</v>
      </c>
      <c r="E61">
        <v>8.0000000000000002E-3</v>
      </c>
      <c r="F61">
        <v>8.9999999999999998E-4</v>
      </c>
      <c r="G61">
        <v>7.0000000000000007E-5</v>
      </c>
      <c r="H61">
        <v>0</v>
      </c>
      <c r="I61">
        <v>0</v>
      </c>
    </row>
    <row r="62" spans="1:9" x14ac:dyDescent="0.2">
      <c r="A62">
        <v>14</v>
      </c>
      <c r="B62" t="s">
        <v>24</v>
      </c>
      <c r="C62" t="s">
        <v>78</v>
      </c>
      <c r="D62">
        <v>7.8E-2</v>
      </c>
      <c r="E62">
        <v>0.01</v>
      </c>
      <c r="F62">
        <v>7.000000000000001E-4</v>
      </c>
      <c r="G62">
        <v>5.0000000000000002E-5</v>
      </c>
      <c r="H62">
        <v>0</v>
      </c>
      <c r="I62">
        <v>0</v>
      </c>
    </row>
    <row r="63" spans="1:9" x14ac:dyDescent="0.2">
      <c r="A63">
        <v>15</v>
      </c>
      <c r="B63" t="s">
        <v>20</v>
      </c>
      <c r="C63" t="s">
        <v>82</v>
      </c>
      <c r="D63">
        <v>7.4999999999999997E-2</v>
      </c>
      <c r="E63">
        <v>8.0000000000000002E-3</v>
      </c>
      <c r="F63">
        <v>8.9999999999999998E-4</v>
      </c>
      <c r="G63">
        <v>3.0000000000000001E-5</v>
      </c>
      <c r="H63">
        <v>0</v>
      </c>
      <c r="I63">
        <v>0</v>
      </c>
    </row>
    <row r="64" spans="1:9" x14ac:dyDescent="0.2">
      <c r="A64">
        <v>15</v>
      </c>
      <c r="B64" t="s">
        <v>24</v>
      </c>
      <c r="C64" t="s">
        <v>80</v>
      </c>
      <c r="D64">
        <v>4.4000000000000004E-2</v>
      </c>
      <c r="E64">
        <v>4.0000000000000001E-3</v>
      </c>
      <c r="F64">
        <v>4.0000000000000002E-4</v>
      </c>
      <c r="G64">
        <v>3.0000000000000001E-5</v>
      </c>
      <c r="H64">
        <v>0</v>
      </c>
      <c r="I64">
        <v>0</v>
      </c>
    </row>
    <row r="65" spans="1:9" x14ac:dyDescent="0.2">
      <c r="A65">
        <v>16</v>
      </c>
      <c r="B65" t="s">
        <v>18</v>
      </c>
      <c r="C65" t="s">
        <v>88</v>
      </c>
      <c r="D65">
        <v>2.3E-2</v>
      </c>
      <c r="E65">
        <v>3.0000000000000001E-3</v>
      </c>
      <c r="F65">
        <v>2.9999999999999997E-4</v>
      </c>
      <c r="G65">
        <v>3.0000000000000001E-5</v>
      </c>
      <c r="H65">
        <v>0</v>
      </c>
      <c r="I65">
        <v>0</v>
      </c>
    </row>
    <row r="66" spans="1:9" x14ac:dyDescent="0.2">
      <c r="A66">
        <v>16</v>
      </c>
      <c r="B66" t="s">
        <v>24</v>
      </c>
      <c r="C66" t="s">
        <v>83</v>
      </c>
      <c r="D66">
        <v>0.02</v>
      </c>
      <c r="E66">
        <v>3.0000000000000001E-3</v>
      </c>
      <c r="F66">
        <v>2.9999999999999997E-4</v>
      </c>
      <c r="G66">
        <v>0</v>
      </c>
      <c r="H66">
        <v>0</v>
      </c>
      <c r="I66">
        <v>0</v>
      </c>
    </row>
    <row r="67" spans="1:9" x14ac:dyDescent="0.2">
      <c r="A67">
        <v>16</v>
      </c>
      <c r="B67" t="s">
        <v>20</v>
      </c>
      <c r="C67" t="s">
        <v>81</v>
      </c>
      <c r="D67">
        <v>1.4999999999999999E-2</v>
      </c>
      <c r="E67">
        <v>2E-3</v>
      </c>
      <c r="F67">
        <v>2.0000000000000001E-4</v>
      </c>
      <c r="G67">
        <v>0</v>
      </c>
      <c r="H67">
        <v>0</v>
      </c>
      <c r="I67">
        <v>0</v>
      </c>
    </row>
    <row r="68" spans="1:9" x14ac:dyDescent="0.2">
      <c r="A68">
        <v>16</v>
      </c>
      <c r="B68" t="s">
        <v>18</v>
      </c>
      <c r="C68" t="s">
        <v>87</v>
      </c>
      <c r="D68">
        <v>0.01</v>
      </c>
      <c r="E68">
        <v>8.0000000000000004E-4</v>
      </c>
      <c r="F68">
        <v>0</v>
      </c>
      <c r="G68">
        <v>0</v>
      </c>
      <c r="H68">
        <v>0</v>
      </c>
      <c r="I68">
        <v>0</v>
      </c>
    </row>
    <row r="69" spans="1:9" x14ac:dyDescent="0.2">
      <c r="A69">
        <v>16</v>
      </c>
      <c r="B69" t="s">
        <v>22</v>
      </c>
      <c r="C69" t="s">
        <v>86</v>
      </c>
      <c r="D69">
        <v>9.0000000000000011E-3</v>
      </c>
      <c r="E69">
        <v>1E-3</v>
      </c>
      <c r="F69">
        <v>0</v>
      </c>
      <c r="G69">
        <v>0</v>
      </c>
      <c r="H69">
        <v>0</v>
      </c>
      <c r="I69">
        <v>0</v>
      </c>
    </row>
  </sheetData>
  <sortState ref="A2:I69">
    <sortCondition descending="1" ref="I2:I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I2" sqref="I2"/>
    </sheetView>
  </sheetViews>
  <sheetFormatPr baseColWidth="10" defaultColWidth="8.83203125" defaultRowHeight="15" x14ac:dyDescent="0.2"/>
  <cols>
    <col min="3" max="3" width="25.5" bestFit="1" customWidth="1"/>
  </cols>
  <sheetData>
    <row r="1" spans="1:9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">
      <c r="A2">
        <v>1</v>
      </c>
      <c r="B2" t="s">
        <v>20</v>
      </c>
      <c r="C2" t="s">
        <v>19</v>
      </c>
      <c r="D2">
        <v>0.995</v>
      </c>
      <c r="E2">
        <v>0.92600000000000005</v>
      </c>
      <c r="F2">
        <v>0.67300000000000004</v>
      </c>
      <c r="G2">
        <v>0.57099999999999995</v>
      </c>
      <c r="H2">
        <v>0.41199999999999998</v>
      </c>
      <c r="I2">
        <v>0.315</v>
      </c>
    </row>
    <row r="3" spans="1:9" x14ac:dyDescent="0.2">
      <c r="A3">
        <v>1</v>
      </c>
      <c r="B3" t="s">
        <v>18</v>
      </c>
      <c r="C3" t="s">
        <v>17</v>
      </c>
      <c r="D3">
        <v>0.99399999999999999</v>
      </c>
      <c r="E3">
        <v>0.79300000000000004</v>
      </c>
      <c r="F3">
        <v>0.57099999999999995</v>
      </c>
      <c r="G3">
        <v>0.41299999999999998</v>
      </c>
      <c r="H3">
        <v>0.21299999999999999</v>
      </c>
      <c r="I3">
        <v>0.14399999999999999</v>
      </c>
    </row>
    <row r="4" spans="1:9" x14ac:dyDescent="0.2">
      <c r="A4">
        <v>1</v>
      </c>
      <c r="B4" t="s">
        <v>24</v>
      </c>
      <c r="C4" t="s">
        <v>25</v>
      </c>
      <c r="D4">
        <v>0.99</v>
      </c>
      <c r="E4">
        <v>0.85699999999999998</v>
      </c>
      <c r="F4">
        <v>0.62</v>
      </c>
      <c r="G4">
        <v>0.38700000000000001</v>
      </c>
      <c r="H4">
        <v>0.24099999999999999</v>
      </c>
      <c r="I4">
        <v>0.105</v>
      </c>
    </row>
    <row r="5" spans="1:9" x14ac:dyDescent="0.2">
      <c r="A5">
        <v>4</v>
      </c>
      <c r="B5" t="s">
        <v>20</v>
      </c>
      <c r="C5" t="s">
        <v>29</v>
      </c>
      <c r="D5">
        <v>0.95299999999999996</v>
      </c>
      <c r="E5">
        <v>0.73099999999999998</v>
      </c>
      <c r="F5">
        <v>0.26500000000000001</v>
      </c>
      <c r="G5">
        <v>0.19400000000000001</v>
      </c>
      <c r="H5">
        <v>0.109</v>
      </c>
      <c r="I5">
        <v>6.6000000000000003E-2</v>
      </c>
    </row>
    <row r="6" spans="1:9" x14ac:dyDescent="0.2">
      <c r="A6">
        <v>1</v>
      </c>
      <c r="B6" t="s">
        <v>22</v>
      </c>
      <c r="C6" t="s">
        <v>21</v>
      </c>
      <c r="D6">
        <v>0.97799999999999998</v>
      </c>
      <c r="E6">
        <v>0.81799999999999995</v>
      </c>
      <c r="F6">
        <v>0.502</v>
      </c>
      <c r="G6">
        <v>0.311</v>
      </c>
      <c r="H6">
        <v>0.16600000000000001</v>
      </c>
      <c r="I6">
        <v>6.5000000000000002E-2</v>
      </c>
    </row>
    <row r="7" spans="1:9" x14ac:dyDescent="0.2">
      <c r="A7">
        <v>2</v>
      </c>
      <c r="B7" t="s">
        <v>24</v>
      </c>
      <c r="C7" t="s">
        <v>23</v>
      </c>
      <c r="D7">
        <v>0.97799999999999998</v>
      </c>
      <c r="E7">
        <v>0.64</v>
      </c>
      <c r="F7">
        <v>0.41399999999999998</v>
      </c>
      <c r="G7">
        <v>0.222</v>
      </c>
      <c r="H7">
        <v>0.127</v>
      </c>
      <c r="I7">
        <v>4.9000000000000002E-2</v>
      </c>
    </row>
    <row r="8" spans="1:9" x14ac:dyDescent="0.2">
      <c r="A8">
        <v>2</v>
      </c>
      <c r="B8" t="s">
        <v>22</v>
      </c>
      <c r="C8" t="s">
        <v>27</v>
      </c>
      <c r="D8">
        <v>0.97899999999999998</v>
      </c>
      <c r="E8">
        <v>0.625</v>
      </c>
      <c r="F8">
        <v>0.38300000000000001</v>
      </c>
      <c r="G8">
        <v>0.19500000000000001</v>
      </c>
      <c r="H8">
        <v>9.4E-2</v>
      </c>
      <c r="I8">
        <v>3.2000000000000001E-2</v>
      </c>
    </row>
    <row r="9" spans="1:9" x14ac:dyDescent="0.2">
      <c r="A9">
        <v>2</v>
      </c>
      <c r="B9" t="s">
        <v>18</v>
      </c>
      <c r="C9" t="s">
        <v>26</v>
      </c>
      <c r="D9">
        <v>0.95799999999999996</v>
      </c>
      <c r="E9">
        <v>0.73499999999999999</v>
      </c>
      <c r="F9">
        <v>0.41099999999999998</v>
      </c>
      <c r="G9">
        <v>0.16900000000000001</v>
      </c>
      <c r="H9">
        <v>5.8000000000000003E-2</v>
      </c>
      <c r="I9">
        <v>2.8000000000000001E-2</v>
      </c>
    </row>
    <row r="10" spans="1:9" x14ac:dyDescent="0.2">
      <c r="A10">
        <v>3</v>
      </c>
      <c r="B10" t="s">
        <v>22</v>
      </c>
      <c r="C10" t="s">
        <v>38</v>
      </c>
      <c r="D10">
        <v>0.94599999999999995</v>
      </c>
      <c r="E10">
        <v>0.63100000000000001</v>
      </c>
      <c r="F10">
        <v>0.311</v>
      </c>
      <c r="G10">
        <v>0.14099999999999999</v>
      </c>
      <c r="H10">
        <v>0.06</v>
      </c>
      <c r="I10">
        <v>1.7999999999999999E-2</v>
      </c>
    </row>
    <row r="11" spans="1:9" x14ac:dyDescent="0.2">
      <c r="A11">
        <v>4</v>
      </c>
      <c r="B11" t="s">
        <v>22</v>
      </c>
      <c r="C11" t="s">
        <v>33</v>
      </c>
      <c r="D11">
        <v>0.89700000000000002</v>
      </c>
      <c r="E11">
        <v>0.498</v>
      </c>
      <c r="F11">
        <v>0.23400000000000001</v>
      </c>
      <c r="G11">
        <v>0.122</v>
      </c>
      <c r="H11">
        <v>5.2999999999999999E-2</v>
      </c>
      <c r="I11">
        <v>1.6E-2</v>
      </c>
    </row>
    <row r="12" spans="1:9" x14ac:dyDescent="0.2">
      <c r="A12">
        <v>3</v>
      </c>
      <c r="B12" t="s">
        <v>24</v>
      </c>
      <c r="C12" t="s">
        <v>30</v>
      </c>
      <c r="D12">
        <v>0.95899999999999996</v>
      </c>
      <c r="E12">
        <v>0.59199999999999997</v>
      </c>
      <c r="F12">
        <v>0.26200000000000001</v>
      </c>
      <c r="G12">
        <v>0.114</v>
      </c>
      <c r="H12">
        <v>5.2999999999999999E-2</v>
      </c>
      <c r="I12">
        <v>1.6E-2</v>
      </c>
    </row>
    <row r="13" spans="1:9" x14ac:dyDescent="0.2">
      <c r="A13">
        <v>4</v>
      </c>
      <c r="B13" t="s">
        <v>24</v>
      </c>
      <c r="C13" t="s">
        <v>39</v>
      </c>
      <c r="D13">
        <v>0.94099999999999995</v>
      </c>
      <c r="E13">
        <v>0.67800000000000005</v>
      </c>
      <c r="F13">
        <v>0.26700000000000002</v>
      </c>
      <c r="G13">
        <v>0.122</v>
      </c>
      <c r="H13">
        <v>5.6000000000000001E-2</v>
      </c>
      <c r="I13">
        <v>1.6E-2</v>
      </c>
    </row>
    <row r="14" spans="1:9" x14ac:dyDescent="0.2">
      <c r="A14">
        <v>5</v>
      </c>
      <c r="B14" t="s">
        <v>22</v>
      </c>
      <c r="C14" t="s">
        <v>36</v>
      </c>
      <c r="D14">
        <v>0.84299999999999997</v>
      </c>
      <c r="E14">
        <v>0.45500000000000002</v>
      </c>
      <c r="F14">
        <v>0.21299999999999999</v>
      </c>
      <c r="G14">
        <v>0.111</v>
      </c>
      <c r="H14">
        <v>4.8000000000000001E-2</v>
      </c>
      <c r="I14">
        <v>1.4999999999999999E-2</v>
      </c>
    </row>
    <row r="15" spans="1:9" x14ac:dyDescent="0.2">
      <c r="A15">
        <v>4</v>
      </c>
      <c r="B15" t="s">
        <v>18</v>
      </c>
      <c r="C15" t="s">
        <v>40</v>
      </c>
      <c r="D15">
        <v>0.88200000000000001</v>
      </c>
      <c r="E15">
        <v>0.48499999999999999</v>
      </c>
      <c r="F15">
        <v>0.17199999999999999</v>
      </c>
      <c r="G15">
        <v>0.09</v>
      </c>
      <c r="H15">
        <v>2.9000000000000001E-2</v>
      </c>
      <c r="I15">
        <v>1.4E-2</v>
      </c>
    </row>
    <row r="16" spans="1:9" x14ac:dyDescent="0.2">
      <c r="A16">
        <v>5</v>
      </c>
      <c r="B16" t="s">
        <v>18</v>
      </c>
      <c r="C16" t="s">
        <v>31</v>
      </c>
      <c r="D16">
        <v>0.84499999999999997</v>
      </c>
      <c r="E16">
        <v>0.46300000000000002</v>
      </c>
      <c r="F16">
        <v>0.16600000000000001</v>
      </c>
      <c r="G16">
        <v>8.6999999999999994E-2</v>
      </c>
      <c r="H16">
        <v>2.9000000000000001E-2</v>
      </c>
      <c r="I16">
        <v>1.2999999999999999E-2</v>
      </c>
    </row>
    <row r="17" spans="1:9" x14ac:dyDescent="0.2">
      <c r="A17">
        <v>10</v>
      </c>
      <c r="B17" t="s">
        <v>24</v>
      </c>
      <c r="C17" t="s">
        <v>34</v>
      </c>
      <c r="D17">
        <v>0.76500000000000001</v>
      </c>
      <c r="E17">
        <v>0.315</v>
      </c>
      <c r="F17">
        <v>0.17299999999999999</v>
      </c>
      <c r="G17">
        <v>7.5999999999999998E-2</v>
      </c>
      <c r="H17">
        <v>3.5999999999999997E-2</v>
      </c>
      <c r="I17">
        <v>1.0999999999999999E-2</v>
      </c>
    </row>
    <row r="18" spans="1:9" x14ac:dyDescent="0.2">
      <c r="A18">
        <v>6</v>
      </c>
      <c r="B18" t="s">
        <v>18</v>
      </c>
      <c r="C18" t="s">
        <v>35</v>
      </c>
      <c r="D18">
        <v>0.82499999999999996</v>
      </c>
      <c r="E18">
        <v>0.39600000000000002</v>
      </c>
      <c r="F18">
        <v>0.19700000000000001</v>
      </c>
      <c r="G18">
        <v>6.7000000000000004E-2</v>
      </c>
      <c r="H18">
        <v>1.9E-2</v>
      </c>
      <c r="I18">
        <v>8.0000000000000002E-3</v>
      </c>
    </row>
    <row r="19" spans="1:9" x14ac:dyDescent="0.2">
      <c r="A19">
        <v>6</v>
      </c>
      <c r="B19" t="s">
        <v>24</v>
      </c>
      <c r="C19" t="s">
        <v>42</v>
      </c>
      <c r="D19">
        <v>0.66100000000000003</v>
      </c>
      <c r="E19">
        <v>0.3</v>
      </c>
      <c r="F19">
        <v>0.114</v>
      </c>
      <c r="G19">
        <v>4.2999999999999997E-2</v>
      </c>
      <c r="H19">
        <v>1.7000000000000001E-2</v>
      </c>
      <c r="I19">
        <v>4.0000000000000001E-3</v>
      </c>
    </row>
    <row r="20" spans="1:9" x14ac:dyDescent="0.2">
      <c r="A20">
        <v>8</v>
      </c>
      <c r="B20" t="s">
        <v>18</v>
      </c>
      <c r="C20" t="s">
        <v>43</v>
      </c>
      <c r="D20">
        <v>0.73599999999999999</v>
      </c>
      <c r="E20">
        <v>0.17899999999999999</v>
      </c>
      <c r="F20">
        <v>8.1000000000000003E-2</v>
      </c>
      <c r="G20">
        <v>3.6999999999999998E-2</v>
      </c>
      <c r="H20">
        <v>0.01</v>
      </c>
      <c r="I20">
        <v>4.0000000000000001E-3</v>
      </c>
    </row>
    <row r="21" spans="1:9" x14ac:dyDescent="0.2">
      <c r="A21">
        <v>7</v>
      </c>
      <c r="B21" t="s">
        <v>22</v>
      </c>
      <c r="C21" t="s">
        <v>44</v>
      </c>
      <c r="D21">
        <v>0.51100000000000001</v>
      </c>
      <c r="E21">
        <v>0.19400000000000001</v>
      </c>
      <c r="F21">
        <v>9.4E-2</v>
      </c>
      <c r="G21">
        <v>3.5999999999999997E-2</v>
      </c>
      <c r="H21">
        <v>1.2999999999999999E-2</v>
      </c>
      <c r="I21">
        <v>3.0000000000000001E-3</v>
      </c>
    </row>
    <row r="22" spans="1:9" x14ac:dyDescent="0.2">
      <c r="A22">
        <v>10</v>
      </c>
      <c r="B22" t="s">
        <v>22</v>
      </c>
      <c r="C22" t="s">
        <v>47</v>
      </c>
      <c r="D22">
        <v>0.48899999999999999</v>
      </c>
      <c r="E22">
        <v>0.18099999999999999</v>
      </c>
      <c r="F22">
        <v>8.5000000000000006E-2</v>
      </c>
      <c r="G22">
        <v>3.2000000000000001E-2</v>
      </c>
      <c r="H22">
        <v>1.0999999999999999E-2</v>
      </c>
      <c r="I22">
        <v>3.0000000000000001E-3</v>
      </c>
    </row>
    <row r="23" spans="1:9" x14ac:dyDescent="0.2">
      <c r="A23">
        <v>6</v>
      </c>
      <c r="B23" t="s">
        <v>22</v>
      </c>
      <c r="C23" t="s">
        <v>46</v>
      </c>
      <c r="D23">
        <v>0.69699999999999995</v>
      </c>
      <c r="E23">
        <v>0.28899999999999998</v>
      </c>
      <c r="F23">
        <v>0.11</v>
      </c>
      <c r="G23">
        <v>3.7999999999999999E-2</v>
      </c>
      <c r="H23">
        <v>1.2E-2</v>
      </c>
      <c r="I23">
        <v>3.0000000000000001E-3</v>
      </c>
    </row>
    <row r="24" spans="1:9" x14ac:dyDescent="0.2">
      <c r="A24">
        <v>7</v>
      </c>
      <c r="B24" t="s">
        <v>20</v>
      </c>
      <c r="C24" t="s">
        <v>32</v>
      </c>
      <c r="D24">
        <v>0.69</v>
      </c>
      <c r="E24">
        <v>0.307</v>
      </c>
      <c r="F24">
        <v>0.14499999999999999</v>
      </c>
      <c r="G24">
        <v>2.5000000000000001E-2</v>
      </c>
      <c r="H24">
        <v>7.0000000000000001E-3</v>
      </c>
      <c r="I24">
        <v>2E-3</v>
      </c>
    </row>
    <row r="25" spans="1:9" x14ac:dyDescent="0.2">
      <c r="A25">
        <v>5</v>
      </c>
      <c r="B25" t="s">
        <v>24</v>
      </c>
      <c r="C25" t="s">
        <v>64</v>
      </c>
      <c r="D25">
        <v>0.56599999999999995</v>
      </c>
      <c r="E25">
        <v>0.19</v>
      </c>
      <c r="F25">
        <v>4.4999999999999998E-2</v>
      </c>
      <c r="G25">
        <v>1.2E-2</v>
      </c>
      <c r="H25">
        <v>3.0000000000000001E-3</v>
      </c>
      <c r="I25">
        <v>1E-3</v>
      </c>
    </row>
    <row r="26" spans="1:9" x14ac:dyDescent="0.2">
      <c r="A26">
        <v>8</v>
      </c>
      <c r="B26" t="s">
        <v>22</v>
      </c>
      <c r="C26" t="s">
        <v>48</v>
      </c>
      <c r="D26">
        <v>0.51600000000000001</v>
      </c>
      <c r="E26">
        <v>9.5000000000000001E-2</v>
      </c>
      <c r="F26">
        <v>2.4E-2</v>
      </c>
      <c r="G26">
        <v>6.0000000000000001E-3</v>
      </c>
      <c r="H26">
        <v>1E-3</v>
      </c>
      <c r="I26">
        <v>0</v>
      </c>
    </row>
    <row r="27" spans="1:9" x14ac:dyDescent="0.2">
      <c r="A27">
        <v>8</v>
      </c>
      <c r="B27" t="s">
        <v>24</v>
      </c>
      <c r="C27" t="s">
        <v>49</v>
      </c>
      <c r="D27">
        <v>0.50700000000000001</v>
      </c>
      <c r="E27">
        <v>7.2999999999999995E-2</v>
      </c>
      <c r="F27">
        <v>2.3E-2</v>
      </c>
      <c r="G27">
        <v>5.0000000000000001E-3</v>
      </c>
      <c r="H27">
        <v>1E-3</v>
      </c>
      <c r="I27">
        <v>0</v>
      </c>
    </row>
    <row r="28" spans="1:9" x14ac:dyDescent="0.2">
      <c r="A28">
        <v>11</v>
      </c>
      <c r="B28" t="s">
        <v>22</v>
      </c>
      <c r="C28" t="s">
        <v>51</v>
      </c>
      <c r="D28">
        <v>0.30299999999999999</v>
      </c>
      <c r="E28">
        <v>7.4999999999999997E-2</v>
      </c>
      <c r="F28">
        <v>1.6E-2</v>
      </c>
      <c r="G28">
        <v>3.0000000000000001E-3</v>
      </c>
      <c r="H28">
        <v>1E-3</v>
      </c>
      <c r="I28">
        <v>0</v>
      </c>
    </row>
    <row r="29" spans="1:9" x14ac:dyDescent="0.2">
      <c r="A29">
        <v>12</v>
      </c>
      <c r="B29" t="s">
        <v>24</v>
      </c>
      <c r="C29" t="s">
        <v>61</v>
      </c>
      <c r="D29">
        <v>0.434</v>
      </c>
      <c r="E29">
        <v>0.123</v>
      </c>
      <c r="F29">
        <v>2.4E-2</v>
      </c>
      <c r="G29">
        <v>5.0000000000000001E-3</v>
      </c>
      <c r="H29">
        <v>1E-3</v>
      </c>
      <c r="I29">
        <v>0</v>
      </c>
    </row>
    <row r="30" spans="1:9" x14ac:dyDescent="0.2">
      <c r="A30">
        <v>9</v>
      </c>
      <c r="B30" t="s">
        <v>22</v>
      </c>
      <c r="C30" t="s">
        <v>57</v>
      </c>
      <c r="D30">
        <v>0.48399999999999999</v>
      </c>
      <c r="E30">
        <v>8.5000000000000006E-2</v>
      </c>
      <c r="F30">
        <v>0.02</v>
      </c>
      <c r="G30">
        <v>5.0000000000000001E-3</v>
      </c>
      <c r="H30">
        <v>1E-3</v>
      </c>
      <c r="I30">
        <v>0</v>
      </c>
    </row>
    <row r="31" spans="1:9" x14ac:dyDescent="0.2">
      <c r="A31">
        <v>11</v>
      </c>
      <c r="B31" t="s">
        <v>24</v>
      </c>
      <c r="C31" t="s">
        <v>52</v>
      </c>
      <c r="D31">
        <v>0.191</v>
      </c>
      <c r="E31">
        <v>6.2E-2</v>
      </c>
      <c r="F31">
        <v>1.6E-2</v>
      </c>
      <c r="G31">
        <v>4.0000000000000001E-3</v>
      </c>
      <c r="H31">
        <v>1E-3</v>
      </c>
      <c r="I31">
        <v>0</v>
      </c>
    </row>
    <row r="32" spans="1:9" x14ac:dyDescent="0.2">
      <c r="A32">
        <v>11</v>
      </c>
      <c r="B32" t="s">
        <v>24</v>
      </c>
      <c r="C32" t="s">
        <v>58</v>
      </c>
      <c r="D32">
        <v>0.14799999999999999</v>
      </c>
      <c r="E32">
        <v>4.2999999999999997E-2</v>
      </c>
      <c r="F32">
        <v>0.01</v>
      </c>
      <c r="G32">
        <v>2E-3</v>
      </c>
      <c r="H32">
        <v>1E-3</v>
      </c>
      <c r="I32">
        <v>0</v>
      </c>
    </row>
    <row r="33" spans="1:9" x14ac:dyDescent="0.2">
      <c r="A33">
        <v>7</v>
      </c>
      <c r="B33" t="s">
        <v>24</v>
      </c>
      <c r="C33" t="s">
        <v>55</v>
      </c>
      <c r="D33">
        <v>0.23499999999999999</v>
      </c>
      <c r="E33">
        <v>4.3999999999999997E-2</v>
      </c>
      <c r="F33">
        <v>1.2E-2</v>
      </c>
      <c r="G33">
        <v>3.0000000000000001E-3</v>
      </c>
      <c r="H33">
        <v>1E-3</v>
      </c>
      <c r="I33">
        <v>0</v>
      </c>
    </row>
    <row r="34" spans="1:9" x14ac:dyDescent="0.2">
      <c r="A34">
        <v>9</v>
      </c>
      <c r="B34" t="s">
        <v>24</v>
      </c>
      <c r="C34" t="s">
        <v>54</v>
      </c>
      <c r="D34">
        <v>0.49299999999999999</v>
      </c>
      <c r="E34">
        <v>6.9000000000000006E-2</v>
      </c>
      <c r="F34">
        <v>2.1000000000000001E-2</v>
      </c>
      <c r="G34">
        <v>4.0000000000000001E-3</v>
      </c>
      <c r="H34">
        <v>1E-3</v>
      </c>
      <c r="I34">
        <v>0</v>
      </c>
    </row>
    <row r="35" spans="1:9" x14ac:dyDescent="0.2">
      <c r="A35">
        <v>12</v>
      </c>
      <c r="B35" t="s">
        <v>22</v>
      </c>
      <c r="C35" t="s">
        <v>67</v>
      </c>
      <c r="D35">
        <v>0.157</v>
      </c>
      <c r="E35">
        <v>3.2000000000000001E-2</v>
      </c>
      <c r="F35">
        <v>5.0000000000000001E-3</v>
      </c>
      <c r="G35">
        <v>1E-3</v>
      </c>
      <c r="H35">
        <v>0</v>
      </c>
      <c r="I35">
        <v>0</v>
      </c>
    </row>
    <row r="36" spans="1:9" x14ac:dyDescent="0.2">
      <c r="A36">
        <v>13</v>
      </c>
      <c r="B36" t="s">
        <v>22</v>
      </c>
      <c r="C36" t="s">
        <v>71</v>
      </c>
      <c r="D36">
        <v>0.10299999999999999</v>
      </c>
      <c r="E36">
        <v>1.4999999999999999E-2</v>
      </c>
      <c r="F36">
        <v>2E-3</v>
      </c>
      <c r="G36">
        <v>0</v>
      </c>
      <c r="H36">
        <v>0</v>
      </c>
      <c r="I36">
        <v>0</v>
      </c>
    </row>
    <row r="37" spans="1:9" x14ac:dyDescent="0.2">
      <c r="A37">
        <v>13</v>
      </c>
      <c r="B37" t="s">
        <v>24</v>
      </c>
      <c r="C37" t="s">
        <v>74</v>
      </c>
      <c r="D37">
        <v>5.8999999999999997E-2</v>
      </c>
      <c r="E37">
        <v>8.0000000000000002E-3</v>
      </c>
      <c r="F37">
        <v>0</v>
      </c>
      <c r="G37">
        <v>0</v>
      </c>
      <c r="H37">
        <v>0</v>
      </c>
      <c r="I37">
        <v>0</v>
      </c>
    </row>
    <row r="38" spans="1:9" x14ac:dyDescent="0.2">
      <c r="A38">
        <v>14</v>
      </c>
      <c r="B38" t="s">
        <v>22</v>
      </c>
      <c r="C38" t="s">
        <v>77</v>
      </c>
      <c r="D38">
        <v>5.3999999999999999E-2</v>
      </c>
      <c r="E38">
        <v>6.0000000000000001E-3</v>
      </c>
      <c r="F38">
        <v>0</v>
      </c>
      <c r="G38">
        <v>0</v>
      </c>
      <c r="H38">
        <v>0</v>
      </c>
      <c r="I38">
        <v>0</v>
      </c>
    </row>
    <row r="39" spans="1:9" x14ac:dyDescent="0.2">
      <c r="A39">
        <v>15</v>
      </c>
      <c r="B39" t="s">
        <v>22</v>
      </c>
      <c r="C39" t="s">
        <v>84</v>
      </c>
      <c r="D39">
        <v>2.1000000000000001E-2</v>
      </c>
      <c r="E39">
        <v>1E-3</v>
      </c>
      <c r="F39">
        <v>0</v>
      </c>
      <c r="G39">
        <v>0</v>
      </c>
      <c r="H39">
        <v>0</v>
      </c>
      <c r="I39">
        <v>0</v>
      </c>
    </row>
    <row r="40" spans="1:9" x14ac:dyDescent="0.2">
      <c r="A40">
        <v>16</v>
      </c>
      <c r="B40" t="s">
        <v>22</v>
      </c>
      <c r="C40" t="s">
        <v>85</v>
      </c>
      <c r="D40">
        <v>1.9E-2</v>
      </c>
      <c r="E40">
        <v>2E-3</v>
      </c>
      <c r="F40">
        <v>0</v>
      </c>
      <c r="G40">
        <v>0</v>
      </c>
      <c r="H40">
        <v>0</v>
      </c>
      <c r="I40">
        <v>0</v>
      </c>
    </row>
    <row r="41" spans="1:9" x14ac:dyDescent="0.2">
      <c r="A41">
        <v>14</v>
      </c>
      <c r="B41" t="s">
        <v>24</v>
      </c>
      <c r="C41" t="s">
        <v>78</v>
      </c>
      <c r="D41">
        <v>4.1000000000000002E-2</v>
      </c>
      <c r="E41">
        <v>3.0000000000000001E-3</v>
      </c>
      <c r="F41">
        <v>0</v>
      </c>
      <c r="G41">
        <v>0</v>
      </c>
      <c r="H41">
        <v>0</v>
      </c>
      <c r="I41">
        <v>0</v>
      </c>
    </row>
    <row r="42" spans="1:9" x14ac:dyDescent="0.2">
      <c r="A42">
        <v>15</v>
      </c>
      <c r="B42" t="s">
        <v>24</v>
      </c>
      <c r="C42" t="s">
        <v>80</v>
      </c>
      <c r="D42">
        <v>2.1999999999999999E-2</v>
      </c>
      <c r="E42">
        <v>1E-3</v>
      </c>
      <c r="F42">
        <v>0</v>
      </c>
      <c r="G42">
        <v>0</v>
      </c>
      <c r="H42">
        <v>0</v>
      </c>
      <c r="I42">
        <v>0</v>
      </c>
    </row>
    <row r="43" spans="1:9" x14ac:dyDescent="0.2">
      <c r="A43">
        <v>16</v>
      </c>
      <c r="B43" t="s">
        <v>24</v>
      </c>
      <c r="C43" t="s">
        <v>83</v>
      </c>
      <c r="D43">
        <v>0.01</v>
      </c>
      <c r="E43">
        <v>1E-3</v>
      </c>
      <c r="F43">
        <v>0</v>
      </c>
      <c r="G43">
        <v>0</v>
      </c>
      <c r="H43">
        <v>0</v>
      </c>
      <c r="I43">
        <v>0</v>
      </c>
    </row>
    <row r="44" spans="1:9" x14ac:dyDescent="0.2">
      <c r="A44">
        <v>16</v>
      </c>
      <c r="B44" t="s">
        <v>22</v>
      </c>
      <c r="C44" t="s">
        <v>86</v>
      </c>
      <c r="D44">
        <v>3.0000000000000001E-3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>
        <v>3</v>
      </c>
      <c r="B45" t="s">
        <v>18</v>
      </c>
      <c r="C45" t="s">
        <v>37</v>
      </c>
    </row>
    <row r="46" spans="1:9" x14ac:dyDescent="0.2">
      <c r="A46">
        <v>3</v>
      </c>
      <c r="B46" t="s">
        <v>20</v>
      </c>
      <c r="C46" t="s">
        <v>41</v>
      </c>
    </row>
    <row r="47" spans="1:9" x14ac:dyDescent="0.2">
      <c r="A47">
        <v>2</v>
      </c>
      <c r="B47" t="s">
        <v>20</v>
      </c>
      <c r="C47" t="s">
        <v>28</v>
      </c>
    </row>
    <row r="48" spans="1:9" x14ac:dyDescent="0.2">
      <c r="A48">
        <v>5</v>
      </c>
      <c r="B48" t="s">
        <v>20</v>
      </c>
      <c r="C48" t="s">
        <v>45</v>
      </c>
    </row>
    <row r="49" spans="1:3" x14ac:dyDescent="0.2">
      <c r="A49">
        <v>10</v>
      </c>
      <c r="B49" t="s">
        <v>18</v>
      </c>
      <c r="C49" t="s">
        <v>56</v>
      </c>
    </row>
    <row r="50" spans="1:3" x14ac:dyDescent="0.2">
      <c r="A50">
        <v>7</v>
      </c>
      <c r="B50" t="s">
        <v>18</v>
      </c>
      <c r="C50" t="s">
        <v>53</v>
      </c>
    </row>
    <row r="51" spans="1:3" x14ac:dyDescent="0.2">
      <c r="A51">
        <v>11</v>
      </c>
      <c r="B51" t="s">
        <v>20</v>
      </c>
      <c r="C51" t="s">
        <v>59</v>
      </c>
    </row>
    <row r="52" spans="1:3" x14ac:dyDescent="0.2">
      <c r="A52">
        <v>9</v>
      </c>
      <c r="B52" t="s">
        <v>20</v>
      </c>
      <c r="C52" t="s">
        <v>50</v>
      </c>
    </row>
    <row r="53" spans="1:3" x14ac:dyDescent="0.2">
      <c r="A53">
        <v>6</v>
      </c>
      <c r="B53" t="s">
        <v>20</v>
      </c>
      <c r="C53" t="s">
        <v>62</v>
      </c>
    </row>
    <row r="54" spans="1:3" x14ac:dyDescent="0.2">
      <c r="A54">
        <v>8</v>
      </c>
      <c r="B54" t="s">
        <v>20</v>
      </c>
      <c r="C54" t="s">
        <v>63</v>
      </c>
    </row>
    <row r="55" spans="1:3" x14ac:dyDescent="0.2">
      <c r="A55">
        <v>10</v>
      </c>
      <c r="B55" t="s">
        <v>20</v>
      </c>
      <c r="C55" t="s">
        <v>60</v>
      </c>
    </row>
    <row r="56" spans="1:3" x14ac:dyDescent="0.2">
      <c r="A56">
        <v>9</v>
      </c>
      <c r="B56" t="s">
        <v>18</v>
      </c>
      <c r="C56" t="s">
        <v>70</v>
      </c>
    </row>
    <row r="57" spans="1:3" x14ac:dyDescent="0.2">
      <c r="A57">
        <v>12</v>
      </c>
      <c r="B57" t="s">
        <v>20</v>
      </c>
      <c r="C57" t="s">
        <v>68</v>
      </c>
    </row>
    <row r="58" spans="1:3" x14ac:dyDescent="0.2">
      <c r="A58">
        <v>11</v>
      </c>
      <c r="B58" t="s">
        <v>18</v>
      </c>
      <c r="C58" t="s">
        <v>65</v>
      </c>
    </row>
    <row r="59" spans="1:3" x14ac:dyDescent="0.2">
      <c r="A59">
        <v>12</v>
      </c>
      <c r="B59" t="s">
        <v>18</v>
      </c>
      <c r="C59" t="s">
        <v>69</v>
      </c>
    </row>
    <row r="60" spans="1:3" x14ac:dyDescent="0.2">
      <c r="A60">
        <v>13</v>
      </c>
      <c r="B60" t="s">
        <v>18</v>
      </c>
      <c r="C60" t="s">
        <v>73</v>
      </c>
    </row>
    <row r="61" spans="1:3" x14ac:dyDescent="0.2">
      <c r="A61">
        <v>11</v>
      </c>
      <c r="B61" t="s">
        <v>18</v>
      </c>
      <c r="C61" t="s">
        <v>66</v>
      </c>
    </row>
    <row r="62" spans="1:3" x14ac:dyDescent="0.2">
      <c r="A62">
        <v>13</v>
      </c>
      <c r="B62" t="s">
        <v>20</v>
      </c>
      <c r="C62" t="s">
        <v>72</v>
      </c>
    </row>
    <row r="63" spans="1:3" x14ac:dyDescent="0.2">
      <c r="A63">
        <v>14</v>
      </c>
      <c r="B63" t="s">
        <v>20</v>
      </c>
      <c r="C63" t="s">
        <v>75</v>
      </c>
    </row>
    <row r="64" spans="1:3" x14ac:dyDescent="0.2">
      <c r="A64">
        <v>14</v>
      </c>
      <c r="B64" t="s">
        <v>18</v>
      </c>
      <c r="C64" t="s">
        <v>76</v>
      </c>
    </row>
    <row r="65" spans="1:3" x14ac:dyDescent="0.2">
      <c r="A65">
        <v>15</v>
      </c>
      <c r="B65" t="s">
        <v>18</v>
      </c>
      <c r="C65" t="s">
        <v>79</v>
      </c>
    </row>
    <row r="66" spans="1:3" x14ac:dyDescent="0.2">
      <c r="A66">
        <v>15</v>
      </c>
      <c r="B66" t="s">
        <v>20</v>
      </c>
      <c r="C66" t="s">
        <v>82</v>
      </c>
    </row>
    <row r="67" spans="1:3" x14ac:dyDescent="0.2">
      <c r="A67">
        <v>16</v>
      </c>
      <c r="B67" t="s">
        <v>18</v>
      </c>
      <c r="C67" t="s">
        <v>88</v>
      </c>
    </row>
    <row r="68" spans="1:3" x14ac:dyDescent="0.2">
      <c r="A68">
        <v>16</v>
      </c>
      <c r="B68" t="s">
        <v>20</v>
      </c>
      <c r="C68" t="s">
        <v>81</v>
      </c>
    </row>
    <row r="69" spans="1:3" x14ac:dyDescent="0.2">
      <c r="A69">
        <v>16</v>
      </c>
      <c r="B69" t="s">
        <v>18</v>
      </c>
      <c r="C69" t="s">
        <v>87</v>
      </c>
    </row>
  </sheetData>
  <sortState ref="A2:I69">
    <sortCondition descending="1" ref="I2:I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G7" sqref="G7"/>
    </sheetView>
  </sheetViews>
  <sheetFormatPr baseColWidth="10" defaultColWidth="8.83203125" defaultRowHeight="15" x14ac:dyDescent="0.2"/>
  <cols>
    <col min="3" max="3" width="25.5" bestFit="1" customWidth="1"/>
  </cols>
  <sheetData>
    <row r="1" spans="1:9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">
      <c r="A2">
        <v>1</v>
      </c>
      <c r="B2" t="s">
        <v>18</v>
      </c>
      <c r="C2" t="s">
        <v>17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>
        <v>1</v>
      </c>
      <c r="B3" t="s">
        <v>22</v>
      </c>
      <c r="C3" t="s">
        <v>21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</row>
    <row r="4" spans="1:9" x14ac:dyDescent="0.2">
      <c r="A4">
        <v>1</v>
      </c>
      <c r="B4" t="s">
        <v>24</v>
      </c>
      <c r="C4" t="s">
        <v>25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</row>
    <row r="5" spans="1:9" x14ac:dyDescent="0.2">
      <c r="A5">
        <v>1</v>
      </c>
      <c r="B5" t="s">
        <v>20</v>
      </c>
      <c r="C5" t="s">
        <v>19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</row>
    <row r="6" spans="1:9" x14ac:dyDescent="0.2">
      <c r="A6">
        <v>2</v>
      </c>
      <c r="B6" t="s">
        <v>18</v>
      </c>
      <c r="C6" t="s">
        <v>26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 x14ac:dyDescent="0.2">
      <c r="A7">
        <v>2</v>
      </c>
      <c r="B7" t="s">
        <v>22</v>
      </c>
      <c r="C7" t="s">
        <v>27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</row>
    <row r="8" spans="1:9" x14ac:dyDescent="0.2">
      <c r="A8">
        <v>2</v>
      </c>
      <c r="B8" t="s">
        <v>24</v>
      </c>
      <c r="C8" t="s">
        <v>23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</row>
    <row r="9" spans="1:9" x14ac:dyDescent="0.2">
      <c r="A9">
        <v>2</v>
      </c>
      <c r="B9" t="s">
        <v>20</v>
      </c>
      <c r="C9" t="s">
        <v>28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 x14ac:dyDescent="0.2">
      <c r="A10">
        <v>3</v>
      </c>
      <c r="B10" t="s">
        <v>18</v>
      </c>
      <c r="C10" t="s">
        <v>37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 x14ac:dyDescent="0.2">
      <c r="A11">
        <v>4</v>
      </c>
      <c r="B11" t="s">
        <v>18</v>
      </c>
      <c r="C11" t="s">
        <v>40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3</v>
      </c>
      <c r="B12" t="s">
        <v>22</v>
      </c>
      <c r="C12" t="s">
        <v>38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 x14ac:dyDescent="0.2">
      <c r="A13">
        <v>4</v>
      </c>
      <c r="B13" t="s">
        <v>22</v>
      </c>
      <c r="C13" t="s">
        <v>33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9" x14ac:dyDescent="0.2">
      <c r="A14">
        <v>3</v>
      </c>
      <c r="B14" t="s">
        <v>24</v>
      </c>
      <c r="C14" t="s">
        <v>30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4</v>
      </c>
      <c r="B15" t="s">
        <v>24</v>
      </c>
      <c r="C15" t="s">
        <v>39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3</v>
      </c>
      <c r="B16" t="s">
        <v>20</v>
      </c>
      <c r="C16" t="s">
        <v>41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4</v>
      </c>
      <c r="B17" t="s">
        <v>20</v>
      </c>
      <c r="C17" t="s">
        <v>29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5</v>
      </c>
      <c r="B18" t="s">
        <v>18</v>
      </c>
      <c r="C18" t="s">
        <v>31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>
        <v>6</v>
      </c>
      <c r="B19" t="s">
        <v>18</v>
      </c>
      <c r="C19" t="s">
        <v>35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7</v>
      </c>
      <c r="B20" t="s">
        <v>18</v>
      </c>
      <c r="C20" t="s">
        <v>53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>
        <v>8</v>
      </c>
      <c r="B21" t="s">
        <v>18</v>
      </c>
      <c r="C21" t="s">
        <v>43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5</v>
      </c>
      <c r="B22" t="s">
        <v>22</v>
      </c>
      <c r="C22" t="s">
        <v>36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6</v>
      </c>
      <c r="B23" t="s">
        <v>22</v>
      </c>
      <c r="C23" t="s">
        <v>46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>
        <v>7</v>
      </c>
      <c r="B24" t="s">
        <v>22</v>
      </c>
      <c r="C24" t="s">
        <v>44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8</v>
      </c>
      <c r="B25" t="s">
        <v>22</v>
      </c>
      <c r="C25" t="s">
        <v>48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5</v>
      </c>
      <c r="B26" t="s">
        <v>24</v>
      </c>
      <c r="C26" t="s">
        <v>64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6</v>
      </c>
      <c r="B27" t="s">
        <v>24</v>
      </c>
      <c r="C27" t="s">
        <v>42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>
        <v>7</v>
      </c>
      <c r="B28" t="s">
        <v>24</v>
      </c>
      <c r="C28" t="s">
        <v>55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>
        <v>8</v>
      </c>
      <c r="B29" t="s">
        <v>24</v>
      </c>
      <c r="C29" t="s">
        <v>49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5</v>
      </c>
      <c r="B30" t="s">
        <v>20</v>
      </c>
      <c r="C30" t="s">
        <v>45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6</v>
      </c>
      <c r="B31" t="s">
        <v>20</v>
      </c>
      <c r="C31" t="s">
        <v>62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7</v>
      </c>
      <c r="B32" t="s">
        <v>20</v>
      </c>
      <c r="C32" t="s">
        <v>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8</v>
      </c>
      <c r="B33" t="s">
        <v>20</v>
      </c>
      <c r="C33" t="s">
        <v>63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9</v>
      </c>
      <c r="B34" t="s">
        <v>18</v>
      </c>
      <c r="C34" t="s">
        <v>70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10</v>
      </c>
      <c r="B35" t="s">
        <v>18</v>
      </c>
      <c r="C35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>
        <v>11</v>
      </c>
      <c r="B36" t="s">
        <v>18</v>
      </c>
      <c r="C36" t="s">
        <v>65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>
        <v>11</v>
      </c>
      <c r="B37" t="s">
        <v>18</v>
      </c>
      <c r="C37" t="s">
        <v>66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>
        <v>12</v>
      </c>
      <c r="B38" t="s">
        <v>18</v>
      </c>
      <c r="C38" t="s">
        <v>69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>
        <v>13</v>
      </c>
      <c r="B39" t="s">
        <v>18</v>
      </c>
      <c r="C39" t="s">
        <v>73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>
        <v>14</v>
      </c>
      <c r="B40" t="s">
        <v>18</v>
      </c>
      <c r="C40" t="s">
        <v>76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>
        <v>15</v>
      </c>
      <c r="B41" t="s">
        <v>18</v>
      </c>
      <c r="C41" t="s">
        <v>79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>
        <v>16</v>
      </c>
      <c r="B42" t="s">
        <v>18</v>
      </c>
      <c r="C42" t="s">
        <v>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>
        <v>16</v>
      </c>
      <c r="B43" t="s">
        <v>18</v>
      </c>
      <c r="C43" t="s">
        <v>87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>
        <v>9</v>
      </c>
      <c r="B44" t="s">
        <v>22</v>
      </c>
      <c r="C44" t="s">
        <v>57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>
        <v>10</v>
      </c>
      <c r="B45" t="s">
        <v>22</v>
      </c>
      <c r="C45" t="s">
        <v>47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>
        <v>11</v>
      </c>
      <c r="B46" t="s">
        <v>22</v>
      </c>
      <c r="C46" t="s">
        <v>51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>
        <v>12</v>
      </c>
      <c r="B47" t="s">
        <v>22</v>
      </c>
      <c r="C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>
        <v>13</v>
      </c>
      <c r="B48" t="s">
        <v>22</v>
      </c>
      <c r="C48" t="s">
        <v>71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>
        <v>14</v>
      </c>
      <c r="B49" t="s">
        <v>22</v>
      </c>
      <c r="C49" t="s">
        <v>77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>
        <v>15</v>
      </c>
      <c r="B50" t="s">
        <v>22</v>
      </c>
      <c r="C50" t="s">
        <v>84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>
        <v>16</v>
      </c>
      <c r="B51" t="s">
        <v>22</v>
      </c>
      <c r="C51" t="s">
        <v>85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>
        <v>16</v>
      </c>
      <c r="B52" t="s">
        <v>22</v>
      </c>
      <c r="C52" t="s">
        <v>86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>
        <v>9</v>
      </c>
      <c r="B53" t="s">
        <v>24</v>
      </c>
      <c r="C53" t="s">
        <v>54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>
        <v>10</v>
      </c>
      <c r="B54" t="s">
        <v>24</v>
      </c>
      <c r="C54" t="s">
        <v>34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>
        <v>11</v>
      </c>
      <c r="B55" t="s">
        <v>24</v>
      </c>
      <c r="C55" t="s">
        <v>52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>
        <v>11</v>
      </c>
      <c r="B56" t="s">
        <v>24</v>
      </c>
      <c r="C56" t="s">
        <v>58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>
        <v>12</v>
      </c>
      <c r="B57" t="s">
        <v>24</v>
      </c>
      <c r="C57" t="s">
        <v>61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>
        <v>13</v>
      </c>
      <c r="B58" t="s">
        <v>24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>
        <v>14</v>
      </c>
      <c r="B59" t="s">
        <v>24</v>
      </c>
      <c r="C59" t="s">
        <v>78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15</v>
      </c>
      <c r="B60" t="s">
        <v>24</v>
      </c>
      <c r="C60" t="s">
        <v>80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16</v>
      </c>
      <c r="B61" t="s">
        <v>24</v>
      </c>
      <c r="C61" t="s">
        <v>83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>
        <v>9</v>
      </c>
      <c r="B62" t="s">
        <v>20</v>
      </c>
      <c r="C62" t="s">
        <v>50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>
        <v>10</v>
      </c>
      <c r="B63" t="s">
        <v>20</v>
      </c>
      <c r="C63" t="s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>
        <v>11</v>
      </c>
      <c r="B64" t="s">
        <v>20</v>
      </c>
      <c r="C64" t="s">
        <v>59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>
        <v>12</v>
      </c>
      <c r="B65" t="s">
        <v>20</v>
      </c>
      <c r="C65" t="s">
        <v>68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>
        <v>13</v>
      </c>
      <c r="B66" t="s">
        <v>20</v>
      </c>
      <c r="C66" t="s">
        <v>72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>
        <v>14</v>
      </c>
      <c r="B67" t="s">
        <v>20</v>
      </c>
      <c r="C67" t="s">
        <v>75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>
        <v>15</v>
      </c>
      <c r="B68" t="s">
        <v>20</v>
      </c>
      <c r="C68" t="s">
        <v>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>
        <v>16</v>
      </c>
      <c r="B69" t="s">
        <v>20</v>
      </c>
      <c r="C69" t="s">
        <v>81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</sheetData>
  <sortState ref="A2:I69">
    <sortCondition descending="1" ref="I2:I69"/>
    <sortCondition descending="1" ref="H2:H69"/>
    <sortCondition descending="1" ref="G2:G69"/>
    <sortCondition descending="1" ref="F2:F69"/>
    <sortCondition descending="1" ref="E2:E69"/>
    <sortCondition descending="1" ref="D2:D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opLeftCell="A14" workbookViewId="0">
      <selection activeCell="K9" sqref="K9"/>
    </sheetView>
  </sheetViews>
  <sheetFormatPr baseColWidth="10" defaultColWidth="8.83203125" defaultRowHeight="15" x14ac:dyDescent="0.2"/>
  <cols>
    <col min="3" max="3" width="21" bestFit="1" customWidth="1"/>
    <col min="4" max="9" width="5.5" bestFit="1" customWidth="1"/>
    <col min="10" max="10" width="8.83203125" style="8"/>
    <col min="11" max="11" width="10" bestFit="1" customWidth="1"/>
    <col min="17" max="17" width="10.5" bestFit="1" customWidth="1"/>
    <col min="22" max="25" width="6" bestFit="1" customWidth="1"/>
    <col min="26" max="27" width="12" bestFit="1" customWidth="1"/>
    <col min="28" max="28" width="14" bestFit="1" customWidth="1"/>
    <col min="29" max="29" width="12" bestFit="1" customWidth="1"/>
  </cols>
  <sheetData>
    <row r="1" spans="1:15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s="8" t="s">
        <v>89</v>
      </c>
      <c r="K1" t="s">
        <v>100</v>
      </c>
      <c r="N1" t="s">
        <v>110</v>
      </c>
      <c r="O1" t="s">
        <v>111</v>
      </c>
    </row>
    <row r="2" spans="1:15" x14ac:dyDescent="0.2">
      <c r="A2">
        <v>10</v>
      </c>
      <c r="B2" t="s">
        <v>24</v>
      </c>
      <c r="C2" t="s">
        <v>34</v>
      </c>
      <c r="D2" s="7">
        <f>SUM($Z$21*VLOOKUP($C2,'fte2017'!$D$2:$K$69,3,FALSE),$AA$21*VLOOKUP($C2,kenpom2017!$C$2:$I$69,2,FALSE),$AC$21*VLOOKUP($C2,chalk2017!$C$2:$I$69,2,FALSE),$AB$21*VLOOKUP($C2,powerrank2017!$C$2:$I$69,2,FALSE))</f>
        <v>0.73558150902631048</v>
      </c>
      <c r="E2" s="7">
        <f>SUM($Z$22*VLOOKUP($C2,'fte2017'!$D$2:$K$69,4,FALSE),$AA$22*VLOOKUP($C2,kenpom2017!$C$2:$I$69,3,FALSE),$AC$22*VLOOKUP($C2,chalk2017!$C$2:$I$69,3,FALSE),$AB$22*VLOOKUP($C2,powerrank2017!$C$2:$I$69,3,FALSE))</f>
        <v>0.31015752686653114</v>
      </c>
      <c r="F2" s="7">
        <f>SUM($Z$23*VLOOKUP($C2,'fte2017'!$D$2:$K$69,5,FALSE),$AA$23*VLOOKUP($C2,kenpom2017!$C$2:$I$69,4,FALSE),$AC$23*VLOOKUP($C2,chalk2017!$C$2:$I$69,4,FALSE),$AB$23*VLOOKUP($C2,powerrank2017!$C$2:$I$69,4,FALSE))</f>
        <v>0.15236006895482593</v>
      </c>
      <c r="G2" s="7">
        <f>SUM($Z$24*VLOOKUP($C2,'fte2017'!$D$2:$K$69,6,FALSE),$AA$24*VLOOKUP($C2,kenpom2017!$C$2:$I$69,5,FALSE),$AC$24*VLOOKUP($C2,chalk2017!$C$2:$I$69,5,FALSE),$AB$24*VLOOKUP($C2,powerrank2017!$C$2:$I$69,5,FALSE))</f>
        <v>6.8612936677085096E-2</v>
      </c>
      <c r="H2" s="7">
        <f>SUM($Z$25*VLOOKUP($C2,'fte2017'!$D$2:$K$69,7,FALSE),$AA$25*VLOOKUP($C2,kenpom2017!$C$2:$I$69,6,FALSE),$AC$25*VLOOKUP($C2,chalk2017!$C$2:$I$69,6,FALSE),$AB$25*VLOOKUP($C2,powerrank2017!$C$2:$I$69,6,FALSE))</f>
        <v>3.8172860048769117E-2</v>
      </c>
      <c r="I2" s="7">
        <f>SUM($Z$26*VLOOKUP($C2,'fte2017'!$D$2:$K$69,8,FALSE),$AA$26*VLOOKUP($C2,kenpom2017!$C$2:$I$69,7,FALSE),$AC$26*VLOOKUP($C2,chalk2017!$C$2:$I$69,7,FALSE),$AB$26*VLOOKUP($C2,powerrank2017!$C$2:$I$69,7,FALSE))</f>
        <v>1.7769255136127315E-2</v>
      </c>
      <c r="J2" s="8">
        <f>SUM(D2:I2)*A2</f>
        <v>13.22654156709649</v>
      </c>
      <c r="K2" t="s">
        <v>90</v>
      </c>
      <c r="N2" t="s">
        <v>103</v>
      </c>
      <c r="O2" s="8">
        <f>SUMIF(K:K,N2,J:J)</f>
        <v>5.392376229883765</v>
      </c>
    </row>
    <row r="3" spans="1:15" x14ac:dyDescent="0.2">
      <c r="A3">
        <v>7</v>
      </c>
      <c r="B3" t="s">
        <v>20</v>
      </c>
      <c r="C3" t="s">
        <v>32</v>
      </c>
      <c r="D3" s="7">
        <f>SUM($Z$21*VLOOKUP($C3,'fte2017'!$D$2:$K$69,3,FALSE),$AA$21*VLOOKUP($C3,kenpom2017!$C$2:$I$69,2,FALSE),$AC$21*VLOOKUP($C3,chalk2017!$C$2:$I$69,2,FALSE),$AB$21*VLOOKUP($C3,powerrank2017!$C$2:$I$69,2,FALSE))</f>
        <v>0.71271553736203985</v>
      </c>
      <c r="E3" s="7">
        <f>SUM($Z$22*VLOOKUP($C3,'fte2017'!$D$2:$K$69,4,FALSE),$AA$22*VLOOKUP($C3,kenpom2017!$C$2:$I$69,3,FALSE),$AC$22*VLOOKUP($C3,chalk2017!$C$2:$I$69,3,FALSE),$AB$22*VLOOKUP($C3,powerrank2017!$C$2:$I$69,3,FALSE))</f>
        <v>0.35322261596324445</v>
      </c>
      <c r="F3" s="7">
        <f>SUM($Z$23*VLOOKUP($C3,'fte2017'!$D$2:$K$69,5,FALSE),$AA$23*VLOOKUP($C3,kenpom2017!$C$2:$I$69,4,FALSE),$AC$23*VLOOKUP($C3,chalk2017!$C$2:$I$69,4,FALSE),$AB$23*VLOOKUP($C3,powerrank2017!$C$2:$I$69,4,FALSE))</f>
        <v>0.17820608058964765</v>
      </c>
      <c r="G3" s="7">
        <f>SUM($Z$24*VLOOKUP($C3,'fte2017'!$D$2:$K$69,6,FALSE),$AA$24*VLOOKUP($C3,kenpom2017!$C$2:$I$69,5,FALSE),$AC$24*VLOOKUP($C3,chalk2017!$C$2:$I$69,5,FALSE),$AB$24*VLOOKUP($C3,powerrank2017!$C$2:$I$69,5,FALSE))</f>
        <v>5.319861718544093E-2</v>
      </c>
      <c r="H3" s="7">
        <f>SUM($Z$25*VLOOKUP($C3,'fte2017'!$D$2:$K$69,7,FALSE),$AA$25*VLOOKUP($C3,kenpom2017!$C$2:$I$69,6,FALSE),$AC$25*VLOOKUP($C3,chalk2017!$C$2:$I$69,6,FALSE),$AB$25*VLOOKUP($C3,powerrank2017!$C$2:$I$69,6,FALSE))</f>
        <v>2.3516382958262597E-2</v>
      </c>
      <c r="I3" s="7">
        <f>SUM($Z$26*VLOOKUP($C3,'fte2017'!$D$2:$K$69,8,FALSE),$AA$26*VLOOKUP($C3,kenpom2017!$C$2:$I$69,7,FALSE),$AC$26*VLOOKUP($C3,chalk2017!$C$2:$I$69,7,FALSE),$AB$26*VLOOKUP($C3,powerrank2017!$C$2:$I$69,7,FALSE))</f>
        <v>1.0976290788199075E-2</v>
      </c>
      <c r="J3" s="8">
        <f>SUM(D3:I3)*A3</f>
        <v>9.322848673927842</v>
      </c>
      <c r="K3" t="s">
        <v>109</v>
      </c>
      <c r="N3" t="s">
        <v>106</v>
      </c>
      <c r="O3" s="8">
        <f>SUMIF(K:K,N3,J:J)</f>
        <v>5.6391222179406775</v>
      </c>
    </row>
    <row r="4" spans="1:15" x14ac:dyDescent="0.2">
      <c r="A4">
        <v>6</v>
      </c>
      <c r="B4" t="s">
        <v>18</v>
      </c>
      <c r="C4" t="s">
        <v>35</v>
      </c>
      <c r="D4" s="7">
        <f>SUM($Z$21*VLOOKUP($C4,'fte2017'!$D$2:$K$69,3,FALSE),$AA$21*VLOOKUP($C4,kenpom2017!$C$2:$I$69,2,FALSE),$AC$21*VLOOKUP($C4,chalk2017!$C$2:$I$69,2,FALSE),$AB$21*VLOOKUP($C4,powerrank2017!$C$2:$I$69,2,FALSE))</f>
        <v>0.79382735218792855</v>
      </c>
      <c r="E4" s="7">
        <f>SUM($Z$22*VLOOKUP($C4,'fte2017'!$D$2:$K$69,4,FALSE),$AA$22*VLOOKUP($C4,kenpom2017!$C$2:$I$69,3,FALSE),$AC$22*VLOOKUP($C4,chalk2017!$C$2:$I$69,3,FALSE),$AB$22*VLOOKUP($C4,powerrank2017!$C$2:$I$69,3,FALSE))</f>
        <v>0.42718694395897983</v>
      </c>
      <c r="F4" s="7">
        <f>SUM($Z$23*VLOOKUP($C4,'fte2017'!$D$2:$K$69,5,FALSE),$AA$23*VLOOKUP($C4,kenpom2017!$C$2:$I$69,4,FALSE),$AC$23*VLOOKUP($C4,chalk2017!$C$2:$I$69,4,FALSE),$AB$23*VLOOKUP($C4,powerrank2017!$C$2:$I$69,4,FALSE))</f>
        <v>0.17650972709525559</v>
      </c>
      <c r="G4" s="7">
        <f>SUM($Z$24*VLOOKUP($C4,'fte2017'!$D$2:$K$69,6,FALSE),$AA$24*VLOOKUP($C4,kenpom2017!$C$2:$I$69,5,FALSE),$AC$24*VLOOKUP($C4,chalk2017!$C$2:$I$69,5,FALSE),$AB$24*VLOOKUP($C4,powerrank2017!$C$2:$I$69,5,FALSE))</f>
        <v>5.9377032519068222E-2</v>
      </c>
      <c r="H4" s="7">
        <f>SUM($Z$25*VLOOKUP($C4,'fte2017'!$D$2:$K$69,7,FALSE),$AA$25*VLOOKUP($C4,kenpom2017!$C$2:$I$69,6,FALSE),$AC$25*VLOOKUP($C4,chalk2017!$C$2:$I$69,6,FALSE),$AB$25*VLOOKUP($C4,powerrank2017!$C$2:$I$69,6,FALSE))</f>
        <v>2.5293813919550122E-2</v>
      </c>
      <c r="I4" s="7">
        <f>SUM($Z$26*VLOOKUP($C4,'fte2017'!$D$2:$K$69,8,FALSE),$AA$26*VLOOKUP($C4,kenpom2017!$C$2:$I$69,7,FALSE),$AC$26*VLOOKUP($C4,chalk2017!$C$2:$I$69,7,FALSE),$AB$26*VLOOKUP($C4,powerrank2017!$C$2:$I$69,7,FALSE))</f>
        <v>1.3547123489391202E-2</v>
      </c>
      <c r="J4" s="8">
        <f>SUM(D4:I4)*A4</f>
        <v>8.9744519590210405</v>
      </c>
      <c r="K4" t="s">
        <v>109</v>
      </c>
      <c r="N4" t="s">
        <v>108</v>
      </c>
      <c r="O4" s="8">
        <f>SUMIF(K:K,N4,J:J)</f>
        <v>6.7152652336064689</v>
      </c>
    </row>
    <row r="5" spans="1:15" x14ac:dyDescent="0.2">
      <c r="A5">
        <v>8</v>
      </c>
      <c r="B5" t="s">
        <v>18</v>
      </c>
      <c r="C5" t="s">
        <v>43</v>
      </c>
      <c r="D5" s="7">
        <f>SUM($Z$21*VLOOKUP($C5,'fte2017'!$D$2:$K$69,3,FALSE),$AA$21*VLOOKUP($C5,kenpom2017!$C$2:$I$69,2,FALSE),$AC$21*VLOOKUP($C5,chalk2017!$C$2:$I$69,2,FALSE),$AB$21*VLOOKUP($C5,powerrank2017!$C$2:$I$69,2,FALSE))</f>
        <v>0.73049263783836216</v>
      </c>
      <c r="E5" s="7">
        <f>SUM($Z$22*VLOOKUP($C5,'fte2017'!$D$2:$K$69,4,FALSE),$AA$22*VLOOKUP($C5,kenpom2017!$C$2:$I$69,3,FALSE),$AC$22*VLOOKUP($C5,chalk2017!$C$2:$I$69,3,FALSE),$AB$22*VLOOKUP($C5,powerrank2017!$C$2:$I$69,3,FALSE))</f>
        <v>0.19382204918909296</v>
      </c>
      <c r="F5" s="7">
        <f>SUM($Z$23*VLOOKUP($C5,'fte2017'!$D$2:$K$69,5,FALSE),$AA$23*VLOOKUP($C5,kenpom2017!$C$2:$I$69,4,FALSE),$AC$23*VLOOKUP($C5,chalk2017!$C$2:$I$69,4,FALSE),$AB$23*VLOOKUP($C5,powerrank2017!$C$2:$I$69,4,FALSE))</f>
        <v>7.5336044840016061E-2</v>
      </c>
      <c r="G5" s="7">
        <f>SUM($Z$24*VLOOKUP($C5,'fte2017'!$D$2:$K$69,6,FALSE),$AA$24*VLOOKUP($C5,kenpom2017!$C$2:$I$69,5,FALSE),$AC$24*VLOOKUP($C5,chalk2017!$C$2:$I$69,5,FALSE),$AB$24*VLOOKUP($C5,powerrank2017!$C$2:$I$69,5,FALSE))</f>
        <v>3.0509879116152109E-2</v>
      </c>
      <c r="H5" s="7">
        <f>SUM($Z$25*VLOOKUP($C5,'fte2017'!$D$2:$K$69,7,FALSE),$AA$25*VLOOKUP($C5,kenpom2017!$C$2:$I$69,6,FALSE),$AC$25*VLOOKUP($C5,chalk2017!$C$2:$I$69,6,FALSE),$AB$25*VLOOKUP($C5,powerrank2017!$C$2:$I$69,6,FALSE))</f>
        <v>1.1906383858396919E-2</v>
      </c>
      <c r="I5" s="7">
        <f>SUM($Z$26*VLOOKUP($C5,'fte2017'!$D$2:$K$69,8,FALSE),$AA$26*VLOOKUP($C5,kenpom2017!$C$2:$I$69,7,FALSE),$AC$26*VLOOKUP($C5,chalk2017!$C$2:$I$69,7,FALSE),$AB$26*VLOOKUP($C5,powerrank2017!$C$2:$I$69,7,FALSE))</f>
        <v>6.1390604724953701E-3</v>
      </c>
      <c r="J5" s="8">
        <f>SUM(D5:I5)*A5</f>
        <v>8.3856484425161248</v>
      </c>
      <c r="K5" t="s">
        <v>107</v>
      </c>
      <c r="N5" t="s">
        <v>101</v>
      </c>
      <c r="O5" s="8">
        <f>SUMIF(K:K,N5,J:J)</f>
        <v>6.7308687567373884</v>
      </c>
    </row>
    <row r="6" spans="1:15" x14ac:dyDescent="0.2">
      <c r="A6">
        <v>4</v>
      </c>
      <c r="B6" t="s">
        <v>20</v>
      </c>
      <c r="C6" t="s">
        <v>29</v>
      </c>
      <c r="D6" s="7">
        <f>SUM($Z$21*VLOOKUP($C6,'fte2017'!$D$2:$K$69,3,FALSE),$AA$21*VLOOKUP($C6,kenpom2017!$C$2:$I$69,2,FALSE),$AC$21*VLOOKUP($C6,chalk2017!$C$2:$I$69,2,FALSE),$AB$21*VLOOKUP($C6,powerrank2017!$C$2:$I$69,2,FALSE))</f>
        <v>0.91119040529239026</v>
      </c>
      <c r="E6" s="7">
        <f>SUM($Z$22*VLOOKUP($C6,'fte2017'!$D$2:$K$69,4,FALSE),$AA$22*VLOOKUP($C6,kenpom2017!$C$2:$I$69,3,FALSE),$AC$22*VLOOKUP($C6,chalk2017!$C$2:$I$69,3,FALSE),$AB$22*VLOOKUP($C6,powerrank2017!$C$2:$I$69,3,FALSE))</f>
        <v>0.66113139850885516</v>
      </c>
      <c r="F6" s="7">
        <f>SUM($Z$23*VLOOKUP($C6,'fte2017'!$D$2:$K$69,5,FALSE),$AA$23*VLOOKUP($C6,kenpom2017!$C$2:$I$69,4,FALSE),$AC$23*VLOOKUP($C6,chalk2017!$C$2:$I$69,4,FALSE),$AB$23*VLOOKUP($C6,powerrank2017!$C$2:$I$69,4,FALSE))</f>
        <v>0.21308782507585974</v>
      </c>
      <c r="G6" s="7">
        <f>SUM($Z$24*VLOOKUP($C6,'fte2017'!$D$2:$K$69,6,FALSE),$AA$24*VLOOKUP($C6,kenpom2017!$C$2:$I$69,5,FALSE),$AC$24*VLOOKUP($C6,chalk2017!$C$2:$I$69,5,FALSE),$AB$24*VLOOKUP($C6,powerrank2017!$C$2:$I$69,5,FALSE))</f>
        <v>0.11994945916701574</v>
      </c>
      <c r="H6" s="7">
        <f>SUM($Z$25*VLOOKUP($C6,'fte2017'!$D$2:$K$69,7,FALSE),$AA$25*VLOOKUP($C6,kenpom2017!$C$2:$I$69,6,FALSE),$AC$25*VLOOKUP($C6,chalk2017!$C$2:$I$69,6,FALSE),$AB$25*VLOOKUP($C6,powerrank2017!$C$2:$I$69,6,FALSE))</f>
        <v>6.8780991427048188E-2</v>
      </c>
      <c r="I6" s="7">
        <f>SUM($Z$26*VLOOKUP($C6,'fte2017'!$D$2:$K$69,8,FALSE),$AA$26*VLOOKUP($C6,kenpom2017!$C$2:$I$69,7,FALSE),$AC$26*VLOOKUP($C6,chalk2017!$C$2:$I$69,7,FALSE),$AB$26*VLOOKUP($C6,powerrank2017!$C$2:$I$69,7,FALSE))</f>
        <v>5.3231404810972223E-2</v>
      </c>
      <c r="J6" s="8">
        <f>SUM(D6:I6)*A6</f>
        <v>8.1094859371285644</v>
      </c>
      <c r="K6" t="s">
        <v>90</v>
      </c>
      <c r="N6" t="s">
        <v>104</v>
      </c>
      <c r="O6" s="8">
        <f>SUMIF(K:K,N6,J:J)</f>
        <v>17.396153786021674</v>
      </c>
    </row>
    <row r="7" spans="1:15" x14ac:dyDescent="0.2">
      <c r="A7">
        <v>12</v>
      </c>
      <c r="B7" t="s">
        <v>24</v>
      </c>
      <c r="C7" t="s">
        <v>61</v>
      </c>
      <c r="D7" s="7">
        <f>SUM($Z$21*VLOOKUP($C7,'fte2017'!$D$2:$K$69,3,FALSE),$AA$21*VLOOKUP($C7,kenpom2017!$C$2:$I$69,2,FALSE),$AC$21*VLOOKUP($C7,chalk2017!$C$2:$I$69,2,FALSE),$AB$21*VLOOKUP($C7,powerrank2017!$C$2:$I$69,2,FALSE))</f>
        <v>0.45726444438600233</v>
      </c>
      <c r="E7" s="7">
        <f>SUM($Z$22*VLOOKUP($C7,'fte2017'!$D$2:$K$69,4,FALSE),$AA$22*VLOOKUP($C7,kenpom2017!$C$2:$I$69,3,FALSE),$AC$22*VLOOKUP($C7,chalk2017!$C$2:$I$69,3,FALSE),$AB$22*VLOOKUP($C7,powerrank2017!$C$2:$I$69,3,FALSE))</f>
        <v>0.15963408234274976</v>
      </c>
      <c r="F7" s="7">
        <f>SUM($Z$23*VLOOKUP($C7,'fte2017'!$D$2:$K$69,5,FALSE),$AA$23*VLOOKUP($C7,kenpom2017!$C$2:$I$69,4,FALSE),$AC$23*VLOOKUP($C7,chalk2017!$C$2:$I$69,4,FALSE),$AB$23*VLOOKUP($C7,powerrank2017!$C$2:$I$69,4,FALSE))</f>
        <v>3.2800911846264047E-2</v>
      </c>
      <c r="G7" s="7">
        <f>SUM($Z$24*VLOOKUP($C7,'fte2017'!$D$2:$K$69,6,FALSE),$AA$24*VLOOKUP($C7,kenpom2017!$C$2:$I$69,5,FALSE),$AC$24*VLOOKUP($C7,chalk2017!$C$2:$I$69,5,FALSE),$AB$24*VLOOKUP($C7,powerrank2017!$C$2:$I$69,5,FALSE))</f>
        <v>7.084032792305411E-3</v>
      </c>
      <c r="H7" s="7">
        <f>SUM($Z$25*VLOOKUP($C7,'fte2017'!$D$2:$K$69,7,FALSE),$AA$25*VLOOKUP($C7,kenpom2017!$C$2:$I$69,6,FALSE),$AC$25*VLOOKUP($C7,chalk2017!$C$2:$I$69,6,FALSE),$AB$25*VLOOKUP($C7,powerrank2017!$C$2:$I$69,6,FALSE))</f>
        <v>2.0062487661838559E-3</v>
      </c>
      <c r="I7" s="7">
        <f>SUM($Z$26*VLOOKUP($C7,'fte2017'!$D$2:$K$69,8,FALSE),$AA$26*VLOOKUP($C7,kenpom2017!$C$2:$I$69,7,FALSE),$AC$26*VLOOKUP($C7,chalk2017!$C$2:$I$69,7,FALSE),$AB$26*VLOOKUP($C7,powerrank2017!$C$2:$I$69,7,FALSE))</f>
        <v>4.0409072591898146E-4</v>
      </c>
      <c r="J7" s="8">
        <f>SUM(D7:I7)*A7</f>
        <v>7.9103257303130921</v>
      </c>
      <c r="K7" t="s">
        <v>102</v>
      </c>
      <c r="N7" t="s">
        <v>102</v>
      </c>
      <c r="O7" s="8">
        <f>SUMIF(K:K,N7,J:J)</f>
        <v>11.166980653951761</v>
      </c>
    </row>
    <row r="8" spans="1:15" x14ac:dyDescent="0.2">
      <c r="A8">
        <v>5</v>
      </c>
      <c r="B8" t="s">
        <v>18</v>
      </c>
      <c r="C8" t="s">
        <v>31</v>
      </c>
      <c r="D8" s="7">
        <f>SUM($Z$21*VLOOKUP($C8,'fte2017'!$D$2:$K$69,3,FALSE),$AA$21*VLOOKUP($C8,kenpom2017!$C$2:$I$69,2,FALSE),$AC$21*VLOOKUP($C8,chalk2017!$C$2:$I$69,2,FALSE),$AB$21*VLOOKUP($C8,powerrank2017!$C$2:$I$69,2,FALSE))</f>
        <v>0.82497648375847044</v>
      </c>
      <c r="E8" s="7">
        <f>SUM($Z$22*VLOOKUP($C8,'fte2017'!$D$2:$K$69,4,FALSE),$AA$22*VLOOKUP($C8,kenpom2017!$C$2:$I$69,3,FALSE),$AC$22*VLOOKUP($C8,chalk2017!$C$2:$I$69,3,FALSE),$AB$22*VLOOKUP($C8,powerrank2017!$C$2:$I$69,3,FALSE))</f>
        <v>0.46344999719762225</v>
      </c>
      <c r="F8" s="7">
        <f>SUM($Z$23*VLOOKUP($C8,'fte2017'!$D$2:$K$69,5,FALSE),$AA$23*VLOOKUP($C8,kenpom2017!$C$2:$I$69,4,FALSE),$AC$23*VLOOKUP($C8,chalk2017!$C$2:$I$69,4,FALSE),$AB$23*VLOOKUP($C8,powerrank2017!$C$2:$I$69,4,FALSE))</f>
        <v>0.1529134531333346</v>
      </c>
      <c r="G8" s="7">
        <f>SUM($Z$24*VLOOKUP($C8,'fte2017'!$D$2:$K$69,6,FALSE),$AA$24*VLOOKUP($C8,kenpom2017!$C$2:$I$69,5,FALSE),$AC$24*VLOOKUP($C8,chalk2017!$C$2:$I$69,5,FALSE),$AB$24*VLOOKUP($C8,powerrank2017!$C$2:$I$69,5,FALSE))</f>
        <v>7.1055003077424572E-2</v>
      </c>
      <c r="H8" s="7">
        <f>SUM($Z$25*VLOOKUP($C8,'fte2017'!$D$2:$K$69,7,FALSE),$AA$25*VLOOKUP($C8,kenpom2017!$C$2:$I$69,6,FALSE),$AC$25*VLOOKUP($C8,chalk2017!$C$2:$I$69,6,FALSE),$AB$25*VLOOKUP($C8,powerrank2017!$C$2:$I$69,6,FALSE))</f>
        <v>3.310896344047641E-2</v>
      </c>
      <c r="I8" s="7">
        <f>SUM($Z$26*VLOOKUP($C8,'fte2017'!$D$2:$K$69,8,FALSE),$AA$26*VLOOKUP($C8,kenpom2017!$C$2:$I$69,7,FALSE),$AC$26*VLOOKUP($C8,chalk2017!$C$2:$I$69,7,FALSE),$AB$26*VLOOKUP($C8,powerrank2017!$C$2:$I$69,7,FALSE))</f>
        <v>1.9298882351731481E-2</v>
      </c>
      <c r="J8" s="8">
        <f>SUM(D8:I8)*A8</f>
        <v>7.824013914795299</v>
      </c>
      <c r="K8" t="s">
        <v>104</v>
      </c>
      <c r="N8" t="s">
        <v>107</v>
      </c>
      <c r="O8" s="8">
        <f>SUMIF(K:K,N8,J:J)</f>
        <v>11.210054200380039</v>
      </c>
    </row>
    <row r="9" spans="1:15" x14ac:dyDescent="0.2">
      <c r="A9">
        <v>5</v>
      </c>
      <c r="B9" t="s">
        <v>22</v>
      </c>
      <c r="C9" t="s">
        <v>36</v>
      </c>
      <c r="D9" s="7">
        <f>SUM($Z$21*VLOOKUP($C9,'fte2017'!$D$2:$K$69,3,FALSE),$AA$21*VLOOKUP($C9,kenpom2017!$C$2:$I$69,2,FALSE),$AC$21*VLOOKUP($C9,chalk2017!$C$2:$I$69,2,FALSE),$AB$21*VLOOKUP($C9,powerrank2017!$C$2:$I$69,2,FALSE))</f>
        <v>0.8016925609846961</v>
      </c>
      <c r="E9" s="7">
        <f>SUM($Z$22*VLOOKUP($C9,'fte2017'!$D$2:$K$69,4,FALSE),$AA$22*VLOOKUP($C9,kenpom2017!$C$2:$I$69,3,FALSE),$AC$22*VLOOKUP($C9,chalk2017!$C$2:$I$69,3,FALSE),$AB$22*VLOOKUP($C9,powerrank2017!$C$2:$I$69,3,FALSE))</f>
        <v>0.42225209831636423</v>
      </c>
      <c r="F9" s="7">
        <f>SUM($Z$23*VLOOKUP($C9,'fte2017'!$D$2:$K$69,5,FALSE),$AA$23*VLOOKUP($C9,kenpom2017!$C$2:$I$69,4,FALSE),$AC$23*VLOOKUP($C9,chalk2017!$C$2:$I$69,4,FALSE),$AB$23*VLOOKUP($C9,powerrank2017!$C$2:$I$69,4,FALSE))</f>
        <v>0.1597775056086865</v>
      </c>
      <c r="G9" s="7">
        <f>SUM($Z$24*VLOOKUP($C9,'fte2017'!$D$2:$K$69,6,FALSE),$AA$24*VLOOKUP($C9,kenpom2017!$C$2:$I$69,5,FALSE),$AC$24*VLOOKUP($C9,chalk2017!$C$2:$I$69,5,FALSE),$AB$24*VLOOKUP($C9,powerrank2017!$C$2:$I$69,5,FALSE))</f>
        <v>7.1880933287725518E-2</v>
      </c>
      <c r="H9" s="7">
        <f>SUM($Z$25*VLOOKUP($C9,'fte2017'!$D$2:$K$69,7,FALSE),$AA$25*VLOOKUP($C9,kenpom2017!$C$2:$I$69,6,FALSE),$AC$25*VLOOKUP($C9,chalk2017!$C$2:$I$69,6,FALSE),$AB$25*VLOOKUP($C9,powerrank2017!$C$2:$I$69,6,FALSE))</f>
        <v>3.5034193251014652E-2</v>
      </c>
      <c r="I9" s="7">
        <f>SUM($Z$26*VLOOKUP($C9,'fte2017'!$D$2:$K$69,8,FALSE),$AA$26*VLOOKUP($C9,kenpom2017!$C$2:$I$69,7,FALSE),$AC$26*VLOOKUP($C9,chalk2017!$C$2:$I$69,7,FALSE),$AB$26*VLOOKUP($C9,powerrank2017!$C$2:$I$69,7,FALSE))</f>
        <v>1.5832519736824074E-2</v>
      </c>
      <c r="J9" s="8">
        <f>SUM(D9:I9)*A9</f>
        <v>7.5323490559265558</v>
      </c>
      <c r="N9" t="s">
        <v>105</v>
      </c>
      <c r="O9" s="8">
        <f>SUMIF(K:K,N9,J:J)</f>
        <v>11.708571981014414</v>
      </c>
    </row>
    <row r="10" spans="1:15" x14ac:dyDescent="0.2">
      <c r="A10">
        <v>4</v>
      </c>
      <c r="B10" t="s">
        <v>24</v>
      </c>
      <c r="C10" t="s">
        <v>39</v>
      </c>
      <c r="D10" s="7">
        <f>SUM($Z$21*VLOOKUP($C10,'fte2017'!$D$2:$K$69,3,FALSE),$AA$21*VLOOKUP($C10,kenpom2017!$C$2:$I$69,2,FALSE),$AC$21*VLOOKUP($C10,chalk2017!$C$2:$I$69,2,FALSE),$AB$21*VLOOKUP($C10,powerrank2017!$C$2:$I$69,2,FALSE))</f>
        <v>0.89133895233423277</v>
      </c>
      <c r="E10" s="7">
        <f>SUM($Z$22*VLOOKUP($C10,'fte2017'!$D$2:$K$69,4,FALSE),$AA$22*VLOOKUP($C10,kenpom2017!$C$2:$I$69,3,FALSE),$AC$22*VLOOKUP($C10,chalk2017!$C$2:$I$69,3,FALSE),$AB$22*VLOOKUP($C10,powerrank2017!$C$2:$I$69,3,FALSE))</f>
        <v>0.60724085820609774</v>
      </c>
      <c r="F10" s="7">
        <f>SUM($Z$23*VLOOKUP($C10,'fte2017'!$D$2:$K$69,5,FALSE),$AA$23*VLOOKUP($C10,kenpom2017!$C$2:$I$69,4,FALSE),$AC$23*VLOOKUP($C10,chalk2017!$C$2:$I$69,4,FALSE),$AB$23*VLOOKUP($C10,powerrank2017!$C$2:$I$69,4,FALSE))</f>
        <v>0.19684057612050826</v>
      </c>
      <c r="G10" s="7">
        <f>SUM($Z$24*VLOOKUP($C10,'fte2017'!$D$2:$K$69,6,FALSE),$AA$24*VLOOKUP($C10,kenpom2017!$C$2:$I$69,5,FALSE),$AC$24*VLOOKUP($C10,chalk2017!$C$2:$I$69,5,FALSE),$AB$24*VLOOKUP($C10,powerrank2017!$C$2:$I$69,5,FALSE))</f>
        <v>7.1538906327453605E-2</v>
      </c>
      <c r="H10" s="7">
        <f>SUM($Z$25*VLOOKUP($C10,'fte2017'!$D$2:$K$69,7,FALSE),$AA$25*VLOOKUP($C10,kenpom2017!$C$2:$I$69,6,FALSE),$AC$25*VLOOKUP($C10,chalk2017!$C$2:$I$69,6,FALSE),$AB$25*VLOOKUP($C10,powerrank2017!$C$2:$I$69,6,FALSE))</f>
        <v>3.3966300440595378E-2</v>
      </c>
      <c r="I10" s="7">
        <f>SUM($Z$26*VLOOKUP($C10,'fte2017'!$D$2:$K$69,8,FALSE),$AA$26*VLOOKUP($C10,kenpom2017!$C$2:$I$69,7,FALSE),$AC$26*VLOOKUP($C10,chalk2017!$C$2:$I$69,7,FALSE),$AB$26*VLOOKUP($C10,powerrank2017!$C$2:$I$69,7,FALSE))</f>
        <v>1.3906581114664352E-2</v>
      </c>
      <c r="J10" s="8">
        <f>SUM(D10:I10)*A10</f>
        <v>7.2593286981742091</v>
      </c>
      <c r="N10" t="s">
        <v>109</v>
      </c>
      <c r="O10" s="8">
        <f>SUMIF(K:K,N10,J:J)</f>
        <v>18.297300632948883</v>
      </c>
    </row>
    <row r="11" spans="1:15" x14ac:dyDescent="0.2">
      <c r="A11">
        <v>10</v>
      </c>
      <c r="B11" t="s">
        <v>22</v>
      </c>
      <c r="C11" t="s">
        <v>47</v>
      </c>
      <c r="D11" s="7">
        <f>SUM($Z$21*VLOOKUP($C11,'fte2017'!$D$2:$K$69,3,FALSE),$AA$21*VLOOKUP($C11,kenpom2017!$C$2:$I$69,2,FALSE),$AC$21*VLOOKUP($C11,chalk2017!$C$2:$I$69,2,FALSE),$AB$21*VLOOKUP($C11,powerrank2017!$C$2:$I$69,2,FALSE))</f>
        <v>0.44715540399896669</v>
      </c>
      <c r="E11" s="7">
        <f>SUM($Z$22*VLOOKUP($C11,'fte2017'!$D$2:$K$69,4,FALSE),$AA$22*VLOOKUP($C11,kenpom2017!$C$2:$I$69,3,FALSE),$AC$22*VLOOKUP($C11,chalk2017!$C$2:$I$69,3,FALSE),$AB$22*VLOOKUP($C11,powerrank2017!$C$2:$I$69,3,FALSE))</f>
        <v>0.16087557282822626</v>
      </c>
      <c r="F11" s="7">
        <f>SUM($Z$23*VLOOKUP($C11,'fte2017'!$D$2:$K$69,5,FALSE),$AA$23*VLOOKUP($C11,kenpom2017!$C$2:$I$69,4,FALSE),$AC$23*VLOOKUP($C11,chalk2017!$C$2:$I$69,4,FALSE),$AB$23*VLOOKUP($C11,powerrank2017!$C$2:$I$69,4,FALSE))</f>
        <v>6.8859188240239122E-2</v>
      </c>
      <c r="G11" s="7">
        <f>SUM($Z$24*VLOOKUP($C11,'fte2017'!$D$2:$K$69,6,FALSE),$AA$24*VLOOKUP($C11,kenpom2017!$C$2:$I$69,5,FALSE),$AC$24*VLOOKUP($C11,chalk2017!$C$2:$I$69,5,FALSE),$AB$24*VLOOKUP($C11,powerrank2017!$C$2:$I$69,5,FALSE))</f>
        <v>2.5314171880666037E-2</v>
      </c>
      <c r="H11" s="7">
        <f>SUM($Z$25*VLOOKUP($C11,'fte2017'!$D$2:$K$69,7,FALSE),$AA$25*VLOOKUP($C11,kenpom2017!$C$2:$I$69,6,FALSE),$AC$25*VLOOKUP($C11,chalk2017!$C$2:$I$69,6,FALSE),$AB$25*VLOOKUP($C11,powerrank2017!$C$2:$I$69,6,FALSE))</f>
        <v>1.0283087013472129E-2</v>
      </c>
      <c r="I11" s="7">
        <f>SUM($Z$26*VLOOKUP($C11,'fte2017'!$D$2:$K$69,8,FALSE),$AA$26*VLOOKUP($C11,kenpom2017!$C$2:$I$69,7,FALSE),$AC$26*VLOOKUP($C11,chalk2017!$C$2:$I$69,7,FALSE),$AB$26*VLOOKUP($C11,powerrank2017!$C$2:$I$69,7,FALSE))</f>
        <v>4.0055983045462961E-3</v>
      </c>
      <c r="J11" s="8">
        <f>SUM(D11:I11)*A11</f>
        <v>7.164930222661166</v>
      </c>
      <c r="N11" t="s">
        <v>90</v>
      </c>
      <c r="O11" s="8">
        <f>SUMIF(K:K,N11,J:J)</f>
        <v>25.749452783872133</v>
      </c>
    </row>
    <row r="12" spans="1:15" x14ac:dyDescent="0.2">
      <c r="A12">
        <v>4</v>
      </c>
      <c r="B12" t="s">
        <v>22</v>
      </c>
      <c r="C12" t="s">
        <v>33</v>
      </c>
      <c r="D12" s="7">
        <f>SUM($Z$21*VLOOKUP($C12,'fte2017'!$D$2:$K$69,3,FALSE),$AA$21*VLOOKUP($C12,kenpom2017!$C$2:$I$69,2,FALSE),$AC$21*VLOOKUP($C12,chalk2017!$C$2:$I$69,2,FALSE),$AB$21*VLOOKUP($C12,powerrank2017!$C$2:$I$69,2,FALSE))</f>
        <v>0.84157131903142057</v>
      </c>
      <c r="E12" s="7">
        <f>SUM($Z$22*VLOOKUP($C12,'fte2017'!$D$2:$K$69,4,FALSE),$AA$22*VLOOKUP($C12,kenpom2017!$C$2:$I$69,3,FALSE),$AC$22*VLOOKUP($C12,chalk2017!$C$2:$I$69,3,FALSE),$AB$22*VLOOKUP($C12,powerrank2017!$C$2:$I$69,3,FALSE))</f>
        <v>0.48596632540336721</v>
      </c>
      <c r="F12" s="7">
        <f>SUM($Z$23*VLOOKUP($C12,'fte2017'!$D$2:$K$69,5,FALSE),$AA$23*VLOOKUP($C12,kenpom2017!$C$2:$I$69,4,FALSE),$AC$23*VLOOKUP($C12,chalk2017!$C$2:$I$69,4,FALSE),$AB$23*VLOOKUP($C12,powerrank2017!$C$2:$I$69,4,FALSE))</f>
        <v>0.18589672979272964</v>
      </c>
      <c r="G12" s="7">
        <f>SUM($Z$24*VLOOKUP($C12,'fte2017'!$D$2:$K$69,6,FALSE),$AA$24*VLOOKUP($C12,kenpom2017!$C$2:$I$69,5,FALSE),$AC$24*VLOOKUP($C12,chalk2017!$C$2:$I$69,5,FALSE),$AB$24*VLOOKUP($C12,powerrank2017!$C$2:$I$69,5,FALSE))</f>
        <v>8.4603566252469536E-2</v>
      </c>
      <c r="H12" s="7">
        <f>SUM($Z$25*VLOOKUP($C12,'fte2017'!$D$2:$K$69,7,FALSE),$AA$25*VLOOKUP($C12,kenpom2017!$C$2:$I$69,6,FALSE),$AC$25*VLOOKUP($C12,chalk2017!$C$2:$I$69,6,FALSE),$AB$25*VLOOKUP($C12,powerrank2017!$C$2:$I$69,6,FALSE))</f>
        <v>4.1959709271040223E-2</v>
      </c>
      <c r="I12" s="7">
        <f>SUM($Z$26*VLOOKUP($C12,'fte2017'!$D$2:$K$69,8,FALSE),$AA$26*VLOOKUP($C12,kenpom2017!$C$2:$I$69,7,FALSE),$AC$26*VLOOKUP($C12,chalk2017!$C$2:$I$69,7,FALSE),$AB$26*VLOOKUP($C12,powerrank2017!$C$2:$I$69,7,FALSE))</f>
        <v>1.8682896959726851E-2</v>
      </c>
      <c r="J12" s="8">
        <f>SUM(D12:I12)*A12</f>
        <v>6.6347221868430157</v>
      </c>
    </row>
    <row r="13" spans="1:15" x14ac:dyDescent="0.2">
      <c r="A13">
        <v>6</v>
      </c>
      <c r="B13" t="s">
        <v>24</v>
      </c>
      <c r="C13" t="s">
        <v>42</v>
      </c>
      <c r="D13" s="7">
        <f>SUM($Z$21*VLOOKUP($C13,'fte2017'!$D$2:$K$69,3,FALSE),$AA$21*VLOOKUP($C13,kenpom2017!$C$2:$I$69,2,FALSE),$AC$21*VLOOKUP($C13,chalk2017!$C$2:$I$69,2,FALSE),$AB$21*VLOOKUP($C13,powerrank2017!$C$2:$I$69,2,FALSE))</f>
        <v>0.63394214210481536</v>
      </c>
      <c r="E13" s="7">
        <f>SUM($Z$22*VLOOKUP($C13,'fte2017'!$D$2:$K$69,4,FALSE),$AA$22*VLOOKUP($C13,kenpom2017!$C$2:$I$69,3,FALSE),$AC$22*VLOOKUP($C13,chalk2017!$C$2:$I$69,3,FALSE),$AB$22*VLOOKUP($C13,powerrank2017!$C$2:$I$69,3,FALSE))</f>
        <v>0.29080582842284175</v>
      </c>
      <c r="F13" s="7">
        <f>SUM($Z$23*VLOOKUP($C13,'fte2017'!$D$2:$K$69,5,FALSE),$AA$23*VLOOKUP($C13,kenpom2017!$C$2:$I$69,4,FALSE),$AC$23*VLOOKUP($C13,chalk2017!$C$2:$I$69,4,FALSE),$AB$23*VLOOKUP($C13,powerrank2017!$C$2:$I$69,4,FALSE))</f>
        <v>9.4862309285603713E-2</v>
      </c>
      <c r="G13" s="7">
        <f>SUM($Z$24*VLOOKUP($C13,'fte2017'!$D$2:$K$69,6,FALSE),$AA$24*VLOOKUP($C13,kenpom2017!$C$2:$I$69,5,FALSE),$AC$24*VLOOKUP($C13,chalk2017!$C$2:$I$69,5,FALSE),$AB$24*VLOOKUP($C13,powerrank2017!$C$2:$I$69,5,FALSE))</f>
        <v>3.657713444263621E-2</v>
      </c>
      <c r="H13" s="7">
        <f>SUM($Z$25*VLOOKUP($C13,'fte2017'!$D$2:$K$69,7,FALSE),$AA$25*VLOOKUP($C13,kenpom2017!$C$2:$I$69,6,FALSE),$AC$25*VLOOKUP($C13,chalk2017!$C$2:$I$69,6,FALSE),$AB$25*VLOOKUP($C13,powerrank2017!$C$2:$I$69,6,FALSE))</f>
        <v>1.7299448220869318E-2</v>
      </c>
      <c r="I13" s="7">
        <f>SUM($Z$26*VLOOKUP($C13,'fte2017'!$D$2:$K$69,8,FALSE),$AA$26*VLOOKUP($C13,kenpom2017!$C$2:$I$69,7,FALSE),$AC$26*VLOOKUP($C13,chalk2017!$C$2:$I$69,7,FALSE),$AB$26*VLOOKUP($C13,powerrank2017!$C$2:$I$69,7,FALSE))</f>
        <v>6.6101126634374998E-3</v>
      </c>
      <c r="J13" s="8">
        <f>SUM(D13:I13)*A13</f>
        <v>6.4805818508412232</v>
      </c>
    </row>
    <row r="14" spans="1:15" x14ac:dyDescent="0.2">
      <c r="A14">
        <v>7</v>
      </c>
      <c r="B14" t="s">
        <v>22</v>
      </c>
      <c r="C14" t="s">
        <v>44</v>
      </c>
      <c r="D14" s="7">
        <f>SUM($Z$21*VLOOKUP($C14,'fte2017'!$D$2:$K$69,3,FALSE),$AA$21*VLOOKUP($C14,kenpom2017!$C$2:$I$69,2,FALSE),$AC$21*VLOOKUP($C14,chalk2017!$C$2:$I$69,2,FALSE),$AB$21*VLOOKUP($C14,powerrank2017!$C$2:$I$69,2,FALSE))</f>
        <v>0.55284459600103331</v>
      </c>
      <c r="E14" s="7">
        <f>SUM($Z$22*VLOOKUP($C14,'fte2017'!$D$2:$K$69,4,FALSE),$AA$22*VLOOKUP($C14,kenpom2017!$C$2:$I$69,3,FALSE),$AC$22*VLOOKUP($C14,chalk2017!$C$2:$I$69,3,FALSE),$AB$22*VLOOKUP($C14,powerrank2017!$C$2:$I$69,3,FALSE))</f>
        <v>0.21622868399818979</v>
      </c>
      <c r="F14" s="7">
        <f>SUM($Z$23*VLOOKUP($C14,'fte2017'!$D$2:$K$69,5,FALSE),$AA$23*VLOOKUP($C14,kenpom2017!$C$2:$I$69,4,FALSE),$AC$23*VLOOKUP($C14,chalk2017!$C$2:$I$69,4,FALSE),$AB$23*VLOOKUP($C14,powerrank2017!$C$2:$I$69,4,FALSE))</f>
        <v>9.6310517289900727E-2</v>
      </c>
      <c r="G14" s="7">
        <f>SUM($Z$24*VLOOKUP($C14,'fte2017'!$D$2:$K$69,6,FALSE),$AA$24*VLOOKUP($C14,kenpom2017!$C$2:$I$69,5,FALSE),$AC$24*VLOOKUP($C14,chalk2017!$C$2:$I$69,5,FALSE),$AB$24*VLOOKUP($C14,powerrank2017!$C$2:$I$69,5,FALSE))</f>
        <v>3.330719977294596E-2</v>
      </c>
      <c r="H14" s="7">
        <f>SUM($Z$25*VLOOKUP($C14,'fte2017'!$D$2:$K$69,7,FALSE),$AA$25*VLOOKUP($C14,kenpom2017!$C$2:$I$69,6,FALSE),$AC$25*VLOOKUP($C14,chalk2017!$C$2:$I$69,6,FALSE),$AB$25*VLOOKUP($C14,powerrank2017!$C$2:$I$69,6,FALSE))</f>
        <v>1.4948348544673692E-2</v>
      </c>
      <c r="I14" s="7">
        <f>SUM($Z$26*VLOOKUP($C14,'fte2017'!$D$2:$K$69,8,FALSE),$AA$26*VLOOKUP($C14,kenpom2017!$C$2:$I$69,7,FALSE),$AC$26*VLOOKUP($C14,chalk2017!$C$2:$I$69,7,FALSE),$AB$26*VLOOKUP($C14,powerrank2017!$C$2:$I$69,7,FALSE))</f>
        <v>5.6964360845717594E-3</v>
      </c>
      <c r="J14" s="8">
        <f>SUM(D14:I14)*A14</f>
        <v>6.4353504718392056</v>
      </c>
      <c r="K14" t="s">
        <v>104</v>
      </c>
    </row>
    <row r="15" spans="1:15" x14ac:dyDescent="0.2">
      <c r="A15">
        <v>4</v>
      </c>
      <c r="B15" t="s">
        <v>18</v>
      </c>
      <c r="C15" t="s">
        <v>40</v>
      </c>
      <c r="D15" s="7">
        <f>SUM($Z$21*VLOOKUP($C15,'fte2017'!$D$2:$K$69,3,FALSE),$AA$21*VLOOKUP($C15,kenpom2017!$C$2:$I$69,2,FALSE),$AC$21*VLOOKUP($C15,chalk2017!$C$2:$I$69,2,FALSE),$AB$21*VLOOKUP($C15,powerrank2017!$C$2:$I$69,2,FALSE))</f>
        <v>0.86199987806329514</v>
      </c>
      <c r="E15" s="7">
        <f>SUM($Z$22*VLOOKUP($C15,'fte2017'!$D$2:$K$69,4,FALSE),$AA$22*VLOOKUP($C15,kenpom2017!$C$2:$I$69,3,FALSE),$AC$22*VLOOKUP($C15,chalk2017!$C$2:$I$69,3,FALSE),$AB$22*VLOOKUP($C15,powerrank2017!$C$2:$I$69,3,FALSE))</f>
        <v>0.46510707961222625</v>
      </c>
      <c r="F15" s="7">
        <f>SUM($Z$23*VLOOKUP($C15,'fte2017'!$D$2:$K$69,5,FALSE),$AA$23*VLOOKUP($C15,kenpom2017!$C$2:$I$69,4,FALSE),$AC$23*VLOOKUP($C15,chalk2017!$C$2:$I$69,4,FALSE),$AB$23*VLOOKUP($C15,powerrank2017!$C$2:$I$69,4,FALSE))</f>
        <v>0.14326756895064258</v>
      </c>
      <c r="G15" s="7">
        <f>SUM($Z$24*VLOOKUP($C15,'fte2017'!$D$2:$K$69,6,FALSE),$AA$24*VLOOKUP($C15,kenpom2017!$C$2:$I$69,5,FALSE),$AC$24*VLOOKUP($C15,chalk2017!$C$2:$I$69,5,FALSE),$AB$24*VLOOKUP($C15,powerrank2017!$C$2:$I$69,5,FALSE))</f>
        <v>6.6373051188487048E-2</v>
      </c>
      <c r="H15" s="7">
        <f>SUM($Z$25*VLOOKUP($C15,'fte2017'!$D$2:$K$69,7,FALSE),$AA$25*VLOOKUP($C15,kenpom2017!$C$2:$I$69,6,FALSE),$AC$25*VLOOKUP($C15,chalk2017!$C$2:$I$69,6,FALSE),$AB$25*VLOOKUP($C15,powerrank2017!$C$2:$I$69,6,FALSE))</f>
        <v>2.7934346838994116E-2</v>
      </c>
      <c r="I15" s="7">
        <f>SUM($Z$26*VLOOKUP($C15,'fte2017'!$D$2:$K$69,8,FALSE),$AA$26*VLOOKUP($C15,kenpom2017!$C$2:$I$69,7,FALSE),$AC$26*VLOOKUP($C15,chalk2017!$C$2:$I$69,7,FALSE),$AB$26*VLOOKUP($C15,powerrank2017!$C$2:$I$69,7,FALSE))</f>
        <v>1.6376634812738426E-2</v>
      </c>
      <c r="J15" s="8">
        <f>SUM(D15:I15)*A15</f>
        <v>6.3242342378655341</v>
      </c>
    </row>
    <row r="16" spans="1:15" x14ac:dyDescent="0.2">
      <c r="A16">
        <v>11</v>
      </c>
      <c r="B16" t="s">
        <v>22</v>
      </c>
      <c r="C16" t="s">
        <v>51</v>
      </c>
      <c r="D16" s="7">
        <f>SUM($Z$21*VLOOKUP($C16,'fte2017'!$D$2:$K$69,3,FALSE),$AA$21*VLOOKUP($C16,kenpom2017!$C$2:$I$69,2,FALSE),$AC$21*VLOOKUP($C16,chalk2017!$C$2:$I$69,2,FALSE),$AB$21*VLOOKUP($C16,powerrank2017!$C$2:$I$69,2,FALSE))</f>
        <v>0.38169887960228538</v>
      </c>
      <c r="E16" s="7">
        <f>SUM($Z$22*VLOOKUP($C16,'fte2017'!$D$2:$K$69,4,FALSE),$AA$22*VLOOKUP($C16,kenpom2017!$C$2:$I$69,3,FALSE),$AC$22*VLOOKUP($C16,chalk2017!$C$2:$I$69,3,FALSE),$AB$22*VLOOKUP($C16,powerrank2017!$C$2:$I$69,3,FALSE))</f>
        <v>0.12439793884551484</v>
      </c>
      <c r="F16" s="7">
        <f>SUM($Z$23*VLOOKUP($C16,'fte2017'!$D$2:$K$69,5,FALSE),$AA$23*VLOOKUP($C16,kenpom2017!$C$2:$I$69,4,FALSE),$AC$23*VLOOKUP($C16,chalk2017!$C$2:$I$69,4,FALSE),$AB$23*VLOOKUP($C16,powerrank2017!$C$2:$I$69,4,FALSE))</f>
        <v>2.8782979657271647E-2</v>
      </c>
      <c r="G16" s="7">
        <f>SUM($Z$24*VLOOKUP($C16,'fte2017'!$D$2:$K$69,6,FALSE),$AA$24*VLOOKUP($C16,kenpom2017!$C$2:$I$69,5,FALSE),$AC$24*VLOOKUP($C16,chalk2017!$C$2:$I$69,5,FALSE),$AB$24*VLOOKUP($C16,powerrank2017!$C$2:$I$69,5,FALSE))</f>
        <v>6.6948947418437703E-3</v>
      </c>
      <c r="H16" s="7">
        <f>SUM($Z$25*VLOOKUP($C16,'fte2017'!$D$2:$K$69,7,FALSE),$AA$25*VLOOKUP($C16,kenpom2017!$C$2:$I$69,6,FALSE),$AC$25*VLOOKUP($C16,chalk2017!$C$2:$I$69,6,FALSE),$AB$25*VLOOKUP($C16,powerrank2017!$C$2:$I$69,6,FALSE))</f>
        <v>2.2986709763737029E-3</v>
      </c>
      <c r="I16" s="7">
        <f>SUM($Z$26*VLOOKUP($C16,'fte2017'!$D$2:$K$69,8,FALSE),$AA$26*VLOOKUP($C16,kenpom2017!$C$2:$I$69,7,FALSE),$AC$26*VLOOKUP($C16,chalk2017!$C$2:$I$69,7,FALSE),$AB$26*VLOOKUP($C16,powerrank2017!$C$2:$I$69,7,FALSE))</f>
        <v>5.5476932087731483E-4</v>
      </c>
      <c r="J16" s="8">
        <f>SUM(D16:I16)*A16</f>
        <v>5.988709464585833</v>
      </c>
      <c r="K16" t="s">
        <v>105</v>
      </c>
    </row>
    <row r="17" spans="1:29" x14ac:dyDescent="0.2">
      <c r="A17">
        <v>6</v>
      </c>
      <c r="B17" t="s">
        <v>22</v>
      </c>
      <c r="C17" t="s">
        <v>46</v>
      </c>
      <c r="D17" s="7">
        <f>SUM($Z$21*VLOOKUP($C17,'fte2017'!$D$2:$K$69,3,FALSE),$AA$21*VLOOKUP($C17,kenpom2017!$C$2:$I$69,2,FALSE),$AC$21*VLOOKUP($C17,chalk2017!$C$2:$I$69,2,FALSE),$AB$21*VLOOKUP($C17,powerrank2017!$C$2:$I$69,2,FALSE))</f>
        <v>0.61830112039771457</v>
      </c>
      <c r="E17" s="7">
        <f>SUM($Z$22*VLOOKUP($C17,'fte2017'!$D$2:$K$69,4,FALSE),$AA$22*VLOOKUP($C17,kenpom2017!$C$2:$I$69,3,FALSE),$AC$22*VLOOKUP($C17,chalk2017!$C$2:$I$69,3,FALSE),$AB$22*VLOOKUP($C17,powerrank2017!$C$2:$I$69,3,FALSE))</f>
        <v>0.25761832001205748</v>
      </c>
      <c r="F17" s="7">
        <f>SUM($Z$23*VLOOKUP($C17,'fte2017'!$D$2:$K$69,5,FALSE),$AA$23*VLOOKUP($C17,kenpom2017!$C$2:$I$69,4,FALSE),$AC$23*VLOOKUP($C17,chalk2017!$C$2:$I$69,4,FALSE),$AB$23*VLOOKUP($C17,powerrank2017!$C$2:$I$69,4,FALSE))</f>
        <v>8.1035204318402623E-2</v>
      </c>
      <c r="G17" s="7">
        <f>SUM($Z$24*VLOOKUP($C17,'fte2017'!$D$2:$K$69,6,FALSE),$AA$24*VLOOKUP($C17,kenpom2017!$C$2:$I$69,5,FALSE),$AC$24*VLOOKUP($C17,chalk2017!$C$2:$I$69,5,FALSE),$AB$24*VLOOKUP($C17,powerrank2017!$C$2:$I$69,5,FALSE))</f>
        <v>2.583264121478861E-2</v>
      </c>
      <c r="H17" s="7">
        <f>SUM($Z$25*VLOOKUP($C17,'fte2017'!$D$2:$K$69,7,FALSE),$AA$25*VLOOKUP($C17,kenpom2017!$C$2:$I$69,6,FALSE),$AC$25*VLOOKUP($C17,chalk2017!$C$2:$I$69,6,FALSE),$AB$25*VLOOKUP($C17,powerrank2017!$C$2:$I$69,6,FALSE))</f>
        <v>9.5785098415631202E-3</v>
      </c>
      <c r="I17" s="7">
        <f>SUM($Z$26*VLOOKUP($C17,'fte2017'!$D$2:$K$69,8,FALSE),$AA$26*VLOOKUP($C17,kenpom2017!$C$2:$I$69,7,FALSE),$AC$26*VLOOKUP($C17,chalk2017!$C$2:$I$69,7,FALSE),$AB$26*VLOOKUP($C17,powerrank2017!$C$2:$I$69,7,FALSE))</f>
        <v>3.3461092667037033E-3</v>
      </c>
      <c r="J17" s="8">
        <f>SUM(D17:I17)*A17</f>
        <v>5.9742714303073807</v>
      </c>
    </row>
    <row r="18" spans="1:29" x14ac:dyDescent="0.2">
      <c r="A18">
        <v>8</v>
      </c>
      <c r="B18" t="s">
        <v>22</v>
      </c>
      <c r="C18" t="s">
        <v>48</v>
      </c>
      <c r="D18" s="7">
        <f>SUM($Z$21*VLOOKUP($C18,'fte2017'!$D$2:$K$69,3,FALSE),$AA$21*VLOOKUP($C18,kenpom2017!$C$2:$I$69,2,FALSE),$AC$21*VLOOKUP($C18,chalk2017!$C$2:$I$69,2,FALSE),$AB$21*VLOOKUP($C18,powerrank2017!$C$2:$I$69,2,FALSE))</f>
        <v>0.53682835158581177</v>
      </c>
      <c r="E18" s="7">
        <f>SUM($Z$22*VLOOKUP($C18,'fte2017'!$D$2:$K$69,4,FALSE),$AA$22*VLOOKUP($C18,kenpom2017!$C$2:$I$69,3,FALSE),$AC$22*VLOOKUP($C18,chalk2017!$C$2:$I$69,3,FALSE),$AB$22*VLOOKUP($C18,powerrank2017!$C$2:$I$69,3,FALSE))</f>
        <v>0.12686878174398464</v>
      </c>
      <c r="F18" s="7">
        <f>SUM($Z$23*VLOOKUP($C18,'fte2017'!$D$2:$K$69,5,FALSE),$AA$23*VLOOKUP($C18,kenpom2017!$C$2:$I$69,4,FALSE),$AC$23*VLOOKUP($C18,chalk2017!$C$2:$I$69,4,FALSE),$AB$23*VLOOKUP($C18,powerrank2017!$C$2:$I$69,4,FALSE))</f>
        <v>3.6282548447733418E-2</v>
      </c>
      <c r="G18" s="7">
        <f>SUM($Z$24*VLOOKUP($C18,'fte2017'!$D$2:$K$69,6,FALSE),$AA$24*VLOOKUP($C18,kenpom2017!$C$2:$I$69,5,FALSE),$AC$24*VLOOKUP($C18,chalk2017!$C$2:$I$69,5,FALSE),$AB$24*VLOOKUP($C18,powerrank2017!$C$2:$I$69,5,FALSE))</f>
        <v>1.058083755837555E-2</v>
      </c>
      <c r="H18" s="7">
        <f>SUM($Z$25*VLOOKUP($C18,'fte2017'!$D$2:$K$69,7,FALSE),$AA$25*VLOOKUP($C18,kenpom2017!$C$2:$I$69,6,FALSE),$AC$25*VLOOKUP($C18,chalk2017!$C$2:$I$69,6,FALSE),$AB$25*VLOOKUP($C18,powerrank2017!$C$2:$I$69,6,FALSE))</f>
        <v>3.5370200239334547E-3</v>
      </c>
      <c r="I18" s="7">
        <f>SUM($Z$26*VLOOKUP($C18,'fte2017'!$D$2:$K$69,8,FALSE),$AA$26*VLOOKUP($C18,kenpom2017!$C$2:$I$69,7,FALSE),$AC$26*VLOOKUP($C18,chalk2017!$C$2:$I$69,7,FALSE),$AB$26*VLOOKUP($C18,powerrank2017!$C$2:$I$69,7,FALSE))</f>
        <v>8.852751937337963E-4</v>
      </c>
      <c r="J18" s="8">
        <f>SUM(D18:I18)*A18</f>
        <v>5.7198625164285808</v>
      </c>
      <c r="K18" t="s">
        <v>105</v>
      </c>
    </row>
    <row r="19" spans="1:29" x14ac:dyDescent="0.2">
      <c r="A19">
        <v>3</v>
      </c>
      <c r="B19" t="s">
        <v>22</v>
      </c>
      <c r="C19" t="s">
        <v>38</v>
      </c>
      <c r="D19" s="7">
        <f>SUM($Z$21*VLOOKUP($C19,'fte2017'!$D$2:$K$69,3,FALSE),$AA$21*VLOOKUP($C19,kenpom2017!$C$2:$I$69,2,FALSE),$AC$21*VLOOKUP($C19,chalk2017!$C$2:$I$69,2,FALSE),$AB$21*VLOOKUP($C19,powerrank2017!$C$2:$I$69,2,FALSE))</f>
        <v>0.92079451126318856</v>
      </c>
      <c r="E19" s="7">
        <f>SUM($Z$22*VLOOKUP($C19,'fte2017'!$D$2:$K$69,4,FALSE),$AA$22*VLOOKUP($C19,kenpom2017!$C$2:$I$69,3,FALSE),$AC$22*VLOOKUP($C19,chalk2017!$C$2:$I$69,3,FALSE),$AB$22*VLOOKUP($C19,powerrank2017!$C$2:$I$69,3,FALSE))</f>
        <v>0.60539250287754554</v>
      </c>
      <c r="F19" s="7">
        <f>SUM($Z$23*VLOOKUP($C19,'fte2017'!$D$2:$K$69,5,FALSE),$AA$23*VLOOKUP($C19,kenpom2017!$C$2:$I$69,4,FALSE),$AC$23*VLOOKUP($C19,chalk2017!$C$2:$I$69,4,FALSE),$AB$23*VLOOKUP($C19,powerrank2017!$C$2:$I$69,4,FALSE))</f>
        <v>0.22155591964697338</v>
      </c>
      <c r="G19" s="7">
        <f>SUM($Z$24*VLOOKUP($C19,'fte2017'!$D$2:$K$69,6,FALSE),$AA$24*VLOOKUP($C19,kenpom2017!$C$2:$I$69,5,FALSE),$AC$24*VLOOKUP($C19,chalk2017!$C$2:$I$69,5,FALSE),$AB$24*VLOOKUP($C19,powerrank2017!$C$2:$I$69,5,FALSE))</f>
        <v>8.6342925374965171E-2</v>
      </c>
      <c r="H19" s="7">
        <f>SUM($Z$25*VLOOKUP($C19,'fte2017'!$D$2:$K$69,7,FALSE),$AA$25*VLOOKUP($C19,kenpom2017!$C$2:$I$69,6,FALSE),$AC$25*VLOOKUP($C19,chalk2017!$C$2:$I$69,6,FALSE),$AB$25*VLOOKUP($C19,powerrank2017!$C$2:$I$69,6,FALSE))</f>
        <v>4.0850285812085857E-2</v>
      </c>
      <c r="I19" s="7">
        <f>SUM($Z$26*VLOOKUP($C19,'fte2017'!$D$2:$K$69,8,FALSE),$AA$26*VLOOKUP($C19,kenpom2017!$C$2:$I$69,7,FALSE),$AC$26*VLOOKUP($C19,chalk2017!$C$2:$I$69,7,FALSE),$AB$26*VLOOKUP($C19,powerrank2017!$C$2:$I$69,7,FALSE))</f>
        <v>1.7969929250886571E-2</v>
      </c>
      <c r="J19" s="8">
        <f>SUM(D19:I19)*A19</f>
        <v>5.6787182226769355</v>
      </c>
      <c r="R19" s="10" t="s">
        <v>121</v>
      </c>
      <c r="S19" s="10"/>
      <c r="T19" s="10"/>
    </row>
    <row r="20" spans="1:29" x14ac:dyDescent="0.2">
      <c r="A20">
        <v>3</v>
      </c>
      <c r="B20" t="s">
        <v>24</v>
      </c>
      <c r="C20" t="s">
        <v>30</v>
      </c>
      <c r="D20" s="7">
        <f>SUM($Z$21*VLOOKUP($C20,'fte2017'!$D$2:$K$69,3,FALSE),$AA$21*VLOOKUP($C20,kenpom2017!$C$2:$I$69,2,FALSE),$AC$21*VLOOKUP($C20,chalk2017!$C$2:$I$69,2,FALSE),$AB$21*VLOOKUP($C20,powerrank2017!$C$2:$I$69,2,FALSE))</f>
        <v>0.94088980216785889</v>
      </c>
      <c r="E20" s="7">
        <f>SUM($Z$22*VLOOKUP($C20,'fte2017'!$D$2:$K$69,4,FALSE),$AA$22*VLOOKUP($C20,kenpom2017!$C$2:$I$69,3,FALSE),$AC$22*VLOOKUP($C20,chalk2017!$C$2:$I$69,3,FALSE),$AB$22*VLOOKUP($C20,powerrank2017!$C$2:$I$69,3,FALSE))</f>
        <v>0.57694840698416106</v>
      </c>
      <c r="F20" s="7">
        <f>SUM($Z$23*VLOOKUP($C20,'fte2017'!$D$2:$K$69,5,FALSE),$AA$23*VLOOKUP($C20,kenpom2017!$C$2:$I$69,4,FALSE),$AC$23*VLOOKUP($C20,chalk2017!$C$2:$I$69,4,FALSE),$AB$23*VLOOKUP($C20,powerrank2017!$C$2:$I$69,4,FALSE))</f>
        <v>0.1909123538201804</v>
      </c>
      <c r="G20" s="7">
        <f>SUM($Z$24*VLOOKUP($C20,'fte2017'!$D$2:$K$69,6,FALSE),$AA$24*VLOOKUP($C20,kenpom2017!$C$2:$I$69,5,FALSE),$AC$24*VLOOKUP($C20,chalk2017!$C$2:$I$69,5,FALSE),$AB$24*VLOOKUP($C20,powerrank2017!$C$2:$I$69,5,FALSE))</f>
        <v>7.5803514721448972E-2</v>
      </c>
      <c r="H20" s="7">
        <f>SUM($Z$25*VLOOKUP($C20,'fte2017'!$D$2:$K$69,7,FALSE),$AA$25*VLOOKUP($C20,kenpom2017!$C$2:$I$69,6,FALSE),$AC$25*VLOOKUP($C20,chalk2017!$C$2:$I$69,6,FALSE),$AB$25*VLOOKUP($C20,powerrank2017!$C$2:$I$69,6,FALSE))</f>
        <v>4.067275520663266E-2</v>
      </c>
      <c r="I20" s="7">
        <f>SUM($Z$26*VLOOKUP($C20,'fte2017'!$D$2:$K$69,8,FALSE),$AA$26*VLOOKUP($C20,kenpom2017!$C$2:$I$69,7,FALSE),$AC$26*VLOOKUP($C20,chalk2017!$C$2:$I$69,7,FALSE),$AB$26*VLOOKUP($C20,powerrank2017!$C$2:$I$69,7,FALSE))</f>
        <v>1.8683817743587964E-2</v>
      </c>
      <c r="J20" s="8">
        <f>SUM(D20:I20)*A20</f>
        <v>5.5317319519316097</v>
      </c>
      <c r="R20">
        <v>538</v>
      </c>
      <c r="S20" t="s">
        <v>117</v>
      </c>
      <c r="T20" t="s">
        <v>120</v>
      </c>
      <c r="U20" t="s">
        <v>123</v>
      </c>
      <c r="Z20" t="s">
        <v>118</v>
      </c>
      <c r="AA20" t="s">
        <v>119</v>
      </c>
      <c r="AB20" t="s">
        <v>122</v>
      </c>
      <c r="AC20" t="s">
        <v>124</v>
      </c>
    </row>
    <row r="21" spans="1:29" x14ac:dyDescent="0.2">
      <c r="A21">
        <v>9</v>
      </c>
      <c r="B21" t="s">
        <v>24</v>
      </c>
      <c r="C21" t="s">
        <v>54</v>
      </c>
      <c r="D21" s="7">
        <f>SUM($Z$21*VLOOKUP($C21,'fte2017'!$D$2:$K$69,3,FALSE),$AA$21*VLOOKUP($C21,kenpom2017!$C$2:$I$69,2,FALSE),$AC$21*VLOOKUP($C21,chalk2017!$C$2:$I$69,2,FALSE),$AB$21*VLOOKUP($C21,powerrank2017!$C$2:$I$69,2,FALSE))</f>
        <v>0.48212214462283487</v>
      </c>
      <c r="E21" s="7">
        <f>SUM($Z$22*VLOOKUP($C21,'fte2017'!$D$2:$K$69,4,FALSE),$AA$22*VLOOKUP($C21,kenpom2017!$C$2:$I$69,3,FALSE),$AC$22*VLOOKUP($C21,chalk2017!$C$2:$I$69,3,FALSE),$AB$22*VLOOKUP($C21,powerrank2017!$C$2:$I$69,3,FALSE))</f>
        <v>8.5859876437384464E-2</v>
      </c>
      <c r="F21" s="7">
        <f>SUM($Z$23*VLOOKUP($C21,'fte2017'!$D$2:$K$69,5,FALSE),$AA$23*VLOOKUP($C21,kenpom2017!$C$2:$I$69,4,FALSE),$AC$23*VLOOKUP($C21,chalk2017!$C$2:$I$69,4,FALSE),$AB$23*VLOOKUP($C21,powerrank2017!$C$2:$I$69,4,FALSE))</f>
        <v>2.8024859837893542E-2</v>
      </c>
      <c r="G21" s="7">
        <f>SUM($Z$24*VLOOKUP($C21,'fte2017'!$D$2:$K$69,6,FALSE),$AA$24*VLOOKUP($C21,kenpom2017!$C$2:$I$69,5,FALSE),$AC$24*VLOOKUP($C21,chalk2017!$C$2:$I$69,5,FALSE),$AB$24*VLOOKUP($C21,powerrank2017!$C$2:$I$69,5,FALSE))</f>
        <v>5.672038950828651E-3</v>
      </c>
      <c r="H21" s="7">
        <f>SUM($Z$25*VLOOKUP($C21,'fte2017'!$D$2:$K$69,7,FALSE),$AA$25*VLOOKUP($C21,kenpom2017!$C$2:$I$69,6,FALSE),$AC$25*VLOOKUP($C21,chalk2017!$C$2:$I$69,6,FALSE),$AB$25*VLOOKUP($C21,powerrank2017!$C$2:$I$69,6,FALSE))</f>
        <v>1.9102215077734031E-3</v>
      </c>
      <c r="I21" s="7">
        <f>SUM($Z$26*VLOOKUP($C21,'fte2017'!$D$2:$K$69,8,FALSE),$AA$26*VLOOKUP($C21,kenpom2017!$C$2:$I$69,7,FALSE),$AC$26*VLOOKUP($C21,chalk2017!$C$2:$I$69,7,FALSE),$AB$26*VLOOKUP($C21,powerrank2017!$C$2:$I$69,7,FALSE))</f>
        <v>3.448728154328704E-4</v>
      </c>
      <c r="J21" s="8">
        <f>SUM(D21:I21)*A21</f>
        <v>5.4354061275493297</v>
      </c>
      <c r="Q21" t="s">
        <v>94</v>
      </c>
      <c r="R21" s="7">
        <v>0.14199999999999999</v>
      </c>
      <c r="S21" s="7">
        <v>0.152</v>
      </c>
      <c r="T21" s="7">
        <v>0.155</v>
      </c>
      <c r="U21" s="7">
        <v>1</v>
      </c>
      <c r="V21">
        <f>1-R21</f>
        <v>0.85799999999999998</v>
      </c>
      <c r="W21">
        <f t="shared" ref="W21:Y21" si="0">1-S21</f>
        <v>0.84799999999999998</v>
      </c>
      <c r="X21">
        <f t="shared" si="0"/>
        <v>0.84499999999999997</v>
      </c>
      <c r="Y21">
        <f t="shared" si="0"/>
        <v>0</v>
      </c>
      <c r="Z21" s="7">
        <f>(V21/SUM($V21:$Y21))</f>
        <v>0.33633869070952566</v>
      </c>
      <c r="AA21" s="7">
        <f t="shared" ref="AA21:AC26" si="1">(W21/SUM($V21:$Y21))</f>
        <v>0.33241865934927478</v>
      </c>
      <c r="AB21" s="7">
        <f t="shared" si="1"/>
        <v>0.33124264994119951</v>
      </c>
      <c r="AC21" s="7">
        <f t="shared" si="1"/>
        <v>0</v>
      </c>
    </row>
    <row r="22" spans="1:29" x14ac:dyDescent="0.2">
      <c r="A22">
        <v>11</v>
      </c>
      <c r="B22" t="s">
        <v>20</v>
      </c>
      <c r="C22" t="s">
        <v>59</v>
      </c>
      <c r="D22" s="7">
        <f>SUM($Z$21*VLOOKUP($C22,'fte2017'!$D$2:$K$69,3,FALSE),$AA$21*VLOOKUP($C22,kenpom2017!$C$2:$I$69,2,FALSE),$AC$21*VLOOKUP($C22,chalk2017!$C$2:$I$69,2,FALSE),$AB$21*VLOOKUP($C22,powerrank2017!$C$2:$I$69,2,FALSE))</f>
        <v>0.33677684059574209</v>
      </c>
      <c r="E22" s="7">
        <f>SUM($Z$22*VLOOKUP($C22,'fte2017'!$D$2:$K$69,4,FALSE),$AA$22*VLOOKUP($C22,kenpom2017!$C$2:$I$69,3,FALSE),$AC$22*VLOOKUP($C22,chalk2017!$C$2:$I$69,3,FALSE),$AB$22*VLOOKUP($C22,powerrank2017!$C$2:$I$69,3,FALSE))</f>
        <v>0.12013351861988875</v>
      </c>
      <c r="F22" s="7">
        <f>SUM($Z$23*VLOOKUP($C22,'fte2017'!$D$2:$K$69,5,FALSE),$AA$23*VLOOKUP($C22,kenpom2017!$C$2:$I$69,4,FALSE),$AC$23*VLOOKUP($C22,chalk2017!$C$2:$I$69,4,FALSE),$AB$23*VLOOKUP($C22,powerrank2017!$C$2:$I$69,4,FALSE))</f>
        <v>2.9394338060878752E-2</v>
      </c>
      <c r="G22" s="7">
        <f>SUM($Z$24*VLOOKUP($C22,'fte2017'!$D$2:$K$69,6,FALSE),$AA$24*VLOOKUP($C22,kenpom2017!$C$2:$I$69,5,FALSE),$AC$24*VLOOKUP($C22,chalk2017!$C$2:$I$69,5,FALSE),$AB$24*VLOOKUP($C22,powerrank2017!$C$2:$I$69,5,FALSE))</f>
        <v>5.2100383468688264E-3</v>
      </c>
      <c r="H22" s="7">
        <f>SUM($Z$25*VLOOKUP($C22,'fte2017'!$D$2:$K$69,7,FALSE),$AA$25*VLOOKUP($C22,kenpom2017!$C$2:$I$69,6,FALSE),$AC$25*VLOOKUP($C22,chalk2017!$C$2:$I$69,6,FALSE),$AB$25*VLOOKUP($C22,powerrank2017!$C$2:$I$69,6,FALSE))</f>
        <v>1.5000762487489033E-3</v>
      </c>
      <c r="I22" s="7">
        <f>SUM($Z$26*VLOOKUP($C22,'fte2017'!$D$2:$K$69,8,FALSE),$AA$26*VLOOKUP($C22,kenpom2017!$C$2:$I$69,7,FALSE),$AC$26*VLOOKUP($C22,chalk2017!$C$2:$I$69,7,FALSE),$AB$26*VLOOKUP($C22,powerrank2017!$C$2:$I$69,7,FALSE))</f>
        <v>4.0733033209259259E-4</v>
      </c>
      <c r="J22" s="8">
        <f>SUM(D22:I22)*A22</f>
        <v>5.42764356424642</v>
      </c>
      <c r="K22" t="s">
        <v>108</v>
      </c>
      <c r="Q22" t="s">
        <v>95</v>
      </c>
      <c r="R22" s="7">
        <v>0.29599999999999999</v>
      </c>
      <c r="S22" s="7">
        <v>0.315</v>
      </c>
      <c r="T22" s="7">
        <v>0.30299999999999999</v>
      </c>
      <c r="U22" s="7">
        <v>1</v>
      </c>
      <c r="V22">
        <f t="shared" ref="V22:V26" si="2">1-R22</f>
        <v>0.70399999999999996</v>
      </c>
      <c r="W22">
        <f t="shared" ref="W22:X26" si="3">1-S22</f>
        <v>0.68500000000000005</v>
      </c>
      <c r="X22">
        <f t="shared" si="3"/>
        <v>0.69700000000000006</v>
      </c>
      <c r="Y22">
        <f t="shared" ref="Y22:Y26" si="4">1-U22</f>
        <v>0</v>
      </c>
      <c r="Z22" s="7">
        <f t="shared" ref="Z22:Z26" si="5">(V22/SUM($V22:$Y22))</f>
        <v>0.33748801534036427</v>
      </c>
      <c r="AA22" s="7">
        <f t="shared" si="1"/>
        <v>0.32837967401725787</v>
      </c>
      <c r="AB22" s="7">
        <f t="shared" si="1"/>
        <v>0.33413231064237775</v>
      </c>
      <c r="AC22" s="7">
        <f t="shared" si="1"/>
        <v>0</v>
      </c>
    </row>
    <row r="23" spans="1:29" x14ac:dyDescent="0.2">
      <c r="A23">
        <v>9</v>
      </c>
      <c r="B23" t="s">
        <v>22</v>
      </c>
      <c r="C23" t="s">
        <v>57</v>
      </c>
      <c r="D23" s="7">
        <f>SUM($Z$21*VLOOKUP($C23,'fte2017'!$D$2:$K$69,3,FALSE),$AA$21*VLOOKUP($C23,kenpom2017!$C$2:$I$69,2,FALSE),$AC$21*VLOOKUP($C23,chalk2017!$C$2:$I$69,2,FALSE),$AB$21*VLOOKUP($C23,powerrank2017!$C$2:$I$69,2,FALSE))</f>
        <v>0.46317164841418812</v>
      </c>
      <c r="E23" s="7">
        <f>SUM($Z$22*VLOOKUP($C23,'fte2017'!$D$2:$K$69,4,FALSE),$AA$22*VLOOKUP($C23,kenpom2017!$C$2:$I$69,3,FALSE),$AC$22*VLOOKUP($C23,chalk2017!$C$2:$I$69,3,FALSE),$AB$22*VLOOKUP($C23,powerrank2017!$C$2:$I$69,3,FALSE))</f>
        <v>9.653547232500094E-2</v>
      </c>
      <c r="F23" s="7">
        <f>SUM($Z$23*VLOOKUP($C23,'fte2017'!$D$2:$K$69,5,FALSE),$AA$23*VLOOKUP($C23,kenpom2017!$C$2:$I$69,4,FALSE),$AC$23*VLOOKUP($C23,chalk2017!$C$2:$I$69,4,FALSE),$AB$23*VLOOKUP($C23,powerrank2017!$C$2:$I$69,4,FALSE))</f>
        <v>2.4633591947029573E-2</v>
      </c>
      <c r="G23" s="7">
        <f>SUM($Z$24*VLOOKUP($C23,'fte2017'!$D$2:$K$69,6,FALSE),$AA$24*VLOOKUP($C23,kenpom2017!$C$2:$I$69,5,FALSE),$AC$24*VLOOKUP($C23,chalk2017!$C$2:$I$69,5,FALSE),$AB$24*VLOOKUP($C23,powerrank2017!$C$2:$I$69,5,FALSE))</f>
        <v>6.5487865024930333E-3</v>
      </c>
      <c r="H23" s="7">
        <f>SUM($Z$25*VLOOKUP($C23,'fte2017'!$D$2:$K$69,7,FALSE),$AA$25*VLOOKUP($C23,kenpom2017!$C$2:$I$69,6,FALSE),$AC$25*VLOOKUP($C23,chalk2017!$C$2:$I$69,6,FALSE),$AB$25*VLOOKUP($C23,powerrank2017!$C$2:$I$69,6,FALSE))</f>
        <v>2.0348836101678615E-3</v>
      </c>
      <c r="I23" s="7">
        <f>SUM($Z$26*VLOOKUP($C23,'fte2017'!$D$2:$K$69,8,FALSE),$AA$26*VLOOKUP($C23,kenpom2017!$C$2:$I$69,7,FALSE),$AC$26*VLOOKUP($C23,chalk2017!$C$2:$I$69,7,FALSE),$AB$26*VLOOKUP($C23,powerrank2017!$C$2:$I$69,7,FALSE))</f>
        <v>4.0913559586574073E-4</v>
      </c>
      <c r="J23" s="8">
        <f>SUM(D23:I23)*A23</f>
        <v>5.3400016655527072</v>
      </c>
      <c r="Q23" t="s">
        <v>96</v>
      </c>
      <c r="R23" s="7">
        <v>0.35099999999999998</v>
      </c>
      <c r="S23" s="7">
        <v>0.372</v>
      </c>
      <c r="T23" s="7">
        <v>0.309</v>
      </c>
      <c r="U23" s="7">
        <v>0.60099999999999998</v>
      </c>
      <c r="V23">
        <f t="shared" si="2"/>
        <v>0.64900000000000002</v>
      </c>
      <c r="W23">
        <f t="shared" si="3"/>
        <v>0.628</v>
      </c>
      <c r="X23">
        <f t="shared" si="3"/>
        <v>0.69100000000000006</v>
      </c>
      <c r="Y23">
        <f t="shared" si="4"/>
        <v>0.39900000000000002</v>
      </c>
      <c r="Z23" s="7">
        <f t="shared" si="5"/>
        <v>0.2741867342627799</v>
      </c>
      <c r="AA23" s="7">
        <f t="shared" si="1"/>
        <v>0.26531474440219688</v>
      </c>
      <c r="AB23" s="7">
        <f t="shared" si="1"/>
        <v>0.29193071398394593</v>
      </c>
      <c r="AC23" s="7">
        <f t="shared" si="1"/>
        <v>0.16856780735107732</v>
      </c>
    </row>
    <row r="24" spans="1:29" x14ac:dyDescent="0.2">
      <c r="A24">
        <v>8</v>
      </c>
      <c r="B24" t="s">
        <v>24</v>
      </c>
      <c r="C24" t="s">
        <v>49</v>
      </c>
      <c r="D24" s="7">
        <f>SUM($Z$21*VLOOKUP($C24,'fte2017'!$D$2:$K$69,3,FALSE),$AA$21*VLOOKUP($C24,kenpom2017!$C$2:$I$69,2,FALSE),$AC$21*VLOOKUP($C24,chalk2017!$C$2:$I$69,2,FALSE),$AB$21*VLOOKUP($C24,powerrank2017!$C$2:$I$69,2,FALSE))</f>
        <v>0.51787785537716502</v>
      </c>
      <c r="E24" s="7">
        <f>SUM($Z$22*VLOOKUP($C24,'fte2017'!$D$2:$K$69,4,FALSE),$AA$22*VLOOKUP($C24,kenpom2017!$C$2:$I$69,3,FALSE),$AC$22*VLOOKUP($C24,chalk2017!$C$2:$I$69,3,FALSE),$AB$22*VLOOKUP($C24,powerrank2017!$C$2:$I$69,3,FALSE))</f>
        <v>9.8276662887854249E-2</v>
      </c>
      <c r="F24" s="7">
        <f>SUM($Z$23*VLOOKUP($C24,'fte2017'!$D$2:$K$69,5,FALSE),$AA$23*VLOOKUP($C24,kenpom2017!$C$2:$I$69,4,FALSE),$AC$23*VLOOKUP($C24,chalk2017!$C$2:$I$69,4,FALSE),$AB$23*VLOOKUP($C24,powerrank2017!$C$2:$I$69,4,FALSE))</f>
        <v>3.5368653307310094E-2</v>
      </c>
      <c r="G24" s="7">
        <f>SUM($Z$24*VLOOKUP($C24,'fte2017'!$D$2:$K$69,6,FALSE),$AA$24*VLOOKUP($C24,kenpom2017!$C$2:$I$69,5,FALSE),$AC$24*VLOOKUP($C24,chalk2017!$C$2:$I$69,5,FALSE),$AB$24*VLOOKUP($C24,powerrank2017!$C$2:$I$69,5,FALSE))</f>
        <v>8.3418067374236415E-3</v>
      </c>
      <c r="H24" s="7">
        <f>SUM($Z$25*VLOOKUP($C24,'fte2017'!$D$2:$K$69,7,FALSE),$AA$25*VLOOKUP($C24,kenpom2017!$C$2:$I$69,6,FALSE),$AC$25*VLOOKUP($C24,chalk2017!$C$2:$I$69,6,FALSE),$AB$25*VLOOKUP($C24,powerrank2017!$C$2:$I$69,6,FALSE))</f>
        <v>2.6413166513848292E-3</v>
      </c>
      <c r="I24" s="7">
        <f>SUM($Z$26*VLOOKUP($C24,'fte2017'!$D$2:$K$69,8,FALSE),$AA$26*VLOOKUP($C24,kenpom2017!$C$2:$I$69,7,FALSE),$AC$26*VLOOKUP($C24,chalk2017!$C$2:$I$69,7,FALSE),$AB$26*VLOOKUP($C24,powerrank2017!$C$2:$I$69,7,FALSE))</f>
        <v>6.5966701519675928E-4</v>
      </c>
      <c r="J24" s="8">
        <f>SUM(D24:I24)*A24</f>
        <v>5.3053276958106759</v>
      </c>
      <c r="Q24" t="s">
        <v>97</v>
      </c>
      <c r="R24" s="7">
        <f>AVERAGE(0.477,AVERAGE(S31:S34))</f>
        <v>0.61652499999999999</v>
      </c>
      <c r="S24" s="7">
        <v>0.499</v>
      </c>
      <c r="T24" s="7">
        <v>0.42199999999999999</v>
      </c>
      <c r="U24" s="7">
        <v>0.41899999999999998</v>
      </c>
      <c r="V24">
        <f t="shared" si="2"/>
        <v>0.38347500000000001</v>
      </c>
      <c r="W24">
        <f t="shared" si="3"/>
        <v>0.501</v>
      </c>
      <c r="X24">
        <f t="shared" si="3"/>
        <v>0.57800000000000007</v>
      </c>
      <c r="Y24">
        <f t="shared" si="4"/>
        <v>0.58099999999999996</v>
      </c>
      <c r="Z24" s="7">
        <f t="shared" si="5"/>
        <v>0.18765827817810349</v>
      </c>
      <c r="AA24" s="7">
        <f t="shared" si="1"/>
        <v>0.24517060399564469</v>
      </c>
      <c r="AB24" s="7">
        <f t="shared" si="1"/>
        <v>0.28285151518858809</v>
      </c>
      <c r="AC24" s="7">
        <f t="shared" si="1"/>
        <v>0.28431960263766376</v>
      </c>
    </row>
    <row r="25" spans="1:29" x14ac:dyDescent="0.2">
      <c r="A25">
        <v>2</v>
      </c>
      <c r="B25" t="s">
        <v>24</v>
      </c>
      <c r="C25" t="s">
        <v>23</v>
      </c>
      <c r="D25" s="7">
        <f>SUM($Z$21*VLOOKUP($C25,'fte2017'!$D$2:$K$69,3,FALSE),$AA$21*VLOOKUP($C25,kenpom2017!$C$2:$I$69,2,FALSE),$AC$21*VLOOKUP($C25,chalk2017!$C$2:$I$69,2,FALSE),$AB$21*VLOOKUP($C25,powerrank2017!$C$2:$I$69,2,FALSE))</f>
        <v>0.9669219415962822</v>
      </c>
      <c r="E25" s="7">
        <f>SUM($Z$22*VLOOKUP($C25,'fte2017'!$D$2:$K$69,4,FALSE),$AA$22*VLOOKUP($C25,kenpom2017!$C$2:$I$69,3,FALSE),$AC$22*VLOOKUP($C25,chalk2017!$C$2:$I$69,3,FALSE),$AB$22*VLOOKUP($C25,powerrank2017!$C$2:$I$69,3,FALSE))</f>
        <v>0.62853503294588686</v>
      </c>
      <c r="F25" s="7">
        <f>SUM($Z$23*VLOOKUP($C25,'fte2017'!$D$2:$K$69,5,FALSE),$AA$23*VLOOKUP($C25,kenpom2017!$C$2:$I$69,4,FALSE),$AC$23*VLOOKUP($C25,chalk2017!$C$2:$I$69,4,FALSE),$AB$23*VLOOKUP($C25,powerrank2017!$C$2:$I$69,4,FALSE))</f>
        <v>0.51539753533505828</v>
      </c>
      <c r="G25" s="7">
        <f>SUM($Z$24*VLOOKUP($C25,'fte2017'!$D$2:$K$69,6,FALSE),$AA$24*VLOOKUP($C25,kenpom2017!$C$2:$I$69,5,FALSE),$AC$24*VLOOKUP($C25,chalk2017!$C$2:$I$69,5,FALSE),$AB$24*VLOOKUP($C25,powerrank2017!$C$2:$I$69,5,FALSE))</f>
        <v>0.17099854826713279</v>
      </c>
      <c r="H25" s="7">
        <f>SUM($Z$25*VLOOKUP($C25,'fte2017'!$D$2:$K$69,7,FALSE),$AA$25*VLOOKUP($C25,kenpom2017!$C$2:$I$69,6,FALSE),$AC$25*VLOOKUP($C25,chalk2017!$C$2:$I$69,6,FALSE),$AB$25*VLOOKUP($C25,powerrank2017!$C$2:$I$69,6,FALSE))</f>
        <v>0.10845602317472514</v>
      </c>
      <c r="I25" s="7">
        <f>SUM($Z$26*VLOOKUP($C25,'fte2017'!$D$2:$K$69,8,FALSE),$AA$26*VLOOKUP($C25,kenpom2017!$C$2:$I$69,7,FALSE),$AC$26*VLOOKUP($C25,chalk2017!$C$2:$I$69,7,FALSE),$AB$26*VLOOKUP($C25,powerrank2017!$C$2:$I$69,7,FALSE))</f>
        <v>5.9262999845743056E-2</v>
      </c>
      <c r="J25" s="8">
        <f>SUM(D25:I25)*A25</f>
        <v>4.899144162329657</v>
      </c>
      <c r="Q25" t="s">
        <v>98</v>
      </c>
      <c r="R25" s="7">
        <v>0.71399999999999997</v>
      </c>
      <c r="S25" s="7">
        <v>0.72299999999999998</v>
      </c>
      <c r="T25" s="7">
        <v>0.61499999999999999</v>
      </c>
      <c r="U25" s="7">
        <f>23/31</f>
        <v>0.74193548387096775</v>
      </c>
      <c r="V25">
        <f t="shared" si="2"/>
        <v>0.28600000000000003</v>
      </c>
      <c r="W25">
        <f t="shared" si="3"/>
        <v>0.27700000000000002</v>
      </c>
      <c r="X25">
        <f t="shared" si="3"/>
        <v>0.38500000000000001</v>
      </c>
      <c r="Y25">
        <f t="shared" si="4"/>
        <v>0.25806451612903225</v>
      </c>
      <c r="Z25" s="7">
        <f t="shared" si="5"/>
        <v>0.23713490959666203</v>
      </c>
      <c r="AA25" s="7">
        <f t="shared" si="1"/>
        <v>0.2296726222317321</v>
      </c>
      <c r="AB25" s="7">
        <f t="shared" si="1"/>
        <v>0.31922007061089114</v>
      </c>
      <c r="AC25" s="7">
        <f t="shared" si="1"/>
        <v>0.21397239756071462</v>
      </c>
    </row>
    <row r="26" spans="1:29" x14ac:dyDescent="0.2">
      <c r="A26">
        <v>2</v>
      </c>
      <c r="B26" t="s">
        <v>18</v>
      </c>
      <c r="C26" t="s">
        <v>26</v>
      </c>
      <c r="D26" s="7">
        <f>SUM($Z$21*VLOOKUP($C26,'fte2017'!$D$2:$K$69,3,FALSE),$AA$21*VLOOKUP($C26,kenpom2017!$C$2:$I$69,2,FALSE),$AC$21*VLOOKUP($C26,chalk2017!$C$2:$I$69,2,FALSE),$AB$21*VLOOKUP($C26,powerrank2017!$C$2:$I$69,2,FALSE))</f>
        <v>0.9473654245970804</v>
      </c>
      <c r="E26" s="7">
        <f>SUM($Z$22*VLOOKUP($C26,'fte2017'!$D$2:$K$69,4,FALSE),$AA$22*VLOOKUP($C26,kenpom2017!$C$2:$I$69,3,FALSE),$AC$22*VLOOKUP($C26,chalk2017!$C$2:$I$69,3,FALSE),$AB$22*VLOOKUP($C26,powerrank2017!$C$2:$I$69,3,FALSE))</f>
        <v>0.71533473622274202</v>
      </c>
      <c r="F26" s="7">
        <f>SUM($Z$23*VLOOKUP($C26,'fte2017'!$D$2:$K$69,5,FALSE),$AA$23*VLOOKUP($C26,kenpom2017!$C$2:$I$69,4,FALSE),$AC$23*VLOOKUP($C26,chalk2017!$C$2:$I$69,4,FALSE),$AB$23*VLOOKUP($C26,powerrank2017!$C$2:$I$69,4,FALSE))</f>
        <v>0.51729883966640355</v>
      </c>
      <c r="G26" s="7">
        <f>SUM($Z$24*VLOOKUP($C26,'fte2017'!$D$2:$K$69,6,FALSE),$AA$24*VLOOKUP($C26,kenpom2017!$C$2:$I$69,5,FALSE),$AC$24*VLOOKUP($C26,chalk2017!$C$2:$I$69,5,FALSE),$AB$24*VLOOKUP($C26,powerrank2017!$C$2:$I$69,5,FALSE))</f>
        <v>0.12897274141673631</v>
      </c>
      <c r="H26" s="7">
        <f>SUM($Z$25*VLOOKUP($C26,'fte2017'!$D$2:$K$69,7,FALSE),$AA$25*VLOOKUP($C26,kenpom2017!$C$2:$I$69,6,FALSE),$AC$25*VLOOKUP($C26,chalk2017!$C$2:$I$69,6,FALSE),$AB$25*VLOOKUP($C26,powerrank2017!$C$2:$I$69,6,FALSE))</f>
        <v>6.2400990689861449E-2</v>
      </c>
      <c r="I26" s="7">
        <f>SUM($Z$26*VLOOKUP($C26,'fte2017'!$D$2:$K$69,8,FALSE),$AA$26*VLOOKUP($C26,kenpom2017!$C$2:$I$69,7,FALSE),$AC$26*VLOOKUP($C26,chalk2017!$C$2:$I$69,7,FALSE),$AB$26*VLOOKUP($C26,powerrank2017!$C$2:$I$69,7,FALSE))</f>
        <v>3.8748491985689817E-2</v>
      </c>
      <c r="J26" s="8">
        <f>SUM(D26:I26)*A26</f>
        <v>4.8202424491570266</v>
      </c>
      <c r="Q26" t="s">
        <v>99</v>
      </c>
      <c r="R26" s="7">
        <v>0.88900000000000001</v>
      </c>
      <c r="S26" s="7">
        <v>0.91200000000000003</v>
      </c>
      <c r="T26" s="7">
        <v>0.76700000000000002</v>
      </c>
      <c r="U26" s="7">
        <v>1</v>
      </c>
      <c r="V26">
        <f t="shared" si="2"/>
        <v>0.11099999999999999</v>
      </c>
      <c r="W26">
        <f t="shared" si="3"/>
        <v>8.7999999999999967E-2</v>
      </c>
      <c r="X26">
        <f t="shared" si="3"/>
        <v>0.23299999999999998</v>
      </c>
      <c r="Y26">
        <f t="shared" si="4"/>
        <v>0</v>
      </c>
      <c r="Z26" s="7">
        <f t="shared" si="5"/>
        <v>0.25694444444444448</v>
      </c>
      <c r="AA26" s="7">
        <f t="shared" si="1"/>
        <v>0.20370370370370366</v>
      </c>
      <c r="AB26" s="7">
        <f t="shared" si="1"/>
        <v>0.53935185185185186</v>
      </c>
      <c r="AC26" s="7">
        <f t="shared" si="1"/>
        <v>0</v>
      </c>
    </row>
    <row r="27" spans="1:29" x14ac:dyDescent="0.2">
      <c r="A27">
        <v>2</v>
      </c>
      <c r="B27" t="s">
        <v>22</v>
      </c>
      <c r="C27" t="s">
        <v>27</v>
      </c>
      <c r="D27" s="7">
        <f>SUM($Z$21*VLOOKUP($C27,'fte2017'!$D$2:$K$69,3,FALSE),$AA$21*VLOOKUP($C27,kenpom2017!$C$2:$I$69,2,FALSE),$AC$21*VLOOKUP($C27,chalk2017!$C$2:$I$69,2,FALSE),$AB$21*VLOOKUP($C27,powerrank2017!$C$2:$I$69,2,FALSE))</f>
        <v>0.96229829309116965</v>
      </c>
      <c r="E27" s="7">
        <f>SUM($Z$22*VLOOKUP($C27,'fte2017'!$D$2:$K$69,4,FALSE),$AA$22*VLOOKUP($C27,kenpom2017!$C$2:$I$69,3,FALSE),$AC$22*VLOOKUP($C27,chalk2017!$C$2:$I$69,3,FALSE),$AB$22*VLOOKUP($C27,powerrank2017!$C$2:$I$69,3,FALSE))</f>
        <v>0.61954343615512175</v>
      </c>
      <c r="F27" s="7">
        <f>SUM($Z$23*VLOOKUP($C27,'fte2017'!$D$2:$K$69,5,FALSE),$AA$23*VLOOKUP($C27,kenpom2017!$C$2:$I$69,4,FALSE),$AC$23*VLOOKUP($C27,chalk2017!$C$2:$I$69,4,FALSE),$AB$23*VLOOKUP($C27,powerrank2017!$C$2:$I$69,4,FALSE))</f>
        <v>0.50211002191339371</v>
      </c>
      <c r="G27" s="7">
        <f>SUM($Z$24*VLOOKUP($C27,'fte2017'!$D$2:$K$69,6,FALSE),$AA$24*VLOOKUP($C27,kenpom2017!$C$2:$I$69,5,FALSE),$AC$24*VLOOKUP($C27,chalk2017!$C$2:$I$69,5,FALSE),$AB$24*VLOOKUP($C27,powerrank2017!$C$2:$I$69,5,FALSE))</f>
        <v>0.14596847596810214</v>
      </c>
      <c r="H27" s="7">
        <f>SUM($Z$25*VLOOKUP($C27,'fte2017'!$D$2:$K$69,7,FALSE),$AA$25*VLOOKUP($C27,kenpom2017!$C$2:$I$69,6,FALSE),$AC$25*VLOOKUP($C27,chalk2017!$C$2:$I$69,6,FALSE),$AB$25*VLOOKUP($C27,powerrank2017!$C$2:$I$69,6,FALSE))</f>
        <v>8.1550451431413609E-2</v>
      </c>
      <c r="I27" s="7">
        <f>SUM($Z$26*VLOOKUP($C27,'fte2017'!$D$2:$K$69,8,FALSE),$AA$26*VLOOKUP($C27,kenpom2017!$C$2:$I$69,7,FALSE),$AC$26*VLOOKUP($C27,chalk2017!$C$2:$I$69,7,FALSE),$AB$26*VLOOKUP($C27,powerrank2017!$C$2:$I$69,7,FALSE))</f>
        <v>4.0427729169300923E-2</v>
      </c>
      <c r="J27" s="8">
        <f>SUM(D27:I27)*A27</f>
        <v>4.7037968154570029</v>
      </c>
    </row>
    <row r="28" spans="1:29" x14ac:dyDescent="0.2">
      <c r="A28">
        <v>10</v>
      </c>
      <c r="B28" t="s">
        <v>18</v>
      </c>
      <c r="C28" t="s">
        <v>56</v>
      </c>
      <c r="D28" s="7">
        <f>SUM($Z$21*VLOOKUP($C28,'fte2017'!$D$2:$K$69,3,FALSE),$AA$21*VLOOKUP($C28,kenpom2017!$C$2:$I$69,2,FALSE),$AC$21*VLOOKUP($C28,chalk2017!$C$2:$I$69,2,FALSE),$AB$21*VLOOKUP($C28,powerrank2017!$C$2:$I$69,2,FALSE))</f>
        <v>0.31574402058010503</v>
      </c>
      <c r="E28" s="7">
        <f>SUM($Z$22*VLOOKUP($C28,'fte2017'!$D$2:$K$69,4,FALSE),$AA$22*VLOOKUP($C28,kenpom2017!$C$2:$I$69,3,FALSE),$AC$22*VLOOKUP($C28,chalk2017!$C$2:$I$69,3,FALSE),$AB$22*VLOOKUP($C28,powerrank2017!$C$2:$I$69,3,FALSE))</f>
        <v>8.9936314088191735E-2</v>
      </c>
      <c r="F28" s="7">
        <f>SUM($Z$23*VLOOKUP($C28,'fte2017'!$D$2:$K$69,5,FALSE),$AA$23*VLOOKUP($C28,kenpom2017!$C$2:$I$69,4,FALSE),$AC$23*VLOOKUP($C28,chalk2017!$C$2:$I$69,4,FALSE),$AB$23*VLOOKUP($C28,powerrank2017!$C$2:$I$69,4,FALSE))</f>
        <v>2.711128642680017E-2</v>
      </c>
      <c r="G28" s="7">
        <f>SUM($Z$24*VLOOKUP($C28,'fte2017'!$D$2:$K$69,6,FALSE),$AA$24*VLOOKUP($C28,kenpom2017!$C$2:$I$69,5,FALSE),$AC$24*VLOOKUP($C28,chalk2017!$C$2:$I$69,5,FALSE),$AB$24*VLOOKUP($C28,powerrank2017!$C$2:$I$69,5,FALSE))</f>
        <v>6.2830037199884271E-3</v>
      </c>
      <c r="H28" s="7">
        <f>SUM($Z$25*VLOOKUP($C28,'fte2017'!$D$2:$K$69,7,FALSE),$AA$25*VLOOKUP($C28,kenpom2017!$C$2:$I$69,6,FALSE),$AC$25*VLOOKUP($C28,chalk2017!$C$2:$I$69,6,FALSE),$AB$25*VLOOKUP($C28,powerrank2017!$C$2:$I$69,6,FALSE))</f>
        <v>1.806344688418744E-3</v>
      </c>
      <c r="I28" s="7">
        <f>SUM($Z$26*VLOOKUP($C28,'fte2017'!$D$2:$K$69,8,FALSE),$AA$26*VLOOKUP($C28,kenpom2017!$C$2:$I$69,7,FALSE),$AC$26*VLOOKUP($C28,chalk2017!$C$2:$I$69,7,FALSE),$AB$26*VLOOKUP($C28,powerrank2017!$C$2:$I$69,7,FALSE))</f>
        <v>4.6155846120370369E-4</v>
      </c>
      <c r="J28" s="8">
        <f>SUM(D28:I28)*A28</f>
        <v>4.4134252796470781</v>
      </c>
      <c r="K28" t="s">
        <v>90</v>
      </c>
    </row>
    <row r="29" spans="1:29" x14ac:dyDescent="0.2">
      <c r="A29">
        <v>5</v>
      </c>
      <c r="B29" t="s">
        <v>24</v>
      </c>
      <c r="C29" t="s">
        <v>64</v>
      </c>
      <c r="D29" s="7">
        <f>SUM($Z$21*VLOOKUP($C29,'fte2017'!$D$2:$K$69,3,FALSE),$AA$21*VLOOKUP($C29,kenpom2017!$C$2:$I$69,2,FALSE),$AC$21*VLOOKUP($C29,chalk2017!$C$2:$I$69,2,FALSE),$AB$21*VLOOKUP($C29,powerrank2017!$C$2:$I$69,2,FALSE))</f>
        <v>0.54273555561399756</v>
      </c>
      <c r="E29" s="7">
        <f>SUM($Z$22*VLOOKUP($C29,'fte2017'!$D$2:$K$69,4,FALSE),$AA$22*VLOOKUP($C29,kenpom2017!$C$2:$I$69,3,FALSE),$AC$22*VLOOKUP($C29,chalk2017!$C$2:$I$69,3,FALSE),$AB$22*VLOOKUP($C29,powerrank2017!$C$2:$I$69,3,FALSE))</f>
        <v>0.20688950821629912</v>
      </c>
      <c r="F29" s="7">
        <f>SUM($Z$23*VLOOKUP($C29,'fte2017'!$D$2:$K$69,5,FALSE),$AA$23*VLOOKUP($C29,kenpom2017!$C$2:$I$69,4,FALSE),$AC$23*VLOOKUP($C29,chalk2017!$C$2:$I$69,4,FALSE),$AB$23*VLOOKUP($C29,powerrank2017!$C$2:$I$69,4,FALSE))</f>
        <v>4.4165920008196871E-2</v>
      </c>
      <c r="G29" s="7">
        <f>SUM($Z$24*VLOOKUP($C29,'fte2017'!$D$2:$K$69,6,FALSE),$AA$24*VLOOKUP($C29,kenpom2017!$C$2:$I$69,5,FALSE),$AC$24*VLOOKUP($C29,chalk2017!$C$2:$I$69,5,FALSE),$AB$24*VLOOKUP($C29,powerrank2017!$C$2:$I$69,5,FALSE))</f>
        <v>1.0687554542273922E-2</v>
      </c>
      <c r="H29" s="7">
        <f>SUM($Z$25*VLOOKUP($C29,'fte2017'!$D$2:$K$69,7,FALSE),$AA$25*VLOOKUP($C29,kenpom2017!$C$2:$I$69,6,FALSE),$AC$25*VLOOKUP($C29,chalk2017!$C$2:$I$69,6,FALSE),$AB$25*VLOOKUP($C29,powerrank2017!$C$2:$I$69,6,FALSE))</f>
        <v>3.2367348030611955E-3</v>
      </c>
      <c r="I29" s="7">
        <f>SUM($Z$26*VLOOKUP($C29,'fte2017'!$D$2:$K$69,8,FALSE),$AA$26*VLOOKUP($C29,kenpom2017!$C$2:$I$69,7,FALSE),$AC$26*VLOOKUP($C29,chalk2017!$C$2:$I$69,7,FALSE),$AB$26*VLOOKUP($C29,powerrank2017!$C$2:$I$69,7,FALSE))</f>
        <v>1.1267388857384257E-3</v>
      </c>
      <c r="J29" s="8">
        <f>SUM(D29:I29)*A29</f>
        <v>4.0442100603478357</v>
      </c>
    </row>
    <row r="30" spans="1:29" x14ac:dyDescent="0.2">
      <c r="A30">
        <v>9</v>
      </c>
      <c r="B30" t="s">
        <v>20</v>
      </c>
      <c r="C30" t="s">
        <v>50</v>
      </c>
      <c r="D30" s="7">
        <f>SUM($Z$21*VLOOKUP($C30,'fte2017'!$D$2:$K$69,3,FALSE),$AA$21*VLOOKUP($C30,kenpom2017!$C$2:$I$69,2,FALSE),$AC$21*VLOOKUP($C30,chalk2017!$C$2:$I$69,2,FALSE),$AB$21*VLOOKUP($C30,powerrank2017!$C$2:$I$69,2,FALSE))</f>
        <v>0.35473804936542608</v>
      </c>
      <c r="E30" s="7">
        <f>SUM($Z$22*VLOOKUP($C30,'fte2017'!$D$2:$K$69,4,FALSE),$AA$22*VLOOKUP($C30,kenpom2017!$C$2:$I$69,3,FALSE),$AC$22*VLOOKUP($C30,chalk2017!$C$2:$I$69,3,FALSE),$AB$22*VLOOKUP($C30,powerrank2017!$C$2:$I$69,3,FALSE))</f>
        <v>5.738500127239117E-2</v>
      </c>
      <c r="F30" s="7">
        <f>SUM($Z$23*VLOOKUP($C30,'fte2017'!$D$2:$K$69,5,FALSE),$AA$23*VLOOKUP($C30,kenpom2017!$C$2:$I$69,4,FALSE),$AC$23*VLOOKUP($C30,chalk2017!$C$2:$I$69,4,FALSE),$AB$23*VLOOKUP($C30,powerrank2017!$C$2:$I$69,4,FALSE))</f>
        <v>1.6391881713668358E-2</v>
      </c>
      <c r="G30" s="7">
        <f>SUM($Z$24*VLOOKUP($C30,'fte2017'!$D$2:$K$69,6,FALSE),$AA$24*VLOOKUP($C30,kenpom2017!$C$2:$I$69,5,FALSE),$AC$24*VLOOKUP($C30,chalk2017!$C$2:$I$69,5,FALSE),$AB$24*VLOOKUP($C30,powerrank2017!$C$2:$I$69,5,FALSE))</f>
        <v>5.048616317626666E-3</v>
      </c>
      <c r="H30" s="7">
        <f>SUM($Z$25*VLOOKUP($C30,'fte2017'!$D$2:$K$69,7,FALSE),$AA$25*VLOOKUP($C30,kenpom2017!$C$2:$I$69,6,FALSE),$AC$25*VLOOKUP($C30,chalk2017!$C$2:$I$69,6,FALSE),$AB$25*VLOOKUP($C30,powerrank2017!$C$2:$I$69,6,FALSE))</f>
        <v>1.583812667004654E-3</v>
      </c>
      <c r="I30" s="7">
        <f>SUM($Z$26*VLOOKUP($C30,'fte2017'!$D$2:$K$69,8,FALSE),$AA$26*VLOOKUP($C30,kenpom2017!$C$2:$I$69,7,FALSE),$AC$26*VLOOKUP($C30,chalk2017!$C$2:$I$69,7,FALSE),$AB$26*VLOOKUP($C30,powerrank2017!$C$2:$I$69,7,FALSE))</f>
        <v>5.1900023442129632E-4</v>
      </c>
      <c r="J30" s="8">
        <f>SUM(D30:I30)*A30</f>
        <v>3.9209972541348437</v>
      </c>
      <c r="R30" t="s">
        <v>97</v>
      </c>
      <c r="S30" t="s">
        <v>129</v>
      </c>
      <c r="T30" t="s">
        <v>130</v>
      </c>
    </row>
    <row r="31" spans="1:29" x14ac:dyDescent="0.2">
      <c r="A31">
        <v>5</v>
      </c>
      <c r="B31" t="s">
        <v>20</v>
      </c>
      <c r="C31" t="s">
        <v>45</v>
      </c>
      <c r="D31" s="7">
        <f>SUM($Z$21*VLOOKUP($C31,'fte2017'!$D$2:$K$69,3,FALSE),$AA$21*VLOOKUP($C31,kenpom2017!$C$2:$I$69,2,FALSE),$AC$21*VLOOKUP($C31,chalk2017!$C$2:$I$69,2,FALSE),$AB$21*VLOOKUP($C31,powerrank2017!$C$2:$I$69,2,FALSE))</f>
        <v>0.48220917580149436</v>
      </c>
      <c r="E31" s="7">
        <f>SUM($Z$22*VLOOKUP($C31,'fte2017'!$D$2:$K$69,4,FALSE),$AA$22*VLOOKUP($C31,kenpom2017!$C$2:$I$69,3,FALSE),$AC$22*VLOOKUP($C31,chalk2017!$C$2:$I$69,3,FALSE),$AB$22*VLOOKUP($C31,powerrank2017!$C$2:$I$69,3,FALSE))</f>
        <v>0.18635154760977179</v>
      </c>
      <c r="F31" s="7">
        <f>SUM($Z$23*VLOOKUP($C31,'fte2017'!$D$2:$K$69,5,FALSE),$AA$23*VLOOKUP($C31,kenpom2017!$C$2:$I$69,4,FALSE),$AC$23*VLOOKUP($C31,chalk2017!$C$2:$I$69,4,FALSE),$AB$23*VLOOKUP($C31,powerrank2017!$C$2:$I$69,4,FALSE))</f>
        <v>4.4705694874750741E-2</v>
      </c>
      <c r="G31" s="7">
        <f>SUM($Z$24*VLOOKUP($C31,'fte2017'!$D$2:$K$69,6,FALSE),$AA$24*VLOOKUP($C31,kenpom2017!$C$2:$I$69,5,FALSE),$AC$24*VLOOKUP($C31,chalk2017!$C$2:$I$69,5,FALSE),$AB$24*VLOOKUP($C31,powerrank2017!$C$2:$I$69,5,FALSE))</f>
        <v>1.7102260593289179E-2</v>
      </c>
      <c r="H31" s="7">
        <f>SUM($Z$25*VLOOKUP($C31,'fte2017'!$D$2:$K$69,7,FALSE),$AA$25*VLOOKUP($C31,kenpom2017!$C$2:$I$69,6,FALSE),$AC$25*VLOOKUP($C31,chalk2017!$C$2:$I$69,6,FALSE),$AB$25*VLOOKUP($C31,powerrank2017!$C$2:$I$69,6,FALSE))</f>
        <v>6.8537037108035194E-3</v>
      </c>
      <c r="I31" s="7">
        <f>SUM($Z$26*VLOOKUP($C31,'fte2017'!$D$2:$K$69,8,FALSE),$AA$26*VLOOKUP($C31,kenpom2017!$C$2:$I$69,7,FALSE),$AC$26*VLOOKUP($C31,chalk2017!$C$2:$I$69,7,FALSE),$AB$26*VLOOKUP($C31,powerrank2017!$C$2:$I$69,7,FALSE))</f>
        <v>2.8300262791736111E-3</v>
      </c>
      <c r="J31" s="8">
        <f>SUM(D31:I31)*A31</f>
        <v>3.7002620443464163</v>
      </c>
      <c r="Q31" t="s">
        <v>125</v>
      </c>
      <c r="R31">
        <v>0.26</v>
      </c>
      <c r="S31">
        <f>(1-R31)^2</f>
        <v>0.54759999999999998</v>
      </c>
      <c r="T31">
        <v>0</v>
      </c>
      <c r="X31">
        <f>89+22+60+21</f>
        <v>192</v>
      </c>
      <c r="Y31">
        <f>52+37</f>
        <v>89</v>
      </c>
    </row>
    <row r="32" spans="1:29" x14ac:dyDescent="0.2">
      <c r="A32">
        <v>1</v>
      </c>
      <c r="B32" t="s">
        <v>20</v>
      </c>
      <c r="C32" t="s">
        <v>19</v>
      </c>
      <c r="D32" s="7">
        <f>SUM($Z$21*VLOOKUP($C32,'fte2017'!$D$2:$K$69,3,FALSE),$AA$21*VLOOKUP($C32,kenpom2017!$C$2:$I$69,2,FALSE),$AC$21*VLOOKUP($C32,chalk2017!$C$2:$I$69,2,FALSE),$AB$21*VLOOKUP($C32,powerrank2017!$C$2:$I$69,2,FALSE))</f>
        <v>0.98555297966456212</v>
      </c>
      <c r="E32" s="7">
        <f>SUM($Z$22*VLOOKUP($C32,'fte2017'!$D$2:$K$69,4,FALSE),$AA$22*VLOOKUP($C32,kenpom2017!$C$2:$I$69,3,FALSE),$AC$22*VLOOKUP($C32,chalk2017!$C$2:$I$69,3,FALSE),$AB$22*VLOOKUP($C32,powerrank2017!$C$2:$I$69,3,FALSE))</f>
        <v>0.86847560303496829</v>
      </c>
      <c r="F32" s="7">
        <f>SUM($Z$23*VLOOKUP($C32,'fte2017'!$D$2:$K$69,5,FALSE),$AA$23*VLOOKUP($C32,kenpom2017!$C$2:$I$69,4,FALSE),$AC$23*VLOOKUP($C32,chalk2017!$C$2:$I$69,4,FALSE),$AB$23*VLOOKUP($C32,powerrank2017!$C$2:$I$69,4,FALSE))</f>
        <v>0.68798904559427509</v>
      </c>
      <c r="G32" s="7">
        <f>SUM($Z$24*VLOOKUP($C32,'fte2017'!$D$2:$K$69,6,FALSE),$AA$24*VLOOKUP($C32,kenpom2017!$C$2:$I$69,5,FALSE),$AC$24*VLOOKUP($C32,chalk2017!$C$2:$I$69,5,FALSE),$AB$24*VLOOKUP($C32,powerrank2017!$C$2:$I$69,5,FALSE))</f>
        <v>0.63495040738580411</v>
      </c>
      <c r="H32" s="7">
        <f>SUM($Z$25*VLOOKUP($C32,'fte2017'!$D$2:$K$69,7,FALSE),$AA$25*VLOOKUP($C32,kenpom2017!$C$2:$I$69,6,FALSE),$AC$25*VLOOKUP($C32,chalk2017!$C$2:$I$69,6,FALSE),$AB$25*VLOOKUP($C32,powerrank2017!$C$2:$I$69,6,FALSE))</f>
        <v>0.25390042661337581</v>
      </c>
      <c r="I32" s="7">
        <f>SUM($Z$26*VLOOKUP($C32,'fte2017'!$D$2:$K$69,8,FALSE),$AA$26*VLOOKUP($C32,kenpom2017!$C$2:$I$69,7,FALSE),$AC$26*VLOOKUP($C32,chalk2017!$C$2:$I$69,7,FALSE),$AB$26*VLOOKUP($C32,powerrank2017!$C$2:$I$69,7,FALSE))</f>
        <v>0.24723675141217591</v>
      </c>
      <c r="J32" s="8">
        <f>SUM(D32:I32)*A32</f>
        <v>3.6781052137051615</v>
      </c>
      <c r="Q32" t="s">
        <v>126</v>
      </c>
      <c r="R32">
        <v>0.13</v>
      </c>
      <c r="S32">
        <f t="shared" ref="S32:S34" si="6">(1-R32)^2</f>
        <v>0.75690000000000002</v>
      </c>
      <c r="T32">
        <v>1</v>
      </c>
      <c r="X32">
        <f>31*16</f>
        <v>496</v>
      </c>
      <c r="Y32">
        <f>31*8</f>
        <v>248</v>
      </c>
    </row>
    <row r="33" spans="1:26" x14ac:dyDescent="0.2">
      <c r="A33">
        <v>3</v>
      </c>
      <c r="B33" t="s">
        <v>20</v>
      </c>
      <c r="C33" t="s">
        <v>41</v>
      </c>
      <c r="D33" s="7">
        <f>SUM($Z$21*VLOOKUP($C33,'fte2017'!$D$2:$K$69,3,FALSE),$AA$21*VLOOKUP($C33,kenpom2017!$C$2:$I$69,2,FALSE),$AC$21*VLOOKUP($C33,chalk2017!$C$2:$I$69,2,FALSE),$AB$21*VLOOKUP($C33,powerrank2017!$C$2:$I$69,2,FALSE))</f>
        <v>0.58132815033704111</v>
      </c>
      <c r="E33" s="7">
        <f>SUM($Z$22*VLOOKUP($C33,'fte2017'!$D$2:$K$69,4,FALSE),$AA$22*VLOOKUP($C33,kenpom2017!$C$2:$I$69,3,FALSE),$AC$22*VLOOKUP($C33,chalk2017!$C$2:$I$69,3,FALSE),$AB$22*VLOOKUP($C33,powerrank2017!$C$2:$I$69,3,FALSE))</f>
        <v>0.4032974182459827</v>
      </c>
      <c r="F33" s="7">
        <f>SUM($Z$23*VLOOKUP($C33,'fte2017'!$D$2:$K$69,5,FALSE),$AA$23*VLOOKUP($C33,kenpom2017!$C$2:$I$69,4,FALSE),$AC$23*VLOOKUP($C33,chalk2017!$C$2:$I$69,4,FALSE),$AB$23*VLOOKUP($C33,powerrank2017!$C$2:$I$69,4,FALSE))</f>
        <v>0.14063175868661174</v>
      </c>
      <c r="G33" s="7">
        <f>SUM($Z$24*VLOOKUP($C33,'fte2017'!$D$2:$K$69,6,FALSE),$AA$24*VLOOKUP($C33,kenpom2017!$C$2:$I$69,5,FALSE),$AC$24*VLOOKUP($C33,chalk2017!$C$2:$I$69,5,FALSE),$AB$24*VLOOKUP($C33,powerrank2017!$C$2:$I$69,5,FALSE))</f>
        <v>3.7862013374286768E-2</v>
      </c>
      <c r="H33" s="7">
        <f>SUM($Z$25*VLOOKUP($C33,'fte2017'!$D$2:$K$69,7,FALSE),$AA$25*VLOOKUP($C33,kenpom2017!$C$2:$I$69,6,FALSE),$AC$25*VLOOKUP($C33,chalk2017!$C$2:$I$69,6,FALSE),$AB$25*VLOOKUP($C33,powerrank2017!$C$2:$I$69,6,FALSE))</f>
        <v>1.5254767169937731E-2</v>
      </c>
      <c r="I33" s="7">
        <f>SUM($Z$26*VLOOKUP($C33,'fte2017'!$D$2:$K$69,8,FALSE),$AA$26*VLOOKUP($C33,kenpom2017!$C$2:$I$69,7,FALSE),$AC$26*VLOOKUP($C33,chalk2017!$C$2:$I$69,7,FALSE),$AB$26*VLOOKUP($C33,powerrank2017!$C$2:$I$69,7,FALSE))</f>
        <v>6.3155638738263895E-3</v>
      </c>
      <c r="J33" s="8">
        <f>SUM(D33:I33)*A33</f>
        <v>3.5540690150630594</v>
      </c>
      <c r="Q33" t="s">
        <v>127</v>
      </c>
      <c r="R33">
        <v>0.14000000000000001</v>
      </c>
      <c r="S33">
        <f t="shared" si="6"/>
        <v>0.73959999999999992</v>
      </c>
      <c r="T33">
        <v>1</v>
      </c>
      <c r="X33">
        <f>X31/X32</f>
        <v>0.38709677419354838</v>
      </c>
      <c r="Y33">
        <f>Y31/Y32</f>
        <v>0.3588709677419355</v>
      </c>
    </row>
    <row r="34" spans="1:26" x14ac:dyDescent="0.2">
      <c r="A34">
        <v>7</v>
      </c>
      <c r="B34" t="s">
        <v>18</v>
      </c>
      <c r="C34" t="s">
        <v>53</v>
      </c>
      <c r="D34" s="7">
        <f>SUM($Z$21*VLOOKUP($C34,'fte2017'!$D$2:$K$69,3,FALSE),$AA$21*VLOOKUP($C34,kenpom2017!$C$2:$I$69,2,FALSE),$AC$21*VLOOKUP($C34,chalk2017!$C$2:$I$69,2,FALSE),$AB$21*VLOOKUP($C34,powerrank2017!$C$2:$I$69,2,FALSE))</f>
        <v>0.3530133294786954</v>
      </c>
      <c r="E34" s="7">
        <f>SUM($Z$22*VLOOKUP($C34,'fte2017'!$D$2:$K$69,4,FALSE),$AA$22*VLOOKUP($C34,kenpom2017!$C$2:$I$69,3,FALSE),$AC$22*VLOOKUP($C34,chalk2017!$C$2:$I$69,3,FALSE),$AB$22*VLOOKUP($C34,powerrank2017!$C$2:$I$69,3,FALSE))</f>
        <v>9.931236079125598E-2</v>
      </c>
      <c r="F34" s="7">
        <f>SUM($Z$23*VLOOKUP($C34,'fte2017'!$D$2:$K$69,5,FALSE),$AA$23*VLOOKUP($C34,kenpom2017!$C$2:$I$69,4,FALSE),$AC$23*VLOOKUP($C34,chalk2017!$C$2:$I$69,4,FALSE),$AB$23*VLOOKUP($C34,powerrank2017!$C$2:$I$69,4,FALSE))</f>
        <v>2.8915360879217575E-2</v>
      </c>
      <c r="G34" s="7">
        <f>SUM($Z$24*VLOOKUP($C34,'fte2017'!$D$2:$K$69,6,FALSE),$AA$24*VLOOKUP($C34,kenpom2017!$C$2:$I$69,5,FALSE),$AC$24*VLOOKUP($C34,chalk2017!$C$2:$I$69,5,FALSE),$AB$24*VLOOKUP($C34,powerrank2017!$C$2:$I$69,5,FALSE))</f>
        <v>6.1995943364436448E-3</v>
      </c>
      <c r="H34" s="7">
        <f>SUM($Z$25*VLOOKUP($C34,'fte2017'!$D$2:$K$69,7,FALSE),$AA$25*VLOOKUP($C34,kenpom2017!$C$2:$I$69,6,FALSE),$AC$25*VLOOKUP($C34,chalk2017!$C$2:$I$69,6,FALSE),$AB$25*VLOOKUP($C34,powerrank2017!$C$2:$I$69,6,FALSE))</f>
        <v>1.6723569877419493E-3</v>
      </c>
      <c r="I34" s="7">
        <f>SUM($Z$26*VLOOKUP($C34,'fte2017'!$D$2:$K$69,8,FALSE),$AA$26*VLOOKUP($C34,kenpom2017!$C$2:$I$69,7,FALSE),$AC$26*VLOOKUP($C34,chalk2017!$C$2:$I$69,7,FALSE),$AB$26*VLOOKUP($C34,powerrank2017!$C$2:$I$69,7,FALSE))</f>
        <v>4.7721057659953699E-4</v>
      </c>
      <c r="J34" s="8">
        <f>SUM(D34:I34)*A34</f>
        <v>3.4271314913496784</v>
      </c>
      <c r="Q34" t="s">
        <v>128</v>
      </c>
      <c r="R34">
        <v>0.01</v>
      </c>
      <c r="S34">
        <f t="shared" si="6"/>
        <v>0.98009999999999997</v>
      </c>
      <c r="T34">
        <v>1</v>
      </c>
    </row>
    <row r="35" spans="1:26" x14ac:dyDescent="0.2">
      <c r="A35">
        <v>1</v>
      </c>
      <c r="B35" t="s">
        <v>18</v>
      </c>
      <c r="C35" t="s">
        <v>17</v>
      </c>
      <c r="D35" s="7">
        <f>SUM($Z$21*VLOOKUP($C35,'fte2017'!$D$2:$K$69,3,FALSE),$AA$21*VLOOKUP($C35,kenpom2017!$C$2:$I$69,2,FALSE),$AC$21*VLOOKUP($C35,chalk2017!$C$2:$I$69,2,FALSE),$AB$21*VLOOKUP($C35,powerrank2017!$C$2:$I$69,2,FALSE))</f>
        <v>0.98321531066240042</v>
      </c>
      <c r="E35" s="7">
        <f>SUM($Z$22*VLOOKUP($C35,'fte2017'!$D$2:$K$69,4,FALSE),$AA$22*VLOOKUP($C35,kenpom2017!$C$2:$I$69,3,FALSE),$AC$22*VLOOKUP($C35,chalk2017!$C$2:$I$69,3,FALSE),$AB$22*VLOOKUP($C35,powerrank2017!$C$2:$I$69,3,FALSE))</f>
        <v>0.76656701817308526</v>
      </c>
      <c r="F35" s="7">
        <f>SUM($Z$23*VLOOKUP($C35,'fte2017'!$D$2:$K$69,5,FALSE),$AA$23*VLOOKUP($C35,kenpom2017!$C$2:$I$69,4,FALSE),$AC$23*VLOOKUP($C35,chalk2017!$C$2:$I$69,4,FALSE),$AB$23*VLOOKUP($C35,powerrank2017!$C$2:$I$69,4,FALSE))</f>
        <v>0.61195931414740767</v>
      </c>
      <c r="G35" s="7">
        <f>SUM($Z$24*VLOOKUP($C35,'fte2017'!$D$2:$K$69,6,FALSE),$AA$24*VLOOKUP($C35,kenpom2017!$C$2:$I$69,5,FALSE),$AC$24*VLOOKUP($C35,chalk2017!$C$2:$I$69,5,FALSE),$AB$24*VLOOKUP($C35,powerrank2017!$C$2:$I$69,5,FALSE))</f>
        <v>0.54590985026109085</v>
      </c>
      <c r="H35" s="7">
        <f>SUM($Z$25*VLOOKUP($C35,'fte2017'!$D$2:$K$69,7,FALSE),$AA$25*VLOOKUP($C35,kenpom2017!$C$2:$I$69,6,FALSE),$AC$25*VLOOKUP($C35,chalk2017!$C$2:$I$69,6,FALSE),$AB$25*VLOOKUP($C35,powerrank2017!$C$2:$I$69,6,FALSE))</f>
        <v>0.37589309787646374</v>
      </c>
      <c r="I35" s="7">
        <f>SUM($Z$26*VLOOKUP($C35,'fte2017'!$D$2:$K$69,8,FALSE),$AA$26*VLOOKUP($C35,kenpom2017!$C$2:$I$69,7,FALSE),$AC$26*VLOOKUP($C35,chalk2017!$C$2:$I$69,7,FALSE),$AB$26*VLOOKUP($C35,powerrank2017!$C$2:$I$69,7,FALSE))</f>
        <v>0.13656684390921758</v>
      </c>
      <c r="J35" s="8">
        <f>SUM(D35:I35)*A35</f>
        <v>3.420111435029666</v>
      </c>
    </row>
    <row r="36" spans="1:26" x14ac:dyDescent="0.2">
      <c r="A36">
        <v>3</v>
      </c>
      <c r="B36" t="s">
        <v>18</v>
      </c>
      <c r="C36" t="s">
        <v>37</v>
      </c>
      <c r="D36" s="7">
        <f>SUM($Z$21*VLOOKUP($C36,'fte2017'!$D$2:$K$69,3,FALSE),$AA$21*VLOOKUP($C36,kenpom2017!$C$2:$I$69,2,FALSE),$AC$21*VLOOKUP($C36,chalk2017!$C$2:$I$69,2,FALSE),$AB$21*VLOOKUP($C36,powerrank2017!$C$2:$I$69,2,FALSE))</f>
        <v>0.58344572452122223</v>
      </c>
      <c r="E36" s="7">
        <f>SUM($Z$22*VLOOKUP($C36,'fte2017'!$D$2:$K$69,4,FALSE),$AA$22*VLOOKUP($C36,kenpom2017!$C$2:$I$69,3,FALSE),$AC$22*VLOOKUP($C36,chalk2017!$C$2:$I$69,3,FALSE),$AB$22*VLOOKUP($C36,powerrank2017!$C$2:$I$69,3,FALSE))</f>
        <v>0.30946187803137098</v>
      </c>
      <c r="F36" s="7">
        <f>SUM($Z$23*VLOOKUP($C36,'fte2017'!$D$2:$K$69,5,FALSE),$AA$23*VLOOKUP($C36,kenpom2017!$C$2:$I$69,4,FALSE),$AC$23*VLOOKUP($C36,chalk2017!$C$2:$I$69,4,FALSE),$AB$23*VLOOKUP($C36,powerrank2017!$C$2:$I$69,4,FALSE))</f>
        <v>0.12197246012236546</v>
      </c>
      <c r="G36" s="7">
        <f>SUM($Z$24*VLOOKUP($C36,'fte2017'!$D$2:$K$69,6,FALSE),$AA$24*VLOOKUP($C36,kenpom2017!$C$2:$I$69,5,FALSE),$AC$24*VLOOKUP($C36,chalk2017!$C$2:$I$69,5,FALSE),$AB$24*VLOOKUP($C36,powerrank2017!$C$2:$I$69,5,FALSE))</f>
        <v>4.1238470464886053E-2</v>
      </c>
      <c r="H36" s="7">
        <f>SUM($Z$25*VLOOKUP($C36,'fte2017'!$D$2:$K$69,7,FALSE),$AA$25*VLOOKUP($C36,kenpom2017!$C$2:$I$69,6,FALSE),$AC$25*VLOOKUP($C36,chalk2017!$C$2:$I$69,6,FALSE),$AB$25*VLOOKUP($C36,powerrank2017!$C$2:$I$69,6,FALSE))</f>
        <v>1.8788951847033379E-2</v>
      </c>
      <c r="I36" s="7">
        <f>SUM($Z$26*VLOOKUP($C36,'fte2017'!$D$2:$K$69,8,FALSE),$AA$26*VLOOKUP($C36,kenpom2017!$C$2:$I$69,7,FALSE),$AC$26*VLOOKUP($C36,chalk2017!$C$2:$I$69,7,FALSE),$AB$26*VLOOKUP($C36,powerrank2017!$C$2:$I$69,7,FALSE))</f>
        <v>8.6851687063148157E-3</v>
      </c>
      <c r="J36" s="8">
        <f>SUM(D36:I36)*A36</f>
        <v>3.2507779610795788</v>
      </c>
    </row>
    <row r="37" spans="1:26" x14ac:dyDescent="0.2">
      <c r="A37">
        <v>1</v>
      </c>
      <c r="B37" t="s">
        <v>24</v>
      </c>
      <c r="C37" t="s">
        <v>25</v>
      </c>
      <c r="D37" s="7">
        <f>SUM($Z$21*VLOOKUP($C37,'fte2017'!$D$2:$K$69,3,FALSE),$AA$21*VLOOKUP($C37,kenpom2017!$C$2:$I$69,2,FALSE),$AC$21*VLOOKUP($C37,chalk2017!$C$2:$I$69,2,FALSE),$AB$21*VLOOKUP($C37,powerrank2017!$C$2:$I$69,2,FALSE))</f>
        <v>0.98306869513428774</v>
      </c>
      <c r="E37" s="7">
        <f>SUM($Z$22*VLOOKUP($C37,'fte2017'!$D$2:$K$69,4,FALSE),$AA$22*VLOOKUP($C37,kenpom2017!$C$2:$I$69,3,FALSE),$AC$22*VLOOKUP($C37,chalk2017!$C$2:$I$69,3,FALSE),$AB$22*VLOOKUP($C37,powerrank2017!$C$2:$I$69,3,FALSE))</f>
        <v>0.81401783207532108</v>
      </c>
      <c r="F37" s="7">
        <f>SUM($Z$23*VLOOKUP($C37,'fte2017'!$D$2:$K$69,5,FALSE),$AA$23*VLOOKUP($C37,kenpom2017!$C$2:$I$69,4,FALSE),$AC$23*VLOOKUP($C37,chalk2017!$C$2:$I$69,4,FALSE),$AB$23*VLOOKUP($C37,powerrank2017!$C$2:$I$69,4,FALSE))</f>
        <v>0.66057517734570093</v>
      </c>
      <c r="G37" s="7">
        <f>SUM($Z$24*VLOOKUP($C37,'fte2017'!$D$2:$K$69,6,FALSE),$AA$24*VLOOKUP($C37,kenpom2017!$C$2:$I$69,5,FALSE),$AC$24*VLOOKUP($C37,chalk2017!$C$2:$I$69,5,FALSE),$AB$24*VLOOKUP($C37,powerrank2017!$C$2:$I$69,5,FALSE))</f>
        <v>0.53145012562327787</v>
      </c>
      <c r="H37" s="7">
        <f>SUM($Z$25*VLOOKUP($C37,'fte2017'!$D$2:$K$69,7,FALSE),$AA$25*VLOOKUP($C37,kenpom2017!$C$2:$I$69,6,FALSE),$AC$25*VLOOKUP($C37,chalk2017!$C$2:$I$69,6,FALSE),$AB$25*VLOOKUP($C37,powerrank2017!$C$2:$I$69,6,FALSE))</f>
        <v>0.1593435302600425</v>
      </c>
      <c r="I37" s="7">
        <f>SUM($Z$26*VLOOKUP($C37,'fte2017'!$D$2:$K$69,8,FALSE),$AA$26*VLOOKUP($C37,kenpom2017!$C$2:$I$69,7,FALSE),$AC$26*VLOOKUP($C37,chalk2017!$C$2:$I$69,7,FALSE),$AB$26*VLOOKUP($C37,powerrank2017!$C$2:$I$69,7,FALSE))</f>
        <v>9.4777773844479163E-2</v>
      </c>
      <c r="J37" s="8">
        <f>SUM(D37:I37)*A37</f>
        <v>3.2432331342831096</v>
      </c>
      <c r="U37" t="s">
        <v>131</v>
      </c>
    </row>
    <row r="38" spans="1:26" x14ac:dyDescent="0.2">
      <c r="A38">
        <v>1</v>
      </c>
      <c r="B38" t="s">
        <v>22</v>
      </c>
      <c r="C38" t="s">
        <v>21</v>
      </c>
      <c r="D38" s="7">
        <f>SUM($Z$21*VLOOKUP($C38,'fte2017'!$D$2:$K$69,3,FALSE),$AA$21*VLOOKUP($C38,kenpom2017!$C$2:$I$69,2,FALSE),$AC$21*VLOOKUP($C38,chalk2017!$C$2:$I$69,2,FALSE),$AB$21*VLOOKUP($C38,powerrank2017!$C$2:$I$69,2,FALSE))</f>
        <v>0.97023172360935628</v>
      </c>
      <c r="E38" s="7">
        <f>SUM($Z$22*VLOOKUP($C38,'fte2017'!$D$2:$K$69,4,FALSE),$AA$22*VLOOKUP($C38,kenpom2017!$C$2:$I$69,3,FALSE),$AC$22*VLOOKUP($C38,chalk2017!$C$2:$I$69,3,FALSE),$AB$22*VLOOKUP($C38,powerrank2017!$C$2:$I$69,3,FALSE))</f>
        <v>0.77210175081480337</v>
      </c>
      <c r="F38" s="7">
        <f>SUM($Z$23*VLOOKUP($C38,'fte2017'!$D$2:$K$69,5,FALSE),$AA$23*VLOOKUP($C38,kenpom2017!$C$2:$I$69,4,FALSE),$AC$23*VLOOKUP($C38,chalk2017!$C$2:$I$69,4,FALSE),$AB$23*VLOOKUP($C38,powerrank2017!$C$2:$I$69,4,FALSE))</f>
        <v>0.57677274559775038</v>
      </c>
      <c r="G38" s="7">
        <f>SUM($Z$24*VLOOKUP($C38,'fte2017'!$D$2:$K$69,6,FALSE),$AA$24*VLOOKUP($C38,kenpom2017!$C$2:$I$69,5,FALSE),$AC$24*VLOOKUP($C38,chalk2017!$C$2:$I$69,5,FALSE),$AB$24*VLOOKUP($C38,powerrank2017!$C$2:$I$69,5,FALSE))</f>
        <v>0.49955160527024423</v>
      </c>
      <c r="H38" s="7">
        <f>SUM($Z$25*VLOOKUP($C38,'fte2017'!$D$2:$K$69,7,FALSE),$AA$25*VLOOKUP($C38,kenpom2017!$C$2:$I$69,6,FALSE),$AC$25*VLOOKUP($C38,chalk2017!$C$2:$I$69,6,FALSE),$AB$25*VLOOKUP($C38,powerrank2017!$C$2:$I$69,6,FALSE))</f>
        <v>0.34415747605335134</v>
      </c>
      <c r="I38" s="7">
        <f>SUM($Z$26*VLOOKUP($C38,'fte2017'!$D$2:$K$69,8,FALSE),$AA$26*VLOOKUP($C38,kenpom2017!$C$2:$I$69,7,FALSE),$AC$26*VLOOKUP($C38,chalk2017!$C$2:$I$69,7,FALSE),$AB$26*VLOOKUP($C38,powerrank2017!$C$2:$I$69,7,FALSE))</f>
        <v>7.2344549534956032E-2</v>
      </c>
      <c r="J38" s="8">
        <f>SUM(D38:I38)*A38</f>
        <v>3.235159850880462</v>
      </c>
      <c r="U38" s="9" t="s">
        <v>132</v>
      </c>
      <c r="V38">
        <f>1.8/4</f>
        <v>0.45</v>
      </c>
    </row>
    <row r="39" spans="1:26" x14ac:dyDescent="0.2">
      <c r="A39">
        <v>12</v>
      </c>
      <c r="B39" t="s">
        <v>22</v>
      </c>
      <c r="C39" t="s">
        <v>67</v>
      </c>
      <c r="D39" s="7">
        <f>SUM($Z$21*VLOOKUP($C39,'fte2017'!$D$2:$K$69,3,FALSE),$AA$21*VLOOKUP($C39,kenpom2017!$C$2:$I$69,2,FALSE),$AC$21*VLOOKUP($C39,chalk2017!$C$2:$I$69,2,FALSE),$AB$21*VLOOKUP($C39,powerrank2017!$C$2:$I$69,2,FALSE))</f>
        <v>0.19830743901530379</v>
      </c>
      <c r="E39" s="7">
        <f>SUM($Z$22*VLOOKUP($C39,'fte2017'!$D$2:$K$69,4,FALSE),$AA$22*VLOOKUP($C39,kenpom2017!$C$2:$I$69,3,FALSE),$AC$22*VLOOKUP($C39,chalk2017!$C$2:$I$69,3,FALSE),$AB$22*VLOOKUP($C39,powerrank2017!$C$2:$I$69,3,FALSE))</f>
        <v>5.1041363390373913E-2</v>
      </c>
      <c r="F39" s="7">
        <f>SUM($Z$23*VLOOKUP($C39,'fte2017'!$D$2:$K$69,5,FALSE),$AA$23*VLOOKUP($C39,kenpom2017!$C$2:$I$69,4,FALSE),$AC$23*VLOOKUP($C39,chalk2017!$C$2:$I$69,4,FALSE),$AB$23*VLOOKUP($C39,powerrank2017!$C$2:$I$69,4,FALSE))</f>
        <v>9.446553332049008E-3</v>
      </c>
      <c r="G39" s="7">
        <f>SUM($Z$24*VLOOKUP($C39,'fte2017'!$D$2:$K$69,6,FALSE),$AA$24*VLOOKUP($C39,kenpom2017!$C$2:$I$69,5,FALSE),$AC$24*VLOOKUP($C39,chalk2017!$C$2:$I$69,5,FALSE),$AB$24*VLOOKUP($C39,powerrank2017!$C$2:$I$69,5,FALSE))</f>
        <v>2.1265656675010709E-3</v>
      </c>
      <c r="H39" s="7">
        <f>SUM($Z$25*VLOOKUP($C39,'fte2017'!$D$2:$K$69,7,FALSE),$AA$25*VLOOKUP($C39,kenpom2017!$C$2:$I$69,6,FALSE),$AC$25*VLOOKUP($C39,chalk2017!$C$2:$I$69,6,FALSE),$AB$25*VLOOKUP($C39,powerrank2017!$C$2:$I$69,6,FALSE))</f>
        <v>3.8661700076093934E-4</v>
      </c>
      <c r="I39" s="7">
        <f>SUM($Z$26*VLOOKUP($C39,'fte2017'!$D$2:$K$69,8,FALSE),$AA$26*VLOOKUP($C39,kenpom2017!$C$2:$I$69,7,FALSE),$AC$26*VLOOKUP($C39,chalk2017!$C$2:$I$69,7,FALSE),$AB$26*VLOOKUP($C39,powerrank2017!$C$2:$I$69,7,FALSE))</f>
        <v>9.0578209608796289E-5</v>
      </c>
      <c r="J39" s="8">
        <f>SUM(D39:I39)*A39</f>
        <v>3.1367893993871698</v>
      </c>
      <c r="K39" t="s">
        <v>104</v>
      </c>
    </row>
    <row r="40" spans="1:26" x14ac:dyDescent="0.2">
      <c r="A40">
        <v>11</v>
      </c>
      <c r="B40" t="s">
        <v>24</v>
      </c>
      <c r="C40" s="6" t="s">
        <v>52</v>
      </c>
      <c r="D40" s="7">
        <f>SUM($Z$21*VLOOKUP($C40,'fte2017'!$D$2:$K$69,3,FALSE),$AA$21*VLOOKUP($C40,kenpom2017!$C$2:$I$69,2,FALSE),$AC$21*VLOOKUP($C40,chalk2017!$C$2:$I$69,2,FALSE),$AB$21*VLOOKUP($C40,powerrank2017!$C$2:$I$69,2,FALSE))</f>
        <v>0.1924144981972003</v>
      </c>
      <c r="E40" s="7">
        <f>SUM($Z$22*VLOOKUP($C40,'fte2017'!$D$2:$K$69,4,FALSE),$AA$22*VLOOKUP($C40,kenpom2017!$C$2:$I$69,3,FALSE),$AC$22*VLOOKUP($C40,chalk2017!$C$2:$I$69,3,FALSE),$AB$22*VLOOKUP($C40,powerrank2017!$C$2:$I$69,3,FALSE))</f>
        <v>6.8007172515988479E-2</v>
      </c>
      <c r="F40" s="7">
        <f>SUM($Z$23*VLOOKUP($C40,'fte2017'!$D$2:$K$69,5,FALSE),$AA$23*VLOOKUP($C40,kenpom2017!$C$2:$I$69,4,FALSE),$AC$23*VLOOKUP($C40,chalk2017!$C$2:$I$69,4,FALSE),$AB$23*VLOOKUP($C40,powerrank2017!$C$2:$I$69,4,FALSE))</f>
        <v>1.6007945489838193E-2</v>
      </c>
      <c r="G40" s="7">
        <f>SUM($Z$24*VLOOKUP($C40,'fte2017'!$D$2:$K$69,6,FALSE),$AA$24*VLOOKUP($C40,kenpom2017!$C$2:$I$69,5,FALSE),$AC$24*VLOOKUP($C40,chalk2017!$C$2:$I$69,5,FALSE),$AB$24*VLOOKUP($C40,powerrank2017!$C$2:$I$69,5,FALSE))</f>
        <v>4.6341182268988491E-3</v>
      </c>
      <c r="H40" s="7">
        <f>SUM($Z$25*VLOOKUP($C40,'fte2017'!$D$2:$K$69,7,FALSE),$AA$25*VLOOKUP($C40,kenpom2017!$C$2:$I$69,6,FALSE),$AC$25*VLOOKUP($C40,chalk2017!$C$2:$I$69,6,FALSE),$AB$25*VLOOKUP($C40,powerrank2017!$C$2:$I$69,6,FALSE))</f>
        <v>1.7878293374542099E-3</v>
      </c>
      <c r="I40" s="7">
        <f>SUM($Z$26*VLOOKUP($C40,'fte2017'!$D$2:$K$69,8,FALSE),$AA$26*VLOOKUP($C40,kenpom2017!$C$2:$I$69,7,FALSE),$AC$26*VLOOKUP($C40,chalk2017!$C$2:$I$69,7,FALSE),$AB$26*VLOOKUP($C40,powerrank2017!$C$2:$I$69,7,FALSE))</f>
        <v>4.58189533462963E-4</v>
      </c>
      <c r="J40" s="8">
        <f>SUM(D40:I40)*A40</f>
        <v>3.1164072863092724</v>
      </c>
      <c r="R40">
        <v>0</v>
      </c>
      <c r="S40">
        <v>0</v>
      </c>
      <c r="T40">
        <f>S40/29</f>
        <v>0</v>
      </c>
      <c r="U40">
        <f>SUMPRODUCT(R40:R44,T40:T44)/8</f>
        <v>0.34482758620689652</v>
      </c>
      <c r="W40">
        <f>24/31</f>
        <v>0.77419354838709675</v>
      </c>
      <c r="X40">
        <f>15/31</f>
        <v>0.4838709677419355</v>
      </c>
    </row>
    <row r="41" spans="1:26" x14ac:dyDescent="0.2">
      <c r="A41">
        <v>8</v>
      </c>
      <c r="B41" t="s">
        <v>20</v>
      </c>
      <c r="C41" t="s">
        <v>63</v>
      </c>
      <c r="D41" s="7">
        <f>SUM($Z$21*VLOOKUP($C41,'fte2017'!$D$2:$K$69,3,FALSE),$AA$21*VLOOKUP($C41,kenpom2017!$C$2:$I$69,2,FALSE),$AC$21*VLOOKUP($C41,chalk2017!$C$2:$I$69,2,FALSE),$AB$21*VLOOKUP($C41,powerrank2017!$C$2:$I$69,2,FALSE))</f>
        <v>0.31401930069337436</v>
      </c>
      <c r="E41" s="7">
        <f>SUM($Z$22*VLOOKUP($C41,'fte2017'!$D$2:$K$69,4,FALSE),$AA$22*VLOOKUP($C41,kenpom2017!$C$2:$I$69,3,FALSE),$AC$22*VLOOKUP($C41,chalk2017!$C$2:$I$69,3,FALSE),$AB$22*VLOOKUP($C41,powerrank2017!$C$2:$I$69,3,FALSE))</f>
        <v>4.7028898978699898E-2</v>
      </c>
      <c r="F41" s="7">
        <f>SUM($Z$23*VLOOKUP($C41,'fte2017'!$D$2:$K$69,5,FALSE),$AA$23*VLOOKUP($C41,kenpom2017!$C$2:$I$69,4,FALSE),$AC$23*VLOOKUP($C41,chalk2017!$C$2:$I$69,4,FALSE),$AB$23*VLOOKUP($C41,powerrank2017!$C$2:$I$69,4,FALSE))</f>
        <v>1.2444534089186735E-2</v>
      </c>
      <c r="G41" s="7">
        <f>SUM($Z$24*VLOOKUP($C41,'fte2017'!$D$2:$K$69,6,FALSE),$AA$24*VLOOKUP($C41,kenpom2017!$C$2:$I$69,5,FALSE),$AC$24*VLOOKUP($C41,chalk2017!$C$2:$I$69,5,FALSE),$AB$24*VLOOKUP($C41,powerrank2017!$C$2:$I$69,5,FALSE))</f>
        <v>3.6747911128999135E-3</v>
      </c>
      <c r="H41" s="7">
        <f>SUM($Z$25*VLOOKUP($C41,'fte2017'!$D$2:$K$69,7,FALSE),$AA$25*VLOOKUP($C41,kenpom2017!$C$2:$I$69,6,FALSE),$AC$25*VLOOKUP($C41,chalk2017!$C$2:$I$69,6,FALSE),$AB$25*VLOOKUP($C41,powerrank2017!$C$2:$I$69,6,FALSE))</f>
        <v>9.6661049802187864E-4</v>
      </c>
      <c r="I41" s="7">
        <f>SUM($Z$26*VLOOKUP($C41,'fte2017'!$D$2:$K$69,8,FALSE),$AA$26*VLOOKUP($C41,kenpom2017!$C$2:$I$69,7,FALSE),$AC$26*VLOOKUP($C41,chalk2017!$C$2:$I$69,7,FALSE),$AB$26*VLOOKUP($C41,powerrank2017!$C$2:$I$69,7,FALSE))</f>
        <v>3.2870806782175931E-4</v>
      </c>
      <c r="J41" s="8">
        <f>SUM(D41:I41)*A41</f>
        <v>3.0277027475200362</v>
      </c>
      <c r="K41" t="s">
        <v>101</v>
      </c>
      <c r="R41">
        <v>1</v>
      </c>
      <c r="S41">
        <v>3</v>
      </c>
      <c r="T41">
        <f t="shared" ref="T41:T44" si="7">S41/29</f>
        <v>0.10344827586206896</v>
      </c>
    </row>
    <row r="42" spans="1:26" x14ac:dyDescent="0.2">
      <c r="A42">
        <v>6</v>
      </c>
      <c r="B42" t="s">
        <v>20</v>
      </c>
      <c r="C42" t="s">
        <v>62</v>
      </c>
      <c r="D42" s="7">
        <f>SUM($Z$21*VLOOKUP($C42,'fte2017'!$D$2:$K$69,3,FALSE),$AA$21*VLOOKUP($C42,kenpom2017!$C$2:$I$69,2,FALSE),$AC$21*VLOOKUP($C42,chalk2017!$C$2:$I$69,2,FALSE),$AB$21*VLOOKUP($C42,powerrank2017!$C$2:$I$69,2,FALSE))</f>
        <v>0.3319805094630584</v>
      </c>
      <c r="E42" s="7">
        <f>SUM($Z$22*VLOOKUP($C42,'fte2017'!$D$2:$K$69,4,FALSE),$AA$22*VLOOKUP($C42,kenpom2017!$C$2:$I$69,3,FALSE),$AC$22*VLOOKUP($C42,chalk2017!$C$2:$I$69,3,FALSE),$AB$22*VLOOKUP($C42,powerrank2017!$C$2:$I$69,3,FALSE))</f>
        <v>0.11682917711865004</v>
      </c>
      <c r="F42" s="7">
        <f>SUM($Z$23*VLOOKUP($C42,'fte2017'!$D$2:$K$69,5,FALSE),$AA$23*VLOOKUP($C42,kenpom2017!$C$2:$I$69,4,FALSE),$AC$23*VLOOKUP($C42,chalk2017!$C$2:$I$69,4,FALSE),$AB$23*VLOOKUP($C42,powerrank2017!$C$2:$I$69,4,FALSE))</f>
        <v>2.7670113249283059E-2</v>
      </c>
      <c r="G42" s="7">
        <f>SUM($Z$24*VLOOKUP($C42,'fte2017'!$D$2:$K$69,6,FALSE),$AA$24*VLOOKUP($C42,kenpom2017!$C$2:$I$69,5,FALSE),$AC$24*VLOOKUP($C42,chalk2017!$C$2:$I$69,5,FALSE),$AB$24*VLOOKUP($C42,powerrank2017!$C$2:$I$69,5,FALSE))</f>
        <v>4.4569280530233676E-3</v>
      </c>
      <c r="H42" s="7">
        <f>SUM($Z$25*VLOOKUP($C42,'fte2017'!$D$2:$K$69,7,FALSE),$AA$25*VLOOKUP($C42,kenpom2017!$C$2:$I$69,6,FALSE),$AC$25*VLOOKUP($C42,chalk2017!$C$2:$I$69,6,FALSE),$AB$25*VLOOKUP($C42,powerrank2017!$C$2:$I$69,6,FALSE))</f>
        <v>1.2500585273919973E-3</v>
      </c>
      <c r="I42" s="7">
        <f>SUM($Z$26*VLOOKUP($C42,'fte2017'!$D$2:$K$69,8,FALSE),$AA$26*VLOOKUP($C42,kenpom2017!$C$2:$I$69,7,FALSE),$AC$26*VLOOKUP($C42,chalk2017!$C$2:$I$69,7,FALSE),$AB$26*VLOOKUP($C42,powerrank2017!$C$2:$I$69,7,FALSE))</f>
        <v>3.3484817080092592E-4</v>
      </c>
      <c r="J42" s="8">
        <f>SUM(D42:I42)*A42</f>
        <v>2.8951298074932468</v>
      </c>
      <c r="K42" t="s">
        <v>106</v>
      </c>
      <c r="R42">
        <v>2</v>
      </c>
      <c r="S42">
        <v>8</v>
      </c>
      <c r="T42">
        <f t="shared" si="7"/>
        <v>0.27586206896551724</v>
      </c>
      <c r="Z42">
        <f>52/(31*4)</f>
        <v>0.41935483870967744</v>
      </c>
    </row>
    <row r="43" spans="1:26" x14ac:dyDescent="0.2">
      <c r="A43">
        <v>2</v>
      </c>
      <c r="B43" t="s">
        <v>20</v>
      </c>
      <c r="C43" t="s">
        <v>28</v>
      </c>
      <c r="D43" s="7">
        <f>SUM($Z$21*VLOOKUP($C43,'fte2017'!$D$2:$K$69,3,FALSE),$AA$21*VLOOKUP($C43,kenpom2017!$C$2:$I$69,2,FALSE),$AC$21*VLOOKUP($C43,chalk2017!$C$2:$I$69,2,FALSE),$AB$21*VLOOKUP($C43,powerrank2017!$C$2:$I$69,2,FALSE))</f>
        <v>0.62785041270088982</v>
      </c>
      <c r="E43" s="7">
        <f>SUM($Z$22*VLOOKUP($C43,'fte2017'!$D$2:$K$69,4,FALSE),$AA$22*VLOOKUP($C43,kenpom2017!$C$2:$I$69,3,FALSE),$AC$22*VLOOKUP($C43,chalk2017!$C$2:$I$69,3,FALSE),$AB$22*VLOOKUP($C43,powerrank2017!$C$2:$I$69,3,FALSE))</f>
        <v>0.35236368871590407</v>
      </c>
      <c r="F43" s="7">
        <f>SUM($Z$23*VLOOKUP($C43,'fte2017'!$D$2:$K$69,5,FALSE),$AA$23*VLOOKUP($C43,kenpom2017!$C$2:$I$69,4,FALSE),$AC$23*VLOOKUP($C43,chalk2017!$C$2:$I$69,4,FALSE),$AB$23*VLOOKUP($C43,powerrank2017!$C$2:$I$69,4,FALSE))</f>
        <v>0.35099207085759865</v>
      </c>
      <c r="G43" s="7">
        <f>SUM($Z$24*VLOOKUP($C43,'fte2017'!$D$2:$K$69,6,FALSE),$AA$24*VLOOKUP($C43,kenpom2017!$C$2:$I$69,5,FALSE),$AC$24*VLOOKUP($C43,chalk2017!$C$2:$I$69,5,FALSE),$AB$24*VLOOKUP($C43,powerrank2017!$C$2:$I$69,5,FALSE))</f>
        <v>5.4241994428100335E-2</v>
      </c>
      <c r="H43" s="7">
        <f>SUM($Z$25*VLOOKUP($C43,'fte2017'!$D$2:$K$69,7,FALSE),$AA$25*VLOOKUP($C43,kenpom2017!$C$2:$I$69,6,FALSE),$AC$25*VLOOKUP($C43,chalk2017!$C$2:$I$69,6,FALSE),$AB$25*VLOOKUP($C43,powerrank2017!$C$2:$I$69,6,FALSE))</f>
        <v>2.8080648138115595E-2</v>
      </c>
      <c r="I43" s="7">
        <f>SUM($Z$26*VLOOKUP($C43,'fte2017'!$D$2:$K$69,8,FALSE),$AA$26*VLOOKUP($C43,kenpom2017!$C$2:$I$69,7,FALSE),$AC$26*VLOOKUP($C43,chalk2017!$C$2:$I$69,7,FALSE),$AB$26*VLOOKUP($C43,powerrank2017!$C$2:$I$69,7,FALSE))</f>
        <v>1.4960667621722224E-2</v>
      </c>
      <c r="J43" s="8">
        <f>SUM(D43:I43)*A43</f>
        <v>2.8569789649246609</v>
      </c>
      <c r="R43">
        <v>3</v>
      </c>
      <c r="S43">
        <v>11</v>
      </c>
      <c r="T43">
        <f t="shared" si="7"/>
        <v>0.37931034482758619</v>
      </c>
      <c r="Z43">
        <f>(89+60)/(31*8)</f>
        <v>0.60080645161290325</v>
      </c>
    </row>
    <row r="44" spans="1:26" x14ac:dyDescent="0.2">
      <c r="A44">
        <v>12</v>
      </c>
      <c r="B44" t="s">
        <v>20</v>
      </c>
      <c r="C44" t="s">
        <v>68</v>
      </c>
      <c r="D44" s="7">
        <f>SUM($Z$21*VLOOKUP($C44,'fte2017'!$D$2:$K$69,3,FALSE),$AA$21*VLOOKUP($C44,kenpom2017!$C$2:$I$69,2,FALSE),$AC$21*VLOOKUP($C44,chalk2017!$C$2:$I$69,2,FALSE),$AB$21*VLOOKUP($C44,powerrank2017!$C$2:$I$69,2,FALSE))</f>
        <v>0.18654817425730613</v>
      </c>
      <c r="E44" s="7">
        <f>SUM($Z$22*VLOOKUP($C44,'fte2017'!$D$2:$K$69,4,FALSE),$AA$22*VLOOKUP($C44,kenpom2017!$C$2:$I$69,3,FALSE),$AC$22*VLOOKUP($C44,chalk2017!$C$2:$I$69,3,FALSE),$AB$22*VLOOKUP($C44,powerrank2017!$C$2:$I$69,3,FALSE))</f>
        <v>4.1871688037522524E-2</v>
      </c>
      <c r="F44" s="7">
        <f>SUM($Z$23*VLOOKUP($C44,'fte2017'!$D$2:$K$69,5,FALSE),$AA$23*VLOOKUP($C44,kenpom2017!$C$2:$I$69,4,FALSE),$AC$23*VLOOKUP($C44,chalk2017!$C$2:$I$69,4,FALSE),$AB$23*VLOOKUP($C44,powerrank2017!$C$2:$I$69,4,FALSE))</f>
        <v>5.1991622267900297E-3</v>
      </c>
      <c r="G44" s="7">
        <f>SUM($Z$24*VLOOKUP($C44,'fte2017'!$D$2:$K$69,6,FALSE),$AA$24*VLOOKUP($C44,kenpom2017!$C$2:$I$69,5,FALSE),$AC$24*VLOOKUP($C44,chalk2017!$C$2:$I$69,5,FALSE),$AB$24*VLOOKUP($C44,powerrank2017!$C$2:$I$69,5,FALSE))</f>
        <v>1.3527564748672483E-3</v>
      </c>
      <c r="H44" s="7">
        <f>SUM($Z$25*VLOOKUP($C44,'fte2017'!$D$2:$K$69,7,FALSE),$AA$25*VLOOKUP($C44,kenpom2017!$C$2:$I$69,6,FALSE),$AC$25*VLOOKUP($C44,chalk2017!$C$2:$I$69,6,FALSE),$AB$25*VLOOKUP($C44,powerrank2017!$C$2:$I$69,6,FALSE))</f>
        <v>3.2666984055092544E-4</v>
      </c>
      <c r="I44" s="7">
        <f>SUM($Z$26*VLOOKUP($C44,'fte2017'!$D$2:$K$69,8,FALSE),$AA$26*VLOOKUP($C44,kenpom2017!$C$2:$I$69,7,FALSE),$AC$26*VLOOKUP($C44,chalk2017!$C$2:$I$69,7,FALSE),$AB$26*VLOOKUP($C44,powerrank2017!$C$2:$I$69,7,FALSE))</f>
        <v>6.8695651622685192E-5</v>
      </c>
      <c r="J44" s="8">
        <f>SUM(D44:I44)*A44</f>
        <v>2.8244057578639148</v>
      </c>
      <c r="K44" t="s">
        <v>107</v>
      </c>
      <c r="R44">
        <v>4</v>
      </c>
      <c r="S44">
        <v>7</v>
      </c>
      <c r="T44">
        <f t="shared" si="7"/>
        <v>0.2413793103448276</v>
      </c>
    </row>
    <row r="45" spans="1:26" x14ac:dyDescent="0.2">
      <c r="A45">
        <v>11</v>
      </c>
      <c r="B45" t="s">
        <v>24</v>
      </c>
      <c r="C45" s="6" t="s">
        <v>58</v>
      </c>
      <c r="D45" s="7">
        <f>SUM($Z$21*VLOOKUP($C45,'fte2017'!$D$2:$K$69,3,FALSE),$AA$21*VLOOKUP($C45,kenpom2017!$C$2:$I$69,2,FALSE),$AC$21*VLOOKUP($C45,chalk2017!$C$2:$I$69,2,FALSE),$AB$21*VLOOKUP($C45,powerrank2017!$C$2:$I$69,2,FALSE))</f>
        <v>0.17397577835699723</v>
      </c>
      <c r="E45" s="7">
        <f>SUM($Z$22*VLOOKUP($C45,'fte2017'!$D$2:$K$69,4,FALSE),$AA$22*VLOOKUP($C45,kenpom2017!$C$2:$I$69,3,FALSE),$AC$22*VLOOKUP($C45,chalk2017!$C$2:$I$69,3,FALSE),$AB$22*VLOOKUP($C45,powerrank2017!$C$2:$I$69,3,FALSE))</f>
        <v>5.7410221597361449E-2</v>
      </c>
      <c r="F45" s="7">
        <f>SUM($Z$23*VLOOKUP($C45,'fte2017'!$D$2:$K$69,5,FALSE),$AA$23*VLOOKUP($C45,kenpom2017!$C$2:$I$69,4,FALSE),$AC$23*VLOOKUP($C45,chalk2017!$C$2:$I$69,4,FALSE),$AB$23*VLOOKUP($C45,powerrank2017!$C$2:$I$69,4,FALSE))</f>
        <v>1.2766257158803548E-2</v>
      </c>
      <c r="G45" s="7">
        <f>SUM($Z$24*VLOOKUP($C45,'fte2017'!$D$2:$K$69,6,FALSE),$AA$24*VLOOKUP($C45,kenpom2017!$C$2:$I$69,5,FALSE),$AC$24*VLOOKUP($C45,chalk2017!$C$2:$I$69,5,FALSE),$AB$24*VLOOKUP($C45,powerrank2017!$C$2:$I$69,5,FALSE))</f>
        <v>3.5900973500259366E-3</v>
      </c>
      <c r="H45" s="7">
        <f>SUM($Z$25*VLOOKUP($C45,'fte2017'!$D$2:$K$69,7,FALSE),$AA$25*VLOOKUP($C45,kenpom2017!$C$2:$I$69,6,FALSE),$AC$25*VLOOKUP($C45,chalk2017!$C$2:$I$69,6,FALSE),$AB$25*VLOOKUP($C45,powerrank2017!$C$2:$I$69,6,FALSE))</f>
        <v>1.3810046121925752E-3</v>
      </c>
      <c r="I45" s="7">
        <f>SUM($Z$26*VLOOKUP($C45,'fte2017'!$D$2:$K$69,8,FALSE),$AA$26*VLOOKUP($C45,kenpom2017!$C$2:$I$69,7,FALSE),$AC$26*VLOOKUP($C45,chalk2017!$C$2:$I$69,7,FALSE),$AB$26*VLOOKUP($C45,powerrank2017!$C$2:$I$69,7,FALSE))</f>
        <v>3.3049641984027778E-4</v>
      </c>
      <c r="J45" s="8">
        <f>SUM(D45:I45)*A45</f>
        <v>2.7439924104474311</v>
      </c>
      <c r="K45" t="s">
        <v>106</v>
      </c>
    </row>
    <row r="46" spans="1:26" x14ac:dyDescent="0.2">
      <c r="A46">
        <v>13</v>
      </c>
      <c r="B46" t="s">
        <v>22</v>
      </c>
      <c r="C46" t="s">
        <v>71</v>
      </c>
      <c r="D46" s="7">
        <f>SUM($Z$21*VLOOKUP($C46,'fte2017'!$D$2:$K$69,3,FALSE),$AA$21*VLOOKUP($C46,kenpom2017!$C$2:$I$69,2,FALSE),$AC$21*VLOOKUP($C46,chalk2017!$C$2:$I$69,2,FALSE),$AB$21*VLOOKUP($C46,powerrank2017!$C$2:$I$69,2,FALSE))</f>
        <v>0.15842868096857937</v>
      </c>
      <c r="E46" s="7">
        <f>SUM($Z$22*VLOOKUP($C46,'fte2017'!$D$2:$K$69,4,FALSE),$AA$22*VLOOKUP($C46,kenpom2017!$C$2:$I$69,3,FALSE),$AC$22*VLOOKUP($C46,chalk2017!$C$2:$I$69,3,FALSE),$AB$22*VLOOKUP($C46,powerrank2017!$C$2:$I$69,3,FALSE))</f>
        <v>4.0740212889894531E-2</v>
      </c>
      <c r="F46" s="7">
        <f>SUM($Z$23*VLOOKUP($C46,'fte2017'!$D$2:$K$69,5,FALSE),$AA$23*VLOOKUP($C46,kenpom2017!$C$2:$I$69,4,FALSE),$AC$23*VLOOKUP($C46,chalk2017!$C$2:$I$69,4,FALSE),$AB$23*VLOOKUP($C46,powerrank2017!$C$2:$I$69,4,FALSE))</f>
        <v>7.1336745756539928E-3</v>
      </c>
      <c r="G46" s="7">
        <f>SUM($Z$24*VLOOKUP($C46,'fte2017'!$D$2:$K$69,6,FALSE),$AA$24*VLOOKUP($C46,kenpom2017!$C$2:$I$69,5,FALSE),$AC$24*VLOOKUP($C46,chalk2017!$C$2:$I$69,5,FALSE),$AB$24*VLOOKUP($C46,powerrank2017!$C$2:$I$69,5,FALSE))</f>
        <v>1.2442924371442519E-3</v>
      </c>
      <c r="H46" s="7">
        <f>SUM($Z$25*VLOOKUP($C46,'fte2017'!$D$2:$K$69,7,FALSE),$AA$25*VLOOKUP($C46,kenpom2017!$C$2:$I$69,6,FALSE),$AC$25*VLOOKUP($C46,chalk2017!$C$2:$I$69,6,FALSE),$AB$25*VLOOKUP($C46,powerrank2017!$C$2:$I$69,6,FALSE))</f>
        <v>3.0854794001267788E-4</v>
      </c>
      <c r="I46" s="7">
        <f>SUM($Z$26*VLOOKUP($C46,'fte2017'!$D$2:$K$69,8,FALSE),$AA$26*VLOOKUP($C46,kenpom2017!$C$2:$I$69,7,FALSE),$AC$26*VLOOKUP($C46,chalk2017!$C$2:$I$69,7,FALSE),$AB$26*VLOOKUP($C46,powerrank2017!$C$2:$I$69,7,FALSE))</f>
        <v>5.8744683539351848E-5</v>
      </c>
      <c r="J46" s="8">
        <f>SUM(D46:I46)*A46</f>
        <v>2.7028839954327144</v>
      </c>
      <c r="K46" t="s">
        <v>103</v>
      </c>
    </row>
    <row r="47" spans="1:26" x14ac:dyDescent="0.2">
      <c r="A47">
        <v>10</v>
      </c>
      <c r="B47" t="s">
        <v>20</v>
      </c>
      <c r="C47" t="s">
        <v>60</v>
      </c>
      <c r="D47" s="7">
        <f>SUM($Z$21*VLOOKUP($C47,'fte2017'!$D$2:$K$69,3,FALSE),$AA$21*VLOOKUP($C47,kenpom2017!$C$2:$I$69,2,FALSE),$AC$21*VLOOKUP($C47,chalk2017!$C$2:$I$69,2,FALSE),$AB$21*VLOOKUP($C47,powerrank2017!$C$2:$I$69,2,FALSE))</f>
        <v>0.18459924115618814</v>
      </c>
      <c r="E47" s="7">
        <f>SUM($Z$22*VLOOKUP($C47,'fte2017'!$D$2:$K$69,4,FALSE),$AA$22*VLOOKUP($C47,kenpom2017!$C$2:$I$69,3,FALSE),$AC$22*VLOOKUP($C47,chalk2017!$C$2:$I$69,3,FALSE),$AB$22*VLOOKUP($C47,powerrank2017!$C$2:$I$69,3,FALSE))</f>
        <v>5.890153896971044E-2</v>
      </c>
      <c r="F47" s="7">
        <f>SUM($Z$23*VLOOKUP($C47,'fte2017'!$D$2:$K$69,5,FALSE),$AA$23*VLOOKUP($C47,kenpom2017!$C$2:$I$69,4,FALSE),$AC$23*VLOOKUP($C47,chalk2017!$C$2:$I$69,4,FALSE),$AB$23*VLOOKUP($C47,powerrank2017!$C$2:$I$69,4,FALSE))</f>
        <v>2.0221174782424588E-2</v>
      </c>
      <c r="G47" s="7">
        <f>SUM($Z$24*VLOOKUP($C47,'fte2017'!$D$2:$K$69,6,FALSE),$AA$24*VLOOKUP($C47,kenpom2017!$C$2:$I$69,5,FALSE),$AC$24*VLOOKUP($C47,chalk2017!$C$2:$I$69,5,FALSE),$AB$24*VLOOKUP($C47,powerrank2017!$C$2:$I$69,5,FALSE))</f>
        <v>3.3166714817749179E-3</v>
      </c>
      <c r="H47" s="7">
        <f>SUM($Z$25*VLOOKUP($C47,'fte2017'!$D$2:$K$69,7,FALSE),$AA$25*VLOOKUP($C47,kenpom2017!$C$2:$I$69,6,FALSE),$AC$25*VLOOKUP($C47,chalk2017!$C$2:$I$69,6,FALSE),$AB$25*VLOOKUP($C47,powerrank2017!$C$2:$I$69,6,FALSE))</f>
        <v>1.0088082254961486E-3</v>
      </c>
      <c r="I47" s="7">
        <f>SUM($Z$26*VLOOKUP($C47,'fte2017'!$D$2:$K$69,8,FALSE),$AA$26*VLOOKUP($C47,kenpom2017!$C$2:$I$69,7,FALSE),$AC$26*VLOOKUP($C47,chalk2017!$C$2:$I$69,7,FALSE),$AB$26*VLOOKUP($C47,powerrank2017!$C$2:$I$69,7,FALSE))</f>
        <v>2.8200550493287036E-4</v>
      </c>
      <c r="J47" s="8">
        <f>SUM(D47:I47)*A47</f>
        <v>2.6832944012052709</v>
      </c>
    </row>
    <row r="48" spans="1:26" x14ac:dyDescent="0.2">
      <c r="A48">
        <v>7</v>
      </c>
      <c r="B48" t="s">
        <v>24</v>
      </c>
      <c r="C48" t="s">
        <v>55</v>
      </c>
      <c r="D48" s="7">
        <f>SUM($Z$21*VLOOKUP($C48,'fte2017'!$D$2:$K$69,3,FALSE),$AA$21*VLOOKUP($C48,kenpom2017!$C$2:$I$69,2,FALSE),$AC$21*VLOOKUP($C48,chalk2017!$C$2:$I$69,2,FALSE),$AB$21*VLOOKUP($C48,powerrank2017!$C$2:$I$69,2,FALSE))</f>
        <v>0.26441849097368952</v>
      </c>
      <c r="E48" s="7">
        <f>SUM($Z$22*VLOOKUP($C48,'fte2017'!$D$2:$K$69,4,FALSE),$AA$22*VLOOKUP($C48,kenpom2017!$C$2:$I$69,3,FALSE),$AC$22*VLOOKUP($C48,chalk2017!$C$2:$I$69,3,FALSE),$AB$22*VLOOKUP($C48,powerrank2017!$C$2:$I$69,3,FALSE))</f>
        <v>5.8389725252847545E-2</v>
      </c>
      <c r="F48" s="7">
        <f>SUM($Z$23*VLOOKUP($C48,'fte2017'!$D$2:$K$69,5,FALSE),$AA$23*VLOOKUP($C48,kenpom2017!$C$2:$I$69,4,FALSE),$AC$23*VLOOKUP($C48,chalk2017!$C$2:$I$69,4,FALSE),$AB$23*VLOOKUP($C48,powerrank2017!$C$2:$I$69,4,FALSE))</f>
        <v>1.7151253222267005E-2</v>
      </c>
      <c r="G48" s="7">
        <f>SUM($Z$24*VLOOKUP($C48,'fte2017'!$D$2:$K$69,6,FALSE),$AA$24*VLOOKUP($C48,kenpom2017!$C$2:$I$69,5,FALSE),$AC$24*VLOOKUP($C48,chalk2017!$C$2:$I$69,5,FALSE),$AB$24*VLOOKUP($C48,powerrank2017!$C$2:$I$69,5,FALSE))</f>
        <v>4.594072232715264E-3</v>
      </c>
      <c r="H48" s="7">
        <f>SUM($Z$25*VLOOKUP($C48,'fte2017'!$D$2:$K$69,7,FALSE),$AA$25*VLOOKUP($C48,kenpom2017!$C$2:$I$69,6,FALSE),$AC$25*VLOOKUP($C48,chalk2017!$C$2:$I$69,6,FALSE),$AB$25*VLOOKUP($C48,powerrank2017!$C$2:$I$69,6,FALSE))</f>
        <v>1.6179695892530757E-3</v>
      </c>
      <c r="I48" s="7">
        <f>SUM($Z$26*VLOOKUP($C48,'fte2017'!$D$2:$K$69,8,FALSE),$AA$26*VLOOKUP($C48,kenpom2017!$C$2:$I$69,7,FALSE),$AC$26*VLOOKUP($C48,chalk2017!$C$2:$I$69,7,FALSE),$AB$26*VLOOKUP($C48,powerrank2017!$C$2:$I$69,7,FALSE))</f>
        <v>3.4314090632870374E-4</v>
      </c>
      <c r="J48" s="8">
        <f>SUM(D48:I48)*A48</f>
        <v>2.4256025652397075</v>
      </c>
    </row>
    <row r="49" spans="1:11" x14ac:dyDescent="0.2">
      <c r="A49">
        <v>9</v>
      </c>
      <c r="B49" t="s">
        <v>18</v>
      </c>
      <c r="C49" t="s">
        <v>70</v>
      </c>
      <c r="D49" s="7">
        <f>SUM($Z$21*VLOOKUP($C49,'fte2017'!$D$2:$K$69,3,FALSE),$AA$21*VLOOKUP($C49,kenpom2017!$C$2:$I$69,2,FALSE),$AC$21*VLOOKUP($C49,chalk2017!$C$2:$I$69,2,FALSE),$AB$21*VLOOKUP($C49,powerrank2017!$C$2:$I$69,2,FALSE))</f>
        <v>0.18205930257716113</v>
      </c>
      <c r="E49" s="7">
        <f>SUM($Z$22*VLOOKUP($C49,'fte2017'!$D$2:$K$69,4,FALSE),$AA$22*VLOOKUP($C49,kenpom2017!$C$2:$I$69,3,FALSE),$AC$22*VLOOKUP($C49,chalk2017!$C$2:$I$69,3,FALSE),$AB$22*VLOOKUP($C49,powerrank2017!$C$2:$I$69,3,FALSE))</f>
        <v>2.857306928039885E-2</v>
      </c>
      <c r="F49" s="7">
        <f>SUM($Z$23*VLOOKUP($C49,'fte2017'!$D$2:$K$69,5,FALSE),$AA$23*VLOOKUP($C49,kenpom2017!$C$2:$I$69,4,FALSE),$AC$23*VLOOKUP($C49,chalk2017!$C$2:$I$69,4,FALSE),$AB$23*VLOOKUP($C49,powerrank2017!$C$2:$I$69,4,FALSE))</f>
        <v>6.4876154885433034E-3</v>
      </c>
      <c r="G49" s="7">
        <f>SUM($Z$24*VLOOKUP($C49,'fte2017'!$D$2:$K$69,6,FALSE),$AA$24*VLOOKUP($C49,kenpom2017!$C$2:$I$69,5,FALSE),$AC$24*VLOOKUP($C49,chalk2017!$C$2:$I$69,5,FALSE),$AB$24*VLOOKUP($C49,powerrank2017!$C$2:$I$69,5,FALSE))</f>
        <v>1.7275087930749705E-3</v>
      </c>
      <c r="H49" s="7">
        <f>SUM($Z$25*VLOOKUP($C49,'fte2017'!$D$2:$K$69,7,FALSE),$AA$25*VLOOKUP($C49,kenpom2017!$C$2:$I$69,6,FALSE),$AC$25*VLOOKUP($C49,chalk2017!$C$2:$I$69,6,FALSE),$AB$25*VLOOKUP($C49,powerrank2017!$C$2:$I$69,6,FALSE))</f>
        <v>3.0588428348764311E-4</v>
      </c>
      <c r="I49" s="7">
        <f>SUM($Z$26*VLOOKUP($C49,'fte2017'!$D$2:$K$69,8,FALSE),$AA$26*VLOOKUP($C49,kenpom2017!$C$2:$I$69,7,FALSE),$AC$26*VLOOKUP($C49,chalk2017!$C$2:$I$69,7,FALSE),$AB$26*VLOOKUP($C49,powerrank2017!$C$2:$I$69,7,FALSE))</f>
        <v>1.0420408155787037E-4</v>
      </c>
      <c r="J49" s="8">
        <f>SUM(D49:I49)*A49</f>
        <v>1.973318260538014</v>
      </c>
    </row>
    <row r="50" spans="1:11" x14ac:dyDescent="0.2">
      <c r="A50">
        <v>12</v>
      </c>
      <c r="B50" t="s">
        <v>18</v>
      </c>
      <c r="C50" t="s">
        <v>69</v>
      </c>
      <c r="D50" s="7">
        <f>SUM($Z$21*VLOOKUP($C50,'fte2017'!$D$2:$K$69,3,FALSE),$AA$21*VLOOKUP($C50,kenpom2017!$C$2:$I$69,2,FALSE),$AC$21*VLOOKUP($C50,chalk2017!$C$2:$I$69,2,FALSE),$AB$21*VLOOKUP($C50,powerrank2017!$C$2:$I$69,2,FALSE))</f>
        <v>0.12368090550064366</v>
      </c>
      <c r="E50" s="7">
        <f>SUM($Z$22*VLOOKUP($C50,'fte2017'!$D$2:$K$69,4,FALSE),$AA$22*VLOOKUP($C50,kenpom2017!$C$2:$I$69,3,FALSE),$AC$22*VLOOKUP($C50,chalk2017!$C$2:$I$69,3,FALSE),$AB$22*VLOOKUP($C50,powerrank2017!$C$2:$I$69,3,FALSE))</f>
        <v>3.1615978064414185E-2</v>
      </c>
      <c r="F50" s="7">
        <f>SUM($Z$23*VLOOKUP($C50,'fte2017'!$D$2:$K$69,5,FALSE),$AA$23*VLOOKUP($C50,kenpom2017!$C$2:$I$69,4,FALSE),$AC$23*VLOOKUP($C50,chalk2017!$C$2:$I$69,4,FALSE),$AB$23*VLOOKUP($C50,powerrank2017!$C$2:$I$69,4,FALSE))</f>
        <v>4.2948727244102244E-3</v>
      </c>
      <c r="G50" s="7">
        <f>SUM($Z$24*VLOOKUP($C50,'fte2017'!$D$2:$K$69,6,FALSE),$AA$24*VLOOKUP($C50,kenpom2017!$C$2:$I$69,5,FALSE),$AC$24*VLOOKUP($C50,chalk2017!$C$2:$I$69,5,FALSE),$AB$24*VLOOKUP($C50,powerrank2017!$C$2:$I$69,5,FALSE))</f>
        <v>7.865868202602674E-4</v>
      </c>
      <c r="H50" s="7">
        <f>SUM($Z$25*VLOOKUP($C50,'fte2017'!$D$2:$K$69,7,FALSE),$AA$25*VLOOKUP($C50,kenpom2017!$C$2:$I$69,6,FALSE),$AC$25*VLOOKUP($C50,chalk2017!$C$2:$I$69,6,FALSE),$AB$25*VLOOKUP($C50,powerrank2017!$C$2:$I$69,6,FALSE))</f>
        <v>2.0343057731892587E-4</v>
      </c>
      <c r="I50" s="7">
        <f>SUM($Z$26*VLOOKUP($C50,'fte2017'!$D$2:$K$69,8,FALSE),$AA$26*VLOOKUP($C50,kenpom2017!$C$2:$I$69,7,FALSE),$AC$26*VLOOKUP($C50,chalk2017!$C$2:$I$69,7,FALSE),$AB$26*VLOOKUP($C50,powerrank2017!$C$2:$I$69,7,FALSE))</f>
        <v>4.0825953009259259E-5</v>
      </c>
      <c r="J50" s="8">
        <f>SUM(D50:I50)*A50</f>
        <v>1.9274711956806778</v>
      </c>
      <c r="K50" t="s">
        <v>101</v>
      </c>
    </row>
    <row r="51" spans="1:11" x14ac:dyDescent="0.2">
      <c r="A51">
        <v>13</v>
      </c>
      <c r="B51" t="s">
        <v>24</v>
      </c>
      <c r="C51" t="s">
        <v>74</v>
      </c>
      <c r="D51" s="7">
        <f>SUM($Z$21*VLOOKUP($C51,'fte2017'!$D$2:$K$69,3,FALSE),$AA$21*VLOOKUP($C51,kenpom2017!$C$2:$I$69,2,FALSE),$AC$21*VLOOKUP($C51,chalk2017!$C$2:$I$69,2,FALSE),$AB$21*VLOOKUP($C51,powerrank2017!$C$2:$I$69,2,FALSE))</f>
        <v>0.10866104766576713</v>
      </c>
      <c r="E51" s="7">
        <f>SUM($Z$22*VLOOKUP($C51,'fte2017'!$D$2:$K$69,4,FALSE),$AA$22*VLOOKUP($C51,kenpom2017!$C$2:$I$69,3,FALSE),$AC$22*VLOOKUP($C51,chalk2017!$C$2:$I$69,3,FALSE),$AB$22*VLOOKUP($C51,powerrank2017!$C$2:$I$69,3,FALSE))</f>
        <v>2.557303924985618E-2</v>
      </c>
      <c r="F51" s="7">
        <f>SUM($Z$23*VLOOKUP($C51,'fte2017'!$D$2:$K$69,5,FALSE),$AA$23*VLOOKUP($C51,kenpom2017!$C$2:$I$69,4,FALSE),$AC$23*VLOOKUP($C51,chalk2017!$C$2:$I$69,4,FALSE),$AB$23*VLOOKUP($C51,powerrank2017!$C$2:$I$69,4,FALSE))</f>
        <v>2.1293015459117027E-3</v>
      </c>
      <c r="G51" s="7">
        <f>SUM($Z$24*VLOOKUP($C51,'fte2017'!$D$2:$K$69,6,FALSE),$AA$24*VLOOKUP($C51,kenpom2017!$C$2:$I$69,5,FALSE),$AC$24*VLOOKUP($C51,chalk2017!$C$2:$I$69,5,FALSE),$AB$24*VLOOKUP($C51,powerrank2017!$C$2:$I$69,5,FALSE))</f>
        <v>1.9606166556714665E-4</v>
      </c>
      <c r="H51" s="7">
        <f>SUM($Z$25*VLOOKUP($C51,'fte2017'!$D$2:$K$69,7,FALSE),$AA$25*VLOOKUP($C51,kenpom2017!$C$2:$I$69,6,FALSE),$AC$25*VLOOKUP($C51,chalk2017!$C$2:$I$69,6,FALSE),$AB$25*VLOOKUP($C51,powerrank2017!$C$2:$I$69,6,FALSE))</f>
        <v>2.7697425437252595E-5</v>
      </c>
      <c r="I51" s="7">
        <f>SUM($Z$26*VLOOKUP($C51,'fte2017'!$D$2:$K$69,8,FALSE),$AA$26*VLOOKUP($C51,kenpom2017!$C$2:$I$69,7,FALSE),$AC$26*VLOOKUP($C51,chalk2017!$C$2:$I$69,7,FALSE),$AB$26*VLOOKUP($C51,powerrank2017!$C$2:$I$69,7,FALSE))</f>
        <v>4.7611810509259255E-6</v>
      </c>
      <c r="J51" s="8">
        <f>SUM(D51:I51)*A51</f>
        <v>1.7756948135366744</v>
      </c>
      <c r="K51" t="s">
        <v>101</v>
      </c>
    </row>
    <row r="52" spans="1:11" x14ac:dyDescent="0.2">
      <c r="A52">
        <v>14</v>
      </c>
      <c r="B52" t="s">
        <v>20</v>
      </c>
      <c r="C52" t="s">
        <v>75</v>
      </c>
      <c r="D52" s="7">
        <f>SUM($Z$21*VLOOKUP($C52,'fte2017'!$D$2:$K$69,3,FALSE),$AA$21*VLOOKUP($C52,kenpom2017!$C$2:$I$69,2,FALSE),$AC$21*VLOOKUP($C52,chalk2017!$C$2:$I$69,2,FALSE),$AB$21*VLOOKUP($C52,powerrank2017!$C$2:$I$69,2,FALSE))</f>
        <v>8.7429199721759304E-2</v>
      </c>
      <c r="E52" s="7">
        <f>SUM($Z$22*VLOOKUP($C52,'fte2017'!$D$2:$K$69,4,FALSE),$AA$22*VLOOKUP($C52,kenpom2017!$C$2:$I$69,3,FALSE),$AC$22*VLOOKUP($C52,chalk2017!$C$2:$I$69,3,FALSE),$AB$22*VLOOKUP($C52,powerrank2017!$C$2:$I$69,3,FALSE))</f>
        <v>2.5935955047117924E-2</v>
      </c>
      <c r="F52" s="7">
        <f>SUM($Z$23*VLOOKUP($C52,'fte2017'!$D$2:$K$69,5,FALSE),$AA$23*VLOOKUP($C52,kenpom2017!$C$2:$I$69,4,FALSE),$AC$23*VLOOKUP($C52,chalk2017!$C$2:$I$69,4,FALSE),$AB$23*VLOOKUP($C52,powerrank2017!$C$2:$I$69,4,FALSE))</f>
        <v>3.0609491461812419E-3</v>
      </c>
      <c r="G52" s="7">
        <f>SUM($Z$24*VLOOKUP($C52,'fte2017'!$D$2:$K$69,6,FALSE),$AA$24*VLOOKUP($C52,kenpom2017!$C$2:$I$69,5,FALSE),$AC$24*VLOOKUP($C52,chalk2017!$C$2:$I$69,5,FALSE),$AB$24*VLOOKUP($C52,powerrank2017!$C$2:$I$69,5,FALSE))</f>
        <v>2.0579813000856385E-4</v>
      </c>
      <c r="H52" s="7">
        <f>SUM($Z$25*VLOOKUP($C52,'fte2017'!$D$2:$K$69,7,FALSE),$AA$25*VLOOKUP($C52,kenpom2017!$C$2:$I$69,6,FALSE),$AC$25*VLOOKUP($C52,chalk2017!$C$2:$I$69,6,FALSE),$AB$25*VLOOKUP($C52,powerrank2017!$C$2:$I$69,6,FALSE))</f>
        <v>3.3732110838129875E-5</v>
      </c>
      <c r="I52" s="7">
        <f>SUM($Z$26*VLOOKUP($C52,'fte2017'!$D$2:$K$69,8,FALSE),$AA$26*VLOOKUP($C52,kenpom2017!$C$2:$I$69,7,FALSE),$AC$26*VLOOKUP($C52,chalk2017!$C$2:$I$69,7,FALSE),$AB$26*VLOOKUP($C52,powerrank2017!$C$2:$I$69,7,FALSE))</f>
        <v>6.4696375324074068E-6</v>
      </c>
      <c r="J52" s="8">
        <f>SUM(D52:I52)*A52</f>
        <v>1.633409453108126</v>
      </c>
      <c r="K52" t="s">
        <v>102</v>
      </c>
    </row>
    <row r="53" spans="1:11" x14ac:dyDescent="0.2">
      <c r="A53">
        <v>13</v>
      </c>
      <c r="B53" t="s">
        <v>18</v>
      </c>
      <c r="C53" t="s">
        <v>73</v>
      </c>
      <c r="D53" s="7">
        <f>SUM($Z$21*VLOOKUP($C53,'fte2017'!$D$2:$K$69,3,FALSE),$AA$21*VLOOKUP($C53,kenpom2017!$C$2:$I$69,2,FALSE),$AC$21*VLOOKUP($C53,chalk2017!$C$2:$I$69,2,FALSE),$AB$21*VLOOKUP($C53,powerrank2017!$C$2:$I$69,2,FALSE))</f>
        <v>9.8913489243643279E-2</v>
      </c>
      <c r="E53" s="7">
        <f>SUM($Z$22*VLOOKUP($C53,'fte2017'!$D$2:$K$69,4,FALSE),$AA$22*VLOOKUP($C53,kenpom2017!$C$2:$I$69,3,FALSE),$AC$22*VLOOKUP($C53,chalk2017!$C$2:$I$69,3,FALSE),$AB$22*VLOOKUP($C53,powerrank2017!$C$2:$I$69,3,FALSE))</f>
        <v>2.2452064972333648E-2</v>
      </c>
      <c r="F53" s="7">
        <f>SUM($Z$23*VLOOKUP($C53,'fte2017'!$D$2:$K$69,5,FALSE),$AA$23*VLOOKUP($C53,kenpom2017!$C$2:$I$69,4,FALSE),$AC$23*VLOOKUP($C53,chalk2017!$C$2:$I$69,4,FALSE),$AB$23*VLOOKUP($C53,powerrank2017!$C$2:$I$69,4,FALSE))</f>
        <v>2.7990193033472751E-3</v>
      </c>
      <c r="G53" s="7">
        <f>SUM($Z$24*VLOOKUP($C53,'fte2017'!$D$2:$K$69,6,FALSE),$AA$24*VLOOKUP($C53,kenpom2017!$C$2:$I$69,5,FALSE),$AC$24*VLOOKUP($C53,chalk2017!$C$2:$I$69,5,FALSE),$AB$24*VLOOKUP($C53,powerrank2017!$C$2:$I$69,5,FALSE))</f>
        <v>5.8732429986990296E-4</v>
      </c>
      <c r="H53" s="7">
        <f>SUM($Z$25*VLOOKUP($C53,'fte2017'!$D$2:$K$69,7,FALSE),$AA$25*VLOOKUP($C53,kenpom2017!$C$2:$I$69,6,FALSE),$AC$25*VLOOKUP($C53,chalk2017!$C$2:$I$69,6,FALSE),$AB$25*VLOOKUP($C53,powerrank2017!$C$2:$I$69,6,FALSE))</f>
        <v>9.283909385658499E-5</v>
      </c>
      <c r="I53" s="7">
        <f>SUM($Z$26*VLOOKUP($C53,'fte2017'!$D$2:$K$69,8,FALSE),$AA$26*VLOOKUP($C53,kenpom2017!$C$2:$I$69,7,FALSE),$AC$26*VLOOKUP($C53,chalk2017!$C$2:$I$69,7,FALSE),$AB$26*VLOOKUP($C53,powerrank2017!$C$2:$I$69,7,FALSE))</f>
        <v>2.0299281606481481E-5</v>
      </c>
      <c r="J53" s="8">
        <f>SUM(D53:I53)*A53</f>
        <v>1.6232454705305432</v>
      </c>
      <c r="K53" t="s">
        <v>102</v>
      </c>
    </row>
    <row r="54" spans="1:11" x14ac:dyDescent="0.2">
      <c r="A54">
        <v>14</v>
      </c>
      <c r="B54" t="s">
        <v>18</v>
      </c>
      <c r="C54" t="s">
        <v>76</v>
      </c>
      <c r="D54" s="7">
        <f>SUM($Z$21*VLOOKUP($C54,'fte2017'!$D$2:$K$69,3,FALSE),$AA$21*VLOOKUP($C54,kenpom2017!$C$2:$I$69,2,FALSE),$AC$21*VLOOKUP($C54,chalk2017!$C$2:$I$69,2,FALSE),$AB$21*VLOOKUP($C54,powerrank2017!$C$2:$I$69,2,FALSE))</f>
        <v>8.5311625537578206E-2</v>
      </c>
      <c r="E54" s="7">
        <f>SUM($Z$22*VLOOKUP($C54,'fte2017'!$D$2:$K$69,4,FALSE),$AA$22*VLOOKUP($C54,kenpom2017!$C$2:$I$69,3,FALSE),$AC$22*VLOOKUP($C54,chalk2017!$C$2:$I$69,3,FALSE),$AB$22*VLOOKUP($C54,powerrank2017!$C$2:$I$69,3,FALSE))</f>
        <v>1.5016731708502394E-2</v>
      </c>
      <c r="F54" s="7">
        <f>SUM($Z$23*VLOOKUP($C54,'fte2017'!$D$2:$K$69,5,FALSE),$AA$23*VLOOKUP($C54,kenpom2017!$C$2:$I$69,4,FALSE),$AC$23*VLOOKUP($C54,chalk2017!$C$2:$I$69,4,FALSE),$AB$23*VLOOKUP($C54,powerrank2017!$C$2:$I$69,4,FALSE))</f>
        <v>2.0491436842116607E-3</v>
      </c>
      <c r="G54" s="7">
        <f>SUM($Z$24*VLOOKUP($C54,'fte2017'!$D$2:$K$69,6,FALSE),$AA$24*VLOOKUP($C54,kenpom2017!$C$2:$I$69,5,FALSE),$AC$24*VLOOKUP($C54,chalk2017!$C$2:$I$69,5,FALSE),$AB$24*VLOOKUP($C54,powerrank2017!$C$2:$I$69,5,FALSE))</f>
        <v>2.2842455050143753E-4</v>
      </c>
      <c r="H54" s="7">
        <f>SUM($Z$25*VLOOKUP($C54,'fte2017'!$D$2:$K$69,7,FALSE),$AA$25*VLOOKUP($C54,kenpom2017!$C$2:$I$69,6,FALSE),$AC$25*VLOOKUP($C54,chalk2017!$C$2:$I$69,6,FALSE),$AB$25*VLOOKUP($C54,powerrank2017!$C$2:$I$69,6,FALSE))</f>
        <v>2.3815844504065475E-5</v>
      </c>
      <c r="I54" s="7">
        <f>SUM($Z$26*VLOOKUP($C54,'fte2017'!$D$2:$K$69,8,FALSE),$AA$26*VLOOKUP($C54,kenpom2017!$C$2:$I$69,7,FALSE),$AC$26*VLOOKUP($C54,chalk2017!$C$2:$I$69,7,FALSE),$AB$26*VLOOKUP($C54,powerrank2017!$C$2:$I$69,7,FALSE))</f>
        <v>3.9384472523148143E-6</v>
      </c>
      <c r="J54" s="8">
        <f>SUM(D54:I54)*A54</f>
        <v>1.4368715168157011</v>
      </c>
      <c r="K54" t="s">
        <v>103</v>
      </c>
    </row>
    <row r="55" spans="1:11" x14ac:dyDescent="0.2">
      <c r="A55">
        <v>14</v>
      </c>
      <c r="B55" t="s">
        <v>22</v>
      </c>
      <c r="C55" t="s">
        <v>77</v>
      </c>
      <c r="D55" s="7">
        <f>SUM($Z$21*VLOOKUP($C55,'fte2017'!$D$2:$K$69,3,FALSE),$AA$21*VLOOKUP($C55,kenpom2017!$C$2:$I$69,2,FALSE),$AC$21*VLOOKUP($C55,chalk2017!$C$2:$I$69,2,FALSE),$AB$21*VLOOKUP($C55,powerrank2017!$C$2:$I$69,2,FALSE))</f>
        <v>7.9205488736811436E-2</v>
      </c>
      <c r="E55" s="7">
        <f>SUM($Z$22*VLOOKUP($C55,'fte2017'!$D$2:$K$69,4,FALSE),$AA$22*VLOOKUP($C55,kenpom2017!$C$2:$I$69,3,FALSE),$AC$22*VLOOKUP($C55,chalk2017!$C$2:$I$69,3,FALSE),$AB$22*VLOOKUP($C55,powerrank2017!$C$2:$I$69,3,FALSE))</f>
        <v>1.3253750249204218E-2</v>
      </c>
      <c r="F55" s="7">
        <f>SUM($Z$23*VLOOKUP($C55,'fte2017'!$D$2:$K$69,5,FALSE),$AA$23*VLOOKUP($C55,kenpom2017!$C$2:$I$69,4,FALSE),$AC$23*VLOOKUP($C55,chalk2017!$C$2:$I$69,4,FALSE),$AB$23*VLOOKUP($C55,powerrank2017!$C$2:$I$69,4,FALSE))</f>
        <v>9.8326880226953968E-4</v>
      </c>
      <c r="G55" s="7">
        <f>SUM($Z$24*VLOOKUP($C55,'fte2017'!$D$2:$K$69,6,FALSE),$AA$24*VLOOKUP($C55,kenpom2017!$C$2:$I$69,5,FALSE),$AC$24*VLOOKUP($C55,chalk2017!$C$2:$I$69,5,FALSE),$AB$24*VLOOKUP($C55,powerrank2017!$C$2:$I$69,5,FALSE))</f>
        <v>1.0743454578843637E-4</v>
      </c>
      <c r="H55" s="7">
        <f>SUM($Z$25*VLOOKUP($C55,'fte2017'!$D$2:$K$69,7,FALSE),$AA$25*VLOOKUP($C55,kenpom2017!$C$2:$I$69,6,FALSE),$AC$25*VLOOKUP($C55,chalk2017!$C$2:$I$69,6,FALSE),$AB$25*VLOOKUP($C55,powerrank2017!$C$2:$I$69,6,FALSE))</f>
        <v>1.1073239969669414E-5</v>
      </c>
      <c r="I55" s="7">
        <f>SUM($Z$26*VLOOKUP($C55,'fte2017'!$D$2:$K$69,8,FALSE),$AA$26*VLOOKUP($C55,kenpom2017!$C$2:$I$69,7,FALSE),$AC$26*VLOOKUP($C55,chalk2017!$C$2:$I$69,7,FALSE),$AB$26*VLOOKUP($C55,powerrank2017!$C$2:$I$69,7,FALSE))</f>
        <v>9.5972398611111111E-7</v>
      </c>
      <c r="J55" s="8">
        <f>SUM(D55:I55)*A55</f>
        <v>1.3098676541724117</v>
      </c>
    </row>
    <row r="56" spans="1:11" x14ac:dyDescent="0.2">
      <c r="A56">
        <v>11</v>
      </c>
      <c r="B56" t="s">
        <v>18</v>
      </c>
      <c r="C56" s="5" t="s">
        <v>65</v>
      </c>
      <c r="D56" s="7">
        <f>SUM($Z$21*VLOOKUP($C56,'fte2017'!$D$2:$K$69,3,FALSE),$AA$21*VLOOKUP($C56,kenpom2017!$C$2:$I$69,2,FALSE),$AC$21*VLOOKUP($C56,chalk2017!$C$2:$I$69,2,FALSE),$AB$21*VLOOKUP($C56,powerrank2017!$C$2:$I$69,2,FALSE))</f>
        <v>8.2931542431809488E-2</v>
      </c>
      <c r="E56" s="7">
        <f>SUM($Z$22*VLOOKUP($C56,'fte2017'!$D$2:$K$69,4,FALSE),$AA$22*VLOOKUP($C56,kenpom2017!$C$2:$I$69,3,FALSE),$AC$22*VLOOKUP($C56,chalk2017!$C$2:$I$69,3,FALSE),$AB$22*VLOOKUP($C56,powerrank2017!$C$2:$I$69,3,FALSE))</f>
        <v>2.6286104852095874E-2</v>
      </c>
      <c r="F56" s="7">
        <f>SUM($Z$23*VLOOKUP($C56,'fte2017'!$D$2:$K$69,5,FALSE),$AA$23*VLOOKUP($C56,kenpom2017!$C$2:$I$69,4,FALSE),$AC$23*VLOOKUP($C56,chalk2017!$C$2:$I$69,4,FALSE),$AB$23*VLOOKUP($C56,powerrank2017!$C$2:$I$69,4,FALSE))</f>
        <v>6.3289851658901563E-3</v>
      </c>
      <c r="G56" s="7">
        <f>SUM($Z$24*VLOOKUP($C56,'fte2017'!$D$2:$K$69,6,FALSE),$AA$24*VLOOKUP($C56,kenpom2017!$C$2:$I$69,5,FALSE),$AC$24*VLOOKUP($C56,chalk2017!$C$2:$I$69,5,FALSE),$AB$24*VLOOKUP($C56,powerrank2017!$C$2:$I$69,5,FALSE))</f>
        <v>1.0791729270246638E-3</v>
      </c>
      <c r="H56" s="7">
        <f>SUM($Z$25*VLOOKUP($C56,'fte2017'!$D$2:$K$69,7,FALSE),$AA$25*VLOOKUP($C56,kenpom2017!$C$2:$I$69,6,FALSE),$AC$25*VLOOKUP($C56,chalk2017!$C$2:$I$69,6,FALSE),$AB$25*VLOOKUP($C56,powerrank2017!$C$2:$I$69,6,FALSE))</f>
        <v>3.319595745317214E-4</v>
      </c>
      <c r="I56" s="7">
        <f>SUM($Z$26*VLOOKUP($C56,'fte2017'!$D$2:$K$69,8,FALSE),$AA$26*VLOOKUP($C56,kenpom2017!$C$2:$I$69,7,FALSE),$AC$26*VLOOKUP($C56,chalk2017!$C$2:$I$69,7,FALSE),$AB$26*VLOOKUP($C56,powerrank2017!$C$2:$I$69,7,FALSE))</f>
        <v>9.8750445016203712E-5</v>
      </c>
      <c r="J56" s="8">
        <f>SUM(D56:I56)*A56</f>
        <v>1.2876216693600491</v>
      </c>
      <c r="K56" t="s">
        <v>108</v>
      </c>
    </row>
    <row r="57" spans="1:11" x14ac:dyDescent="0.2">
      <c r="A57">
        <v>13</v>
      </c>
      <c r="B57" t="s">
        <v>20</v>
      </c>
      <c r="C57" t="s">
        <v>72</v>
      </c>
      <c r="D57" s="7">
        <f>SUM($Z$21*VLOOKUP($C57,'fte2017'!$D$2:$K$69,3,FALSE),$AA$21*VLOOKUP($C57,kenpom2017!$C$2:$I$69,2,FALSE),$AC$21*VLOOKUP($C57,chalk2017!$C$2:$I$69,2,FALSE),$AB$21*VLOOKUP($C57,powerrank2017!$C$2:$I$69,2,FALSE))</f>
        <v>7.3241190160373171E-2</v>
      </c>
      <c r="E57" s="7">
        <f>SUM($Z$22*VLOOKUP($C57,'fte2017'!$D$2:$K$69,4,FALSE),$AA$22*VLOOKUP($C57,kenpom2017!$C$2:$I$69,3,FALSE),$AC$22*VLOOKUP($C57,chalk2017!$C$2:$I$69,3,FALSE),$AB$22*VLOOKUP($C57,powerrank2017!$C$2:$I$69,3,FALSE))</f>
        <v>2.0763774280713323E-2</v>
      </c>
      <c r="F57" s="7">
        <f>SUM($Z$23*VLOOKUP($C57,'fte2017'!$D$2:$K$69,5,FALSE),$AA$23*VLOOKUP($C57,kenpom2017!$C$2:$I$69,4,FALSE),$AC$23*VLOOKUP($C57,chalk2017!$C$2:$I$69,4,FALSE),$AB$23*VLOOKUP($C57,powerrank2017!$C$2:$I$69,4,FALSE))</f>
        <v>1.9595102182813689E-3</v>
      </c>
      <c r="G57" s="7">
        <f>SUM($Z$24*VLOOKUP($C57,'fte2017'!$D$2:$K$69,6,FALSE),$AA$24*VLOOKUP($C57,kenpom2017!$C$2:$I$69,5,FALSE),$AC$24*VLOOKUP($C57,chalk2017!$C$2:$I$69,5,FALSE),$AB$24*VLOOKUP($C57,powerrank2017!$C$2:$I$69,5,FALSE))</f>
        <v>3.2811763940782248E-4</v>
      </c>
      <c r="H57" s="7">
        <f>SUM($Z$25*VLOOKUP($C57,'fte2017'!$D$2:$K$69,7,FALSE),$AA$25*VLOOKUP($C57,kenpom2017!$C$2:$I$69,6,FALSE),$AC$25*VLOOKUP($C57,chalk2017!$C$2:$I$69,6,FALSE),$AB$25*VLOOKUP($C57,powerrank2017!$C$2:$I$69,6,FALSE))</f>
        <v>5.0301954307317853E-5</v>
      </c>
      <c r="I57" s="7">
        <f>SUM($Z$26*VLOOKUP($C57,'fte2017'!$D$2:$K$69,8,FALSE),$AA$26*VLOOKUP($C57,kenpom2017!$C$2:$I$69,7,FALSE),$AC$26*VLOOKUP($C57,chalk2017!$C$2:$I$69,7,FALSE),$AB$26*VLOOKUP($C57,powerrank2017!$C$2:$I$69,7,FALSE))</f>
        <v>1.2545565020833333E-5</v>
      </c>
      <c r="J57" s="8">
        <f>SUM(D57:I57)*A57</f>
        <v>1.2526207176353499</v>
      </c>
      <c r="K57" t="s">
        <v>103</v>
      </c>
    </row>
    <row r="58" spans="1:11" x14ac:dyDescent="0.2">
      <c r="A58">
        <v>11</v>
      </c>
      <c r="B58" t="s">
        <v>18</v>
      </c>
      <c r="C58" s="5" t="s">
        <v>66</v>
      </c>
      <c r="D58" s="7">
        <f>SUM($Z$21*VLOOKUP($C58,'fte2017'!$D$2:$K$69,3,FALSE),$AA$21*VLOOKUP($C58,kenpom2017!$C$2:$I$69,2,FALSE),$AC$21*VLOOKUP($C58,chalk2017!$C$2:$I$69,2,FALSE),$AB$21*VLOOKUP($C58,powerrank2017!$C$2:$I$69,2,FALSE))</f>
        <v>6.5273641640551938E-2</v>
      </c>
      <c r="E58" s="7">
        <f>SUM($Z$22*VLOOKUP($C58,'fte2017'!$D$2:$K$69,4,FALSE),$AA$22*VLOOKUP($C58,kenpom2017!$C$2:$I$69,3,FALSE),$AC$22*VLOOKUP($C58,chalk2017!$C$2:$I$69,3,FALSE),$AB$22*VLOOKUP($C58,powerrank2017!$C$2:$I$69,3,FALSE))</f>
        <v>2.0232425820717159E-2</v>
      </c>
      <c r="F58" s="7">
        <f>SUM($Z$23*VLOOKUP($C58,'fte2017'!$D$2:$K$69,5,FALSE),$AA$23*VLOOKUP($C58,kenpom2017!$C$2:$I$69,4,FALSE),$AC$23*VLOOKUP($C58,chalk2017!$C$2:$I$69,4,FALSE),$AB$23*VLOOKUP($C58,powerrank2017!$C$2:$I$69,4,FALSE))</f>
        <v>4.6630607382281367E-3</v>
      </c>
      <c r="G58" s="7">
        <f>SUM($Z$24*VLOOKUP($C58,'fte2017'!$D$2:$K$69,6,FALSE),$AA$24*VLOOKUP($C58,kenpom2017!$C$2:$I$69,5,FALSE),$AC$24*VLOOKUP($C58,chalk2017!$C$2:$I$69,5,FALSE),$AB$24*VLOOKUP($C58,powerrank2017!$C$2:$I$69,5,FALSE))</f>
        <v>8.622633438007195E-4</v>
      </c>
      <c r="H58" s="7">
        <f>SUM($Z$25*VLOOKUP($C58,'fte2017'!$D$2:$K$69,7,FALSE),$AA$25*VLOOKUP($C58,kenpom2017!$C$2:$I$69,6,FALSE),$AC$25*VLOOKUP($C58,chalk2017!$C$2:$I$69,6,FALSE),$AB$25*VLOOKUP($C58,powerrank2017!$C$2:$I$69,6,FALSE))</f>
        <v>2.4343145931555579E-4</v>
      </c>
      <c r="I58" s="7">
        <f>SUM($Z$26*VLOOKUP($C58,'fte2017'!$D$2:$K$69,8,FALSE),$AA$26*VLOOKUP($C58,kenpom2017!$C$2:$I$69,7,FALSE),$AC$26*VLOOKUP($C58,chalk2017!$C$2:$I$69,7,FALSE),$AB$26*VLOOKUP($C58,powerrank2017!$C$2:$I$69,7,FALSE))</f>
        <v>8.7927365442129642E-5</v>
      </c>
      <c r="J58" s="8">
        <f>SUM(D58:I58)*A58</f>
        <v>1.0049902540486122</v>
      </c>
    </row>
    <row r="59" spans="1:11" x14ac:dyDescent="0.2">
      <c r="A59">
        <v>14</v>
      </c>
      <c r="B59" t="s">
        <v>24</v>
      </c>
      <c r="C59" t="s">
        <v>78</v>
      </c>
      <c r="D59" s="7">
        <f>SUM($Z$21*VLOOKUP($C59,'fte2017'!$D$2:$K$69,3,FALSE),$AA$21*VLOOKUP($C59,kenpom2017!$C$2:$I$69,2,FALSE),$AC$21*VLOOKUP($C59,chalk2017!$C$2:$I$69,2,FALSE),$AB$21*VLOOKUP($C59,powerrank2017!$C$2:$I$69,2,FALSE))</f>
        <v>5.9110197832141116E-2</v>
      </c>
      <c r="E59" s="7">
        <f>SUM($Z$22*VLOOKUP($C59,'fte2017'!$D$2:$K$69,4,FALSE),$AA$22*VLOOKUP($C59,kenpom2017!$C$2:$I$69,3,FALSE),$AC$22*VLOOKUP($C59,chalk2017!$C$2:$I$69,3,FALSE),$AB$22*VLOOKUP($C59,powerrank2017!$C$2:$I$69,3,FALSE))</f>
        <v>6.8283704793096834E-3</v>
      </c>
      <c r="F59" s="7">
        <f>SUM($Z$23*VLOOKUP($C59,'fte2017'!$D$2:$K$69,5,FALSE),$AA$23*VLOOKUP($C59,kenpom2017!$C$2:$I$69,4,FALSE),$AC$23*VLOOKUP($C59,chalk2017!$C$2:$I$69,4,FALSE),$AB$23*VLOOKUP($C59,powerrank2017!$C$2:$I$69,4,FALSE))</f>
        <v>3.5978855898605839E-4</v>
      </c>
      <c r="G59" s="7">
        <f>SUM($Z$24*VLOOKUP($C59,'fte2017'!$D$2:$K$69,6,FALSE),$AA$24*VLOOKUP($C59,kenpom2017!$C$2:$I$69,5,FALSE),$AC$24*VLOOKUP($C59,chalk2017!$C$2:$I$69,5,FALSE),$AB$24*VLOOKUP($C59,powerrank2017!$C$2:$I$69,5,FALSE))</f>
        <v>3.026764984344071E-5</v>
      </c>
      <c r="H59" s="7">
        <f>SUM($Z$25*VLOOKUP($C59,'fte2017'!$D$2:$K$69,7,FALSE),$AA$25*VLOOKUP($C59,kenpom2017!$C$2:$I$69,6,FALSE),$AC$25*VLOOKUP($C59,chalk2017!$C$2:$I$69,6,FALSE),$AB$25*VLOOKUP($C59,powerrank2017!$C$2:$I$69,6,FALSE))</f>
        <v>3.0583374659248959E-6</v>
      </c>
      <c r="I59" s="7">
        <f>SUM($Z$26*VLOOKUP($C59,'fte2017'!$D$2:$K$69,8,FALSE),$AA$26*VLOOKUP($C59,kenpom2017!$C$2:$I$69,7,FALSE),$AC$26*VLOOKUP($C59,chalk2017!$C$2:$I$69,7,FALSE),$AB$26*VLOOKUP($C59,powerrank2017!$C$2:$I$69,7,FALSE))</f>
        <v>4.0625126388888893E-7</v>
      </c>
      <c r="J59" s="8">
        <f>SUM(D59:I59)*A59</f>
        <v>0.92864924752614164</v>
      </c>
    </row>
    <row r="60" spans="1:11" x14ac:dyDescent="0.2">
      <c r="A60">
        <v>15</v>
      </c>
      <c r="B60" t="s">
        <v>18</v>
      </c>
      <c r="C60" t="s">
        <v>79</v>
      </c>
      <c r="D60" s="7">
        <f>SUM($Z$21*VLOOKUP($C60,'fte2017'!$D$2:$K$69,3,FALSE),$AA$21*VLOOKUP($C60,kenpom2017!$C$2:$I$69,2,FALSE),$AC$21*VLOOKUP($C60,chalk2017!$C$2:$I$69,2,FALSE),$AB$21*VLOOKUP($C60,powerrank2017!$C$2:$I$69,2,FALSE))</f>
        <v>3.8722384105389258E-2</v>
      </c>
      <c r="E60" s="7">
        <f>SUM($Z$22*VLOOKUP($C60,'fte2017'!$D$2:$K$69,4,FALSE),$AA$22*VLOOKUP($C60,kenpom2017!$C$2:$I$69,3,FALSE),$AC$22*VLOOKUP($C60,chalk2017!$C$2:$I$69,3,FALSE),$AB$22*VLOOKUP($C60,powerrank2017!$C$2:$I$69,3,FALSE))</f>
        <v>6.8715265779175447E-3</v>
      </c>
      <c r="F60" s="7">
        <f>SUM($Z$23*VLOOKUP($C60,'fte2017'!$D$2:$K$69,5,FALSE),$AA$23*VLOOKUP($C60,kenpom2017!$C$2:$I$69,4,FALSE),$AC$23*VLOOKUP($C60,chalk2017!$C$2:$I$69,4,FALSE),$AB$23*VLOOKUP($C60,powerrank2017!$C$2:$I$69,4,FALSE))</f>
        <v>7.1429634019518377E-4</v>
      </c>
      <c r="G60" s="7">
        <f>SUM($Z$24*VLOOKUP($C60,'fte2017'!$D$2:$K$69,6,FALSE),$AA$24*VLOOKUP($C60,kenpom2017!$C$2:$I$69,5,FALSE),$AC$24*VLOOKUP($C60,chalk2017!$C$2:$I$69,5,FALSE),$AB$24*VLOOKUP($C60,powerrank2017!$C$2:$I$69,5,FALSE))</f>
        <v>5.8235582476773636E-5</v>
      </c>
      <c r="H60" s="7">
        <f>SUM($Z$25*VLOOKUP($C60,'fte2017'!$D$2:$K$69,7,FALSE),$AA$25*VLOOKUP($C60,kenpom2017!$C$2:$I$69,6,FALSE),$AC$25*VLOOKUP($C60,chalk2017!$C$2:$I$69,6,FALSE),$AB$25*VLOOKUP($C60,powerrank2017!$C$2:$I$69,6,FALSE))</f>
        <v>1.2488847552155772E-6</v>
      </c>
      <c r="I60" s="7">
        <f>SUM($Z$26*VLOOKUP($C60,'fte2017'!$D$2:$K$69,8,FALSE),$AA$26*VLOOKUP($C60,kenpom2017!$C$2:$I$69,7,FALSE),$AC$26*VLOOKUP($C60,chalk2017!$C$2:$I$69,7,FALSE),$AB$26*VLOOKUP($C60,powerrank2017!$C$2:$I$69,7,FALSE))</f>
        <v>1.8133802777777781E-7</v>
      </c>
      <c r="J60" s="8">
        <f>SUM(D60:I60)*A60</f>
        <v>0.69551809243142615</v>
      </c>
    </row>
    <row r="61" spans="1:11" x14ac:dyDescent="0.2">
      <c r="A61">
        <v>15</v>
      </c>
      <c r="B61" t="s">
        <v>20</v>
      </c>
      <c r="C61" t="s">
        <v>82</v>
      </c>
      <c r="D61" s="7">
        <f>SUM($Z$21*VLOOKUP($C61,'fte2017'!$D$2:$K$69,3,FALSE),$AA$21*VLOOKUP($C61,kenpom2017!$C$2:$I$69,2,FALSE),$AC$21*VLOOKUP($C61,chalk2017!$C$2:$I$69,2,FALSE),$AB$21*VLOOKUP($C61,powerrank2017!$C$2:$I$69,2,FALSE))</f>
        <v>4.0906937357910622E-2</v>
      </c>
      <c r="E61" s="7">
        <f>SUM($Z$22*VLOOKUP($C61,'fte2017'!$D$2:$K$69,4,FALSE),$AA$22*VLOOKUP($C61,kenpom2017!$C$2:$I$69,3,FALSE),$AC$22*VLOOKUP($C61,chalk2017!$C$2:$I$69,3,FALSE),$AB$22*VLOOKUP($C61,powerrank2017!$C$2:$I$69,3,FALSE))</f>
        <v>4.2868447503279002E-3</v>
      </c>
      <c r="F61" s="7">
        <f>SUM($Z$23*VLOOKUP($C61,'fte2017'!$D$2:$K$69,5,FALSE),$AA$23*VLOOKUP($C61,kenpom2017!$C$2:$I$69,4,FALSE),$AC$23*VLOOKUP($C61,chalk2017!$C$2:$I$69,4,FALSE),$AB$23*VLOOKUP($C61,powerrank2017!$C$2:$I$69,4,FALSE))</f>
        <v>4.6153744133671309E-4</v>
      </c>
      <c r="G61" s="7">
        <f>SUM($Z$24*VLOOKUP($C61,'fte2017'!$D$2:$K$69,6,FALSE),$AA$24*VLOOKUP($C61,kenpom2017!$C$2:$I$69,5,FALSE),$AC$24*VLOOKUP($C61,chalk2017!$C$2:$I$69,5,FALSE),$AB$24*VLOOKUP($C61,powerrank2017!$C$2:$I$69,5,FALSE))</f>
        <v>1.8401038859919991E-5</v>
      </c>
      <c r="H61" s="7">
        <f>SUM($Z$25*VLOOKUP($C61,'fte2017'!$D$2:$K$69,7,FALSE),$AA$25*VLOOKUP($C61,kenpom2017!$C$2:$I$69,6,FALSE),$AC$25*VLOOKUP($C61,chalk2017!$C$2:$I$69,6,FALSE),$AB$25*VLOOKUP($C61,powerrank2017!$C$2:$I$69,6,FALSE))</f>
        <v>1.2120579408901252E-6</v>
      </c>
      <c r="I61" s="7">
        <f>SUM($Z$26*VLOOKUP($C61,'fte2017'!$D$2:$K$69,8,FALSE),$AA$26*VLOOKUP($C61,kenpom2017!$C$2:$I$69,7,FALSE),$AC$26*VLOOKUP($C61,chalk2017!$C$2:$I$69,7,FALSE),$AB$26*VLOOKUP($C61,powerrank2017!$C$2:$I$69,7,FALSE))</f>
        <v>1.5976677083333334E-7</v>
      </c>
      <c r="J61" s="8">
        <f>SUM(D61:I61)*A61</f>
        <v>0.68512638619720323</v>
      </c>
    </row>
    <row r="62" spans="1:11" x14ac:dyDescent="0.2">
      <c r="A62">
        <v>15</v>
      </c>
      <c r="B62" t="s">
        <v>22</v>
      </c>
      <c r="C62" t="s">
        <v>84</v>
      </c>
      <c r="D62" s="7">
        <f>SUM($Z$21*VLOOKUP($C62,'fte2017'!$D$2:$K$69,3,FALSE),$AA$21*VLOOKUP($C62,kenpom2017!$C$2:$I$69,2,FALSE),$AC$21*VLOOKUP($C62,chalk2017!$C$2:$I$69,2,FALSE),$AB$21*VLOOKUP($C62,powerrank2017!$C$2:$I$69,2,FALSE))</f>
        <v>3.7701706908830263E-2</v>
      </c>
      <c r="E62" s="7">
        <f>SUM($Z$22*VLOOKUP($C62,'fte2017'!$D$2:$K$69,4,FALSE),$AA$22*VLOOKUP($C62,kenpom2017!$C$2:$I$69,3,FALSE),$AC$22*VLOOKUP($C62,chalk2017!$C$2:$I$69,3,FALSE),$AB$22*VLOOKUP($C62,powerrank2017!$C$2:$I$69,3,FALSE))</f>
        <v>3.6864393287670176E-3</v>
      </c>
      <c r="F62" s="7">
        <f>SUM($Z$23*VLOOKUP($C62,'fte2017'!$D$2:$K$69,5,FALSE),$AA$23*VLOOKUP($C62,kenpom2017!$C$2:$I$69,4,FALSE),$AC$23*VLOOKUP($C62,chalk2017!$C$2:$I$69,4,FALSE),$AB$23*VLOOKUP($C62,powerrank2017!$C$2:$I$69,4,FALSE))</f>
        <v>3.3628416224165615E-4</v>
      </c>
      <c r="G62" s="7">
        <f>SUM($Z$24*VLOOKUP($C62,'fte2017'!$D$2:$K$69,6,FALSE),$AA$24*VLOOKUP($C62,kenpom2017!$C$2:$I$69,5,FALSE),$AC$24*VLOOKUP($C62,chalk2017!$C$2:$I$69,5,FALSE),$AB$24*VLOOKUP($C62,powerrank2017!$C$2:$I$69,5,FALSE))</f>
        <v>2.7690009461309781E-5</v>
      </c>
      <c r="H62" s="7">
        <f>SUM($Z$25*VLOOKUP($C62,'fte2017'!$D$2:$K$69,7,FALSE),$AA$25*VLOOKUP($C62,kenpom2017!$C$2:$I$69,6,FALSE),$AC$25*VLOOKUP($C62,chalk2017!$C$2:$I$69,6,FALSE),$AB$25*VLOOKUP($C62,powerrank2017!$C$2:$I$69,6,FALSE))</f>
        <v>4.9587488132020965E-6</v>
      </c>
      <c r="I62" s="7">
        <f>SUM($Z$26*VLOOKUP($C62,'fte2017'!$D$2:$K$69,8,FALSE),$AA$26*VLOOKUP($C62,kenpom2017!$C$2:$I$69,7,FALSE),$AC$26*VLOOKUP($C62,chalk2017!$C$2:$I$69,7,FALSE),$AB$26*VLOOKUP($C62,powerrank2017!$C$2:$I$69,7,FALSE))</f>
        <v>3.3007083333333335E-8</v>
      </c>
      <c r="J62" s="8">
        <f>SUM(D62:I62)*A62</f>
        <v>0.62635668247795184</v>
      </c>
    </row>
    <row r="63" spans="1:11" x14ac:dyDescent="0.2">
      <c r="A63">
        <v>15</v>
      </c>
      <c r="B63" t="s">
        <v>24</v>
      </c>
      <c r="C63" t="s">
        <v>80</v>
      </c>
      <c r="D63" s="7">
        <f>SUM($Z$21*VLOOKUP($C63,'fte2017'!$D$2:$K$69,3,FALSE),$AA$21*VLOOKUP($C63,kenpom2017!$C$2:$I$69,2,FALSE),$AC$21*VLOOKUP($C63,chalk2017!$C$2:$I$69,2,FALSE),$AB$21*VLOOKUP($C63,powerrank2017!$C$2:$I$69,2,FALSE))</f>
        <v>3.3078058403717754E-2</v>
      </c>
      <c r="E63" s="7">
        <f>SUM($Z$22*VLOOKUP($C63,'fte2017'!$D$2:$K$69,4,FALSE),$AA$22*VLOOKUP($C63,kenpom2017!$C$2:$I$69,3,FALSE),$AC$22*VLOOKUP($C63,chalk2017!$C$2:$I$69,3,FALSE),$AB$22*VLOOKUP($C63,powerrank2017!$C$2:$I$69,3,FALSE))</f>
        <v>2.9177149350719076E-3</v>
      </c>
      <c r="F63" s="7">
        <f>SUM($Z$23*VLOOKUP($C63,'fte2017'!$D$2:$K$69,5,FALSE),$AA$23*VLOOKUP($C63,kenpom2017!$C$2:$I$69,4,FALSE),$AC$23*VLOOKUP($C63,chalk2017!$C$2:$I$69,4,FALSE),$AB$23*VLOOKUP($C63,powerrank2017!$C$2:$I$69,4,FALSE))</f>
        <v>2.3563561845880862E-4</v>
      </c>
      <c r="G63" s="7">
        <f>SUM($Z$24*VLOOKUP($C63,'fte2017'!$D$2:$K$69,6,FALSE),$AA$24*VLOOKUP($C63,kenpom2017!$C$2:$I$69,5,FALSE),$AC$24*VLOOKUP($C63,chalk2017!$C$2:$I$69,5,FALSE),$AB$24*VLOOKUP($C63,powerrank2017!$C$2:$I$69,5,FALSE))</f>
        <v>1.8900499999571808E-5</v>
      </c>
      <c r="H63" s="7">
        <f>SUM($Z$25*VLOOKUP($C63,'fte2017'!$D$2:$K$69,7,FALSE),$AA$25*VLOOKUP($C63,kenpom2017!$C$2:$I$69,6,FALSE),$AC$25*VLOOKUP($C63,chalk2017!$C$2:$I$69,6,FALSE),$AB$25*VLOOKUP($C63,powerrank2017!$C$2:$I$69,6,FALSE))</f>
        <v>1.6248377294853963E-6</v>
      </c>
      <c r="I63" s="7">
        <f>SUM($Z$26*VLOOKUP($C63,'fte2017'!$D$2:$K$69,8,FALSE),$AA$26*VLOOKUP($C63,kenpom2017!$C$2:$I$69,7,FALSE),$AC$26*VLOOKUP($C63,chalk2017!$C$2:$I$69,7,FALSE),$AB$26*VLOOKUP($C63,powerrank2017!$C$2:$I$69,7,FALSE))</f>
        <v>1.8001836111111114E-7</v>
      </c>
      <c r="J63" s="8">
        <f>SUM(D63:I63)*A63</f>
        <v>0.54378171470007974</v>
      </c>
    </row>
    <row r="64" spans="1:11" x14ac:dyDescent="0.2">
      <c r="A64">
        <v>16</v>
      </c>
      <c r="B64" t="s">
        <v>22</v>
      </c>
      <c r="C64" s="3" t="s">
        <v>85</v>
      </c>
      <c r="D64" s="7">
        <f>SUM($Z$21*VLOOKUP($C64,'fte2017'!$D$2:$K$69,3,FALSE),$AA$21*VLOOKUP($C64,kenpom2017!$C$2:$I$69,2,FALSE),$AC$21*VLOOKUP($C64,chalk2017!$C$2:$I$69,2,FALSE),$AB$21*VLOOKUP($C64,powerrank2017!$C$2:$I$69,2,FALSE))</f>
        <v>2.3509261898841234E-2</v>
      </c>
      <c r="E64" s="7">
        <f>SUM($Z$22*VLOOKUP($C64,'fte2017'!$D$2:$K$69,4,FALSE),$AA$22*VLOOKUP($C64,kenpom2017!$C$2:$I$69,3,FALSE),$AC$22*VLOOKUP($C64,chalk2017!$C$2:$I$69,3,FALSE),$AB$22*VLOOKUP($C64,powerrank2017!$C$2:$I$69,3,FALSE))</f>
        <v>3.9058562720460203E-3</v>
      </c>
      <c r="F64" s="7">
        <f>SUM($Z$23*VLOOKUP($C64,'fte2017'!$D$2:$K$69,5,FALSE),$AA$23*VLOOKUP($C64,kenpom2017!$C$2:$I$69,4,FALSE),$AC$23*VLOOKUP($C64,chalk2017!$C$2:$I$69,4,FALSE),$AB$23*VLOOKUP($C64,powerrank2017!$C$2:$I$69,4,FALSE))</f>
        <v>2.8046460922095479E-4</v>
      </c>
      <c r="G64" s="7">
        <f>SUM($Z$24*VLOOKUP($C64,'fte2017'!$D$2:$K$69,6,FALSE),$AA$24*VLOOKUP($C64,kenpom2017!$C$2:$I$69,5,FALSE),$AC$24*VLOOKUP($C64,chalk2017!$C$2:$I$69,5,FALSE),$AB$24*VLOOKUP($C64,powerrank2017!$C$2:$I$69,5,FALSE))</f>
        <v>2.0019107497253458E-5</v>
      </c>
      <c r="H64" s="7">
        <f>SUM($Z$25*VLOOKUP($C64,'fte2017'!$D$2:$K$69,7,FALSE),$AA$25*VLOOKUP($C64,kenpom2017!$C$2:$I$69,6,FALSE),$AC$25*VLOOKUP($C64,chalk2017!$C$2:$I$69,6,FALSE),$AB$25*VLOOKUP($C64,powerrank2017!$C$2:$I$69,6,FALSE))</f>
        <v>3.4600828929068154E-7</v>
      </c>
      <c r="I64" s="7">
        <f>SUM($Z$26*VLOOKUP($C64,'fte2017'!$D$2:$K$69,8,FALSE),$AA$26*VLOOKUP($C64,kenpom2017!$C$2:$I$69,7,FALSE),$AC$26*VLOOKUP($C64,chalk2017!$C$2:$I$69,7,FALSE),$AB$26*VLOOKUP($C64,powerrank2017!$C$2:$I$69,7,FALSE))</f>
        <v>3.284957638888889E-8</v>
      </c>
      <c r="J64" s="8">
        <f>SUM(D64:I64)*A64</f>
        <v>0.44345569192753831</v>
      </c>
    </row>
    <row r="65" spans="1:10" x14ac:dyDescent="0.2">
      <c r="A65">
        <v>16</v>
      </c>
      <c r="B65" t="s">
        <v>24</v>
      </c>
      <c r="C65" t="s">
        <v>83</v>
      </c>
      <c r="D65" s="7">
        <f>SUM($Z$21*VLOOKUP($C65,'fte2017'!$D$2:$K$69,3,FALSE),$AA$21*VLOOKUP($C65,kenpom2017!$C$2:$I$69,2,FALSE),$AC$21*VLOOKUP($C65,chalk2017!$C$2:$I$69,2,FALSE),$AB$21*VLOOKUP($C65,powerrank2017!$C$2:$I$69,2,FALSE))</f>
        <v>1.693130486571227E-2</v>
      </c>
      <c r="E65" s="7">
        <f>SUM($Z$22*VLOOKUP($C65,'fte2017'!$D$2:$K$69,4,FALSE),$AA$22*VLOOKUP($C65,kenpom2017!$C$2:$I$69,3,FALSE),$AC$22*VLOOKUP($C65,chalk2017!$C$2:$I$69,3,FALSE),$AB$22*VLOOKUP($C65,powerrank2017!$C$2:$I$69,3,FALSE))</f>
        <v>2.1740082734573343E-3</v>
      </c>
      <c r="F65" s="7">
        <f>SUM($Z$23*VLOOKUP($C65,'fte2017'!$D$2:$K$69,5,FALSE),$AA$23*VLOOKUP($C65,kenpom2017!$C$2:$I$69,4,FALSE),$AC$23*VLOOKUP($C65,chalk2017!$C$2:$I$69,4,FALSE),$AB$23*VLOOKUP($C65,powerrank2017!$C$2:$I$69,4,FALSE))</f>
        <v>1.7419441153527672E-4</v>
      </c>
      <c r="G65" s="7">
        <f>SUM($Z$24*VLOOKUP($C65,'fte2017'!$D$2:$K$69,6,FALSE),$AA$24*VLOOKUP($C65,kenpom2017!$C$2:$I$69,5,FALSE),$AC$24*VLOOKUP($C65,chalk2017!$C$2:$I$69,5,FALSE),$AB$24*VLOOKUP($C65,powerrank2017!$C$2:$I$69,5,FALSE))</f>
        <v>4.7136678129411908E-6</v>
      </c>
      <c r="H65" s="7">
        <f>SUM($Z$25*VLOOKUP($C65,'fte2017'!$D$2:$K$69,7,FALSE),$AA$25*VLOOKUP($C65,kenpom2017!$C$2:$I$69,6,FALSE),$AC$25*VLOOKUP($C65,chalk2017!$C$2:$I$69,6,FALSE),$AB$25*VLOOKUP($C65,powerrank2017!$C$2:$I$69,6,FALSE))</f>
        <v>5.5603369888734357E-7</v>
      </c>
      <c r="I65" s="7">
        <f>SUM($Z$26*VLOOKUP($C65,'fte2017'!$D$2:$K$69,8,FALSE),$AA$26*VLOOKUP($C65,kenpom2017!$C$2:$I$69,7,FALSE),$AC$26*VLOOKUP($C65,chalk2017!$C$2:$I$69,7,FALSE),$AB$26*VLOOKUP($C65,powerrank2017!$C$2:$I$69,7,FALSE))</f>
        <v>5.1911513888888891E-8</v>
      </c>
      <c r="J65" s="8">
        <f>SUM(D65:I65)*A65</f>
        <v>0.30855726661968957</v>
      </c>
    </row>
    <row r="66" spans="1:10" x14ac:dyDescent="0.2">
      <c r="A66">
        <v>16</v>
      </c>
      <c r="B66" t="s">
        <v>20</v>
      </c>
      <c r="C66" t="s">
        <v>81</v>
      </c>
      <c r="D66" s="7">
        <f>SUM($Z$21*VLOOKUP($C66,'fte2017'!$D$2:$K$69,3,FALSE),$AA$21*VLOOKUP($C66,kenpom2017!$C$2:$I$69,2,FALSE),$AC$21*VLOOKUP($C66,chalk2017!$C$2:$I$69,2,FALSE),$AB$21*VLOOKUP($C66,powerrank2017!$C$2:$I$69,2,FALSE))</f>
        <v>1.2790807085731869E-2</v>
      </c>
      <c r="E66" s="7">
        <f>SUM($Z$22*VLOOKUP($C66,'fte2017'!$D$2:$K$69,4,FALSE),$AA$22*VLOOKUP($C66,kenpom2017!$C$2:$I$69,3,FALSE),$AC$22*VLOOKUP($C66,chalk2017!$C$2:$I$69,3,FALSE),$AB$22*VLOOKUP($C66,powerrank2017!$C$2:$I$69,3,FALSE))</f>
        <v>2.0563260523873438E-3</v>
      </c>
      <c r="F66" s="7">
        <f>SUM($Z$23*VLOOKUP($C66,'fte2017'!$D$2:$K$69,5,FALSE),$AA$23*VLOOKUP($C66,kenpom2017!$C$2:$I$69,4,FALSE),$AC$23*VLOOKUP($C66,chalk2017!$C$2:$I$69,4,FALSE),$AB$23*VLOOKUP($C66,powerrank2017!$C$2:$I$69,4,FALSE))</f>
        <v>1.7570488933798056E-4</v>
      </c>
      <c r="G66" s="7">
        <f>SUM($Z$24*VLOOKUP($C66,'fte2017'!$D$2:$K$69,6,FALSE),$AA$24*VLOOKUP($C66,kenpom2017!$C$2:$I$69,5,FALSE),$AC$24*VLOOKUP($C66,chalk2017!$C$2:$I$69,5,FALSE),$AB$24*VLOOKUP($C66,powerrank2017!$C$2:$I$69,5,FALSE))</f>
        <v>1.038798443637676E-5</v>
      </c>
      <c r="H66" s="7">
        <f>SUM($Z$25*VLOOKUP($C66,'fte2017'!$D$2:$K$69,7,FALSE),$AA$25*VLOOKUP($C66,kenpom2017!$C$2:$I$69,6,FALSE),$AC$25*VLOOKUP($C66,chalk2017!$C$2:$I$69,6,FALSE),$AB$25*VLOOKUP($C66,powerrank2017!$C$2:$I$69,6,FALSE))</f>
        <v>1.2390861036161335E-6</v>
      </c>
      <c r="I66" s="7">
        <f>SUM($Z$26*VLOOKUP($C66,'fte2017'!$D$2:$K$69,8,FALSE),$AA$26*VLOOKUP($C66,kenpom2017!$C$2:$I$69,7,FALSE),$AC$26*VLOOKUP($C66,chalk2017!$C$2:$I$69,7,FALSE),$AB$26*VLOOKUP($C66,powerrank2017!$C$2:$I$69,7,FALSE))</f>
        <v>1.7653085416666668E-7</v>
      </c>
      <c r="J66" s="8">
        <f>SUM(D66:I66)*A66</f>
        <v>0.24055426606162164</v>
      </c>
    </row>
    <row r="67" spans="1:10" x14ac:dyDescent="0.2">
      <c r="A67">
        <v>16</v>
      </c>
      <c r="B67" t="s">
        <v>18</v>
      </c>
      <c r="C67" s="4" t="s">
        <v>88</v>
      </c>
      <c r="D67" s="7">
        <f>SUM($Z$21*VLOOKUP($C67,'fte2017'!$D$2:$K$69,3,FALSE),$AA$21*VLOOKUP($C67,kenpom2017!$C$2:$I$69,2,FALSE),$AC$21*VLOOKUP($C67,chalk2017!$C$2:$I$69,2,FALSE),$AB$21*VLOOKUP($C67,powerrank2017!$C$2:$I$69,2,FALSE))</f>
        <v>9.1849591774472751E-3</v>
      </c>
      <c r="E67" s="7">
        <f>SUM($Z$22*VLOOKUP($C67,'fte2017'!$D$2:$K$69,4,FALSE),$AA$22*VLOOKUP($C67,kenpom2017!$C$2:$I$69,3,FALSE),$AC$22*VLOOKUP($C67,chalk2017!$C$2:$I$69,3,FALSE),$AB$22*VLOOKUP($C67,powerrank2017!$C$2:$I$69,3,FALSE))</f>
        <v>1.0985414695762223E-3</v>
      </c>
      <c r="F67" s="7">
        <f>SUM($Z$23*VLOOKUP($C67,'fte2017'!$D$2:$K$69,5,FALSE),$AA$23*VLOOKUP($C67,kenpom2017!$C$2:$I$69,4,FALSE),$AC$23*VLOOKUP($C67,chalk2017!$C$2:$I$69,4,FALSE),$AB$23*VLOOKUP($C67,powerrank2017!$C$2:$I$69,4,FALSE))</f>
        <v>8.622604268821292E-5</v>
      </c>
      <c r="G67" s="7">
        <f>SUM($Z$24*VLOOKUP($C67,'fte2017'!$D$2:$K$69,6,FALSE),$AA$24*VLOOKUP($C67,kenpom2017!$C$2:$I$69,5,FALSE),$AC$24*VLOOKUP($C67,chalk2017!$C$2:$I$69,5,FALSE),$AB$24*VLOOKUP($C67,powerrank2017!$C$2:$I$69,5,FALSE))</f>
        <v>7.6850365732269791E-6</v>
      </c>
      <c r="H67" s="7">
        <f>SUM($Z$25*VLOOKUP($C67,'fte2017'!$D$2:$K$69,7,FALSE),$AA$25*VLOOKUP($C67,kenpom2017!$C$2:$I$69,6,FALSE),$AC$25*VLOOKUP($C67,chalk2017!$C$2:$I$69,6,FALSE),$AB$25*VLOOKUP($C67,powerrank2017!$C$2:$I$69,6,FALSE))</f>
        <v>3.2026492350486785E-8</v>
      </c>
      <c r="I67" s="7">
        <f>SUM($Z$26*VLOOKUP($C67,'fte2017'!$D$2:$K$69,8,FALSE),$AA$26*VLOOKUP($C67,kenpom2017!$C$2:$I$69,7,FALSE),$AC$26*VLOOKUP($C67,chalk2017!$C$2:$I$69,7,FALSE),$AB$26*VLOOKUP($C67,powerrank2017!$C$2:$I$69,7,FALSE))</f>
        <v>3.3837013888888892E-9</v>
      </c>
      <c r="J67" s="8">
        <f>SUM(D67:I67)*A67</f>
        <v>0.16603915418365883</v>
      </c>
    </row>
    <row r="68" spans="1:10" x14ac:dyDescent="0.2">
      <c r="A68">
        <v>16</v>
      </c>
      <c r="B68" t="s">
        <v>22</v>
      </c>
      <c r="C68" s="3" t="s">
        <v>86</v>
      </c>
      <c r="D68" s="7">
        <f>SUM($Z$21*VLOOKUP($C68,'fte2017'!$D$2:$K$69,3,FALSE),$AA$21*VLOOKUP($C68,kenpom2017!$C$2:$I$69,2,FALSE),$AC$21*VLOOKUP($C68,chalk2017!$C$2:$I$69,2,FALSE),$AB$21*VLOOKUP($C68,powerrank2017!$C$2:$I$69,2,FALSE))</f>
        <v>6.2590144918024306E-3</v>
      </c>
      <c r="E68" s="7">
        <f>SUM($Z$22*VLOOKUP($C68,'fte2017'!$D$2:$K$69,4,FALSE),$AA$22*VLOOKUP($C68,kenpom2017!$C$2:$I$69,3,FALSE),$AC$22*VLOOKUP($C68,chalk2017!$C$2:$I$69,3,FALSE),$AB$22*VLOOKUP($C68,powerrank2017!$C$2:$I$69,3,FALSE))</f>
        <v>5.8813884450239682E-4</v>
      </c>
      <c r="F68" s="7">
        <f>SUM($Z$23*VLOOKUP($C68,'fte2017'!$D$2:$K$69,5,FALSE),$AA$23*VLOOKUP($C68,kenpom2017!$C$2:$I$69,4,FALSE),$AC$23*VLOOKUP($C68,chalk2017!$C$2:$I$69,4,FALSE),$AB$23*VLOOKUP($C68,powerrank2017!$C$2:$I$69,4,FALSE))</f>
        <v>1.4969359108576258E-5</v>
      </c>
      <c r="G68" s="7">
        <f>SUM($Z$24*VLOOKUP($C68,'fte2017'!$D$2:$K$69,6,FALSE),$AA$24*VLOOKUP($C68,kenpom2017!$C$2:$I$69,5,FALSE),$AC$24*VLOOKUP($C68,chalk2017!$C$2:$I$69,5,FALSE),$AB$24*VLOOKUP($C68,powerrank2017!$C$2:$I$69,5,FALSE))</f>
        <v>8.7150305905381774E-7</v>
      </c>
      <c r="H68" s="7">
        <f>SUM($Z$25*VLOOKUP($C68,'fte2017'!$D$2:$K$69,7,FALSE),$AA$25*VLOOKUP($C68,kenpom2017!$C$2:$I$69,6,FALSE),$AC$25*VLOOKUP($C68,chalk2017!$C$2:$I$69,6,FALSE),$AB$25*VLOOKUP($C68,powerrank2017!$C$2:$I$69,6,FALSE))</f>
        <v>1.2309673157162726E-7</v>
      </c>
      <c r="I68" s="7">
        <f>SUM($Z$26*VLOOKUP($C68,'fte2017'!$D$2:$K$69,8,FALSE),$AA$26*VLOOKUP($C68,kenpom2017!$C$2:$I$69,7,FALSE),$AC$26*VLOOKUP($C68,chalk2017!$C$2:$I$69,7,FALSE),$AB$26*VLOOKUP($C68,powerrank2017!$C$2:$I$69,7,FALSE))</f>
        <v>1.3580541666666668E-8</v>
      </c>
      <c r="J68" s="8">
        <f>SUM(D68:I68)*A68</f>
        <v>0.10981009401193115</v>
      </c>
    </row>
    <row r="69" spans="1:10" x14ac:dyDescent="0.2">
      <c r="A69">
        <v>16</v>
      </c>
      <c r="B69" t="s">
        <v>18</v>
      </c>
      <c r="C69" s="4" t="s">
        <v>87</v>
      </c>
      <c r="D69" s="7">
        <f>SUM($Z$21*VLOOKUP($C69,'fte2017'!$D$2:$K$69,3,FALSE),$AA$21*VLOOKUP($C69,kenpom2017!$C$2:$I$69,2,FALSE),$AC$21*VLOOKUP($C69,chalk2017!$C$2:$I$69,2,FALSE),$AB$21*VLOOKUP($C69,powerrank2017!$C$2:$I$69,2,FALSE))</f>
        <v>5.9446929195178366E-3</v>
      </c>
      <c r="E69" s="7">
        <f>SUM($Z$22*VLOOKUP($C69,'fte2017'!$D$2:$K$69,4,FALSE),$AA$22*VLOOKUP($C69,kenpom2017!$C$2:$I$69,3,FALSE),$AC$22*VLOOKUP($C69,chalk2017!$C$2:$I$69,3,FALSE),$AB$22*VLOOKUP($C69,powerrank2017!$C$2:$I$69,3,FALSE))</f>
        <v>5.1794125505656751E-4</v>
      </c>
      <c r="F69" s="7">
        <f>SUM($Z$23*VLOOKUP($C69,'fte2017'!$D$2:$K$69,5,FALSE),$AA$23*VLOOKUP($C69,kenpom2017!$C$2:$I$69,4,FALSE),$AC$23*VLOOKUP($C69,chalk2017!$C$2:$I$69,4,FALSE),$AB$23*VLOOKUP($C69,powerrank2017!$C$2:$I$69,4,FALSE))</f>
        <v>1.6172652817068019E-5</v>
      </c>
      <c r="G69" s="7">
        <f>SUM($Z$24*VLOOKUP($C69,'fte2017'!$D$2:$K$69,6,FALSE),$AA$24*VLOOKUP($C69,kenpom2017!$C$2:$I$69,5,FALSE),$AC$24*VLOOKUP($C69,chalk2017!$C$2:$I$69,5,FALSE),$AB$24*VLOOKUP($C69,powerrank2017!$C$2:$I$69,5,FALSE))</f>
        <v>8.7008361183767841E-7</v>
      </c>
      <c r="H69" s="7">
        <f>SUM($Z$25*VLOOKUP($C69,'fte2017'!$D$2:$K$69,7,FALSE),$AA$25*VLOOKUP($C69,kenpom2017!$C$2:$I$69,6,FALSE),$AC$25*VLOOKUP($C69,chalk2017!$C$2:$I$69,6,FALSE),$AB$25*VLOOKUP($C69,powerrank2017!$C$2:$I$69,6,FALSE))</f>
        <v>7.9413635605006953E-8</v>
      </c>
      <c r="I69" s="7">
        <f>SUM($Z$26*VLOOKUP($C69,'fte2017'!$D$2:$K$69,8,FALSE),$AA$26*VLOOKUP($C69,kenpom2017!$C$2:$I$69,7,FALSE),$AC$26*VLOOKUP($C69,chalk2017!$C$2:$I$69,7,FALSE),$AB$26*VLOOKUP($C69,powerrank2017!$C$2:$I$69,7,FALSE))</f>
        <v>7.9097777777777793E-9</v>
      </c>
      <c r="J69" s="8">
        <f>SUM(D69:I69)*A69</f>
        <v>0.10367622775066708</v>
      </c>
    </row>
  </sheetData>
  <sortState ref="N2:O11">
    <sortCondition ref="O2:O11"/>
  </sortState>
  <mergeCells count="1">
    <mergeCell ref="R19:T19"/>
  </mergeCells>
  <conditionalFormatting sqref="R21:U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U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:U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:U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:U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U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1:AC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:AC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3:A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:A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5:AC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6:A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I6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19" workbookViewId="0">
      <selection activeCell="F2" sqref="F2"/>
    </sheetView>
  </sheetViews>
  <sheetFormatPr baseColWidth="10" defaultColWidth="8.83203125" defaultRowHeight="15" x14ac:dyDescent="0.2"/>
  <cols>
    <col min="14" max="14" width="14.5" bestFit="1" customWidth="1"/>
  </cols>
  <sheetData>
    <row r="1" spans="1:19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K1" t="s">
        <v>116</v>
      </c>
      <c r="R1" t="s">
        <v>93</v>
      </c>
      <c r="S1" t="s">
        <v>116</v>
      </c>
    </row>
    <row r="2" spans="1:19" x14ac:dyDescent="0.2">
      <c r="A2">
        <v>1</v>
      </c>
      <c r="B2" t="s">
        <v>18</v>
      </c>
      <c r="C2" t="s">
        <v>17</v>
      </c>
      <c r="D2" s="7">
        <f>VLOOKUP($C2,'fte2017'!$D$2:$K$69,3,FALSE)-VLOOKUP($C2,kenpom2017!$C$2:$I$69,2,FALSE)</f>
        <v>1.9632001748000061E-2</v>
      </c>
      <c r="E2" s="7">
        <f>VLOOKUP($C2,'fte2017'!$D$2:$K$69,4,FALSE)-VLOOKUP($C2,kenpom2017!$C$2:$I$69,3,FALSE)</f>
        <v>0.10122130668899998</v>
      </c>
      <c r="F2" s="7">
        <f>VLOOKUP($C2,'fte2017'!$D$2:$K$69,5,FALSE)-VLOOKUP($C2,kenpom2017!$C$2:$I$69,4,FALSE)</f>
        <v>0.15520600398599999</v>
      </c>
      <c r="G2" s="7">
        <f>VLOOKUP($C2,'fte2017'!$D$2:$K$69,6,FALSE)-VLOOKUP($C2,kenpom2017!$C$2:$I$69,5,FALSE)</f>
        <v>0.11873709175899999</v>
      </c>
      <c r="H2" s="7">
        <f>VLOOKUP($C2,'fte2017'!$D$2:$K$69,7,FALSE)-VLOOKUP($C2,kenpom2017!$C$2:$I$69,6,FALSE)</f>
        <v>8.1125213558000009E-2</v>
      </c>
      <c r="I2" s="7">
        <f>VLOOKUP($C2,'fte2017'!$D$2:$K$69,8,FALSE)-VLOOKUP($C2,kenpom2017!$C$2:$I$69,7,FALSE)</f>
        <v>4.9953842962000006E-2</v>
      </c>
      <c r="J2" s="7"/>
      <c r="K2" s="7">
        <f>SUM(D2:I2)</f>
        <v>0.52587546070199997</v>
      </c>
      <c r="M2" t="s">
        <v>112</v>
      </c>
      <c r="N2" t="s">
        <v>114</v>
      </c>
      <c r="R2" t="s">
        <v>21</v>
      </c>
      <c r="S2" s="7">
        <v>0.58618282656599996</v>
      </c>
    </row>
    <row r="3" spans="1:19" x14ac:dyDescent="0.2">
      <c r="A3">
        <v>2</v>
      </c>
      <c r="B3" t="s">
        <v>18</v>
      </c>
      <c r="C3" t="s">
        <v>26</v>
      </c>
      <c r="D3" s="7">
        <f>VLOOKUP($C3,'fte2017'!$D$2:$K$69,3,FALSE)-VLOOKUP($C3,kenpom2017!$C$2:$I$69,2,FALSE)</f>
        <v>4.9903494343999988E-2</v>
      </c>
      <c r="E3" s="7">
        <f>VLOOKUP($C3,'fte2017'!$D$2:$K$69,4,FALSE)-VLOOKUP($C3,kenpom2017!$C$2:$I$69,3,FALSE)</f>
        <v>0.15086968716000004</v>
      </c>
      <c r="F3" s="7">
        <f>VLOOKUP($C3,'fte2017'!$D$2:$K$69,5,FALSE)-VLOOKUP($C3,kenpom2017!$C$2:$I$69,4,FALSE)</f>
        <v>0.17511610707300002</v>
      </c>
      <c r="G3" s="7">
        <f>VLOOKUP($C3,'fte2017'!$D$2:$K$69,6,FALSE)-VLOOKUP($C3,kenpom2017!$C$2:$I$69,5,FALSE)</f>
        <v>8.6574933871999993E-2</v>
      </c>
      <c r="H3" s="7">
        <f>VLOOKUP($C3,'fte2017'!$D$2:$K$69,7,FALSE)-VLOOKUP($C3,kenpom2017!$C$2:$I$69,6,FALSE)</f>
        <v>5.7114058189999997E-2</v>
      </c>
      <c r="I3" s="7">
        <f>VLOOKUP($C3,'fte2017'!$D$2:$K$69,8,FALSE)-VLOOKUP($C3,kenpom2017!$C$2:$I$69,7,FALSE)</f>
        <v>3.4660797637999993E-2</v>
      </c>
      <c r="J3" s="7"/>
      <c r="K3" s="7">
        <f t="shared" ref="K3:K66" si="0">SUM(D3:I3)</f>
        <v>0.55423907827700003</v>
      </c>
      <c r="M3" t="s">
        <v>113</v>
      </c>
      <c r="N3" t="s">
        <v>115</v>
      </c>
      <c r="R3" t="s">
        <v>26</v>
      </c>
      <c r="S3" s="7">
        <v>0.55423907827700003</v>
      </c>
    </row>
    <row r="4" spans="1:19" x14ac:dyDescent="0.2">
      <c r="A4">
        <v>3</v>
      </c>
      <c r="B4" t="s">
        <v>18</v>
      </c>
      <c r="C4" t="s">
        <v>37</v>
      </c>
      <c r="D4" s="7">
        <f>VLOOKUP($C4,'fte2017'!$D$2:$K$69,3,FALSE)-VLOOKUP($C4,kenpom2017!$C$2:$I$69,2,FALSE)</f>
        <v>6.2498884911000085E-2</v>
      </c>
      <c r="E4" s="7">
        <f>VLOOKUP($C4,'fte2017'!$D$2:$K$69,4,FALSE)-VLOOKUP($C4,kenpom2017!$C$2:$I$69,3,FALSE)</f>
        <v>-8.385685264999998E-3</v>
      </c>
      <c r="F4" s="7">
        <f>VLOOKUP($C4,'fte2017'!$D$2:$K$69,5,FALSE)-VLOOKUP($C4,kenpom2017!$C$2:$I$69,4,FALSE)</f>
        <v>-7.6573477489000008E-2</v>
      </c>
      <c r="G4" s="7">
        <f>VLOOKUP($C4,'fte2017'!$D$2:$K$69,6,FALSE)-VLOOKUP($C4,kenpom2017!$C$2:$I$69,5,FALSE)</f>
        <v>-5.4717365061000015E-2</v>
      </c>
      <c r="H4" s="7">
        <f>VLOOKUP($C4,'fte2017'!$D$2:$K$69,7,FALSE)-VLOOKUP($C4,kenpom2017!$C$2:$I$69,6,FALSE)</f>
        <v>-2.3130461126000004E-2</v>
      </c>
      <c r="I4" s="7">
        <f>VLOOKUP($C4,'fte2017'!$D$2:$K$69,8,FALSE)-VLOOKUP($C4,kenpom2017!$C$2:$I$69,7,FALSE)</f>
        <v>-1.1018082152000001E-2</v>
      </c>
      <c r="J4" s="7"/>
      <c r="K4" s="7">
        <f t="shared" si="0"/>
        <v>-0.11132618618199994</v>
      </c>
      <c r="R4" t="s">
        <v>17</v>
      </c>
      <c r="S4" s="7">
        <v>0.52587546070199997</v>
      </c>
    </row>
    <row r="5" spans="1:19" x14ac:dyDescent="0.2">
      <c r="A5">
        <v>4</v>
      </c>
      <c r="B5" t="s">
        <v>18</v>
      </c>
      <c r="C5" t="s">
        <v>40</v>
      </c>
      <c r="D5" s="7">
        <f>VLOOKUP($C5,'fte2017'!$D$2:$K$69,3,FALSE)-VLOOKUP($C5,kenpom2017!$C$2:$I$69,2,FALSE)</f>
        <v>4.5918052376999974E-2</v>
      </c>
      <c r="E5" s="7">
        <f>VLOOKUP($C5,'fte2017'!$D$2:$K$69,4,FALSE)-VLOOKUP($C5,kenpom2017!$C$2:$I$69,3,FALSE)</f>
        <v>-2.3429874899000003E-2</v>
      </c>
      <c r="F5" s="7">
        <f>VLOOKUP($C5,'fte2017'!$D$2:$K$69,5,FALSE)-VLOOKUP($C5,kenpom2017!$C$2:$I$69,4,FALSE)</f>
        <v>-9.3494089820999993E-2</v>
      </c>
      <c r="G5" s="7">
        <f>VLOOKUP($C5,'fte2017'!$D$2:$K$69,6,FALSE)-VLOOKUP($C5,kenpom2017!$C$2:$I$69,5,FALSE)</f>
        <v>-6.5659441222000015E-2</v>
      </c>
      <c r="H5" s="7">
        <f>VLOOKUP($C5,'fte2017'!$D$2:$K$69,7,FALSE)-VLOOKUP($C5,kenpom2017!$C$2:$I$69,6,FALSE)</f>
        <v>-3.3445368868000001E-2</v>
      </c>
      <c r="I5" s="7">
        <f>VLOOKUP($C5,'fte2017'!$D$2:$K$69,8,FALSE)-VLOOKUP($C5,kenpom2017!$C$2:$I$69,7,FALSE)</f>
        <v>-1.9435078926999999E-2</v>
      </c>
      <c r="J5" s="7"/>
      <c r="K5" s="7">
        <f t="shared" si="0"/>
        <v>-0.18954580136000004</v>
      </c>
      <c r="R5" t="s">
        <v>23</v>
      </c>
      <c r="S5" s="7">
        <v>0.40685352124000002</v>
      </c>
    </row>
    <row r="6" spans="1:19" x14ac:dyDescent="0.2">
      <c r="A6">
        <v>5</v>
      </c>
      <c r="B6" t="s">
        <v>18</v>
      </c>
      <c r="C6" t="s">
        <v>31</v>
      </c>
      <c r="D6" s="7">
        <f>VLOOKUP($C6,'fte2017'!$D$2:$K$69,3,FALSE)-VLOOKUP($C6,kenpom2017!$C$2:$I$69,2,FALSE)</f>
        <v>5.9766911500999997E-2</v>
      </c>
      <c r="E6" s="7">
        <f>VLOOKUP($C6,'fte2017'!$D$2:$K$69,4,FALSE)-VLOOKUP($C6,kenpom2017!$C$2:$I$69,3,FALSE)</f>
        <v>5.6577690560000005E-2</v>
      </c>
      <c r="F6" s="7">
        <f>VLOOKUP($C6,'fte2017'!$D$2:$K$69,5,FALSE)-VLOOKUP($C6,kenpom2017!$C$2:$I$69,4,FALSE)</f>
        <v>-3.0281751052999989E-2</v>
      </c>
      <c r="G6" s="7">
        <f>VLOOKUP($C6,'fte2017'!$D$2:$K$69,6,FALSE)-VLOOKUP($C6,kenpom2017!$C$2:$I$69,5,FALSE)</f>
        <v>-2.0042969127999993E-2</v>
      </c>
      <c r="H6" s="7">
        <f>VLOOKUP($C6,'fte2017'!$D$2:$K$69,7,FALSE)-VLOOKUP($C6,kenpom2017!$C$2:$I$69,6,FALSE)</f>
        <v>-7.6869021980000007E-3</v>
      </c>
      <c r="I6" s="7">
        <f>VLOOKUP($C6,'fte2017'!$D$2:$K$69,8,FALSE)-VLOOKUP($C6,kenpom2017!$C$2:$I$69,7,FALSE)</f>
        <v>-4.1701155319999982E-3</v>
      </c>
      <c r="J6" s="7"/>
      <c r="K6" s="7">
        <f t="shared" si="0"/>
        <v>5.4162864150000017E-2</v>
      </c>
      <c r="R6" t="s">
        <v>28</v>
      </c>
      <c r="S6" s="7">
        <v>0.34587240260499996</v>
      </c>
    </row>
    <row r="7" spans="1:19" x14ac:dyDescent="0.2">
      <c r="A7">
        <v>6</v>
      </c>
      <c r="B7" t="s">
        <v>18</v>
      </c>
      <c r="C7" t="s">
        <v>35</v>
      </c>
      <c r="D7" s="7">
        <f>VLOOKUP($C7,'fte2017'!$D$2:$K$69,3,FALSE)-VLOOKUP($C7,kenpom2017!$C$2:$I$69,2,FALSE)</f>
        <v>2.264169630699997E-2</v>
      </c>
      <c r="E7" s="7">
        <f>VLOOKUP($C7,'fte2017'!$D$2:$K$69,4,FALSE)-VLOOKUP($C7,kenpom2017!$C$2:$I$69,3,FALSE)</f>
        <v>2.7299666333000017E-2</v>
      </c>
      <c r="F7" s="7">
        <f>VLOOKUP($C7,'fte2017'!$D$2:$K$69,5,FALSE)-VLOOKUP($C7,kenpom2017!$C$2:$I$69,4,FALSE)</f>
        <v>-4.6096264969999995E-2</v>
      </c>
      <c r="G7" s="7">
        <f>VLOOKUP($C7,'fte2017'!$D$2:$K$69,6,FALSE)-VLOOKUP($C7,kenpom2017!$C$2:$I$69,5,FALSE)</f>
        <v>-3.8288724097000001E-2</v>
      </c>
      <c r="H7" s="7">
        <f>VLOOKUP($C7,'fte2017'!$D$2:$K$69,7,FALSE)-VLOOKUP($C7,kenpom2017!$C$2:$I$69,6,FALSE)</f>
        <v>-1.5370729210000003E-2</v>
      </c>
      <c r="I7" s="7">
        <f>VLOOKUP($C7,'fte2017'!$D$2:$K$69,8,FALSE)-VLOOKUP($C7,kenpom2017!$C$2:$I$69,7,FALSE)</f>
        <v>-7.095879753000002E-3</v>
      </c>
      <c r="J7" s="7"/>
      <c r="K7" s="7">
        <f t="shared" si="0"/>
        <v>-5.6910235390000015E-2</v>
      </c>
      <c r="R7" t="s">
        <v>27</v>
      </c>
      <c r="S7" s="7">
        <v>0.2648391737000001</v>
      </c>
    </row>
    <row r="8" spans="1:19" x14ac:dyDescent="0.2">
      <c r="A8">
        <v>7</v>
      </c>
      <c r="B8" t="s">
        <v>18</v>
      </c>
      <c r="C8" t="s">
        <v>53</v>
      </c>
      <c r="D8" s="7">
        <f>VLOOKUP($C8,'fte2017'!$D$2:$K$69,3,FALSE)-VLOOKUP($C8,kenpom2017!$C$2:$I$69,2,FALSE)</f>
        <v>7.9264572844000014E-2</v>
      </c>
      <c r="E8" s="7">
        <f>VLOOKUP($C8,'fte2017'!$D$2:$K$69,4,FALSE)-VLOOKUP($C8,kenpom2017!$C$2:$I$69,3,FALSE)</f>
        <v>-4.3115646860000023E-2</v>
      </c>
      <c r="F8" s="7">
        <f>VLOOKUP($C8,'fte2017'!$D$2:$K$69,5,FALSE)-VLOOKUP($C8,kenpom2017!$C$2:$I$69,4,FALSE)</f>
        <v>-1.4567551307999999E-2</v>
      </c>
      <c r="G8" s="7">
        <f>VLOOKUP($C8,'fte2017'!$D$2:$K$69,6,FALSE)-VLOOKUP($C8,kenpom2017!$C$2:$I$69,5,FALSE)</f>
        <v>-6.1734375470000012E-3</v>
      </c>
      <c r="H8" s="7">
        <f>VLOOKUP($C8,'fte2017'!$D$2:$K$69,7,FALSE)-VLOOKUP($C8,kenpom2017!$C$2:$I$69,6,FALSE)</f>
        <v>-8.2178174400000022E-4</v>
      </c>
      <c r="I8" s="7">
        <f>VLOOKUP($C8,'fte2017'!$D$2:$K$69,8,FALSE)-VLOOKUP($C8,kenpom2017!$C$2:$I$69,7,FALSE)</f>
        <v>6.4459180999999928E-5</v>
      </c>
      <c r="J8" s="7"/>
      <c r="K8" s="7">
        <f t="shared" si="0"/>
        <v>1.4650614565999989E-2</v>
      </c>
      <c r="R8" t="s">
        <v>39</v>
      </c>
      <c r="S8" s="7">
        <v>0.165012529322</v>
      </c>
    </row>
    <row r="9" spans="1:19" x14ac:dyDescent="0.2">
      <c r="A9">
        <v>8</v>
      </c>
      <c r="B9" t="s">
        <v>18</v>
      </c>
      <c r="C9" t="s">
        <v>43</v>
      </c>
      <c r="D9" s="7">
        <f>VLOOKUP($C9,'fte2017'!$D$2:$K$69,3,FALSE)-VLOOKUP($C9,kenpom2017!$C$2:$I$69,2,FALSE)</f>
        <v>0.12479804093899993</v>
      </c>
      <c r="E9" s="7">
        <f>VLOOKUP($C9,'fte2017'!$D$2:$K$69,4,FALSE)-VLOOKUP($C9,kenpom2017!$C$2:$I$69,3,FALSE)</f>
        <v>-5.0785803112999989E-2</v>
      </c>
      <c r="F9" s="7">
        <f>VLOOKUP($C9,'fte2017'!$D$2:$K$69,5,FALSE)-VLOOKUP($C9,kenpom2017!$C$2:$I$69,4,FALSE)</f>
        <v>-8.2443480180000028E-3</v>
      </c>
      <c r="G9" s="7">
        <f>VLOOKUP($C9,'fte2017'!$D$2:$K$69,6,FALSE)-VLOOKUP($C9,kenpom2017!$C$2:$I$69,5,FALSE)</f>
        <v>-3.8975807370000004E-3</v>
      </c>
      <c r="H9" s="7">
        <f>VLOOKUP($C9,'fte2017'!$D$2:$K$69,7,FALSE)-VLOOKUP($C9,kenpom2017!$C$2:$I$69,6,FALSE)</f>
        <v>1.314220583999999E-3</v>
      </c>
      <c r="I9" s="7">
        <f>VLOOKUP($C9,'fte2017'!$D$2:$K$69,8,FALSE)-VLOOKUP($C9,kenpom2017!$C$2:$I$69,7,FALSE)</f>
        <v>1.1538209380000004E-3</v>
      </c>
      <c r="J9" s="7"/>
      <c r="K9" s="7">
        <f t="shared" si="0"/>
        <v>6.4338350592999929E-2</v>
      </c>
      <c r="R9" t="s">
        <v>44</v>
      </c>
      <c r="S9" s="7">
        <v>0.13049640706799998</v>
      </c>
    </row>
    <row r="10" spans="1:19" x14ac:dyDescent="0.2">
      <c r="A10">
        <v>9</v>
      </c>
      <c r="B10" t="s">
        <v>18</v>
      </c>
      <c r="C10" t="s">
        <v>70</v>
      </c>
      <c r="D10" s="7">
        <f>VLOOKUP($C10,'fte2017'!$D$2:$K$69,3,FALSE)-VLOOKUP($C10,kenpom2017!$C$2:$I$69,2,FALSE)</f>
        <v>-0.12479804093900002</v>
      </c>
      <c r="E10" s="7">
        <f>VLOOKUP($C10,'fte2017'!$D$2:$K$69,4,FALSE)-VLOOKUP($C10,kenpom2017!$C$2:$I$69,3,FALSE)</f>
        <v>-4.7527808922000009E-2</v>
      </c>
      <c r="F10" s="7">
        <f>VLOOKUP($C10,'fte2017'!$D$2:$K$69,5,FALSE)-VLOOKUP($C10,kenpom2017!$C$2:$I$69,4,FALSE)</f>
        <v>-1.3723904682E-2</v>
      </c>
      <c r="G10" s="7">
        <f>VLOOKUP($C10,'fte2017'!$D$2:$K$69,6,FALSE)-VLOOKUP($C10,kenpom2017!$C$2:$I$69,5,FALSE)</f>
        <v>-4.6332328550000006E-3</v>
      </c>
      <c r="H10" s="7">
        <f>VLOOKUP($C10,'fte2017'!$D$2:$K$69,7,FALSE)-VLOOKUP($C10,kenpom2017!$C$2:$I$69,6,FALSE)</f>
        <v>-6.7861475400000004E-4</v>
      </c>
      <c r="I10" s="7">
        <f>VLOOKUP($C10,'fte2017'!$D$2:$K$69,8,FALSE)-VLOOKUP($C10,kenpom2017!$C$2:$I$69,7,FALSE)</f>
        <v>-3.1156609700000004E-4</v>
      </c>
      <c r="J10" s="7"/>
      <c r="K10" s="7">
        <f t="shared" si="0"/>
        <v>-0.19167316824900002</v>
      </c>
      <c r="R10" t="s">
        <v>30</v>
      </c>
      <c r="S10" s="7">
        <v>0.10870399005899992</v>
      </c>
    </row>
    <row r="11" spans="1:19" x14ac:dyDescent="0.2">
      <c r="A11">
        <v>10</v>
      </c>
      <c r="B11" t="s">
        <v>18</v>
      </c>
      <c r="C11" t="s">
        <v>56</v>
      </c>
      <c r="D11" s="7">
        <f>VLOOKUP($C11,'fte2017'!$D$2:$K$69,3,FALSE)-VLOOKUP($C11,kenpom2017!$C$2:$I$69,2,FALSE)</f>
        <v>-7.9264572844000014E-2</v>
      </c>
      <c r="E11" s="7">
        <f>VLOOKUP($C11,'fte2017'!$D$2:$K$69,4,FALSE)-VLOOKUP($C11,kenpom2017!$C$2:$I$69,3,FALSE)</f>
        <v>-9.8519671608000001E-2</v>
      </c>
      <c r="F11" s="7">
        <f>VLOOKUP($C11,'fte2017'!$D$2:$K$69,5,FALSE)-VLOOKUP($C11,kenpom2017!$C$2:$I$69,4,FALSE)</f>
        <v>-3.2953135636000004E-2</v>
      </c>
      <c r="G11" s="7">
        <f>VLOOKUP($C11,'fte2017'!$D$2:$K$69,6,FALSE)-VLOOKUP($C11,kenpom2017!$C$2:$I$69,5,FALSE)</f>
        <v>-1.0341910094E-2</v>
      </c>
      <c r="H11" s="7">
        <f>VLOOKUP($C11,'fte2017'!$D$2:$K$69,7,FALSE)-VLOOKUP($C11,kenpom2017!$C$2:$I$69,6,FALSE)</f>
        <v>-2.2252858999999999E-3</v>
      </c>
      <c r="I11" s="7">
        <f>VLOOKUP($C11,'fte2017'!$D$2:$K$69,8,FALSE)-VLOOKUP($C11,kenpom2017!$C$2:$I$69,7,FALSE)</f>
        <v>3.5428399999999378E-6</v>
      </c>
      <c r="J11" s="7"/>
      <c r="K11" s="7">
        <f t="shared" si="0"/>
        <v>-0.22330103324200004</v>
      </c>
      <c r="R11" t="s">
        <v>36</v>
      </c>
      <c r="S11" s="7">
        <v>8.7912711047000033E-2</v>
      </c>
    </row>
    <row r="12" spans="1:19" x14ac:dyDescent="0.2">
      <c r="A12">
        <v>11</v>
      </c>
      <c r="B12" t="s">
        <v>18</v>
      </c>
      <c r="C12" s="5" t="s">
        <v>65</v>
      </c>
      <c r="D12" s="7">
        <f>VLOOKUP($C12,'fte2017'!$D$2:$K$69,3,FALSE)-VLOOKUP($C12,kenpom2017!$C$2:$I$69,2,FALSE)</f>
        <v>-1.9716028629999938E-3</v>
      </c>
      <c r="E12" s="7">
        <f>VLOOKUP($C12,'fte2017'!$D$2:$K$69,4,FALSE)-VLOOKUP($C12,kenpom2017!$C$2:$I$69,3,FALSE)</f>
        <v>2.9130890930000042E-3</v>
      </c>
      <c r="F12" s="7">
        <f>VLOOKUP($C12,'fte2017'!$D$2:$K$69,5,FALSE)-VLOOKUP($C12,kenpom2017!$C$2:$I$69,4,FALSE)</f>
        <v>1.4386870379999982E-3</v>
      </c>
      <c r="G12" s="7">
        <f>VLOOKUP($C12,'fte2017'!$D$2:$K$69,6,FALSE)-VLOOKUP($C12,kenpom2017!$C$2:$I$69,5,FALSE)</f>
        <v>1.1377870710000001E-3</v>
      </c>
      <c r="H12" s="7">
        <f>VLOOKUP($C12,'fte2017'!$D$2:$K$69,7,FALSE)-VLOOKUP($C12,kenpom2017!$C$2:$I$69,6,FALSE)</f>
        <v>4.1561071200000004E-4</v>
      </c>
      <c r="I12" s="7">
        <f>VLOOKUP($C12,'fte2017'!$D$2:$K$69,8,FALSE)-VLOOKUP($C12,kenpom2017!$C$2:$I$69,7,FALSE)</f>
        <v>2.05046777E-4</v>
      </c>
      <c r="J12" s="7"/>
      <c r="K12" s="7">
        <f t="shared" si="0"/>
        <v>4.1386178280000087E-3</v>
      </c>
      <c r="R12" t="s">
        <v>55</v>
      </c>
      <c r="S12" s="7">
        <v>7.9198758652999968E-2</v>
      </c>
    </row>
    <row r="13" spans="1:19" x14ac:dyDescent="0.2">
      <c r="A13">
        <v>11</v>
      </c>
      <c r="B13" t="s">
        <v>18</v>
      </c>
      <c r="C13" s="5" t="s">
        <v>66</v>
      </c>
      <c r="D13" s="7">
        <f>VLOOKUP($C13,'fte2017'!$D$2:$K$69,3,FALSE)-VLOOKUP($C13,kenpom2017!$C$2:$I$69,2,FALSE)</f>
        <v>-2.0670093444000018E-2</v>
      </c>
      <c r="E13" s="7">
        <f>VLOOKUP($C13,'fte2017'!$D$2:$K$69,4,FALSE)-VLOOKUP($C13,kenpom2017!$C$2:$I$69,3,FALSE)</f>
        <v>-3.1863064460000007E-3</v>
      </c>
      <c r="F13" s="7">
        <f>VLOOKUP($C13,'fte2017'!$D$2:$K$69,5,FALSE)-VLOOKUP($C13,kenpom2017!$C$2:$I$69,4,FALSE)</f>
        <v>-7.0190328600000171E-4</v>
      </c>
      <c r="G13" s="7">
        <f>VLOOKUP($C13,'fte2017'!$D$2:$K$69,6,FALSE)-VLOOKUP($C13,kenpom2017!$C$2:$I$69,5,FALSE)</f>
        <v>-1.8088306999999946E-5</v>
      </c>
      <c r="H13" s="7">
        <f>VLOOKUP($C13,'fte2017'!$D$2:$K$69,7,FALSE)-VLOOKUP($C13,kenpom2017!$C$2:$I$69,6,FALSE)</f>
        <v>4.3599316500000002E-4</v>
      </c>
      <c r="I13" s="7">
        <f>VLOOKUP($C13,'fte2017'!$D$2:$K$69,8,FALSE)-VLOOKUP($C13,kenpom2017!$C$2:$I$69,7,FALSE)</f>
        <v>2.52564161E-4</v>
      </c>
      <c r="J13" s="7"/>
      <c r="K13" s="7">
        <f t="shared" si="0"/>
        <v>-2.3887834157000024E-2</v>
      </c>
      <c r="R13" t="s">
        <v>33</v>
      </c>
      <c r="S13" s="7">
        <v>7.2218920486000093E-2</v>
      </c>
    </row>
    <row r="14" spans="1:19" x14ac:dyDescent="0.2">
      <c r="A14">
        <v>12</v>
      </c>
      <c r="B14" t="s">
        <v>18</v>
      </c>
      <c r="C14" t="s">
        <v>69</v>
      </c>
      <c r="D14" s="7">
        <f>VLOOKUP($C14,'fte2017'!$D$2:$K$69,3,FALSE)-VLOOKUP($C14,kenpom2017!$C$2:$I$69,2,FALSE)</f>
        <v>-5.9766911500999997E-2</v>
      </c>
      <c r="E14" s="7">
        <f>VLOOKUP($C14,'fte2017'!$D$2:$K$69,4,FALSE)-VLOOKUP($C14,kenpom2017!$C$2:$I$69,3,FALSE)</f>
        <v>-1.0889303632999996E-2</v>
      </c>
      <c r="F14" s="7">
        <f>VLOOKUP($C14,'fte2017'!$D$2:$K$69,5,FALSE)-VLOOKUP($C14,kenpom2017!$C$2:$I$69,4,FALSE)</f>
        <v>-4.0123825290000002E-3</v>
      </c>
      <c r="G14" s="7">
        <f>VLOOKUP($C14,'fte2017'!$D$2:$K$69,6,FALSE)-VLOOKUP($C14,kenpom2017!$C$2:$I$69,5,FALSE)</f>
        <v>-4.2135601400000006E-4</v>
      </c>
      <c r="H14" s="7">
        <f>VLOOKUP($C14,'fte2017'!$D$2:$K$69,7,FALSE)-VLOOKUP($C14,kenpom2017!$C$2:$I$69,6,FALSE)</f>
        <v>-1.263972E-4</v>
      </c>
      <c r="I14" s="7">
        <f>VLOOKUP($C14,'fte2017'!$D$2:$K$69,8,FALSE)-VLOOKUP($C14,kenpom2017!$C$2:$I$69,7,FALSE)</f>
        <v>3.3394699999999994E-5</v>
      </c>
      <c r="J14" s="7"/>
      <c r="K14" s="7">
        <f t="shared" si="0"/>
        <v>-7.5182956177000007E-2</v>
      </c>
      <c r="R14" t="s">
        <v>43</v>
      </c>
      <c r="S14" s="7">
        <v>6.4338350592999929E-2</v>
      </c>
    </row>
    <row r="15" spans="1:19" x14ac:dyDescent="0.2">
      <c r="A15">
        <v>13</v>
      </c>
      <c r="B15" t="s">
        <v>18</v>
      </c>
      <c r="C15" t="s">
        <v>73</v>
      </c>
      <c r="D15" s="7">
        <f>VLOOKUP($C15,'fte2017'!$D$2:$K$69,3,FALSE)-VLOOKUP($C15,kenpom2017!$C$2:$I$69,2,FALSE)</f>
        <v>-4.5918052377000002E-2</v>
      </c>
      <c r="E15" s="7">
        <f>VLOOKUP($C15,'fte2017'!$D$2:$K$69,4,FALSE)-VLOOKUP($C15,kenpom2017!$C$2:$I$69,3,FALSE)</f>
        <v>-2.2258512027999999E-2</v>
      </c>
      <c r="F15" s="7">
        <f>VLOOKUP($C15,'fte2017'!$D$2:$K$69,5,FALSE)-VLOOKUP($C15,kenpom2017!$C$2:$I$69,4,FALSE)</f>
        <v>-5.5326984730000002E-3</v>
      </c>
      <c r="G15" s="7">
        <f>VLOOKUP($C15,'fte2017'!$D$2:$K$69,6,FALSE)-VLOOKUP($C15,kenpom2017!$C$2:$I$69,5,FALSE)</f>
        <v>-1.4831931060000001E-3</v>
      </c>
      <c r="H15" s="7">
        <f>VLOOKUP($C15,'fte2017'!$D$2:$K$69,7,FALSE)-VLOOKUP($C15,kenpom2017!$C$2:$I$69,6,FALSE)</f>
        <v>-1.9905616499999996E-4</v>
      </c>
      <c r="I15" s="7">
        <f>VLOOKUP($C15,'fte2017'!$D$2:$K$69,8,FALSE)-VLOOKUP($C15,kenpom2017!$C$2:$I$69,7,FALSE)</f>
        <v>-4.6492886000000012E-5</v>
      </c>
      <c r="J15" s="7"/>
      <c r="K15" s="7">
        <f t="shared" si="0"/>
        <v>-7.5438005035000005E-2</v>
      </c>
      <c r="R15" t="s">
        <v>45</v>
      </c>
      <c r="S15" s="7">
        <v>5.9760047240999911E-2</v>
      </c>
    </row>
    <row r="16" spans="1:19" x14ac:dyDescent="0.2">
      <c r="A16">
        <v>14</v>
      </c>
      <c r="B16" t="s">
        <v>18</v>
      </c>
      <c r="C16" t="s">
        <v>76</v>
      </c>
      <c r="D16" s="7">
        <f>VLOOKUP($C16,'fte2017'!$D$2:$K$69,3,FALSE)-VLOOKUP($C16,kenpom2017!$C$2:$I$69,2,FALSE)</f>
        <v>-6.2498884911000002E-2</v>
      </c>
      <c r="E16" s="7">
        <f>VLOOKUP($C16,'fte2017'!$D$2:$K$69,4,FALSE)-VLOOKUP($C16,kenpom2017!$C$2:$I$69,3,FALSE)</f>
        <v>-1.8640763716E-2</v>
      </c>
      <c r="F16" s="7">
        <f>VLOOKUP($C16,'fte2017'!$D$2:$K$69,5,FALSE)-VLOOKUP($C16,kenpom2017!$C$2:$I$69,4,FALSE)</f>
        <v>-4.3323218789999996E-3</v>
      </c>
      <c r="G16" s="7">
        <f>VLOOKUP($C16,'fte2017'!$D$2:$K$69,6,FALSE)-VLOOKUP($C16,kenpom2017!$C$2:$I$69,5,FALSE)</f>
        <v>-6.2794221700000004E-4</v>
      </c>
      <c r="H16" s="7">
        <f>VLOOKUP($C16,'fte2017'!$D$2:$K$69,7,FALSE)-VLOOKUP($C16,kenpom2017!$C$2:$I$69,6,FALSE)</f>
        <v>-3.7365577000000011E-5</v>
      </c>
      <c r="I16" s="7">
        <f>VLOOKUP($C16,'fte2017'!$D$2:$K$69,8,FALSE)-VLOOKUP($C16,kenpom2017!$C$2:$I$69,7,FALSE)</f>
        <v>-2.599917000000001E-6</v>
      </c>
      <c r="J16" s="7"/>
      <c r="K16" s="7">
        <f t="shared" si="0"/>
        <v>-8.613987821699999E-2</v>
      </c>
      <c r="R16" t="s">
        <v>54</v>
      </c>
      <c r="S16" s="7">
        <v>5.5695965467000022E-2</v>
      </c>
    </row>
    <row r="17" spans="1:19" x14ac:dyDescent="0.2">
      <c r="A17">
        <v>15</v>
      </c>
      <c r="B17" t="s">
        <v>18</v>
      </c>
      <c r="C17" t="s">
        <v>79</v>
      </c>
      <c r="D17" s="7">
        <f>VLOOKUP($C17,'fte2017'!$D$2:$K$69,3,FALSE)-VLOOKUP($C17,kenpom2017!$C$2:$I$69,2,FALSE)</f>
        <v>-4.9903494344000002E-2</v>
      </c>
      <c r="E17" s="7">
        <f>VLOOKUP($C17,'fte2017'!$D$2:$K$69,4,FALSE)-VLOOKUP($C17,kenpom2017!$C$2:$I$69,3,FALSE)</f>
        <v>-9.234368691E-3</v>
      </c>
      <c r="F17" s="7">
        <f>VLOOKUP($C17,'fte2017'!$D$2:$K$69,5,FALSE)-VLOOKUP($C17,kenpom2017!$C$2:$I$69,4,FALSE)</f>
        <v>-1.3301395420000002E-3</v>
      </c>
      <c r="G17" s="7">
        <f>VLOOKUP($C17,'fte2017'!$D$2:$K$69,6,FALSE)-VLOOKUP($C17,kenpom2017!$C$2:$I$69,5,FALSE)</f>
        <v>-1.5096692900000002E-4</v>
      </c>
      <c r="H17" s="7">
        <f>VLOOKUP($C17,'fte2017'!$D$2:$K$69,7,FALSE)-VLOOKUP($C17,kenpom2017!$C$2:$I$69,6,FALSE)</f>
        <v>5.2665579999999998E-6</v>
      </c>
      <c r="I17" s="7">
        <f>VLOOKUP($C17,'fte2017'!$D$2:$K$69,8,FALSE)-VLOOKUP($C17,kenpom2017!$C$2:$I$69,7,FALSE)</f>
        <v>7.0574800000000003E-7</v>
      </c>
      <c r="J17" s="7"/>
      <c r="K17" s="7">
        <f t="shared" si="0"/>
        <v>-6.0612997200000004E-2</v>
      </c>
      <c r="R17" t="s">
        <v>31</v>
      </c>
      <c r="S17" s="7">
        <v>5.4162864150000017E-2</v>
      </c>
    </row>
    <row r="18" spans="1:19" x14ac:dyDescent="0.2">
      <c r="A18">
        <v>16</v>
      </c>
      <c r="B18" t="s">
        <v>18</v>
      </c>
      <c r="C18" s="4" t="s">
        <v>88</v>
      </c>
      <c r="D18" s="7">
        <f>VLOOKUP($C18,'fte2017'!$D$2:$K$69,3,FALSE)-VLOOKUP($C18,kenpom2017!$C$2:$I$69,2,FALSE)</f>
        <v>-1.8423274053999999E-2</v>
      </c>
      <c r="E18" s="7">
        <f>VLOOKUP($C18,'fte2017'!$D$2:$K$69,4,FALSE)-VLOOKUP($C18,kenpom2017!$C$2:$I$69,3,FALSE)</f>
        <v>-2.663980816E-3</v>
      </c>
      <c r="F18" s="7">
        <f>VLOOKUP($C18,'fte2017'!$D$2:$K$69,5,FALSE)-VLOOKUP($C18,kenpom2017!$C$2:$I$69,4,FALSE)</f>
        <v>-2.7581349299999995E-4</v>
      </c>
      <c r="G18" s="7">
        <f>VLOOKUP($C18,'fte2017'!$D$2:$K$69,6,FALSE)-VLOOKUP($C18,kenpom2017!$C$2:$I$69,5,FALSE)</f>
        <v>-2.8241919E-5</v>
      </c>
      <c r="H18" s="7">
        <f>VLOOKUP($C18,'fte2017'!$D$2:$K$69,7,FALSE)-VLOOKUP($C18,kenpom2017!$C$2:$I$69,6,FALSE)</f>
        <v>1.3505599999999999E-7</v>
      </c>
      <c r="I18" s="7">
        <f>VLOOKUP($C18,'fte2017'!$D$2:$K$69,8,FALSE)-VLOOKUP($C18,kenpom2017!$C$2:$I$69,7,FALSE)</f>
        <v>1.3169E-8</v>
      </c>
      <c r="J18" s="7"/>
      <c r="K18" s="7">
        <f t="shared" si="0"/>
        <v>-2.1391162056999993E-2</v>
      </c>
      <c r="R18" t="s">
        <v>51</v>
      </c>
      <c r="S18" s="7">
        <v>4.8434363609999961E-2</v>
      </c>
    </row>
    <row r="19" spans="1:19" x14ac:dyDescent="0.2">
      <c r="A19">
        <v>16</v>
      </c>
      <c r="B19" t="s">
        <v>18</v>
      </c>
      <c r="C19" s="4" t="s">
        <v>87</v>
      </c>
      <c r="D19" s="7">
        <f>VLOOKUP($C19,'fte2017'!$D$2:$K$69,3,FALSE)-VLOOKUP($C19,kenpom2017!$C$2:$I$69,2,FALSE)</f>
        <v>-2.208727695E-3</v>
      </c>
      <c r="E19" s="7">
        <f>VLOOKUP($C19,'fte2017'!$D$2:$K$69,4,FALSE)-VLOOKUP($C19,kenpom2017!$C$2:$I$69,3,FALSE)</f>
        <v>-4.3713838000000033E-5</v>
      </c>
      <c r="F19" s="7">
        <f>VLOOKUP($C19,'fte2017'!$D$2:$K$69,5,FALSE)-VLOOKUP($C19,kenpom2017!$C$2:$I$69,4,FALSE)</f>
        <v>5.8984082000000001E-5</v>
      </c>
      <c r="G19" s="7">
        <f>VLOOKUP($C19,'fte2017'!$D$2:$K$69,6,FALSE)-VLOOKUP($C19,kenpom2017!$C$2:$I$69,5,FALSE)</f>
        <v>4.6365319999999996E-6</v>
      </c>
      <c r="H19" s="7">
        <f>VLOOKUP($C19,'fte2017'!$D$2:$K$69,7,FALSE)-VLOOKUP($C19,kenpom2017!$C$2:$I$69,6,FALSE)</f>
        <v>3.34888E-7</v>
      </c>
      <c r="I19" s="7">
        <f>VLOOKUP($C19,'fte2017'!$D$2:$K$69,8,FALSE)-VLOOKUP($C19,kenpom2017!$C$2:$I$69,7,FALSE)</f>
        <v>3.0784E-8</v>
      </c>
      <c r="J19" s="7"/>
      <c r="K19" s="7">
        <f t="shared" si="0"/>
        <v>-2.1884552469999996E-3</v>
      </c>
      <c r="R19" t="s">
        <v>29</v>
      </c>
      <c r="S19" s="7">
        <v>4.8433548307999952E-2</v>
      </c>
    </row>
    <row r="20" spans="1:19" x14ac:dyDescent="0.2">
      <c r="A20">
        <v>1</v>
      </c>
      <c r="B20" t="s">
        <v>22</v>
      </c>
      <c r="C20" t="s">
        <v>21</v>
      </c>
      <c r="D20" s="7">
        <f>VLOOKUP($C20,'fte2017'!$D$2:$K$69,3,FALSE)-VLOOKUP($C20,kenpom2017!$C$2:$I$69,2,FALSE)</f>
        <v>2.6612036046000043E-2</v>
      </c>
      <c r="E20" s="7">
        <f>VLOOKUP($C20,'fte2017'!$D$2:$K$69,4,FALSE)-VLOOKUP($C20,kenpom2017!$C$2:$I$69,3,FALSE)</f>
        <v>0.11457280142000004</v>
      </c>
      <c r="F20" s="7">
        <f>VLOOKUP($C20,'fte2017'!$D$2:$K$69,5,FALSE)-VLOOKUP($C20,kenpom2017!$C$2:$I$69,4,FALSE)</f>
        <v>0.14559643887499996</v>
      </c>
      <c r="G20" s="7">
        <f>VLOOKUP($C20,'fte2017'!$D$2:$K$69,6,FALSE)-VLOOKUP($C20,kenpom2017!$C$2:$I$69,5,FALSE)</f>
        <v>0.15229915008699998</v>
      </c>
      <c r="H20" s="7">
        <f>VLOOKUP($C20,'fte2017'!$D$2:$K$69,7,FALSE)-VLOOKUP($C20,kenpom2017!$C$2:$I$69,6,FALSE)</f>
        <v>9.5211901047000003E-2</v>
      </c>
      <c r="I20" s="7">
        <f>VLOOKUP($C20,'fte2017'!$D$2:$K$69,8,FALSE)-VLOOKUP($C20,kenpom2017!$C$2:$I$69,7,FALSE)</f>
        <v>5.1890499090999992E-2</v>
      </c>
      <c r="J20" s="7"/>
      <c r="K20" s="7">
        <f t="shared" si="0"/>
        <v>0.58618282656599996</v>
      </c>
      <c r="R20" t="s">
        <v>50</v>
      </c>
      <c r="S20" s="7">
        <v>4.4563612856999966E-2</v>
      </c>
    </row>
    <row r="21" spans="1:19" x14ac:dyDescent="0.2">
      <c r="A21">
        <v>2</v>
      </c>
      <c r="B21" t="s">
        <v>22</v>
      </c>
      <c r="C21" t="s">
        <v>27</v>
      </c>
      <c r="D21" s="7">
        <f>VLOOKUP($C21,'fte2017'!$D$2:$K$69,3,FALSE)-VLOOKUP($C21,kenpom2017!$C$2:$I$69,2,FALSE)</f>
        <v>3.9818118502999988E-2</v>
      </c>
      <c r="E21" s="7">
        <f>VLOOKUP($C21,'fte2017'!$D$2:$K$69,4,FALSE)-VLOOKUP($C21,kenpom2017!$C$2:$I$69,3,FALSE)</f>
        <v>0.1041855224710001</v>
      </c>
      <c r="F21" s="7">
        <f>VLOOKUP($C21,'fte2017'!$D$2:$K$69,5,FALSE)-VLOOKUP($C21,kenpom2017!$C$2:$I$69,4,FALSE)</f>
        <v>0.11017938654699999</v>
      </c>
      <c r="G21" s="7">
        <f>VLOOKUP($C21,'fte2017'!$D$2:$K$69,6,FALSE)-VLOOKUP($C21,kenpom2017!$C$2:$I$69,5,FALSE)</f>
        <v>1.1097350359000002E-2</v>
      </c>
      <c r="H21" s="7">
        <f>VLOOKUP($C21,'fte2017'!$D$2:$K$69,7,FALSE)-VLOOKUP($C21,kenpom2017!$C$2:$I$69,6,FALSE)</f>
        <v>8.2204806199999425E-4</v>
      </c>
      <c r="I21" s="7">
        <f>VLOOKUP($C21,'fte2017'!$D$2:$K$69,8,FALSE)-VLOOKUP($C21,kenpom2017!$C$2:$I$69,7,FALSE)</f>
        <v>-1.2632522419999959E-3</v>
      </c>
      <c r="J21" s="7"/>
      <c r="K21" s="7">
        <f t="shared" si="0"/>
        <v>0.2648391737000001</v>
      </c>
      <c r="R21" t="s">
        <v>53</v>
      </c>
      <c r="S21" s="7">
        <v>1.4650614565999989E-2</v>
      </c>
    </row>
    <row r="22" spans="1:19" x14ac:dyDescent="0.2">
      <c r="A22">
        <v>3</v>
      </c>
      <c r="B22" t="s">
        <v>22</v>
      </c>
      <c r="C22" t="s">
        <v>38</v>
      </c>
      <c r="D22" s="7">
        <f>VLOOKUP($C22,'fte2017'!$D$2:$K$69,3,FALSE)-VLOOKUP($C22,kenpom2017!$C$2:$I$69,2,FALSE)</f>
        <v>2.8453144792999985E-2</v>
      </c>
      <c r="E22" s="7">
        <f>VLOOKUP($C22,'fte2017'!$D$2:$K$69,4,FALSE)-VLOOKUP($C22,kenpom2017!$C$2:$I$69,3,FALSE)</f>
        <v>4.0530910514999907E-2</v>
      </c>
      <c r="F22" s="7">
        <f>VLOOKUP($C22,'fte2017'!$D$2:$K$69,5,FALSE)-VLOOKUP($C22,kenpom2017!$C$2:$I$69,4,FALSE)</f>
        <v>-6.4180490286000036E-2</v>
      </c>
      <c r="G22" s="7">
        <f>VLOOKUP($C22,'fte2017'!$D$2:$K$69,6,FALSE)-VLOOKUP($C22,kenpom2017!$C$2:$I$69,5,FALSE)</f>
        <v>-7.3017577598000011E-2</v>
      </c>
      <c r="H22" s="7">
        <f>VLOOKUP($C22,'fte2017'!$D$2:$K$69,7,FALSE)-VLOOKUP($C22,kenpom2017!$C$2:$I$69,6,FALSE)</f>
        <v>-3.4489230098999998E-2</v>
      </c>
      <c r="I22" s="7">
        <f>VLOOKUP($C22,'fte2017'!$D$2:$K$69,8,FALSE)-VLOOKUP($C22,kenpom2017!$C$2:$I$69,7,FALSE)</f>
        <v>-1.4459374447000002E-2</v>
      </c>
      <c r="J22" s="7"/>
      <c r="K22" s="7">
        <f t="shared" si="0"/>
        <v>-0.11716261712200016</v>
      </c>
      <c r="R22" t="s">
        <v>81</v>
      </c>
      <c r="S22" s="7">
        <v>1.0659942507E-2</v>
      </c>
    </row>
    <row r="23" spans="1:19" x14ac:dyDescent="0.2">
      <c r="A23">
        <v>4</v>
      </c>
      <c r="B23" t="s">
        <v>22</v>
      </c>
      <c r="C23" t="s">
        <v>33</v>
      </c>
      <c r="D23" s="7">
        <f>VLOOKUP($C23,'fte2017'!$D$2:$K$69,3,FALSE)-VLOOKUP($C23,kenpom2017!$C$2:$I$69,2,FALSE)</f>
        <v>9.169631101300002E-2</v>
      </c>
      <c r="E23" s="7">
        <f>VLOOKUP($C23,'fte2017'!$D$2:$K$69,4,FALSE)-VLOOKUP($C23,kenpom2017!$C$2:$I$69,3,FALSE)</f>
        <v>5.3128913056000093E-2</v>
      </c>
      <c r="F23" s="7">
        <f>VLOOKUP($C23,'fte2017'!$D$2:$K$69,5,FALSE)-VLOOKUP($C23,kenpom2017!$C$2:$I$69,4,FALSE)</f>
        <v>-4.3384346040999999E-2</v>
      </c>
      <c r="G23" s="7">
        <f>VLOOKUP($C23,'fte2017'!$D$2:$K$69,6,FALSE)-VLOOKUP($C23,kenpom2017!$C$2:$I$69,5,FALSE)</f>
        <v>-1.6744644246000015E-2</v>
      </c>
      <c r="H23" s="7">
        <f>VLOOKUP($C23,'fte2017'!$D$2:$K$69,7,FALSE)-VLOOKUP($C23,kenpom2017!$C$2:$I$69,6,FALSE)</f>
        <v>-8.5765158779999989E-3</v>
      </c>
      <c r="I23" s="7">
        <f>VLOOKUP($C23,'fte2017'!$D$2:$K$69,8,FALSE)-VLOOKUP($C23,kenpom2017!$C$2:$I$69,7,FALSE)</f>
        <v>-3.9007974180000002E-3</v>
      </c>
      <c r="J23" s="7"/>
      <c r="K23" s="7">
        <f t="shared" si="0"/>
        <v>7.2218920486000093E-2</v>
      </c>
      <c r="R23" t="s">
        <v>32</v>
      </c>
      <c r="S23" s="7">
        <v>6.8541441970000443E-3</v>
      </c>
    </row>
    <row r="24" spans="1:19" x14ac:dyDescent="0.2">
      <c r="A24">
        <v>5</v>
      </c>
      <c r="B24" t="s">
        <v>22</v>
      </c>
      <c r="C24" t="s">
        <v>36</v>
      </c>
      <c r="D24" s="7">
        <f>VLOOKUP($C24,'fte2017'!$D$2:$K$69,3,FALSE)-VLOOKUP($C24,kenpom2017!$C$2:$I$69,2,FALSE)</f>
        <v>9.9879630620000048E-2</v>
      </c>
      <c r="E24" s="7">
        <f>VLOOKUP($C24,'fte2017'!$D$2:$K$69,4,FALSE)-VLOOKUP($C24,kenpom2017!$C$2:$I$69,3,FALSE)</f>
        <v>2.7265450408999969E-2</v>
      </c>
      <c r="F24" s="7">
        <f>VLOOKUP($C24,'fte2017'!$D$2:$K$69,5,FALSE)-VLOOKUP($C24,kenpom2017!$C$2:$I$69,4,FALSE)</f>
        <v>-3.1677417910999983E-2</v>
      </c>
      <c r="G24" s="7">
        <f>VLOOKUP($C24,'fte2017'!$D$2:$K$69,6,FALSE)-VLOOKUP($C24,kenpom2017!$C$2:$I$69,5,FALSE)</f>
        <v>-5.6867066950000017E-3</v>
      </c>
      <c r="H24" s="7">
        <f>VLOOKUP($C24,'fte2017'!$D$2:$K$69,7,FALSE)-VLOOKUP($C24,kenpom2017!$C$2:$I$69,6,FALSE)</f>
        <v>-1.5227366039999995E-3</v>
      </c>
      <c r="I24" s="7">
        <f>VLOOKUP($C24,'fte2017'!$D$2:$K$69,8,FALSE)-VLOOKUP($C24,kenpom2017!$C$2:$I$69,7,FALSE)</f>
        <v>-3.4550877199999996E-4</v>
      </c>
      <c r="J24" s="7"/>
      <c r="K24" s="7">
        <f t="shared" si="0"/>
        <v>8.7912711047000033E-2</v>
      </c>
      <c r="R24" s="5" t="s">
        <v>65</v>
      </c>
      <c r="S24" s="7">
        <v>4.1386178280000087E-3</v>
      </c>
    </row>
    <row r="25" spans="1:19" x14ac:dyDescent="0.2">
      <c r="A25">
        <v>6</v>
      </c>
      <c r="B25" t="s">
        <v>22</v>
      </c>
      <c r="C25" t="s">
        <v>46</v>
      </c>
      <c r="D25" s="7">
        <f>VLOOKUP($C25,'fte2017'!$D$2:$K$69,3,FALSE)-VLOOKUP($C25,kenpom2017!$C$2:$I$69,2,FALSE)</f>
        <v>-3.7140841334999952E-2</v>
      </c>
      <c r="E25" s="7">
        <f>VLOOKUP($C25,'fte2017'!$D$2:$K$69,4,FALSE)-VLOOKUP($C25,kenpom2017!$C$2:$I$69,3,FALSE)</f>
        <v>-4.5633784737000027E-2</v>
      </c>
      <c r="F25" s="7">
        <f>VLOOKUP($C25,'fte2017'!$D$2:$K$69,5,FALSE)-VLOOKUP($C25,kenpom2017!$C$2:$I$69,4,FALSE)</f>
        <v>-1.6367752509000008E-2</v>
      </c>
      <c r="G25" s="7">
        <f>VLOOKUP($C25,'fte2017'!$D$2:$K$69,6,FALSE)-VLOOKUP($C25,kenpom2017!$C$2:$I$69,5,FALSE)</f>
        <v>-1.1877289246000001E-2</v>
      </c>
      <c r="H25" s="7">
        <f>VLOOKUP($C25,'fte2017'!$D$2:$K$69,7,FALSE)-VLOOKUP($C25,kenpom2017!$C$2:$I$69,6,FALSE)</f>
        <v>-3.3206264429999979E-3</v>
      </c>
      <c r="I25" s="7">
        <f>VLOOKUP($C25,'fte2017'!$D$2:$K$69,8,FALSE)-VLOOKUP($C25,kenpom2017!$C$2:$I$69,7,FALSE)</f>
        <v>-4.4577294400000023E-4</v>
      </c>
      <c r="J25" s="7"/>
      <c r="K25" s="7">
        <f t="shared" si="0"/>
        <v>-0.11478606721399998</v>
      </c>
      <c r="R25" t="s">
        <v>83</v>
      </c>
      <c r="S25" s="7">
        <v>3.2998982399999984E-4</v>
      </c>
    </row>
    <row r="26" spans="1:19" x14ac:dyDescent="0.2">
      <c r="A26">
        <v>7</v>
      </c>
      <c r="B26" t="s">
        <v>22</v>
      </c>
      <c r="C26" t="s">
        <v>44</v>
      </c>
      <c r="D26" s="7">
        <f>VLOOKUP($C26,'fte2017'!$D$2:$K$69,3,FALSE)-VLOOKUP($C26,kenpom2017!$C$2:$I$69,2,FALSE)</f>
        <v>0.12043538974199997</v>
      </c>
      <c r="E26" s="7">
        <f>VLOOKUP($C26,'fte2017'!$D$2:$K$69,4,FALSE)-VLOOKUP($C26,kenpom2017!$C$2:$I$69,3,FALSE)</f>
        <v>4.7017540059999807E-3</v>
      </c>
      <c r="F26" s="7">
        <f>VLOOKUP($C26,'fte2017'!$D$2:$K$69,5,FALSE)-VLOOKUP($C26,kenpom2017!$C$2:$I$69,4,FALSE)</f>
        <v>1.7026185555000004E-2</v>
      </c>
      <c r="G26" s="7">
        <f>VLOOKUP($C26,'fte2017'!$D$2:$K$69,6,FALSE)-VLOOKUP($C26,kenpom2017!$C$2:$I$69,5,FALSE)</f>
        <v>-5.935641029999994E-3</v>
      </c>
      <c r="H26" s="7">
        <f>VLOOKUP($C26,'fte2017'!$D$2:$K$69,7,FALSE)-VLOOKUP($C26,kenpom2017!$C$2:$I$69,6,FALSE)</f>
        <v>-3.6759693900000022E-3</v>
      </c>
      <c r="I26" s="7">
        <f>VLOOKUP($C26,'fte2017'!$D$2:$K$69,8,FALSE)-VLOOKUP($C26,kenpom2017!$C$2:$I$69,7,FALSE)</f>
        <v>-2.0553118150000004E-3</v>
      </c>
      <c r="J26" s="7"/>
      <c r="K26" s="7">
        <f t="shared" si="0"/>
        <v>0.13049640706799998</v>
      </c>
      <c r="R26" s="4" t="s">
        <v>87</v>
      </c>
      <c r="S26" s="7">
        <v>-2.1884552469999996E-3</v>
      </c>
    </row>
    <row r="27" spans="1:19" x14ac:dyDescent="0.2">
      <c r="A27">
        <v>8</v>
      </c>
      <c r="B27" t="s">
        <v>22</v>
      </c>
      <c r="C27" t="s">
        <v>48</v>
      </c>
      <c r="D27" s="7">
        <f>VLOOKUP($C27,'fte2017'!$D$2:$K$69,3,FALSE)-VLOOKUP($C27,kenpom2017!$C$2:$I$69,2,FALSE)</f>
        <v>8.2414043070000442E-3</v>
      </c>
      <c r="E27" s="7">
        <f>VLOOKUP($C27,'fte2017'!$D$2:$K$69,4,FALSE)-VLOOKUP($C27,kenpom2017!$C$2:$I$69,3,FALSE)</f>
        <v>-6.3411535911999994E-2</v>
      </c>
      <c r="F27" s="7">
        <f>VLOOKUP($C27,'fte2017'!$D$2:$K$69,5,FALSE)-VLOOKUP($C27,kenpom2017!$C$2:$I$69,4,FALSE)</f>
        <v>-2.7024973535000003E-2</v>
      </c>
      <c r="G27" s="7">
        <f>VLOOKUP($C27,'fte2017'!$D$2:$K$69,6,FALSE)-VLOOKUP($C27,kenpom2017!$C$2:$I$69,5,FALSE)</f>
        <v>-8.0154455190000022E-3</v>
      </c>
      <c r="H27" s="7">
        <f>VLOOKUP($C27,'fte2017'!$D$2:$K$69,7,FALSE)-VLOOKUP($C27,kenpom2017!$C$2:$I$69,6,FALSE)</f>
        <v>-2.1787610360000003E-3</v>
      </c>
      <c r="I27" s="7">
        <f>VLOOKUP($C27,'fte2017'!$D$2:$K$69,8,FALSE)-VLOOKUP($C27,kenpom2017!$C$2:$I$69,7,FALSE)</f>
        <v>-1.4019023700000003E-4</v>
      </c>
      <c r="J27" s="7"/>
      <c r="K27" s="7">
        <f t="shared" si="0"/>
        <v>-9.252950193199995E-2</v>
      </c>
      <c r="R27" s="3" t="s">
        <v>86</v>
      </c>
      <c r="S27" s="7">
        <v>-2.4108936410000012E-3</v>
      </c>
    </row>
    <row r="28" spans="1:19" x14ac:dyDescent="0.2">
      <c r="A28">
        <v>9</v>
      </c>
      <c r="B28" t="s">
        <v>22</v>
      </c>
      <c r="C28" t="s">
        <v>57</v>
      </c>
      <c r="D28" s="7">
        <f>VLOOKUP($C28,'fte2017'!$D$2:$K$69,3,FALSE)-VLOOKUP($C28,kenpom2017!$C$2:$I$69,2,FALSE)</f>
        <v>-8.2414043070000442E-3</v>
      </c>
      <c r="E28" s="7">
        <f>VLOOKUP($C28,'fte2017'!$D$2:$K$69,4,FALSE)-VLOOKUP($C28,kenpom2017!$C$2:$I$69,3,FALSE)</f>
        <v>-4.4740063536999997E-2</v>
      </c>
      <c r="F28" s="7">
        <f>VLOOKUP($C28,'fte2017'!$D$2:$K$69,5,FALSE)-VLOOKUP($C28,kenpom2017!$C$2:$I$69,4,FALSE)</f>
        <v>-1.4092893469000004E-2</v>
      </c>
      <c r="G28" s="7">
        <f>VLOOKUP($C28,'fte2017'!$D$2:$K$69,6,FALSE)-VLOOKUP($C28,kenpom2017!$C$2:$I$69,5,FALSE)</f>
        <v>-2.6231005980000017E-3</v>
      </c>
      <c r="H28" s="7">
        <f>VLOOKUP($C28,'fte2017'!$D$2:$K$69,7,FALSE)-VLOOKUP($C28,kenpom2017!$C$2:$I$69,6,FALSE)</f>
        <v>-6.3915763400000008E-4</v>
      </c>
      <c r="I28" s="7">
        <f>VLOOKUP($C28,'fte2017'!$D$2:$K$69,8,FALSE)-VLOOKUP($C28,kenpom2017!$C$2:$I$69,7,FALSE)</f>
        <v>1.5807727399999995E-4</v>
      </c>
      <c r="J28" s="7"/>
      <c r="K28" s="7">
        <f t="shared" si="0"/>
        <v>-7.0178542271000052E-2</v>
      </c>
      <c r="R28" t="s">
        <v>62</v>
      </c>
      <c r="S28" s="7">
        <v>-5.6532687920000805E-3</v>
      </c>
    </row>
    <row r="29" spans="1:19" x14ac:dyDescent="0.2">
      <c r="A29">
        <v>10</v>
      </c>
      <c r="B29" t="s">
        <v>22</v>
      </c>
      <c r="C29" t="s">
        <v>47</v>
      </c>
      <c r="D29" s="7">
        <f>VLOOKUP($C29,'fte2017'!$D$2:$K$69,3,FALSE)-VLOOKUP($C29,kenpom2017!$C$2:$I$69,2,FALSE)</f>
        <v>-0.12043538974200002</v>
      </c>
      <c r="E29" s="7">
        <f>VLOOKUP($C29,'fte2017'!$D$2:$K$69,4,FALSE)-VLOOKUP($C29,kenpom2017!$C$2:$I$69,3,FALSE)</f>
        <v>-0.10303629983000001</v>
      </c>
      <c r="F29" s="7">
        <f>VLOOKUP($C29,'fte2017'!$D$2:$K$69,5,FALSE)-VLOOKUP($C29,kenpom2017!$C$2:$I$69,4,FALSE)</f>
        <v>-4.9898769545999998E-2</v>
      </c>
      <c r="G29" s="7">
        <f>VLOOKUP($C29,'fte2017'!$D$2:$K$69,6,FALSE)-VLOOKUP($C29,kenpom2017!$C$2:$I$69,5,FALSE)</f>
        <v>-3.0967723100999996E-2</v>
      </c>
      <c r="H29" s="7">
        <f>VLOOKUP($C29,'fte2017'!$D$2:$K$69,7,FALSE)-VLOOKUP($C29,kenpom2017!$C$2:$I$69,6,FALSE)</f>
        <v>-1.2782984744000001E-2</v>
      </c>
      <c r="I29" s="7">
        <f>VLOOKUP($C29,'fte2017'!$D$2:$K$69,8,FALSE)-VLOOKUP($C29,kenpom2017!$C$2:$I$69,7,FALSE)</f>
        <v>-5.0502840760000001E-3</v>
      </c>
      <c r="J29" s="7"/>
      <c r="K29" s="7">
        <f t="shared" si="0"/>
        <v>-0.32217145103900002</v>
      </c>
      <c r="R29" t="s">
        <v>80</v>
      </c>
      <c r="S29" s="7">
        <v>-1.0931675477000006E-2</v>
      </c>
    </row>
    <row r="30" spans="1:19" x14ac:dyDescent="0.2">
      <c r="A30">
        <v>11</v>
      </c>
      <c r="B30" t="s">
        <v>22</v>
      </c>
      <c r="C30" t="s">
        <v>51</v>
      </c>
      <c r="D30" s="7">
        <f>VLOOKUP($C30,'fte2017'!$D$2:$K$69,3,FALSE)-VLOOKUP($C30,kenpom2017!$C$2:$I$69,2,FALSE)</f>
        <v>3.7140841334999952E-2</v>
      </c>
      <c r="E30" s="7">
        <f>VLOOKUP($C30,'fte2017'!$D$2:$K$69,4,FALSE)-VLOOKUP($C30,kenpom2017!$C$2:$I$69,3,FALSE)</f>
        <v>8.2586653860000081E-3</v>
      </c>
      <c r="F30" s="7">
        <f>VLOOKUP($C30,'fte2017'!$D$2:$K$69,5,FALSE)-VLOOKUP($C30,kenpom2017!$C$2:$I$69,4,FALSE)</f>
        <v>3.3317609380000002E-3</v>
      </c>
      <c r="G30" s="7">
        <f>VLOOKUP($C30,'fte2017'!$D$2:$K$69,6,FALSE)-VLOOKUP($C30,kenpom2017!$C$2:$I$69,5,FALSE)</f>
        <v>-1.1364494879999992E-3</v>
      </c>
      <c r="H30" s="7">
        <f>VLOOKUP($C30,'fte2017'!$D$2:$K$69,7,FALSE)-VLOOKUP($C30,kenpom2017!$C$2:$I$69,6,FALSE)</f>
        <v>4.732360100000001E-4</v>
      </c>
      <c r="I30" s="7">
        <f>VLOOKUP($C30,'fte2017'!$D$2:$K$69,8,FALSE)-VLOOKUP($C30,kenpom2017!$C$2:$I$69,7,FALSE)</f>
        <v>3.6630942900000001E-4</v>
      </c>
      <c r="J30" s="7"/>
      <c r="K30" s="7">
        <f t="shared" si="0"/>
        <v>4.8434363609999961E-2</v>
      </c>
      <c r="R30" t="s">
        <v>75</v>
      </c>
      <c r="S30" s="7">
        <v>-1.329569325799999E-2</v>
      </c>
    </row>
    <row r="31" spans="1:19" x14ac:dyDescent="0.2">
      <c r="A31">
        <v>12</v>
      </c>
      <c r="B31" t="s">
        <v>22</v>
      </c>
      <c r="C31" t="s">
        <v>67</v>
      </c>
      <c r="D31" s="7">
        <f>VLOOKUP($C31,'fte2017'!$D$2:$K$69,3,FALSE)-VLOOKUP($C31,kenpom2017!$C$2:$I$69,2,FALSE)</f>
        <v>-9.9879630619999965E-2</v>
      </c>
      <c r="E31" s="7">
        <f>VLOOKUP($C31,'fte2017'!$D$2:$K$69,4,FALSE)-VLOOKUP($C31,kenpom2017!$C$2:$I$69,3,FALSE)</f>
        <v>-4.4202721545000004E-2</v>
      </c>
      <c r="F31" s="7">
        <f>VLOOKUP($C31,'fte2017'!$D$2:$K$69,5,FALSE)-VLOOKUP($C31,kenpom2017!$C$2:$I$69,4,FALSE)</f>
        <v>-1.6126360959999999E-2</v>
      </c>
      <c r="G31" s="7">
        <f>VLOOKUP($C31,'fte2017'!$D$2:$K$69,6,FALSE)-VLOOKUP($C31,kenpom2017!$C$2:$I$69,5,FALSE)</f>
        <v>-4.0139936700000003E-3</v>
      </c>
      <c r="H31" s="7">
        <f>VLOOKUP($C31,'fte2017'!$D$2:$K$69,7,FALSE)-VLOOKUP($C31,kenpom2017!$C$2:$I$69,6,FALSE)</f>
        <v>-3.3816417500000002E-4</v>
      </c>
      <c r="I31" s="7">
        <f>VLOOKUP($C31,'fte2017'!$D$2:$K$69,8,FALSE)-VLOOKUP($C31,kenpom2017!$C$2:$I$69,7,FALSE)</f>
        <v>-6.0379590000000135E-6</v>
      </c>
      <c r="J31" s="7"/>
      <c r="K31" s="7">
        <f t="shared" si="0"/>
        <v>-0.16456690892899997</v>
      </c>
      <c r="R31" t="s">
        <v>61</v>
      </c>
      <c r="S31" s="7">
        <v>-1.544884454199999E-2</v>
      </c>
    </row>
    <row r="32" spans="1:19" x14ac:dyDescent="0.2">
      <c r="A32">
        <v>13</v>
      </c>
      <c r="B32" t="s">
        <v>22</v>
      </c>
      <c r="C32" t="s">
        <v>71</v>
      </c>
      <c r="D32" s="7">
        <f>VLOOKUP($C32,'fte2017'!$D$2:$K$69,3,FALSE)-VLOOKUP($C32,kenpom2017!$C$2:$I$69,2,FALSE)</f>
        <v>-9.1696311012999993E-2</v>
      </c>
      <c r="E32" s="7">
        <f>VLOOKUP($C32,'fte2017'!$D$2:$K$69,4,FALSE)-VLOOKUP($C32,kenpom2017!$C$2:$I$69,3,FALSE)</f>
        <v>-3.619164192000001E-2</v>
      </c>
      <c r="F32" s="7">
        <f>VLOOKUP($C32,'fte2017'!$D$2:$K$69,5,FALSE)-VLOOKUP($C32,kenpom2017!$C$2:$I$69,4,FALSE)</f>
        <v>-1.3497060522999999E-2</v>
      </c>
      <c r="G32" s="7">
        <f>VLOOKUP($C32,'fte2017'!$D$2:$K$69,6,FALSE)-VLOOKUP($C32,kenpom2017!$C$2:$I$69,5,FALSE)</f>
        <v>-2.5952656940000001E-3</v>
      </c>
      <c r="H32" s="7">
        <f>VLOOKUP($C32,'fte2017'!$D$2:$K$69,7,FALSE)-VLOOKUP($C32,kenpom2017!$C$2:$I$69,6,FALSE)</f>
        <v>-6.6738209100000007E-4</v>
      </c>
      <c r="I32" s="7">
        <f>VLOOKUP($C32,'fte2017'!$D$2:$K$69,8,FALSE)-VLOOKUP($C32,kenpom2017!$C$2:$I$69,7,FALSE)</f>
        <v>-1.2993060100000001E-4</v>
      </c>
      <c r="J32" s="7"/>
      <c r="K32" s="7">
        <f t="shared" si="0"/>
        <v>-0.14477759184200004</v>
      </c>
      <c r="R32" s="4" t="s">
        <v>88</v>
      </c>
      <c r="S32" s="7">
        <v>-2.1391162056999993E-2</v>
      </c>
    </row>
    <row r="33" spans="1:19" x14ac:dyDescent="0.2">
      <c r="A33">
        <v>14</v>
      </c>
      <c r="B33" t="s">
        <v>22</v>
      </c>
      <c r="C33" t="s">
        <v>77</v>
      </c>
      <c r="D33" s="7">
        <f>VLOOKUP($C33,'fte2017'!$D$2:$K$69,3,FALSE)-VLOOKUP($C33,kenpom2017!$C$2:$I$69,2,FALSE)</f>
        <v>-2.8453144792999999E-2</v>
      </c>
      <c r="E33" s="7">
        <f>VLOOKUP($C33,'fte2017'!$D$2:$K$69,4,FALSE)-VLOOKUP($C33,kenpom2017!$C$2:$I$69,3,FALSE)</f>
        <v>-4.1557911649999987E-3</v>
      </c>
      <c r="F33" s="7">
        <f>VLOOKUP($C33,'fte2017'!$D$2:$K$69,5,FALSE)-VLOOKUP($C33,kenpom2017!$C$2:$I$69,4,FALSE)</f>
        <v>-3.4915677199999994E-4</v>
      </c>
      <c r="G33" s="7">
        <f>VLOOKUP($C33,'fte2017'!$D$2:$K$69,6,FALSE)-VLOOKUP($C33,kenpom2017!$C$2:$I$69,5,FALSE)</f>
        <v>-1.1944114099999998E-4</v>
      </c>
      <c r="H33" s="7">
        <f>VLOOKUP($C33,'fte2017'!$D$2:$K$69,7,FALSE)-VLOOKUP($C33,kenpom2017!$C$2:$I$69,6,FALSE)</f>
        <v>7.3253209999999999E-6</v>
      </c>
      <c r="I33" s="7">
        <f>VLOOKUP($C33,'fte2017'!$D$2:$K$69,8,FALSE)-VLOOKUP($C33,kenpom2017!$C$2:$I$69,7,FALSE)</f>
        <v>3.7351419999999999E-6</v>
      </c>
      <c r="J33" s="7"/>
      <c r="K33" s="7">
        <f t="shared" si="0"/>
        <v>-3.3066473408000001E-2</v>
      </c>
      <c r="R33" t="s">
        <v>78</v>
      </c>
      <c r="S33" s="7">
        <v>-2.2195700736999998E-2</v>
      </c>
    </row>
    <row r="34" spans="1:19" x14ac:dyDescent="0.2">
      <c r="A34">
        <v>15</v>
      </c>
      <c r="B34" t="s">
        <v>22</v>
      </c>
      <c r="C34" t="s">
        <v>84</v>
      </c>
      <c r="D34" s="7">
        <f>VLOOKUP($C34,'fte2017'!$D$2:$K$69,3,FALSE)-VLOOKUP($C34,kenpom2017!$C$2:$I$69,2,FALSE)</f>
        <v>-3.9818118503000002E-2</v>
      </c>
      <c r="E34" s="7">
        <f>VLOOKUP($C34,'fte2017'!$D$2:$K$69,4,FALSE)-VLOOKUP($C34,kenpom2017!$C$2:$I$69,3,FALSE)</f>
        <v>-5.8509766479999999E-3</v>
      </c>
      <c r="F34" s="7">
        <f>VLOOKUP($C34,'fte2017'!$D$2:$K$69,5,FALSE)-VLOOKUP($C34,kenpom2017!$C$2:$I$69,4,FALSE)</f>
        <v>-7.4116392599999996E-4</v>
      </c>
      <c r="G34" s="7">
        <f>VLOOKUP($C34,'fte2017'!$D$2:$K$69,6,FALSE)-VLOOKUP($C34,kenpom2017!$C$2:$I$69,5,FALSE)</f>
        <v>-8.309187800000001E-5</v>
      </c>
      <c r="H34" s="7">
        <f>VLOOKUP($C34,'fte2017'!$D$2:$K$69,7,FALSE)-VLOOKUP($C34,kenpom2017!$C$2:$I$69,6,FALSE)</f>
        <v>-1.8459542000000003E-5</v>
      </c>
      <c r="I34" s="7">
        <f>VLOOKUP($C34,'fte2017'!$D$2:$K$69,8,FALSE)-VLOOKUP($C34,kenpom2017!$C$2:$I$69,7,FALSE)</f>
        <v>1.2846E-7</v>
      </c>
      <c r="J34" s="7"/>
      <c r="K34" s="7">
        <f t="shared" si="0"/>
        <v>-4.6511682037000006E-2</v>
      </c>
      <c r="R34" s="6" t="s">
        <v>58</v>
      </c>
      <c r="S34" s="7">
        <v>-2.3500298831999958E-2</v>
      </c>
    </row>
    <row r="35" spans="1:19" x14ac:dyDescent="0.2">
      <c r="A35">
        <v>16</v>
      </c>
      <c r="B35" t="s">
        <v>22</v>
      </c>
      <c r="C35" s="3" t="s">
        <v>86</v>
      </c>
      <c r="D35" s="7">
        <f>VLOOKUP($C35,'fte2017'!$D$2:$K$69,3,FALSE)-VLOOKUP($C35,kenpom2017!$C$2:$I$69,2,FALSE)</f>
        <v>-2.2403893140000011E-3</v>
      </c>
      <c r="E35" s="7">
        <f>VLOOKUP($C35,'fte2017'!$D$2:$K$69,4,FALSE)-VLOOKUP($C35,kenpom2017!$C$2:$I$69,3,FALSE)</f>
        <v>-2.3031586700000004E-4</v>
      </c>
      <c r="F35" s="7">
        <f>VLOOKUP($C35,'fte2017'!$D$2:$K$69,5,FALSE)-VLOOKUP($C35,kenpom2017!$C$2:$I$69,4,FALSE)</f>
        <v>5.4595490000000002E-5</v>
      </c>
      <c r="G35" s="7">
        <f>VLOOKUP($C35,'fte2017'!$D$2:$K$69,6,FALSE)-VLOOKUP($C35,kenpom2017!$C$2:$I$69,5,FALSE)</f>
        <v>4.644096E-6</v>
      </c>
      <c r="H35" s="7">
        <f>VLOOKUP($C35,'fte2017'!$D$2:$K$69,7,FALSE)-VLOOKUP($C35,kenpom2017!$C$2:$I$69,6,FALSE)</f>
        <v>5.1910000000000004E-7</v>
      </c>
      <c r="I35" s="7">
        <f>VLOOKUP($C35,'fte2017'!$D$2:$K$69,8,FALSE)-VLOOKUP($C35,kenpom2017!$C$2:$I$69,7,FALSE)</f>
        <v>5.2853999999999998E-8</v>
      </c>
      <c r="J35" s="7"/>
      <c r="K35" s="7">
        <f t="shared" si="0"/>
        <v>-2.4108936410000012E-3</v>
      </c>
      <c r="R35" s="5" t="s">
        <v>66</v>
      </c>
      <c r="S35" s="7">
        <v>-2.3887834157000024E-2</v>
      </c>
    </row>
    <row r="36" spans="1:19" x14ac:dyDescent="0.2">
      <c r="A36">
        <v>16</v>
      </c>
      <c r="B36" t="s">
        <v>22</v>
      </c>
      <c r="C36" s="3" t="s">
        <v>85</v>
      </c>
      <c r="D36" s="7">
        <f>VLOOKUP($C36,'fte2017'!$D$2:$K$69,3,FALSE)-VLOOKUP($C36,kenpom2017!$C$2:$I$69,2,FALSE)</f>
        <v>-2.4371646731999999E-2</v>
      </c>
      <c r="E36" s="7">
        <f>VLOOKUP($C36,'fte2017'!$D$2:$K$69,4,FALSE)-VLOOKUP($C36,kenpom2017!$C$2:$I$69,3,FALSE)</f>
        <v>-6.1908861030000005E-3</v>
      </c>
      <c r="F36" s="7">
        <f>VLOOKUP($C36,'fte2017'!$D$2:$K$69,5,FALSE)-VLOOKUP($C36,kenpom2017!$C$2:$I$69,4,FALSE)</f>
        <v>-7.4798192599999998E-4</v>
      </c>
      <c r="G36" s="7">
        <f>VLOOKUP($C36,'fte2017'!$D$2:$K$69,6,FALSE)-VLOOKUP($C36,kenpom2017!$C$2:$I$69,5,FALSE)</f>
        <v>-5.4774638000000006E-5</v>
      </c>
      <c r="H36" s="7">
        <f>VLOOKUP($C36,'fte2017'!$D$2:$K$69,7,FALSE)-VLOOKUP($C36,kenpom2017!$C$2:$I$69,6,FALSE)</f>
        <v>1.4591200000000001E-6</v>
      </c>
      <c r="I36" s="7">
        <f>VLOOKUP($C36,'fte2017'!$D$2:$K$69,8,FALSE)-VLOOKUP($C36,kenpom2017!$C$2:$I$69,7,FALSE)</f>
        <v>1.2784699999999999E-7</v>
      </c>
      <c r="J36" s="7"/>
      <c r="K36" s="7">
        <f t="shared" si="0"/>
        <v>-3.1363702431999999E-2</v>
      </c>
      <c r="R36" t="s">
        <v>72</v>
      </c>
      <c r="S36" s="7">
        <v>-2.9197747326000004E-2</v>
      </c>
    </row>
    <row r="37" spans="1:19" x14ac:dyDescent="0.2">
      <c r="A37">
        <v>1</v>
      </c>
      <c r="B37" t="s">
        <v>24</v>
      </c>
      <c r="C37" t="s">
        <v>25</v>
      </c>
      <c r="D37" s="7">
        <f>VLOOKUP($C37,'fte2017'!$D$2:$K$69,3,FALSE)-VLOOKUP($C37,kenpom2017!$C$2:$I$69,2,FALSE)</f>
        <v>-7.2466050399999649E-4</v>
      </c>
      <c r="E37" s="7">
        <f>VLOOKUP($C37,'fte2017'!$D$2:$K$69,4,FALSE)-VLOOKUP($C37,kenpom2017!$C$2:$I$69,3,FALSE)</f>
        <v>1.2724712655000081E-2</v>
      </c>
      <c r="F37" s="7">
        <f>VLOOKUP($C37,'fte2017'!$D$2:$K$69,5,FALSE)-VLOOKUP($C37,kenpom2017!$C$2:$I$69,4,FALSE)</f>
        <v>6.8419796260000831E-3</v>
      </c>
      <c r="G37" s="7">
        <f>VLOOKUP($C37,'fte2017'!$D$2:$K$69,6,FALSE)-VLOOKUP($C37,kenpom2017!$C$2:$I$69,5,FALSE)</f>
        <v>-3.4451084273999955E-2</v>
      </c>
      <c r="H37" s="7">
        <f>VLOOKUP($C37,'fte2017'!$D$2:$K$69,7,FALSE)-VLOOKUP($C37,kenpom2017!$C$2:$I$69,6,FALSE)</f>
        <v>-4.4207770204999969E-2</v>
      </c>
      <c r="I37" s="7">
        <f>VLOOKUP($C37,'fte2017'!$D$2:$K$69,8,FALSE)-VLOOKUP($C37,kenpom2017!$C$2:$I$69,7,FALSE)</f>
        <v>-2.9027042335000003E-2</v>
      </c>
      <c r="J37" s="7"/>
      <c r="K37" s="7">
        <f t="shared" si="0"/>
        <v>-8.8843865036999758E-2</v>
      </c>
      <c r="R37" s="6" t="s">
        <v>52</v>
      </c>
      <c r="S37" s="7">
        <v>-3.0500442728999978E-2</v>
      </c>
    </row>
    <row r="38" spans="1:19" x14ac:dyDescent="0.2">
      <c r="A38">
        <v>2</v>
      </c>
      <c r="B38" t="s">
        <v>24</v>
      </c>
      <c r="C38" t="s">
        <v>23</v>
      </c>
      <c r="D38" s="7">
        <f>VLOOKUP($C38,'fte2017'!$D$2:$K$69,3,FALSE)-VLOOKUP($C38,kenpom2017!$C$2:$I$69,2,FALSE)</f>
        <v>1.0806378802000083E-2</v>
      </c>
      <c r="E38" s="7">
        <f>VLOOKUP($C38,'fte2017'!$D$2:$K$69,4,FALSE)-VLOOKUP($C38,kenpom2017!$C$2:$I$69,3,FALSE)</f>
        <v>0.11992340727999995</v>
      </c>
      <c r="F38" s="7">
        <f>VLOOKUP($C38,'fte2017'!$D$2:$K$69,5,FALSE)-VLOOKUP($C38,kenpom2017!$C$2:$I$69,4,FALSE)</f>
        <v>0.11382891546700002</v>
      </c>
      <c r="G38" s="7">
        <f>VLOOKUP($C38,'fte2017'!$D$2:$K$69,6,FALSE)-VLOOKUP($C38,kenpom2017!$C$2:$I$69,5,FALSE)</f>
        <v>9.2249842676000032E-2</v>
      </c>
      <c r="H38" s="7">
        <f>VLOOKUP($C38,'fte2017'!$D$2:$K$69,7,FALSE)-VLOOKUP($C38,kenpom2017!$C$2:$I$69,6,FALSE)</f>
        <v>4.6237626263999992E-2</v>
      </c>
      <c r="I38" s="7">
        <f>VLOOKUP($C38,'fte2017'!$D$2:$K$69,8,FALSE)-VLOOKUP($C38,kenpom2017!$C$2:$I$69,7,FALSE)</f>
        <v>2.3807350751000003E-2</v>
      </c>
      <c r="J38" s="7"/>
      <c r="K38" s="7">
        <f t="shared" si="0"/>
        <v>0.40685352124000002</v>
      </c>
      <c r="R38" t="s">
        <v>82</v>
      </c>
      <c r="S38" s="7">
        <v>-3.0636499895000002E-2</v>
      </c>
    </row>
    <row r="39" spans="1:19" x14ac:dyDescent="0.2">
      <c r="A39">
        <v>3</v>
      </c>
      <c r="B39" t="s">
        <v>24</v>
      </c>
      <c r="C39" t="s">
        <v>30</v>
      </c>
      <c r="D39" s="7">
        <f>VLOOKUP($C39,'fte2017'!$D$2:$K$69,3,FALSE)-VLOOKUP($C39,kenpom2017!$C$2:$I$69,2,FALSE)</f>
        <v>1.9723642576000011E-2</v>
      </c>
      <c r="E39" s="7">
        <f>VLOOKUP($C39,'fte2017'!$D$2:$K$69,4,FALSE)-VLOOKUP($C39,kenpom2017!$C$2:$I$69,3,FALSE)</f>
        <v>9.1538887739999963E-2</v>
      </c>
      <c r="F39" s="7">
        <f>VLOOKUP($C39,'fte2017'!$D$2:$K$69,5,FALSE)-VLOOKUP($C39,kenpom2017!$C$2:$I$69,4,FALSE)</f>
        <v>-7.6802134170000369E-3</v>
      </c>
      <c r="G39" s="7">
        <f>VLOOKUP($C39,'fte2017'!$D$2:$K$69,6,FALSE)-VLOOKUP($C39,kenpom2017!$C$2:$I$69,5,FALSE)</f>
        <v>-5.4510404970000148E-3</v>
      </c>
      <c r="H39" s="7">
        <f>VLOOKUP($C39,'fte2017'!$D$2:$K$69,7,FALSE)-VLOOKUP($C39,kenpom2017!$C$2:$I$69,6,FALSE)</f>
        <v>3.7131707269999967E-3</v>
      </c>
      <c r="I39" s="7">
        <f>VLOOKUP($C39,'fte2017'!$D$2:$K$69,8,FALSE)-VLOOKUP($C39,kenpom2017!$C$2:$I$69,7,FALSE)</f>
        <v>6.8595429299999969E-3</v>
      </c>
      <c r="J39" s="7"/>
      <c r="K39" s="7">
        <f t="shared" si="0"/>
        <v>0.10870399005899992</v>
      </c>
      <c r="R39" s="3" t="s">
        <v>85</v>
      </c>
      <c r="S39" s="7">
        <v>-3.1363702431999999E-2</v>
      </c>
    </row>
    <row r="40" spans="1:19" x14ac:dyDescent="0.2">
      <c r="A40">
        <v>4</v>
      </c>
      <c r="B40" t="s">
        <v>24</v>
      </c>
      <c r="C40" t="s">
        <v>39</v>
      </c>
      <c r="D40" s="7">
        <f>VLOOKUP($C40,'fte2017'!$D$2:$K$69,3,FALSE)-VLOOKUP($C40,kenpom2017!$C$2:$I$69,2,FALSE)</f>
        <v>4.7205906066000058E-2</v>
      </c>
      <c r="E40" s="7">
        <f>VLOOKUP($C40,'fte2017'!$D$2:$K$69,4,FALSE)-VLOOKUP($C40,kenpom2017!$C$2:$I$69,3,FALSE)</f>
        <v>9.8125611104999955E-2</v>
      </c>
      <c r="F40" s="7">
        <f>VLOOKUP($C40,'fte2017'!$D$2:$K$69,5,FALSE)-VLOOKUP($C40,kenpom2017!$C$2:$I$69,4,FALSE)</f>
        <v>2.2390822307000013E-2</v>
      </c>
      <c r="G40" s="7">
        <f>VLOOKUP($C40,'fte2017'!$D$2:$K$69,6,FALSE)-VLOOKUP($C40,kenpom2017!$C$2:$I$69,5,FALSE)</f>
        <v>1.2819391289999871E-3</v>
      </c>
      <c r="H40" s="7">
        <f>VLOOKUP($C40,'fte2017'!$D$2:$K$69,7,FALSE)-VLOOKUP($C40,kenpom2017!$C$2:$I$69,6,FALSE)</f>
        <v>-3.0155604700000047E-3</v>
      </c>
      <c r="I40" s="7">
        <f>VLOOKUP($C40,'fte2017'!$D$2:$K$69,8,FALSE)-VLOOKUP($C40,kenpom2017!$C$2:$I$69,7,FALSE)</f>
        <v>-9.7618881500000088E-4</v>
      </c>
      <c r="J40" s="7"/>
      <c r="K40" s="7">
        <f t="shared" si="0"/>
        <v>0.165012529322</v>
      </c>
      <c r="R40" t="s">
        <v>77</v>
      </c>
      <c r="S40" s="7">
        <v>-3.3066473408000001E-2</v>
      </c>
    </row>
    <row r="41" spans="1:19" x14ac:dyDescent="0.2">
      <c r="A41">
        <v>5</v>
      </c>
      <c r="B41" t="s">
        <v>24</v>
      </c>
      <c r="C41" t="s">
        <v>64</v>
      </c>
      <c r="D41" s="7">
        <f>VLOOKUP($C41,'fte2017'!$D$2:$K$69,3,FALSE)-VLOOKUP($C41,kenpom2017!$C$2:$I$69,2,FALSE)</f>
        <v>-2.3437759473999953E-2</v>
      </c>
      <c r="E41" s="7">
        <f>VLOOKUP($C41,'fte2017'!$D$2:$K$69,4,FALSE)-VLOOKUP($C41,kenpom2017!$C$2:$I$69,3,FALSE)</f>
        <v>-6.2416883325000005E-2</v>
      </c>
      <c r="F41" s="7">
        <f>VLOOKUP($C41,'fte2017'!$D$2:$K$69,5,FALSE)-VLOOKUP($C41,kenpom2017!$C$2:$I$69,4,FALSE)</f>
        <v>-3.0470365701999992E-2</v>
      </c>
      <c r="G41" s="7">
        <f>VLOOKUP($C41,'fte2017'!$D$2:$K$69,6,FALSE)-VLOOKUP($C41,kenpom2017!$C$2:$I$69,5,FALSE)</f>
        <v>-1.1877435248000003E-2</v>
      </c>
      <c r="H41" s="7">
        <f>VLOOKUP($C41,'fte2017'!$D$2:$K$69,7,FALSE)-VLOOKUP($C41,kenpom2017!$C$2:$I$69,6,FALSE)</f>
        <v>-4.1688426779999989E-3</v>
      </c>
      <c r="I41" s="7">
        <f>VLOOKUP($C41,'fte2017'!$D$2:$K$69,8,FALSE)-VLOOKUP($C41,kenpom2017!$C$2:$I$69,7,FALSE)</f>
        <v>-1.2995387510000001E-3</v>
      </c>
      <c r="J41" s="7"/>
      <c r="K41" s="7">
        <f t="shared" si="0"/>
        <v>-0.13367082517799994</v>
      </c>
      <c r="R41" t="s">
        <v>63</v>
      </c>
      <c r="S41" s="7">
        <v>-4.2181971426999969E-2</v>
      </c>
    </row>
    <row r="42" spans="1:19" x14ac:dyDescent="0.2">
      <c r="A42">
        <v>6</v>
      </c>
      <c r="B42" t="s">
        <v>24</v>
      </c>
      <c r="C42" t="s">
        <v>42</v>
      </c>
      <c r="D42" s="7">
        <f>VLOOKUP($C42,'fte2017'!$D$2:$K$69,3,FALSE)-VLOOKUP($C42,kenpom2017!$C$2:$I$69,2,FALSE)</f>
        <v>1.4992312947999964E-2</v>
      </c>
      <c r="E42" s="7">
        <f>VLOOKUP($C42,'fte2017'!$D$2:$K$69,4,FALSE)-VLOOKUP($C42,kenpom2017!$C$2:$I$69,3,FALSE)</f>
        <v>-5.6838127713000008E-2</v>
      </c>
      <c r="F42" s="7">
        <f>VLOOKUP($C42,'fte2017'!$D$2:$K$69,5,FALSE)-VLOOKUP($C42,kenpom2017!$C$2:$I$69,4,FALSE)</f>
        <v>-2.5291084623999996E-2</v>
      </c>
      <c r="G42" s="7">
        <f>VLOOKUP($C42,'fte2017'!$D$2:$K$69,6,FALSE)-VLOOKUP($C42,kenpom2017!$C$2:$I$69,5,FALSE)</f>
        <v>-5.9810031810000053E-3</v>
      </c>
      <c r="H42" s="7">
        <f>VLOOKUP($C42,'fte2017'!$D$2:$K$69,7,FALSE)-VLOOKUP($C42,kenpom2017!$C$2:$I$69,6,FALSE)</f>
        <v>-3.0830396930000038E-3</v>
      </c>
      <c r="I42" s="7">
        <f>VLOOKUP($C42,'fte2017'!$D$2:$K$69,8,FALSE)-VLOOKUP($C42,kenpom2017!$C$2:$I$69,7,FALSE)</f>
        <v>-5.9848044500000058E-4</v>
      </c>
      <c r="J42" s="7"/>
      <c r="K42" s="7">
        <f t="shared" si="0"/>
        <v>-7.6799422708000054E-2</v>
      </c>
      <c r="R42" t="s">
        <v>84</v>
      </c>
      <c r="S42" s="7">
        <v>-4.6511682037000006E-2</v>
      </c>
    </row>
    <row r="43" spans="1:19" x14ac:dyDescent="0.2">
      <c r="A43">
        <v>7</v>
      </c>
      <c r="B43" t="s">
        <v>24</v>
      </c>
      <c r="C43" t="s">
        <v>55</v>
      </c>
      <c r="D43" s="7">
        <f>VLOOKUP($C43,'fte2017'!$D$2:$K$69,3,FALSE)-VLOOKUP($C43,kenpom2017!$C$2:$I$69,2,FALSE)</f>
        <v>5.7641690528999978E-2</v>
      </c>
      <c r="E43" s="7">
        <f>VLOOKUP($C43,'fte2017'!$D$2:$K$69,4,FALSE)-VLOOKUP($C43,kenpom2017!$C$2:$I$69,3,FALSE)</f>
        <v>9.0965438600000004E-3</v>
      </c>
      <c r="F43" s="7">
        <f>VLOOKUP($C43,'fte2017'!$D$2:$K$69,5,FALSE)-VLOOKUP($C43,kenpom2017!$C$2:$I$69,4,FALSE)</f>
        <v>6.4884689939999976E-3</v>
      </c>
      <c r="G43" s="7">
        <f>VLOOKUP($C43,'fte2017'!$D$2:$K$69,6,FALSE)-VLOOKUP($C43,kenpom2017!$C$2:$I$69,5,FALSE)</f>
        <v>3.8139298670000002E-3</v>
      </c>
      <c r="H43" s="7">
        <f>VLOOKUP($C43,'fte2017'!$D$2:$K$69,7,FALSE)-VLOOKUP($C43,kenpom2017!$C$2:$I$69,6,FALSE)</f>
        <v>1.5397752089999998E-3</v>
      </c>
      <c r="I43" s="7">
        <f>VLOOKUP($C43,'fte2017'!$D$2:$K$69,8,FALSE)-VLOOKUP($C43,kenpom2017!$C$2:$I$69,7,FALSE)</f>
        <v>6.1835019400000002E-4</v>
      </c>
      <c r="J43" s="7"/>
      <c r="K43" s="7">
        <f t="shared" si="0"/>
        <v>7.9198758652999968E-2</v>
      </c>
      <c r="R43" t="s">
        <v>49</v>
      </c>
      <c r="S43" s="7">
        <v>-4.9837167016000022E-2</v>
      </c>
    </row>
    <row r="44" spans="1:19" x14ac:dyDescent="0.2">
      <c r="A44">
        <v>8</v>
      </c>
      <c r="B44" t="s">
        <v>24</v>
      </c>
      <c r="C44" t="s">
        <v>49</v>
      </c>
      <c r="D44" s="7">
        <f>VLOOKUP($C44,'fte2017'!$D$2:$K$69,3,FALSE)-VLOOKUP($C44,kenpom2017!$C$2:$I$69,2,FALSE)</f>
        <v>-3.5261760994000024E-2</v>
      </c>
      <c r="E44" s="7">
        <f>VLOOKUP($C44,'fte2017'!$D$2:$K$69,4,FALSE)-VLOOKUP($C44,kenpom2017!$C$2:$I$69,3,FALSE)</f>
        <v>-1.9808069908999998E-2</v>
      </c>
      <c r="F44" s="7">
        <f>VLOOKUP($C44,'fte2017'!$D$2:$K$69,5,FALSE)-VLOOKUP($C44,kenpom2017!$C$2:$I$69,4,FALSE)</f>
        <v>2.2126714699999966E-4</v>
      </c>
      <c r="G44" s="7">
        <f>VLOOKUP($C44,'fte2017'!$D$2:$K$69,6,FALSE)-VLOOKUP($C44,kenpom2017!$C$2:$I$69,5,FALSE)</f>
        <v>2.3186609890000001E-3</v>
      </c>
      <c r="H44" s="7">
        <f>VLOOKUP($C44,'fte2017'!$D$2:$K$69,7,FALSE)-VLOOKUP($C44,kenpom2017!$C$2:$I$69,6,FALSE)</f>
        <v>1.9181758359999995E-3</v>
      </c>
      <c r="I44" s="7">
        <f>VLOOKUP($C44,'fte2017'!$D$2:$K$69,8,FALSE)-VLOOKUP($C44,kenpom2017!$C$2:$I$69,7,FALSE)</f>
        <v>7.74559915E-4</v>
      </c>
      <c r="J44" s="7"/>
      <c r="K44" s="7">
        <f t="shared" si="0"/>
        <v>-4.9837167016000022E-2</v>
      </c>
      <c r="R44" t="s">
        <v>60</v>
      </c>
      <c r="S44" s="7">
        <v>-5.3277884007000009E-2</v>
      </c>
    </row>
    <row r="45" spans="1:19" x14ac:dyDescent="0.2">
      <c r="A45">
        <v>9</v>
      </c>
      <c r="B45" t="s">
        <v>24</v>
      </c>
      <c r="C45" t="s">
        <v>54</v>
      </c>
      <c r="D45" s="7">
        <f>VLOOKUP($C45,'fte2017'!$D$2:$K$69,3,FALSE)-VLOOKUP($C45,kenpom2017!$C$2:$I$69,2,FALSE)</f>
        <v>3.5261760994000024E-2</v>
      </c>
      <c r="E45" s="7">
        <f>VLOOKUP($C45,'fte2017'!$D$2:$K$69,4,FALSE)-VLOOKUP($C45,kenpom2017!$C$2:$I$69,3,FALSE)</f>
        <v>6.5507134209999984E-3</v>
      </c>
      <c r="F45" s="7">
        <f>VLOOKUP($C45,'fte2017'!$D$2:$K$69,5,FALSE)-VLOOKUP($C45,kenpom2017!$C$2:$I$69,4,FALSE)</f>
        <v>9.016707605999999E-3</v>
      </c>
      <c r="G45" s="7">
        <f>VLOOKUP($C45,'fte2017'!$D$2:$K$69,6,FALSE)-VLOOKUP($C45,kenpom2017!$C$2:$I$69,5,FALSE)</f>
        <v>3.4380201969999996E-3</v>
      </c>
      <c r="H45" s="7">
        <f>VLOOKUP($C45,'fte2017'!$D$2:$K$69,7,FALSE)-VLOOKUP($C45,kenpom2017!$C$2:$I$69,6,FALSE)</f>
        <v>8.0367265200000006E-4</v>
      </c>
      <c r="I45" s="7">
        <f>VLOOKUP($C45,'fte2017'!$D$2:$K$69,8,FALSE)-VLOOKUP($C45,kenpom2017!$C$2:$I$69,7,FALSE)</f>
        <v>6.2509059700000002E-4</v>
      </c>
      <c r="J45" s="7"/>
      <c r="K45" s="7">
        <f t="shared" si="0"/>
        <v>5.5695965467000022E-2</v>
      </c>
      <c r="R45" t="s">
        <v>74</v>
      </c>
      <c r="S45" s="7">
        <v>-5.426997075E-2</v>
      </c>
    </row>
    <row r="46" spans="1:19" x14ac:dyDescent="0.2">
      <c r="A46">
        <v>10</v>
      </c>
      <c r="B46" t="s">
        <v>24</v>
      </c>
      <c r="C46" t="s">
        <v>34</v>
      </c>
      <c r="D46" s="7">
        <f>VLOOKUP($C46,'fte2017'!$D$2:$K$69,3,FALSE)-VLOOKUP($C46,kenpom2017!$C$2:$I$69,2,FALSE)</f>
        <v>-5.7641690529000034E-2</v>
      </c>
      <c r="E46" s="7">
        <f>VLOOKUP($C46,'fte2017'!$D$2:$K$69,4,FALSE)-VLOOKUP($C46,kenpom2017!$C$2:$I$69,3,FALSE)</f>
        <v>-0.128783237154</v>
      </c>
      <c r="F46" s="7">
        <f>VLOOKUP($C46,'fte2017'!$D$2:$K$69,5,FALSE)-VLOOKUP($C46,kenpom2017!$C$2:$I$69,4,FALSE)</f>
        <v>-7.910588102299998E-2</v>
      </c>
      <c r="G46" s="7">
        <f>VLOOKUP($C46,'fte2017'!$D$2:$K$69,6,FALSE)-VLOOKUP($C46,kenpom2017!$C$2:$I$69,5,FALSE)</f>
        <v>-4.4154062778000006E-2</v>
      </c>
      <c r="H46" s="7">
        <f>VLOOKUP($C46,'fte2017'!$D$2:$K$69,7,FALSE)-VLOOKUP($C46,kenpom2017!$C$2:$I$69,6,FALSE)</f>
        <v>-2.7251986069999991E-2</v>
      </c>
      <c r="I46" s="7">
        <f>VLOOKUP($C46,'fte2017'!$D$2:$K$69,8,FALSE)-VLOOKUP($C46,kenpom2017!$C$2:$I$69,7,FALSE)</f>
        <v>-1.3096232263000003E-2</v>
      </c>
      <c r="J46" s="7"/>
      <c r="K46" s="7">
        <f t="shared" si="0"/>
        <v>-0.35003308981699999</v>
      </c>
      <c r="R46" t="s">
        <v>35</v>
      </c>
      <c r="S46" s="7">
        <v>-5.6910235390000015E-2</v>
      </c>
    </row>
    <row r="47" spans="1:19" x14ac:dyDescent="0.2">
      <c r="A47">
        <v>11</v>
      </c>
      <c r="B47" t="s">
        <v>24</v>
      </c>
      <c r="C47" s="6" t="s">
        <v>58</v>
      </c>
      <c r="D47" s="7">
        <f>VLOOKUP($C47,'fte2017'!$D$2:$K$69,3,FALSE)-VLOOKUP($C47,kenpom2017!$C$2:$I$69,2,FALSE)</f>
        <v>-4.2911298499999639E-3</v>
      </c>
      <c r="E47" s="7">
        <f>VLOOKUP($C47,'fte2017'!$D$2:$K$69,4,FALSE)-VLOOKUP($C47,kenpom2017!$C$2:$I$69,3,FALSE)</f>
        <v>-1.6491871800999994E-2</v>
      </c>
      <c r="F47" s="7">
        <f>VLOOKUP($C47,'fte2017'!$D$2:$K$69,5,FALSE)-VLOOKUP($C47,kenpom2017!$C$2:$I$69,4,FALSE)</f>
        <v>-3.4395520880000016E-3</v>
      </c>
      <c r="G47" s="7">
        <f>VLOOKUP($C47,'fte2017'!$D$2:$K$69,6,FALSE)-VLOOKUP($C47,kenpom2017!$C$2:$I$69,5,FALSE)</f>
        <v>-2.8817569999999015E-5</v>
      </c>
      <c r="H47" s="7">
        <f>VLOOKUP($C47,'fte2017'!$D$2:$K$69,7,FALSE)-VLOOKUP($C47,kenpom2017!$C$2:$I$69,6,FALSE)</f>
        <v>5.4049181599999992E-4</v>
      </c>
      <c r="I47" s="7">
        <f>VLOOKUP($C47,'fte2017'!$D$2:$K$69,8,FALSE)-VLOOKUP($C47,kenpom2017!$C$2:$I$69,7,FALSE)</f>
        <v>2.105806610000001E-4</v>
      </c>
      <c r="J47" s="7"/>
      <c r="K47" s="7">
        <f t="shared" si="0"/>
        <v>-2.3500298831999958E-2</v>
      </c>
      <c r="R47" t="s">
        <v>79</v>
      </c>
      <c r="S47" s="7">
        <v>-6.0612997200000004E-2</v>
      </c>
    </row>
    <row r="48" spans="1:19" x14ac:dyDescent="0.2">
      <c r="A48">
        <v>11</v>
      </c>
      <c r="B48" t="s">
        <v>24</v>
      </c>
      <c r="C48" s="6" t="s">
        <v>52</v>
      </c>
      <c r="D48" s="7">
        <f>VLOOKUP($C48,'fte2017'!$D$2:$K$69,3,FALSE)-VLOOKUP($C48,kenpom2017!$C$2:$I$69,2,FALSE)</f>
        <v>-1.1701183098999979E-2</v>
      </c>
      <c r="E48" s="7">
        <f>VLOOKUP($C48,'fte2017'!$D$2:$K$69,4,FALSE)-VLOOKUP($C48,kenpom2017!$C$2:$I$69,3,FALSE)</f>
        <v>-1.5741531436999995E-2</v>
      </c>
      <c r="F48" s="7">
        <f>VLOOKUP($C48,'fte2017'!$D$2:$K$69,5,FALSE)-VLOOKUP($C48,kenpom2017!$C$2:$I$69,4,FALSE)</f>
        <v>-3.9078474969999992E-3</v>
      </c>
      <c r="G48" s="7">
        <f>VLOOKUP($C48,'fte2017'!$D$2:$K$69,6,FALSE)-VLOOKUP($C48,kenpom2017!$C$2:$I$69,5,FALSE)</f>
        <v>2.1358561499999935E-4</v>
      </c>
      <c r="H48" s="7">
        <f>VLOOKUP($C48,'fte2017'!$D$2:$K$69,7,FALSE)-VLOOKUP($C48,kenpom2017!$C$2:$I$69,6,FALSE)</f>
        <v>2.8754379299999978E-4</v>
      </c>
      <c r="I48" s="7">
        <f>VLOOKUP($C48,'fte2017'!$D$2:$K$69,8,FALSE)-VLOOKUP($C48,kenpom2017!$C$2:$I$69,7,FALSE)</f>
        <v>3.4898989600000007E-4</v>
      </c>
      <c r="J48" s="7"/>
      <c r="K48" s="7">
        <f t="shared" si="0"/>
        <v>-3.0500442728999978E-2</v>
      </c>
      <c r="R48" t="s">
        <v>57</v>
      </c>
      <c r="S48" s="7">
        <v>-7.0178542271000052E-2</v>
      </c>
    </row>
    <row r="49" spans="1:19" x14ac:dyDescent="0.2">
      <c r="A49">
        <v>12</v>
      </c>
      <c r="B49" t="s">
        <v>24</v>
      </c>
      <c r="C49" t="s">
        <v>61</v>
      </c>
      <c r="D49" s="7">
        <f>VLOOKUP($C49,'fte2017'!$D$2:$K$69,3,FALSE)-VLOOKUP($C49,kenpom2017!$C$2:$I$69,2,FALSE)</f>
        <v>2.3437759474000008E-2</v>
      </c>
      <c r="E49" s="7">
        <f>VLOOKUP($C49,'fte2017'!$D$2:$K$69,4,FALSE)-VLOOKUP($C49,kenpom2017!$C$2:$I$69,3,FALSE)</f>
        <v>-2.7588500330999993E-2</v>
      </c>
      <c r="F49" s="7">
        <f>VLOOKUP($C49,'fte2017'!$D$2:$K$69,5,FALSE)-VLOOKUP($C49,kenpom2017!$C$2:$I$69,4,FALSE)</f>
        <v>-8.2407421570000056E-3</v>
      </c>
      <c r="G49" s="7">
        <f>VLOOKUP($C49,'fte2017'!$D$2:$K$69,6,FALSE)-VLOOKUP($C49,kenpom2017!$C$2:$I$69,5,FALSE)</f>
        <v>-2.0773351319999991E-3</v>
      </c>
      <c r="H49" s="7">
        <f>VLOOKUP($C49,'fte2017'!$D$2:$K$69,7,FALSE)-VLOOKUP($C49,kenpom2017!$C$2:$I$69,6,FALSE)</f>
        <v>-7.5991102300000017E-4</v>
      </c>
      <c r="I49" s="7">
        <f>VLOOKUP($C49,'fte2017'!$D$2:$K$69,8,FALSE)-VLOOKUP($C49,kenpom2017!$C$2:$I$69,7,FALSE)</f>
        <v>-2.2011537300000003E-4</v>
      </c>
      <c r="J49" s="7"/>
      <c r="K49" s="7">
        <f t="shared" si="0"/>
        <v>-1.544884454199999E-2</v>
      </c>
      <c r="R49" t="s">
        <v>69</v>
      </c>
      <c r="S49" s="7">
        <v>-7.5182956177000007E-2</v>
      </c>
    </row>
    <row r="50" spans="1:19" x14ac:dyDescent="0.2">
      <c r="A50">
        <v>13</v>
      </c>
      <c r="B50" t="s">
        <v>24</v>
      </c>
      <c r="C50" t="s">
        <v>74</v>
      </c>
      <c r="D50" s="7">
        <f>VLOOKUP($C50,'fte2017'!$D$2:$K$69,3,FALSE)-VLOOKUP($C50,kenpom2017!$C$2:$I$69,2,FALSE)</f>
        <v>-4.7205906066000003E-2</v>
      </c>
      <c r="E50" s="7">
        <f>VLOOKUP($C50,'fte2017'!$D$2:$K$69,4,FALSE)-VLOOKUP($C50,kenpom2017!$C$2:$I$69,3,FALSE)</f>
        <v>-7.1202274499999989E-3</v>
      </c>
      <c r="F50" s="7">
        <f>VLOOKUP($C50,'fte2017'!$D$2:$K$69,5,FALSE)-VLOOKUP($C50,kenpom2017!$C$2:$I$69,4,FALSE)</f>
        <v>-1.046891230000002E-4</v>
      </c>
      <c r="G50" s="7">
        <f>VLOOKUP($C50,'fte2017'!$D$2:$K$69,6,FALSE)-VLOOKUP($C50,kenpom2017!$C$2:$I$69,5,FALSE)</f>
        <v>1.2219078699999994E-4</v>
      </c>
      <c r="H50" s="7">
        <f>VLOOKUP($C50,'fte2017'!$D$2:$K$69,7,FALSE)-VLOOKUP($C50,kenpom2017!$C$2:$I$69,6,FALSE)</f>
        <v>3.8059027999999999E-5</v>
      </c>
      <c r="I50" s="7">
        <f>VLOOKUP($C50,'fte2017'!$D$2:$K$69,8,FALSE)-VLOOKUP($C50,kenpom2017!$C$2:$I$69,7,FALSE)</f>
        <v>6.0207399999999941E-7</v>
      </c>
      <c r="J50" s="7"/>
      <c r="K50" s="7">
        <f t="shared" si="0"/>
        <v>-5.426997075E-2</v>
      </c>
      <c r="R50" t="s">
        <v>73</v>
      </c>
      <c r="S50" s="7">
        <v>-7.5438005035000005E-2</v>
      </c>
    </row>
    <row r="51" spans="1:19" x14ac:dyDescent="0.2">
      <c r="A51">
        <v>14</v>
      </c>
      <c r="B51" t="s">
        <v>24</v>
      </c>
      <c r="C51" t="s">
        <v>78</v>
      </c>
      <c r="D51" s="7">
        <f>VLOOKUP($C51,'fte2017'!$D$2:$K$69,3,FALSE)-VLOOKUP($C51,kenpom2017!$C$2:$I$69,2,FALSE)</f>
        <v>-1.9723642575999997E-2</v>
      </c>
      <c r="E51" s="7">
        <f>VLOOKUP($C51,'fte2017'!$D$2:$K$69,4,FALSE)-VLOOKUP($C51,kenpom2017!$C$2:$I$69,3,FALSE)</f>
        <v>-2.4673567899999999E-3</v>
      </c>
      <c r="F51" s="7">
        <f>VLOOKUP($C51,'fte2017'!$D$2:$K$69,5,FALSE)-VLOOKUP($C51,kenpom2017!$C$2:$I$69,4,FALSE)</f>
        <v>-6.5147120000000054E-5</v>
      </c>
      <c r="G51" s="7">
        <f>VLOOKUP($C51,'fte2017'!$D$2:$K$69,6,FALSE)-VLOOKUP($C51,kenpom2017!$C$2:$I$69,5,FALSE)</f>
        <v>4.5967626999999997E-5</v>
      </c>
      <c r="H51" s="7">
        <f>VLOOKUP($C51,'fte2017'!$D$2:$K$69,7,FALSE)-VLOOKUP($C51,kenpom2017!$C$2:$I$69,6,FALSE)</f>
        <v>1.2897036000000001E-5</v>
      </c>
      <c r="I51" s="7">
        <f>VLOOKUP($C51,'fte2017'!$D$2:$K$69,8,FALSE)-VLOOKUP($C51,kenpom2017!$C$2:$I$69,7,FALSE)</f>
        <v>1.581086E-6</v>
      </c>
      <c r="J51" s="7"/>
      <c r="K51" s="7">
        <f t="shared" si="0"/>
        <v>-2.2195700736999998E-2</v>
      </c>
      <c r="R51" t="s">
        <v>59</v>
      </c>
      <c r="S51" s="7">
        <v>-7.6428173054999979E-2</v>
      </c>
    </row>
    <row r="52" spans="1:19" x14ac:dyDescent="0.2">
      <c r="A52">
        <v>15</v>
      </c>
      <c r="B52" t="s">
        <v>24</v>
      </c>
      <c r="C52" t="s">
        <v>80</v>
      </c>
      <c r="D52" s="7">
        <f>VLOOKUP($C52,'fte2017'!$D$2:$K$69,3,FALSE)-VLOOKUP($C52,kenpom2017!$C$2:$I$69,2,FALSE)</f>
        <v>-1.0806378802000007E-2</v>
      </c>
      <c r="E52" s="7">
        <f>VLOOKUP($C52,'fte2017'!$D$2:$K$69,4,FALSE)-VLOOKUP($C52,kenpom2017!$C$2:$I$69,3,FALSE)</f>
        <v>-2.3671398499999991E-4</v>
      </c>
      <c r="F52" s="7">
        <f>VLOOKUP($C52,'fte2017'!$D$2:$K$69,5,FALSE)-VLOOKUP($C52,kenpom2017!$C$2:$I$69,4,FALSE)</f>
        <v>7.234130799999998E-5</v>
      </c>
      <c r="G52" s="7">
        <f>VLOOKUP($C52,'fte2017'!$D$2:$K$69,6,FALSE)-VLOOKUP($C52,kenpom2017!$C$2:$I$69,5,FALSE)</f>
        <v>3.1523434999999999E-5</v>
      </c>
      <c r="H52" s="7">
        <f>VLOOKUP($C52,'fte2017'!$D$2:$K$69,7,FALSE)-VLOOKUP($C52,kenpom2017!$C$2:$I$69,6,FALSE)</f>
        <v>6.851955E-6</v>
      </c>
      <c r="I52" s="7">
        <f>VLOOKUP($C52,'fte2017'!$D$2:$K$69,8,FALSE)-VLOOKUP($C52,kenpom2017!$C$2:$I$69,7,FALSE)</f>
        <v>7.0061200000000003E-7</v>
      </c>
      <c r="J52" s="7"/>
      <c r="K52" s="7">
        <f t="shared" si="0"/>
        <v>-1.0931675477000006E-2</v>
      </c>
      <c r="R52" t="s">
        <v>42</v>
      </c>
      <c r="S52" s="7">
        <v>-7.6799422708000054E-2</v>
      </c>
    </row>
    <row r="53" spans="1:19" x14ac:dyDescent="0.2">
      <c r="A53">
        <v>16</v>
      </c>
      <c r="B53" t="s">
        <v>24</v>
      </c>
      <c r="C53" t="s">
        <v>83</v>
      </c>
      <c r="D53" s="7">
        <f>VLOOKUP($C53,'fte2017'!$D$2:$K$69,3,FALSE)-VLOOKUP($C53,kenpom2017!$C$2:$I$69,2,FALSE)</f>
        <v>7.2466050399999996E-4</v>
      </c>
      <c r="E53" s="7">
        <f>VLOOKUP($C53,'fte2017'!$D$2:$K$69,4,FALSE)-VLOOKUP($C53,kenpom2017!$C$2:$I$69,3,FALSE)</f>
        <v>-4.6735616700000013E-4</v>
      </c>
      <c r="F53" s="7">
        <f>VLOOKUP($C53,'fte2017'!$D$2:$K$69,5,FALSE)-VLOOKUP($C53,kenpom2017!$C$2:$I$69,4,FALSE)</f>
        <v>4.5020296000000009E-5</v>
      </c>
      <c r="G53" s="7">
        <f>VLOOKUP($C53,'fte2017'!$D$2:$K$69,6,FALSE)-VLOOKUP($C53,kenpom2017!$C$2:$I$69,5,FALSE)</f>
        <v>2.5118357999999998E-5</v>
      </c>
      <c r="H53" s="7">
        <f>VLOOKUP($C53,'fte2017'!$D$2:$K$69,7,FALSE)-VLOOKUP($C53,kenpom2017!$C$2:$I$69,6,FALSE)</f>
        <v>2.3447990000000002E-6</v>
      </c>
      <c r="I53" s="7">
        <f>VLOOKUP($C53,'fte2017'!$D$2:$K$69,8,FALSE)-VLOOKUP($C53,kenpom2017!$C$2:$I$69,7,FALSE)</f>
        <v>2.0203399999999999E-7</v>
      </c>
      <c r="J53" s="7"/>
      <c r="K53" s="7">
        <f t="shared" si="0"/>
        <v>3.2998982399999984E-4</v>
      </c>
      <c r="R53" t="s">
        <v>76</v>
      </c>
      <c r="S53" s="7">
        <v>-8.613987821699999E-2</v>
      </c>
    </row>
    <row r="54" spans="1:19" x14ac:dyDescent="0.2">
      <c r="A54">
        <v>1</v>
      </c>
      <c r="B54" t="s">
        <v>20</v>
      </c>
      <c r="C54" t="s">
        <v>19</v>
      </c>
      <c r="D54" s="7">
        <f>VLOOKUP($C54,'fte2017'!$D$2:$K$69,3,FALSE)-VLOOKUP($C54,kenpom2017!$C$2:$I$69,2,FALSE)</f>
        <v>-8.2043693190000377E-3</v>
      </c>
      <c r="E54" s="7">
        <f>VLOOKUP($C54,'fte2017'!$D$2:$K$69,4,FALSE)-VLOOKUP($C54,kenpom2017!$C$2:$I$69,3,FALSE)</f>
        <v>1.2032783109998668E-3</v>
      </c>
      <c r="F54" s="7">
        <f>VLOOKUP($C54,'fte2017'!$D$2:$K$69,5,FALSE)-VLOOKUP($C54,kenpom2017!$C$2:$I$69,4,FALSE)</f>
        <v>-6.667070998999991E-3</v>
      </c>
      <c r="G54" s="7">
        <f>VLOOKUP($C54,'fte2017'!$D$2:$K$69,6,FALSE)-VLOOKUP($C54,kenpom2017!$C$2:$I$69,5,FALSE)</f>
        <v>-3.9335983485999981E-2</v>
      </c>
      <c r="H54" s="7">
        <f>VLOOKUP($C54,'fte2017'!$D$2:$K$69,7,FALSE)-VLOOKUP($C54,kenpom2017!$C$2:$I$69,6,FALSE)</f>
        <v>-6.6600366544000034E-2</v>
      </c>
      <c r="I54" s="7">
        <f>VLOOKUP($C54,'fte2017'!$D$2:$K$69,8,FALSE)-VLOOKUP($C54,kenpom2017!$C$2:$I$69,7,FALSE)</f>
        <v>-6.6520030539999997E-2</v>
      </c>
      <c r="J54" s="7"/>
      <c r="K54" s="7">
        <f t="shared" si="0"/>
        <v>-0.18612454257700017</v>
      </c>
      <c r="R54" t="s">
        <v>25</v>
      </c>
      <c r="S54" s="7">
        <v>-8.8843865036999758E-2</v>
      </c>
    </row>
    <row r="55" spans="1:19" x14ac:dyDescent="0.2">
      <c r="A55">
        <v>2</v>
      </c>
      <c r="B55" t="s">
        <v>20</v>
      </c>
      <c r="C55" t="s">
        <v>28</v>
      </c>
      <c r="D55" s="7">
        <f>VLOOKUP($C55,'fte2017'!$D$2:$K$69,3,FALSE)-VLOOKUP($C55,kenpom2017!$C$2:$I$69,2,FALSE)</f>
        <v>2.750163496499991E-2</v>
      </c>
      <c r="E55" s="7">
        <f>VLOOKUP($C55,'fte2017'!$D$2:$K$69,4,FALSE)-VLOOKUP($C55,kenpom2017!$C$2:$I$69,3,FALSE)</f>
        <v>7.9275077643999992E-2</v>
      </c>
      <c r="F55" s="7">
        <f>VLOOKUP($C55,'fte2017'!$D$2:$K$69,5,FALSE)-VLOOKUP($C55,kenpom2017!$C$2:$I$69,4,FALSE)</f>
        <v>0.11045336166400005</v>
      </c>
      <c r="G55" s="7">
        <f>VLOOKUP($C55,'fte2017'!$D$2:$K$69,6,FALSE)-VLOOKUP($C55,kenpom2017!$C$2:$I$69,5,FALSE)</f>
        <v>6.3012216087E-2</v>
      </c>
      <c r="H55" s="7">
        <f>VLOOKUP($C55,'fte2017'!$D$2:$K$69,7,FALSE)-VLOOKUP($C55,kenpom2017!$C$2:$I$69,6,FALSE)</f>
        <v>3.9675081500999999E-2</v>
      </c>
      <c r="I55" s="7">
        <f>VLOOKUP($C55,'fte2017'!$D$2:$K$69,8,FALSE)-VLOOKUP($C55,kenpom2017!$C$2:$I$69,7,FALSE)</f>
        <v>2.5955030743999997E-2</v>
      </c>
      <c r="J55" s="7"/>
      <c r="K55" s="7">
        <f t="shared" si="0"/>
        <v>0.34587240260499996</v>
      </c>
      <c r="R55" t="s">
        <v>41</v>
      </c>
      <c r="S55" s="7">
        <v>-8.9277205931999948E-2</v>
      </c>
    </row>
    <row r="56" spans="1:19" x14ac:dyDescent="0.2">
      <c r="A56">
        <v>3</v>
      </c>
      <c r="B56" t="s">
        <v>20</v>
      </c>
      <c r="C56" t="s">
        <v>41</v>
      </c>
      <c r="D56" s="7">
        <f>VLOOKUP($C56,'fte2017'!$D$2:$K$69,3,FALSE)-VLOOKUP($C56,kenpom2017!$C$2:$I$69,2,FALSE)</f>
        <v>1.2459337423999961E-2</v>
      </c>
      <c r="E56" s="7">
        <f>VLOOKUP($C56,'fte2017'!$D$2:$K$69,4,FALSE)-VLOOKUP($C56,kenpom2017!$C$2:$I$69,3,FALSE)</f>
        <v>2.894803190500006E-2</v>
      </c>
      <c r="F56" s="7">
        <f>VLOOKUP($C56,'fte2017'!$D$2:$K$69,5,FALSE)-VLOOKUP($C56,kenpom2017!$C$2:$I$69,4,FALSE)</f>
        <v>-7.542007270999998E-2</v>
      </c>
      <c r="G56" s="7">
        <f>VLOOKUP($C56,'fte2017'!$D$2:$K$69,6,FALSE)-VLOOKUP($C56,kenpom2017!$C$2:$I$69,5,FALSE)</f>
        <v>-3.1193421265999999E-2</v>
      </c>
      <c r="H56" s="7">
        <f>VLOOKUP($C56,'fte2017'!$D$2:$K$69,7,FALSE)-VLOOKUP($C56,kenpom2017!$C$2:$I$69,6,FALSE)</f>
        <v>-1.6380302847999996E-2</v>
      </c>
      <c r="I56" s="7">
        <f>VLOOKUP($C56,'fte2017'!$D$2:$K$69,8,FALSE)-VLOOKUP($C56,kenpom2017!$C$2:$I$69,7,FALSE)</f>
        <v>-7.6907784370000027E-3</v>
      </c>
      <c r="J56" s="7"/>
      <c r="K56" s="7">
        <f t="shared" si="0"/>
        <v>-8.9277205931999948E-2</v>
      </c>
      <c r="R56" t="s">
        <v>48</v>
      </c>
      <c r="S56" s="7">
        <v>-9.252950193199995E-2</v>
      </c>
    </row>
    <row r="57" spans="1:19" x14ac:dyDescent="0.2">
      <c r="A57">
        <v>4</v>
      </c>
      <c r="B57" t="s">
        <v>20</v>
      </c>
      <c r="C57" t="s">
        <v>29</v>
      </c>
      <c r="D57" s="7">
        <f>VLOOKUP($C57,'fte2017'!$D$2:$K$69,3,FALSE)-VLOOKUP($C57,kenpom2017!$C$2:$I$69,2,FALSE)</f>
        <v>2.2829515035999948E-2</v>
      </c>
      <c r="E57" s="7">
        <f>VLOOKUP($C57,'fte2017'!$D$2:$K$69,4,FALSE)-VLOOKUP($C57,kenpom2017!$C$2:$I$69,3,FALSE)</f>
        <v>3.960099046800003E-2</v>
      </c>
      <c r="F57" s="7">
        <f>VLOOKUP($C57,'fte2017'!$D$2:$K$69,5,FALSE)-VLOOKUP($C57,kenpom2017!$C$2:$I$69,4,FALSE)</f>
        <v>9.0059814399999771E-3</v>
      </c>
      <c r="G57" s="7">
        <f>VLOOKUP($C57,'fte2017'!$D$2:$K$69,6,FALSE)-VLOOKUP($C57,kenpom2017!$C$2:$I$69,5,FALSE)</f>
        <v>-6.1097957590000029E-3</v>
      </c>
      <c r="H57" s="7">
        <f>VLOOKUP($C57,'fte2017'!$D$2:$K$69,7,FALSE)-VLOOKUP($C57,kenpom2017!$C$2:$I$69,6,FALSE)</f>
        <v>-1.0226177816999998E-2</v>
      </c>
      <c r="I57" s="7">
        <f>VLOOKUP($C57,'fte2017'!$D$2:$K$69,8,FALSE)-VLOOKUP($C57,kenpom2017!$C$2:$I$69,7,FALSE)</f>
        <v>-6.6669650600000019E-3</v>
      </c>
      <c r="J57" s="7"/>
      <c r="K57" s="7">
        <f t="shared" si="0"/>
        <v>4.8433548307999952E-2</v>
      </c>
      <c r="R57" t="s">
        <v>68</v>
      </c>
      <c r="S57" s="7">
        <v>-0.10291040740299999</v>
      </c>
    </row>
    <row r="58" spans="1:19" x14ac:dyDescent="0.2">
      <c r="A58">
        <v>5</v>
      </c>
      <c r="B58" t="s">
        <v>20</v>
      </c>
      <c r="C58" t="s">
        <v>45</v>
      </c>
      <c r="D58" s="7">
        <f>VLOOKUP($C58,'fte2017'!$D$2:$K$69,3,FALSE)-VLOOKUP($C58,kenpom2017!$C$2:$I$69,2,FALSE)</f>
        <v>6.770816721399997E-2</v>
      </c>
      <c r="E58" s="7">
        <f>VLOOKUP($C58,'fte2017'!$D$2:$K$69,4,FALSE)-VLOOKUP($C58,kenpom2017!$C$2:$I$69,3,FALSE)</f>
        <v>-6.1898745540000522E-3</v>
      </c>
      <c r="F58" s="7">
        <f>VLOOKUP($C58,'fte2017'!$D$2:$K$69,5,FALSE)-VLOOKUP($C58,kenpom2017!$C$2:$I$69,4,FALSE)</f>
        <v>-2.6597878500000949E-4</v>
      </c>
      <c r="G58" s="7">
        <f>VLOOKUP($C58,'fte2017'!$D$2:$K$69,6,FALSE)-VLOOKUP($C58,kenpom2017!$C$2:$I$69,5,FALSE)</f>
        <v>-1.1238230239999994E-3</v>
      </c>
      <c r="H58" s="7">
        <f>VLOOKUP($C58,'fte2017'!$D$2:$K$69,7,FALSE)-VLOOKUP($C58,kenpom2017!$C$2:$I$69,6,FALSE)</f>
        <v>-6.2584318299999976E-4</v>
      </c>
      <c r="I58" s="7">
        <f>VLOOKUP($C58,'fte2017'!$D$2:$K$69,8,FALSE)-VLOOKUP($C58,kenpom2017!$C$2:$I$69,7,FALSE)</f>
        <v>2.5739957300000005E-4</v>
      </c>
      <c r="J58" s="7"/>
      <c r="K58" s="7">
        <f t="shared" si="0"/>
        <v>5.9760047240999911E-2</v>
      </c>
      <c r="R58" t="s">
        <v>37</v>
      </c>
      <c r="S58" s="7">
        <v>-0.11132618618199994</v>
      </c>
    </row>
    <row r="59" spans="1:19" x14ac:dyDescent="0.2">
      <c r="A59">
        <v>6</v>
      </c>
      <c r="B59" t="s">
        <v>20</v>
      </c>
      <c r="C59" t="s">
        <v>62</v>
      </c>
      <c r="D59" s="7">
        <f>VLOOKUP($C59,'fte2017'!$D$2:$K$69,3,FALSE)-VLOOKUP($C59,kenpom2017!$C$2:$I$69,2,FALSE)</f>
        <v>1.8718274638999943E-2</v>
      </c>
      <c r="E59" s="7">
        <f>VLOOKUP($C59,'fte2017'!$D$2:$K$69,4,FALSE)-VLOOKUP($C59,kenpom2017!$C$2:$I$69,3,FALSE)</f>
        <v>-5.023205299000022E-3</v>
      </c>
      <c r="F59" s="7">
        <f>VLOOKUP($C59,'fte2017'!$D$2:$K$69,5,FALSE)-VLOOKUP($C59,kenpom2017!$C$2:$I$69,4,FALSE)</f>
        <v>-1.7141513003E-2</v>
      </c>
      <c r="G59" s="7">
        <f>VLOOKUP($C59,'fte2017'!$D$2:$K$69,6,FALSE)-VLOOKUP($C59,kenpom2017!$C$2:$I$69,5,FALSE)</f>
        <v>-1.6209764570000017E-3</v>
      </c>
      <c r="H59" s="7">
        <f>VLOOKUP($C59,'fte2017'!$D$2:$K$69,7,FALSE)-VLOOKUP($C59,kenpom2017!$C$2:$I$69,6,FALSE)</f>
        <v>-6.3408659800000006E-4</v>
      </c>
      <c r="I59" s="7">
        <f>VLOOKUP($C59,'fte2017'!$D$2:$K$69,8,FALSE)-VLOOKUP($C59,kenpom2017!$C$2:$I$69,7,FALSE)</f>
        <v>4.8237925999999897E-5</v>
      </c>
      <c r="J59" s="7"/>
      <c r="K59" s="7">
        <f t="shared" si="0"/>
        <v>-5.6532687920000805E-3</v>
      </c>
      <c r="R59" t="s">
        <v>46</v>
      </c>
      <c r="S59" s="7">
        <v>-0.11478606721399998</v>
      </c>
    </row>
    <row r="60" spans="1:19" x14ac:dyDescent="0.2">
      <c r="A60">
        <v>7</v>
      </c>
      <c r="B60" t="s">
        <v>20</v>
      </c>
      <c r="C60" t="s">
        <v>32</v>
      </c>
      <c r="D60" s="7">
        <f>VLOOKUP($C60,'fte2017'!$D$2:$K$69,3,FALSE)-VLOOKUP($C60,kenpom2017!$C$2:$I$69,2,FALSE)</f>
        <v>2.7770787658000007E-2</v>
      </c>
      <c r="E60" s="7">
        <f>VLOOKUP($C60,'fte2017'!$D$2:$K$69,4,FALSE)-VLOOKUP($C60,kenpom2017!$C$2:$I$69,3,FALSE)</f>
        <v>-5.2448328267999944E-2</v>
      </c>
      <c r="F60" s="7">
        <f>VLOOKUP($C60,'fte2017'!$D$2:$K$69,5,FALSE)-VLOOKUP($C60,kenpom2017!$C$2:$I$69,4,FALSE)</f>
        <v>1.1520481903999985E-2</v>
      </c>
      <c r="G60" s="7">
        <f>VLOOKUP($C60,'fte2017'!$D$2:$K$69,6,FALSE)-VLOOKUP($C60,kenpom2017!$C$2:$I$69,5,FALSE)</f>
        <v>1.9770504603999997E-2</v>
      </c>
      <c r="H60" s="7">
        <f>VLOOKUP($C60,'fte2017'!$D$2:$K$69,7,FALSE)-VLOOKUP($C60,kenpom2017!$C$2:$I$69,6,FALSE)</f>
        <v>1.1618008169999999E-3</v>
      </c>
      <c r="I60" s="7">
        <f>VLOOKUP($C60,'fte2017'!$D$2:$K$69,8,FALSE)-VLOOKUP($C60,kenpom2017!$C$2:$I$69,7,FALSE)</f>
        <v>-9.2110251800000056E-4</v>
      </c>
      <c r="J60" s="7"/>
      <c r="K60" s="7">
        <f t="shared" si="0"/>
        <v>6.8541441970000443E-3</v>
      </c>
      <c r="R60" t="s">
        <v>38</v>
      </c>
      <c r="S60" s="7">
        <v>-0.11716261712200016</v>
      </c>
    </row>
    <row r="61" spans="1:19" x14ac:dyDescent="0.2">
      <c r="A61">
        <v>8</v>
      </c>
      <c r="B61" t="s">
        <v>20</v>
      </c>
      <c r="C61" t="s">
        <v>63</v>
      </c>
      <c r="D61" s="7">
        <f>VLOOKUP($C61,'fte2017'!$D$2:$K$69,3,FALSE)-VLOOKUP($C61,kenpom2017!$C$2:$I$69,2,FALSE)</f>
        <v>-3.0707184068999971E-2</v>
      </c>
      <c r="E61" s="7">
        <f>VLOOKUP($C61,'fte2017'!$D$2:$K$69,4,FALSE)-VLOOKUP($C61,kenpom2017!$C$2:$I$69,3,FALSE)</f>
        <v>-8.626018082999995E-3</v>
      </c>
      <c r="F61" s="7">
        <f>VLOOKUP($C61,'fte2017'!$D$2:$K$69,5,FALSE)-VLOOKUP($C61,kenpom2017!$C$2:$I$69,4,FALSE)</f>
        <v>-1.8363448550000015E-3</v>
      </c>
      <c r="G61" s="7">
        <f>VLOOKUP($C61,'fte2017'!$D$2:$K$69,6,FALSE)-VLOOKUP($C61,kenpom2017!$C$2:$I$69,5,FALSE)</f>
        <v>-1.1759077660000016E-3</v>
      </c>
      <c r="H61" s="7">
        <f>VLOOKUP($C61,'fte2017'!$D$2:$K$69,7,FALSE)-VLOOKUP($C61,kenpom2017!$C$2:$I$69,6,FALSE)</f>
        <v>1.3914203699999994E-4</v>
      </c>
      <c r="I61" s="7">
        <f>VLOOKUP($C61,'fte2017'!$D$2:$K$69,8,FALSE)-VLOOKUP($C61,kenpom2017!$C$2:$I$69,7,FALSE)</f>
        <v>2.4341308999999947E-5</v>
      </c>
      <c r="J61" s="7"/>
      <c r="K61" s="7">
        <f t="shared" si="0"/>
        <v>-4.2181971426999969E-2</v>
      </c>
      <c r="R61" t="s">
        <v>64</v>
      </c>
      <c r="S61" s="7">
        <v>-0.13367082517799994</v>
      </c>
    </row>
    <row r="62" spans="1:19" x14ac:dyDescent="0.2">
      <c r="A62">
        <v>9</v>
      </c>
      <c r="B62" t="s">
        <v>20</v>
      </c>
      <c r="C62" t="s">
        <v>50</v>
      </c>
      <c r="D62" s="7">
        <f>VLOOKUP($C62,'fte2017'!$D$2:$K$69,3,FALSE)-VLOOKUP($C62,kenpom2017!$C$2:$I$69,2,FALSE)</f>
        <v>3.0707184068999971E-2</v>
      </c>
      <c r="E62" s="7">
        <f>VLOOKUP($C62,'fte2017'!$D$2:$K$69,4,FALSE)-VLOOKUP($C62,kenpom2017!$C$2:$I$69,3,FALSE)</f>
        <v>6.2757282019999944E-3</v>
      </c>
      <c r="F62" s="7">
        <f>VLOOKUP($C62,'fte2017'!$D$2:$K$69,5,FALSE)-VLOOKUP($C62,kenpom2017!$C$2:$I$69,4,FALSE)</f>
        <v>4.6896517970000037E-3</v>
      </c>
      <c r="G62" s="7">
        <f>VLOOKUP($C62,'fte2017'!$D$2:$K$69,6,FALSE)-VLOOKUP($C62,kenpom2017!$C$2:$I$69,5,FALSE)</f>
        <v>1.5320326739999991E-3</v>
      </c>
      <c r="H62" s="7">
        <f>VLOOKUP($C62,'fte2017'!$D$2:$K$69,7,FALSE)-VLOOKUP($C62,kenpom2017!$C$2:$I$69,6,FALSE)</f>
        <v>7.7335754500000011E-4</v>
      </c>
      <c r="I62" s="7">
        <f>VLOOKUP($C62,'fte2017'!$D$2:$K$69,8,FALSE)-VLOOKUP($C62,kenpom2017!$C$2:$I$69,7,FALSE)</f>
        <v>5.8565856999999997E-4</v>
      </c>
      <c r="J62" s="7"/>
      <c r="K62" s="7">
        <f t="shared" si="0"/>
        <v>4.4563612856999966E-2</v>
      </c>
      <c r="R62" t="s">
        <v>71</v>
      </c>
      <c r="S62" s="7">
        <v>-0.14477759184200004</v>
      </c>
    </row>
    <row r="63" spans="1:19" x14ac:dyDescent="0.2">
      <c r="A63">
        <v>10</v>
      </c>
      <c r="B63" t="s">
        <v>20</v>
      </c>
      <c r="C63" t="s">
        <v>60</v>
      </c>
      <c r="D63" s="7">
        <f>VLOOKUP($C63,'fte2017'!$D$2:$K$69,3,FALSE)-VLOOKUP($C63,kenpom2017!$C$2:$I$69,2,FALSE)</f>
        <v>-2.7770787658000007E-2</v>
      </c>
      <c r="E63" s="7">
        <f>VLOOKUP($C63,'fte2017'!$D$2:$K$69,4,FALSE)-VLOOKUP($C63,kenpom2017!$C$2:$I$69,3,FALSE)</f>
        <v>-2.4744871746E-2</v>
      </c>
      <c r="F63" s="7">
        <f>VLOOKUP($C63,'fte2017'!$D$2:$K$69,5,FALSE)-VLOOKUP($C63,kenpom2017!$C$2:$I$69,4,FALSE)</f>
        <v>-2.9884118489999986E-3</v>
      </c>
      <c r="G63" s="7">
        <f>VLOOKUP($C63,'fte2017'!$D$2:$K$69,6,FALSE)-VLOOKUP($C63,kenpom2017!$C$2:$I$69,5,FALSE)</f>
        <v>1.5286792000000007E-3</v>
      </c>
      <c r="H63" s="7">
        <f>VLOOKUP($C63,'fte2017'!$D$2:$K$69,7,FALSE)-VLOOKUP($C63,kenpom2017!$C$2:$I$69,6,FALSE)</f>
        <v>3.1709022499999987E-4</v>
      </c>
      <c r="I63" s="7">
        <f>VLOOKUP($C63,'fte2017'!$D$2:$K$69,8,FALSE)-VLOOKUP($C63,kenpom2017!$C$2:$I$69,7,FALSE)</f>
        <v>3.80417821E-4</v>
      </c>
      <c r="J63" s="7"/>
      <c r="K63" s="7">
        <f t="shared" si="0"/>
        <v>-5.3277884007000009E-2</v>
      </c>
      <c r="R63" t="s">
        <v>67</v>
      </c>
      <c r="S63" s="7">
        <v>-0.16456690892899997</v>
      </c>
    </row>
    <row r="64" spans="1:19" x14ac:dyDescent="0.2">
      <c r="A64">
        <v>11</v>
      </c>
      <c r="B64" t="s">
        <v>20</v>
      </c>
      <c r="C64" t="s">
        <v>59</v>
      </c>
      <c r="D64" s="7">
        <f>VLOOKUP($C64,'fte2017'!$D$2:$K$69,3,FALSE)-VLOOKUP($C64,kenpom2017!$C$2:$I$69,2,FALSE)</f>
        <v>-1.8718274638999999E-2</v>
      </c>
      <c r="E64" s="7">
        <f>VLOOKUP($C64,'fte2017'!$D$2:$K$69,4,FALSE)-VLOOKUP($C64,kenpom2017!$C$2:$I$69,3,FALSE)</f>
        <v>-2.6800397952999988E-2</v>
      </c>
      <c r="F64" s="7">
        <f>VLOOKUP($C64,'fte2017'!$D$2:$K$69,5,FALSE)-VLOOKUP($C64,kenpom2017!$C$2:$I$69,4,FALSE)</f>
        <v>-2.4626505100000001E-2</v>
      </c>
      <c r="G64" s="7">
        <f>VLOOKUP($C64,'fte2017'!$D$2:$K$69,6,FALSE)-VLOOKUP($C64,kenpom2017!$C$2:$I$69,5,FALSE)</f>
        <v>-4.5271970509999978E-3</v>
      </c>
      <c r="H64" s="7">
        <f>VLOOKUP($C64,'fte2017'!$D$2:$K$69,7,FALSE)-VLOOKUP($C64,kenpom2017!$C$2:$I$69,6,FALSE)</f>
        <v>-1.5482911360000001E-3</v>
      </c>
      <c r="I64" s="7">
        <f>VLOOKUP($C64,'fte2017'!$D$2:$K$69,8,FALSE)-VLOOKUP($C64,kenpom2017!$C$2:$I$69,7,FALSE)</f>
        <v>-2.0750717600000006E-4</v>
      </c>
      <c r="J64" s="7"/>
      <c r="K64" s="7">
        <f t="shared" si="0"/>
        <v>-7.6428173054999979E-2</v>
      </c>
      <c r="R64" t="s">
        <v>19</v>
      </c>
      <c r="S64" s="7">
        <v>-0.18612454257700017</v>
      </c>
    </row>
    <row r="65" spans="1:19" x14ac:dyDescent="0.2">
      <c r="A65">
        <v>12</v>
      </c>
      <c r="B65" t="s">
        <v>20</v>
      </c>
      <c r="C65" t="s">
        <v>68</v>
      </c>
      <c r="D65" s="7">
        <f>VLOOKUP($C65,'fte2017'!$D$2:$K$69,3,FALSE)-VLOOKUP($C65,kenpom2017!$C$2:$I$69,2,FALSE)</f>
        <v>-6.7708167213999998E-2</v>
      </c>
      <c r="E65" s="7">
        <f>VLOOKUP($C65,'fte2017'!$D$2:$K$69,4,FALSE)-VLOOKUP($C65,kenpom2017!$C$2:$I$69,3,FALSE)</f>
        <v>-2.7853208456999998E-2</v>
      </c>
      <c r="F65" s="7">
        <f>VLOOKUP($C65,'fte2017'!$D$2:$K$69,5,FALSE)-VLOOKUP($C65,kenpom2017!$C$2:$I$69,4,FALSE)</f>
        <v>-4.6495886120000007E-3</v>
      </c>
      <c r="G65" s="7">
        <f>VLOOKUP($C65,'fte2017'!$D$2:$K$69,6,FALSE)-VLOOKUP($C65,kenpom2017!$C$2:$I$69,5,FALSE)</f>
        <v>-2.0172787340000001E-3</v>
      </c>
      <c r="H65" s="7">
        <f>VLOOKUP($C65,'fte2017'!$D$2:$K$69,7,FALSE)-VLOOKUP($C65,kenpom2017!$C$2:$I$69,6,FALSE)</f>
        <v>-5.9096187700000006E-4</v>
      </c>
      <c r="I65" s="7">
        <f>VLOOKUP($C65,'fte2017'!$D$2:$K$69,8,FALSE)-VLOOKUP($C65,kenpom2017!$C$2:$I$69,7,FALSE)</f>
        <v>-9.1202509000000011E-5</v>
      </c>
      <c r="J65" s="7"/>
      <c r="K65" s="7">
        <f t="shared" si="0"/>
        <v>-0.10291040740299999</v>
      </c>
      <c r="R65" t="s">
        <v>40</v>
      </c>
      <c r="S65" s="7">
        <v>-0.18954580136000004</v>
      </c>
    </row>
    <row r="66" spans="1:19" x14ac:dyDescent="0.2">
      <c r="A66">
        <v>13</v>
      </c>
      <c r="B66" t="s">
        <v>20</v>
      </c>
      <c r="C66" t="s">
        <v>72</v>
      </c>
      <c r="D66" s="7">
        <f>VLOOKUP($C66,'fte2017'!$D$2:$K$69,3,FALSE)-VLOOKUP($C66,kenpom2017!$C$2:$I$69,2,FALSE)</f>
        <v>-2.2829515036000003E-2</v>
      </c>
      <c r="E66" s="7">
        <f>VLOOKUP($C66,'fte2017'!$D$2:$K$69,4,FALSE)-VLOOKUP($C66,kenpom2017!$C$2:$I$69,3,FALSE)</f>
        <v>-5.5579074580000033E-3</v>
      </c>
      <c r="F66" s="7">
        <f>VLOOKUP($C66,'fte2017'!$D$2:$K$69,5,FALSE)-VLOOKUP($C66,kenpom2017!$C$2:$I$69,4,FALSE)</f>
        <v>-7.2394347200000018E-4</v>
      </c>
      <c r="G66" s="7">
        <f>VLOOKUP($C66,'fte2017'!$D$2:$K$69,6,FALSE)-VLOOKUP($C66,kenpom2017!$C$2:$I$69,5,FALSE)</f>
        <v>-9.6694196000000009E-5</v>
      </c>
      <c r="H66" s="7">
        <f>VLOOKUP($C66,'fte2017'!$D$2:$K$69,7,FALSE)-VLOOKUP($C66,kenpom2017!$C$2:$I$69,6,FALSE)</f>
        <v>1.5270636999999997E-5</v>
      </c>
      <c r="I66" s="7">
        <f>VLOOKUP($C66,'fte2017'!$D$2:$K$69,8,FALSE)-VLOOKUP($C66,kenpom2017!$C$2:$I$69,7,FALSE)</f>
        <v>-4.9578010000000013E-6</v>
      </c>
      <c r="J66" s="7"/>
      <c r="K66" s="7">
        <f t="shared" si="0"/>
        <v>-2.9197747326000004E-2</v>
      </c>
      <c r="R66" t="s">
        <v>70</v>
      </c>
      <c r="S66" s="7">
        <v>-0.19167316824900002</v>
      </c>
    </row>
    <row r="67" spans="1:19" x14ac:dyDescent="0.2">
      <c r="A67">
        <v>14</v>
      </c>
      <c r="B67" t="s">
        <v>20</v>
      </c>
      <c r="C67" t="s">
        <v>75</v>
      </c>
      <c r="D67" s="7">
        <f>VLOOKUP($C67,'fte2017'!$D$2:$K$69,3,FALSE)-VLOOKUP($C67,kenpom2017!$C$2:$I$69,2,FALSE)</f>
        <v>-1.2459337423999989E-2</v>
      </c>
      <c r="E67" s="7">
        <f>VLOOKUP($C67,'fte2017'!$D$2:$K$69,4,FALSE)-VLOOKUP($C67,kenpom2017!$C$2:$I$69,3,FALSE)</f>
        <v>1.8755713469999977E-3</v>
      </c>
      <c r="F67" s="7">
        <f>VLOOKUP($C67,'fte2017'!$D$2:$K$69,5,FALSE)-VLOOKUP($C67,kenpom2017!$C$2:$I$69,4,FALSE)</f>
        <v>-2.6097586609999989E-3</v>
      </c>
      <c r="G67" s="7">
        <f>VLOOKUP($C67,'fte2017'!$D$2:$K$69,6,FALSE)-VLOOKUP($C67,kenpom2017!$C$2:$I$69,5,FALSE)</f>
        <v>-5.6572570000000013E-5</v>
      </c>
      <c r="H67" s="7">
        <f>VLOOKUP($C67,'fte2017'!$D$2:$K$69,7,FALSE)-VLOOKUP($C67,kenpom2017!$C$2:$I$69,6,FALSE)</f>
        <v>-3.4919223999999995E-5</v>
      </c>
      <c r="I67" s="7">
        <f>VLOOKUP($C67,'fte2017'!$D$2:$K$69,8,FALSE)-VLOOKUP($C67,kenpom2017!$C$2:$I$69,7,FALSE)</f>
        <v>-1.0676726000000002E-5</v>
      </c>
      <c r="J67" s="7"/>
      <c r="K67" s="7">
        <f t="shared" ref="K67:K69" si="1">SUM(D67:I67)</f>
        <v>-1.329569325799999E-2</v>
      </c>
      <c r="R67" t="s">
        <v>56</v>
      </c>
      <c r="S67" s="7">
        <v>-0.22330103324200004</v>
      </c>
    </row>
    <row r="68" spans="1:19" x14ac:dyDescent="0.2">
      <c r="A68">
        <v>15</v>
      </c>
      <c r="B68" t="s">
        <v>20</v>
      </c>
      <c r="C68" t="s">
        <v>82</v>
      </c>
      <c r="D68" s="7">
        <f>VLOOKUP($C68,'fte2017'!$D$2:$K$69,3,FALSE)-VLOOKUP($C68,kenpom2017!$C$2:$I$69,2,FALSE)</f>
        <v>-2.7501634965000001E-2</v>
      </c>
      <c r="E68" s="7">
        <f>VLOOKUP($C68,'fte2017'!$D$2:$K$69,4,FALSE)-VLOOKUP($C68,kenpom2017!$C$2:$I$69,3,FALSE)</f>
        <v>-3.0818776289999999E-3</v>
      </c>
      <c r="F68" s="7">
        <f>VLOOKUP($C68,'fte2017'!$D$2:$K$69,5,FALSE)-VLOOKUP($C68,kenpom2017!$C$2:$I$69,4,FALSE)</f>
        <v>-8.7582244000000004E-5</v>
      </c>
      <c r="G68" s="7">
        <f>VLOOKUP($C68,'fte2017'!$D$2:$K$69,6,FALSE)-VLOOKUP($C68,kenpom2017!$C$2:$I$69,5,FALSE)</f>
        <v>2.8861889000000002E-5</v>
      </c>
      <c r="H68" s="7">
        <f>VLOOKUP($C68,'fte2017'!$D$2:$K$69,7,FALSE)-VLOOKUP($C68,kenpom2017!$C$2:$I$69,6,FALSE)</f>
        <v>5.111259E-6</v>
      </c>
      <c r="I68" s="7">
        <f>VLOOKUP($C68,'fte2017'!$D$2:$K$69,8,FALSE)-VLOOKUP($C68,kenpom2017!$C$2:$I$69,7,FALSE)</f>
        <v>6.2179499999999999E-7</v>
      </c>
      <c r="J68" s="7"/>
      <c r="K68" s="7">
        <f t="shared" si="1"/>
        <v>-3.0636499895000002E-2</v>
      </c>
      <c r="R68" t="s">
        <v>47</v>
      </c>
      <c r="S68" s="7">
        <v>-0.32217145103900002</v>
      </c>
    </row>
    <row r="69" spans="1:19" x14ac:dyDescent="0.2">
      <c r="A69">
        <v>16</v>
      </c>
      <c r="B69" t="s">
        <v>20</v>
      </c>
      <c r="C69" t="s">
        <v>81</v>
      </c>
      <c r="D69" s="7">
        <f>VLOOKUP($C69,'fte2017'!$D$2:$K$69,3,FALSE)-VLOOKUP($C69,kenpom2017!$C$2:$I$69,2,FALSE)</f>
        <v>8.2043693189999996E-3</v>
      </c>
      <c r="E69" s="7">
        <f>VLOOKUP($C69,'fte2017'!$D$2:$K$69,4,FALSE)-VLOOKUP($C69,kenpom2017!$C$2:$I$69,3,FALSE)</f>
        <v>2.1470115700000002E-3</v>
      </c>
      <c r="F69" s="7">
        <f>VLOOKUP($C69,'fte2017'!$D$2:$K$69,5,FALSE)-VLOOKUP($C69,kenpom2017!$C$2:$I$69,4,FALSE)</f>
        <v>2.47293487E-4</v>
      </c>
      <c r="G69" s="7">
        <f>VLOOKUP($C69,'fte2017'!$D$2:$K$69,6,FALSE)-VLOOKUP($C69,kenpom2017!$C$2:$I$69,5,FALSE)</f>
        <v>5.5355855E-5</v>
      </c>
      <c r="H69" s="7">
        <f>VLOOKUP($C69,'fte2017'!$D$2:$K$69,7,FALSE)-VLOOKUP($C69,kenpom2017!$C$2:$I$69,6,FALSE)</f>
        <v>5.2252369999999999E-6</v>
      </c>
      <c r="I69" s="7">
        <f>VLOOKUP($C69,'fte2017'!$D$2:$K$69,8,FALSE)-VLOOKUP($C69,kenpom2017!$C$2:$I$69,7,FALSE)</f>
        <v>6.8703899999999996E-7</v>
      </c>
      <c r="J69" s="7"/>
      <c r="K69" s="7">
        <f t="shared" si="1"/>
        <v>1.0659942507E-2</v>
      </c>
      <c r="R69" t="s">
        <v>34</v>
      </c>
      <c r="S69" s="7">
        <v>-0.35003308981699999</v>
      </c>
    </row>
  </sheetData>
  <sortState ref="R2:S69">
    <sortCondition descending="1" ref="S2:S69"/>
  </sortState>
  <conditionalFormatting sqref="D2:J6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6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1" workbookViewId="0">
      <selection activeCell="C1" sqref="C1:H1"/>
    </sheetView>
  </sheetViews>
  <sheetFormatPr baseColWidth="10" defaultRowHeight="15" x14ac:dyDescent="0.2"/>
  <sheetData>
    <row r="1" spans="1:8" ht="16" x14ac:dyDescent="0.2">
      <c r="A1" s="11" t="s">
        <v>91</v>
      </c>
      <c r="B1" s="11" t="s">
        <v>93</v>
      </c>
      <c r="C1" s="11" t="s">
        <v>94</v>
      </c>
      <c r="D1" s="11" t="s">
        <v>95</v>
      </c>
      <c r="E1" s="11" t="s">
        <v>96</v>
      </c>
      <c r="F1" s="11" t="s">
        <v>97</v>
      </c>
      <c r="G1" s="11" t="s">
        <v>98</v>
      </c>
      <c r="H1" s="11" t="s">
        <v>99</v>
      </c>
    </row>
    <row r="2" spans="1:8" ht="16" x14ac:dyDescent="0.2">
      <c r="A2" s="11">
        <v>1</v>
      </c>
      <c r="B2" s="11" t="s">
        <v>17</v>
      </c>
      <c r="C2" s="11">
        <v>0.97399999999999998</v>
      </c>
      <c r="D2" s="11">
        <v>0.879</v>
      </c>
      <c r="E2" s="11">
        <v>0.76200000000000001</v>
      </c>
      <c r="F2" s="11">
        <v>0.435</v>
      </c>
      <c r="G2" s="11">
        <v>0.28799999999999998</v>
      </c>
      <c r="H2" s="11">
        <v>0.153</v>
      </c>
    </row>
    <row r="3" spans="1:8" ht="16" x14ac:dyDescent="0.2">
      <c r="A3" s="11">
        <v>1</v>
      </c>
      <c r="B3" s="11" t="s">
        <v>21</v>
      </c>
      <c r="C3" s="11">
        <v>0.97299999999999998</v>
      </c>
      <c r="D3" s="11">
        <v>0.872</v>
      </c>
      <c r="E3" s="11">
        <v>0.73799999999999999</v>
      </c>
      <c r="F3" s="11">
        <v>0.53</v>
      </c>
      <c r="G3" s="11">
        <v>0.26300000000000001</v>
      </c>
      <c r="H3" s="11">
        <v>0.11899999999999999</v>
      </c>
    </row>
    <row r="4" spans="1:8" ht="16" x14ac:dyDescent="0.2">
      <c r="A4" s="11">
        <v>1</v>
      </c>
      <c r="B4" s="11" t="s">
        <v>25</v>
      </c>
      <c r="C4" s="11">
        <v>0.96799999999999997</v>
      </c>
      <c r="D4" s="11">
        <v>0.91700000000000004</v>
      </c>
      <c r="E4" s="11">
        <v>0.81499999999999995</v>
      </c>
      <c r="F4" s="11">
        <v>0.43</v>
      </c>
      <c r="G4" s="11">
        <v>0.24299999999999999</v>
      </c>
      <c r="H4" s="11">
        <v>0.14099999999999999</v>
      </c>
    </row>
    <row r="5" spans="1:8" ht="16" x14ac:dyDescent="0.2">
      <c r="A5" s="11">
        <v>2</v>
      </c>
      <c r="B5" s="11" t="s">
        <v>23</v>
      </c>
      <c r="C5" s="11">
        <v>0.96299999999999997</v>
      </c>
      <c r="D5" s="11">
        <v>0.83</v>
      </c>
      <c r="E5" s="11">
        <v>0.45800000000000002</v>
      </c>
      <c r="F5" s="11">
        <v>0.216</v>
      </c>
      <c r="G5" s="11">
        <v>0.13500000000000001</v>
      </c>
      <c r="H5" s="11">
        <v>7.5999999999999998E-2</v>
      </c>
    </row>
    <row r="6" spans="1:8" ht="16" x14ac:dyDescent="0.2">
      <c r="A6" s="11">
        <v>1</v>
      </c>
      <c r="B6" s="11" t="s">
        <v>19</v>
      </c>
      <c r="C6" s="11">
        <v>0.96099999999999997</v>
      </c>
      <c r="D6" s="11">
        <v>0.85799999999999998</v>
      </c>
      <c r="E6" s="11">
        <v>0.58799999999999997</v>
      </c>
      <c r="F6" s="11">
        <v>0.35</v>
      </c>
      <c r="G6" s="11">
        <v>0.13600000000000001</v>
      </c>
      <c r="H6" s="11">
        <v>7.1999999999999995E-2</v>
      </c>
    </row>
    <row r="7" spans="1:8" ht="16" x14ac:dyDescent="0.2">
      <c r="A7" s="11">
        <v>2</v>
      </c>
      <c r="B7" s="11" t="s">
        <v>26</v>
      </c>
      <c r="C7" s="11">
        <v>0.96</v>
      </c>
      <c r="D7" s="11">
        <v>0.88800000000000001</v>
      </c>
      <c r="E7" s="11">
        <v>0.70899999999999996</v>
      </c>
      <c r="F7" s="11">
        <v>0.38400000000000001</v>
      </c>
      <c r="G7" s="11">
        <v>0.25900000000000001</v>
      </c>
      <c r="H7" s="11">
        <v>0.124</v>
      </c>
    </row>
    <row r="8" spans="1:8" ht="16" x14ac:dyDescent="0.2">
      <c r="A8" s="11">
        <v>2</v>
      </c>
      <c r="B8" s="11" t="s">
        <v>27</v>
      </c>
      <c r="C8" s="11">
        <v>0.95799999999999996</v>
      </c>
      <c r="D8" s="11">
        <v>0.68799999999999994</v>
      </c>
      <c r="E8" s="11">
        <v>0.46400000000000002</v>
      </c>
      <c r="F8" s="11">
        <v>0.16900000000000001</v>
      </c>
      <c r="G8" s="11">
        <v>5.5E-2</v>
      </c>
      <c r="H8" s="11">
        <v>2.5999999999999999E-2</v>
      </c>
    </row>
    <row r="9" spans="1:8" ht="16" x14ac:dyDescent="0.2">
      <c r="A9" s="11">
        <v>2</v>
      </c>
      <c r="B9" s="11" t="s">
        <v>28</v>
      </c>
      <c r="C9" s="11">
        <v>0.95699999999999996</v>
      </c>
      <c r="D9" s="11">
        <v>0.85599999999999998</v>
      </c>
      <c r="E9" s="11">
        <v>0.68500000000000005</v>
      </c>
      <c r="F9" s="11">
        <v>0.38300000000000001</v>
      </c>
      <c r="G9" s="11">
        <v>0.153</v>
      </c>
      <c r="H9" s="11">
        <v>6.2E-2</v>
      </c>
    </row>
    <row r="10" spans="1:8" ht="16" x14ac:dyDescent="0.2">
      <c r="A10" s="11">
        <v>3</v>
      </c>
      <c r="B10" s="11" t="s">
        <v>30</v>
      </c>
      <c r="C10" s="11">
        <v>0.94899999999999995</v>
      </c>
      <c r="D10" s="11">
        <v>0.82199999999999995</v>
      </c>
      <c r="E10" s="11">
        <v>0.42899999999999999</v>
      </c>
      <c r="F10" s="11">
        <v>0.249</v>
      </c>
      <c r="G10" s="11">
        <v>0.159</v>
      </c>
      <c r="H10" s="11">
        <v>8.7999999999999995E-2</v>
      </c>
    </row>
    <row r="11" spans="1:8" ht="16" x14ac:dyDescent="0.2">
      <c r="A11" s="11">
        <v>3</v>
      </c>
      <c r="B11" s="11" t="s">
        <v>38</v>
      </c>
      <c r="C11" s="11">
        <v>0.93200000000000005</v>
      </c>
      <c r="D11" s="11">
        <v>0.72599999999999998</v>
      </c>
      <c r="E11" s="11">
        <v>0.30599999999999999</v>
      </c>
      <c r="F11" s="11">
        <v>0.113</v>
      </c>
      <c r="G11" s="11">
        <v>3.5000000000000003E-2</v>
      </c>
      <c r="H11" s="11">
        <v>1.6E-2</v>
      </c>
    </row>
    <row r="12" spans="1:8" ht="16" x14ac:dyDescent="0.2">
      <c r="A12" s="11">
        <v>4</v>
      </c>
      <c r="B12" s="11" t="s">
        <v>39</v>
      </c>
      <c r="C12" s="11">
        <v>0.90100000000000002</v>
      </c>
      <c r="D12" s="11">
        <v>0.627</v>
      </c>
      <c r="E12" s="11">
        <v>9.6000000000000002E-2</v>
      </c>
      <c r="F12" s="11">
        <v>3.1E-2</v>
      </c>
      <c r="G12" s="11">
        <v>1.4E-2</v>
      </c>
      <c r="H12" s="11">
        <v>6.0000000000000001E-3</v>
      </c>
    </row>
    <row r="13" spans="1:8" ht="16" x14ac:dyDescent="0.2">
      <c r="A13" s="11">
        <v>4</v>
      </c>
      <c r="B13" s="11" t="s">
        <v>29</v>
      </c>
      <c r="C13" s="11">
        <v>0.89100000000000001</v>
      </c>
      <c r="D13" s="11">
        <v>0.48199999999999998</v>
      </c>
      <c r="E13" s="11">
        <v>0.16200000000000001</v>
      </c>
      <c r="F13" s="11">
        <v>6.4000000000000001E-2</v>
      </c>
      <c r="G13" s="11">
        <v>2.1000000000000001E-2</v>
      </c>
      <c r="H13" s="11">
        <v>8.9999999999999993E-3</v>
      </c>
    </row>
    <row r="14" spans="1:8" ht="16" x14ac:dyDescent="0.2">
      <c r="A14" s="11">
        <v>3</v>
      </c>
      <c r="B14" s="11" t="s">
        <v>37</v>
      </c>
      <c r="C14" s="11">
        <v>0.89</v>
      </c>
      <c r="D14" s="11">
        <v>0.57199999999999995</v>
      </c>
      <c r="E14" s="11">
        <v>0.14699999999999999</v>
      </c>
      <c r="F14" s="11">
        <v>0.05</v>
      </c>
      <c r="G14" s="11">
        <v>2.1000000000000001E-2</v>
      </c>
      <c r="H14" s="11">
        <v>7.0000000000000001E-3</v>
      </c>
    </row>
    <row r="15" spans="1:8" ht="16" x14ac:dyDescent="0.2">
      <c r="A15" s="11">
        <v>4</v>
      </c>
      <c r="B15" s="11" t="s">
        <v>33</v>
      </c>
      <c r="C15" s="11">
        <v>0.86</v>
      </c>
      <c r="D15" s="11">
        <v>0.48399999999999999</v>
      </c>
      <c r="E15" s="11">
        <v>8.4000000000000005E-2</v>
      </c>
      <c r="F15" s="11">
        <v>3.5999999999999997E-2</v>
      </c>
      <c r="G15" s="11">
        <v>1.2E-2</v>
      </c>
      <c r="H15" s="11">
        <v>5.0000000000000001E-3</v>
      </c>
    </row>
    <row r="16" spans="1:8" ht="16" x14ac:dyDescent="0.2">
      <c r="A16" s="11">
        <v>6</v>
      </c>
      <c r="B16" s="11" t="s">
        <v>35</v>
      </c>
      <c r="C16" s="11">
        <v>0.85099999999999998</v>
      </c>
      <c r="D16" s="11">
        <v>0.36299999999999999</v>
      </c>
      <c r="E16" s="11">
        <v>8.4000000000000005E-2</v>
      </c>
      <c r="F16" s="11">
        <v>2.1999999999999999E-2</v>
      </c>
      <c r="G16" s="11">
        <v>8.0000000000000002E-3</v>
      </c>
      <c r="H16" s="11">
        <v>3.0000000000000001E-3</v>
      </c>
    </row>
    <row r="17" spans="1:8" ht="16" x14ac:dyDescent="0.2">
      <c r="A17" s="11">
        <v>4</v>
      </c>
      <c r="B17" s="11" t="s">
        <v>40</v>
      </c>
      <c r="C17" s="11">
        <v>0.85099999999999998</v>
      </c>
      <c r="D17" s="11">
        <v>0.49099999999999999</v>
      </c>
      <c r="E17" s="11">
        <v>8.4000000000000005E-2</v>
      </c>
      <c r="F17" s="11">
        <v>3.1E-2</v>
      </c>
      <c r="G17" s="11">
        <v>1.4E-2</v>
      </c>
      <c r="H17" s="11">
        <v>6.0000000000000001E-3</v>
      </c>
    </row>
    <row r="18" spans="1:8" ht="16" x14ac:dyDescent="0.2">
      <c r="A18" s="11">
        <v>5</v>
      </c>
      <c r="B18" s="11" t="s">
        <v>45</v>
      </c>
      <c r="C18" s="11">
        <v>0.82599999999999996</v>
      </c>
      <c r="D18" s="11">
        <v>0.441</v>
      </c>
      <c r="E18" s="11">
        <v>0.18099999999999999</v>
      </c>
      <c r="F18" s="11">
        <v>6.3E-2</v>
      </c>
      <c r="G18" s="11">
        <v>1.7999999999999999E-2</v>
      </c>
      <c r="H18" s="11">
        <v>7.0000000000000001E-3</v>
      </c>
    </row>
    <row r="19" spans="1:8" ht="16" x14ac:dyDescent="0.2">
      <c r="A19" s="11">
        <v>3</v>
      </c>
      <c r="B19" s="11" t="s">
        <v>41</v>
      </c>
      <c r="C19" s="11">
        <v>0.82</v>
      </c>
      <c r="D19" s="11">
        <v>0.57999999999999996</v>
      </c>
      <c r="E19" s="11">
        <v>0.158</v>
      </c>
      <c r="F19" s="11">
        <v>6.2E-2</v>
      </c>
      <c r="G19" s="11">
        <v>1.7999999999999999E-2</v>
      </c>
      <c r="H19" s="11">
        <v>6.0000000000000001E-3</v>
      </c>
    </row>
    <row r="20" spans="1:8" ht="16" x14ac:dyDescent="0.2">
      <c r="A20" s="11">
        <v>6</v>
      </c>
      <c r="B20" s="11" t="s">
        <v>42</v>
      </c>
      <c r="C20" s="11">
        <v>0.80300000000000005</v>
      </c>
      <c r="D20" s="11">
        <v>0.13100000000000001</v>
      </c>
      <c r="E20" s="11">
        <v>3.5999999999999997E-2</v>
      </c>
      <c r="F20" s="11">
        <v>1.2E-2</v>
      </c>
      <c r="G20" s="11">
        <v>5.0000000000000001E-3</v>
      </c>
      <c r="H20" s="11">
        <v>2E-3</v>
      </c>
    </row>
    <row r="21" spans="1:8" ht="16" x14ac:dyDescent="0.2">
      <c r="A21" s="11">
        <v>5</v>
      </c>
      <c r="B21" s="11" t="s">
        <v>36</v>
      </c>
      <c r="C21" s="11">
        <v>0.79300000000000004</v>
      </c>
      <c r="D21" s="11">
        <v>0.41299999999999998</v>
      </c>
      <c r="E21" s="11">
        <v>9.1999999999999998E-2</v>
      </c>
      <c r="F21" s="11">
        <v>3.6999999999999998E-2</v>
      </c>
      <c r="G21" s="11">
        <v>0.01</v>
      </c>
      <c r="H21" s="11">
        <v>5.0000000000000001E-3</v>
      </c>
    </row>
    <row r="22" spans="1:8" ht="16" x14ac:dyDescent="0.2">
      <c r="A22" s="11">
        <v>5</v>
      </c>
      <c r="B22" s="11" t="s">
        <v>31</v>
      </c>
      <c r="C22" s="11">
        <v>0.79</v>
      </c>
      <c r="D22" s="11">
        <v>0.40400000000000003</v>
      </c>
      <c r="E22" s="11">
        <v>7.3999999999999996E-2</v>
      </c>
      <c r="F22" s="11">
        <v>2.7E-2</v>
      </c>
      <c r="G22" s="11">
        <v>1.2E-2</v>
      </c>
      <c r="H22" s="11">
        <v>5.0000000000000001E-3</v>
      </c>
    </row>
    <row r="23" spans="1:8" ht="16" x14ac:dyDescent="0.2">
      <c r="A23" s="11">
        <v>7</v>
      </c>
      <c r="B23" s="11" t="s">
        <v>44</v>
      </c>
      <c r="C23" s="11">
        <v>0.75</v>
      </c>
      <c r="D23" s="11">
        <v>0.246</v>
      </c>
      <c r="E23" s="11">
        <v>0.14000000000000001</v>
      </c>
      <c r="F23" s="11">
        <v>5.0999999999999997E-2</v>
      </c>
      <c r="G23" s="11">
        <v>1.9E-2</v>
      </c>
      <c r="H23" s="11">
        <v>1.0999999999999999E-2</v>
      </c>
    </row>
    <row r="24" spans="1:8" ht="16" x14ac:dyDescent="0.2">
      <c r="A24" s="11">
        <v>8</v>
      </c>
      <c r="B24" s="11" t="s">
        <v>43</v>
      </c>
      <c r="C24" s="11">
        <v>0.67900000000000005</v>
      </c>
      <c r="D24" s="11">
        <v>7.5999999999999998E-2</v>
      </c>
      <c r="E24" s="11">
        <v>4.2999999999999997E-2</v>
      </c>
      <c r="F24" s="11">
        <v>1.6E-2</v>
      </c>
      <c r="G24" s="11">
        <v>8.0000000000000002E-3</v>
      </c>
      <c r="H24" s="11">
        <v>4.0000000000000001E-3</v>
      </c>
    </row>
    <row r="25" spans="1:8" ht="16" x14ac:dyDescent="0.2">
      <c r="A25" s="11">
        <v>6</v>
      </c>
      <c r="B25" s="11" t="s">
        <v>46</v>
      </c>
      <c r="C25" s="11">
        <v>0.63600000000000001</v>
      </c>
      <c r="D25" s="11">
        <v>0.151</v>
      </c>
      <c r="E25" s="11">
        <v>3.6999999999999998E-2</v>
      </c>
      <c r="F25" s="11">
        <v>0.01</v>
      </c>
      <c r="G25" s="11">
        <v>3.0000000000000001E-3</v>
      </c>
      <c r="H25" s="11">
        <v>1E-3</v>
      </c>
    </row>
    <row r="26" spans="1:8" ht="16" x14ac:dyDescent="0.2">
      <c r="A26" s="11">
        <v>10</v>
      </c>
      <c r="B26" s="11" t="s">
        <v>34</v>
      </c>
      <c r="C26" s="11">
        <v>0.628</v>
      </c>
      <c r="D26" s="11">
        <v>0.114</v>
      </c>
      <c r="E26" s="11">
        <v>0.04</v>
      </c>
      <c r="F26" s="11">
        <v>1.6E-2</v>
      </c>
      <c r="G26" s="11">
        <v>7.0000000000000001E-3</v>
      </c>
      <c r="H26" s="11">
        <v>3.0000000000000001E-3</v>
      </c>
    </row>
    <row r="27" spans="1:8" ht="16" x14ac:dyDescent="0.2">
      <c r="A27" s="11">
        <v>5</v>
      </c>
      <c r="B27" s="11" t="s">
        <v>64</v>
      </c>
      <c r="C27" s="11">
        <v>0.61399999999999999</v>
      </c>
      <c r="D27" s="11">
        <v>0.20899999999999999</v>
      </c>
      <c r="E27" s="11">
        <v>2.7E-2</v>
      </c>
      <c r="F27" s="11">
        <v>8.9999999999999993E-3</v>
      </c>
      <c r="G27" s="11">
        <v>4.0000000000000001E-3</v>
      </c>
      <c r="H27" s="11">
        <v>2E-3</v>
      </c>
    </row>
    <row r="28" spans="1:8" ht="16" x14ac:dyDescent="0.2">
      <c r="A28" s="11">
        <v>6</v>
      </c>
      <c r="B28" s="11" t="s">
        <v>62</v>
      </c>
      <c r="C28" s="11">
        <v>0.57899999999999996</v>
      </c>
      <c r="D28" s="11">
        <v>0.19800000000000001</v>
      </c>
      <c r="E28" s="11">
        <v>4.5999999999999999E-2</v>
      </c>
      <c r="F28" s="11">
        <v>1.4999999999999999E-2</v>
      </c>
      <c r="G28" s="11">
        <v>5.0000000000000001E-3</v>
      </c>
      <c r="H28" s="11">
        <v>2E-3</v>
      </c>
    </row>
    <row r="29" spans="1:8" ht="16" x14ac:dyDescent="0.2">
      <c r="A29" s="11">
        <v>7</v>
      </c>
      <c r="B29" s="11" t="s">
        <v>32</v>
      </c>
      <c r="C29" s="11">
        <v>0.56399999999999995</v>
      </c>
      <c r="D29" s="11">
        <v>8.1000000000000003E-2</v>
      </c>
      <c r="E29" s="11">
        <v>4.1000000000000002E-2</v>
      </c>
      <c r="F29" s="11">
        <v>1.2E-2</v>
      </c>
      <c r="G29" s="11">
        <v>4.0000000000000001E-3</v>
      </c>
      <c r="H29" s="11">
        <v>2E-3</v>
      </c>
    </row>
    <row r="30" spans="1:8" ht="16" x14ac:dyDescent="0.2">
      <c r="A30" s="11">
        <v>10</v>
      </c>
      <c r="B30" s="11" t="s">
        <v>56</v>
      </c>
      <c r="C30" s="11">
        <v>0.53800000000000003</v>
      </c>
      <c r="D30" s="11">
        <v>5.0999999999999997E-2</v>
      </c>
      <c r="E30" s="11">
        <v>0.02</v>
      </c>
      <c r="F30" s="11">
        <v>6.0000000000000001E-3</v>
      </c>
      <c r="G30" s="11">
        <v>2E-3</v>
      </c>
      <c r="H30" s="11">
        <v>1E-3</v>
      </c>
    </row>
    <row r="31" spans="1:8" ht="16" x14ac:dyDescent="0.2">
      <c r="A31" s="11">
        <v>8</v>
      </c>
      <c r="B31" s="11" t="s">
        <v>63</v>
      </c>
      <c r="C31" s="11">
        <v>0.51300000000000001</v>
      </c>
      <c r="D31" s="11">
        <v>6.4000000000000001E-2</v>
      </c>
      <c r="E31" s="11">
        <v>2.1999999999999999E-2</v>
      </c>
      <c r="F31" s="11">
        <v>8.0000000000000002E-3</v>
      </c>
      <c r="G31" s="11">
        <v>3.0000000000000001E-3</v>
      </c>
      <c r="H31" s="11">
        <v>2E-3</v>
      </c>
    </row>
    <row r="32" spans="1:8" ht="16" x14ac:dyDescent="0.2">
      <c r="A32" s="11">
        <v>9</v>
      </c>
      <c r="B32" s="11" t="s">
        <v>57</v>
      </c>
      <c r="C32" s="11">
        <v>0.50900000000000001</v>
      </c>
      <c r="D32" s="11">
        <v>6.7000000000000004E-2</v>
      </c>
      <c r="E32" s="11">
        <v>3.6999999999999998E-2</v>
      </c>
      <c r="F32" s="11">
        <v>1.6E-2</v>
      </c>
      <c r="G32" s="11">
        <v>7.0000000000000001E-3</v>
      </c>
      <c r="H32" s="11">
        <v>4.0000000000000001E-3</v>
      </c>
    </row>
    <row r="33" spans="1:8" ht="16" x14ac:dyDescent="0.2">
      <c r="A33" s="11">
        <v>8</v>
      </c>
      <c r="B33" s="11" t="s">
        <v>49</v>
      </c>
      <c r="C33" s="11">
        <v>0.505</v>
      </c>
      <c r="D33" s="11">
        <v>3.2000000000000001E-2</v>
      </c>
      <c r="E33" s="11">
        <v>1.6E-2</v>
      </c>
      <c r="F33" s="11">
        <v>5.0000000000000001E-3</v>
      </c>
      <c r="G33" s="11">
        <v>3.0000000000000001E-3</v>
      </c>
      <c r="H33" s="11">
        <v>1E-3</v>
      </c>
    </row>
    <row r="34" spans="1:8" ht="16" x14ac:dyDescent="0.2">
      <c r="A34" s="11">
        <v>9</v>
      </c>
      <c r="B34" s="11" t="s">
        <v>54</v>
      </c>
      <c r="C34" s="11">
        <v>0.495</v>
      </c>
      <c r="D34" s="11">
        <v>3.4000000000000002E-2</v>
      </c>
      <c r="E34" s="11">
        <v>1.6E-2</v>
      </c>
      <c r="F34" s="11">
        <v>5.0000000000000001E-3</v>
      </c>
      <c r="G34" s="11">
        <v>2E-3</v>
      </c>
      <c r="H34" s="11">
        <v>1E-3</v>
      </c>
    </row>
    <row r="35" spans="1:8" ht="16" x14ac:dyDescent="0.2">
      <c r="A35" s="11">
        <v>8</v>
      </c>
      <c r="B35" s="11" t="s">
        <v>48</v>
      </c>
      <c r="C35" s="11">
        <v>0.49099999999999999</v>
      </c>
      <c r="D35" s="11">
        <v>4.7E-2</v>
      </c>
      <c r="E35" s="11">
        <v>2.3E-2</v>
      </c>
      <c r="F35" s="11">
        <v>8.0000000000000002E-3</v>
      </c>
      <c r="G35" s="11">
        <v>3.0000000000000001E-3</v>
      </c>
      <c r="H35" s="11">
        <v>2E-3</v>
      </c>
    </row>
    <row r="36" spans="1:8" ht="16" x14ac:dyDescent="0.2">
      <c r="A36" s="11">
        <v>9</v>
      </c>
      <c r="B36" s="11" t="s">
        <v>50</v>
      </c>
      <c r="C36" s="11">
        <v>0.48699999999999999</v>
      </c>
      <c r="D36" s="11">
        <v>6.2E-2</v>
      </c>
      <c r="E36" s="11">
        <v>1.9E-2</v>
      </c>
      <c r="F36" s="11">
        <v>7.0000000000000001E-3</v>
      </c>
      <c r="G36" s="11">
        <v>2E-3</v>
      </c>
      <c r="H36" s="11">
        <v>1E-3</v>
      </c>
    </row>
    <row r="37" spans="1:8" ht="16" x14ac:dyDescent="0.2">
      <c r="A37" s="11">
        <v>7</v>
      </c>
      <c r="B37" s="11" t="s">
        <v>53</v>
      </c>
      <c r="C37" s="11">
        <v>0.46200000000000002</v>
      </c>
      <c r="D37" s="11">
        <v>4.2000000000000003E-2</v>
      </c>
      <c r="E37" s="11">
        <v>1.6E-2</v>
      </c>
      <c r="F37" s="11">
        <v>5.0000000000000001E-3</v>
      </c>
      <c r="G37" s="11">
        <v>2E-3</v>
      </c>
      <c r="H37" s="11">
        <v>1E-3</v>
      </c>
    </row>
    <row r="38" spans="1:8" ht="16" x14ac:dyDescent="0.2">
      <c r="A38" s="11">
        <v>10</v>
      </c>
      <c r="B38" s="11" t="s">
        <v>60</v>
      </c>
      <c r="C38" s="11">
        <v>0.437</v>
      </c>
      <c r="D38" s="11">
        <v>4.2999999999999997E-2</v>
      </c>
      <c r="E38" s="11">
        <v>1.6E-2</v>
      </c>
      <c r="F38" s="11">
        <v>5.0000000000000001E-3</v>
      </c>
      <c r="G38" s="11">
        <v>2E-3</v>
      </c>
      <c r="H38" s="11">
        <v>1E-3</v>
      </c>
    </row>
    <row r="39" spans="1:8" ht="16" x14ac:dyDescent="0.2">
      <c r="A39" s="11">
        <v>11</v>
      </c>
      <c r="B39" s="11" t="s">
        <v>59</v>
      </c>
      <c r="C39" s="11">
        <v>0.42099999999999999</v>
      </c>
      <c r="D39" s="11">
        <v>0.14799999999999999</v>
      </c>
      <c r="E39" s="11">
        <v>3.2000000000000001E-2</v>
      </c>
      <c r="F39" s="11">
        <v>0.01</v>
      </c>
      <c r="G39" s="11">
        <v>3.0000000000000001E-3</v>
      </c>
      <c r="H39" s="11">
        <v>1E-3</v>
      </c>
    </row>
    <row r="40" spans="1:8" ht="16" x14ac:dyDescent="0.2">
      <c r="A40" s="11">
        <v>12</v>
      </c>
      <c r="B40" s="11" t="s">
        <v>61</v>
      </c>
      <c r="C40" s="11">
        <v>0.38600000000000001</v>
      </c>
      <c r="D40" s="11">
        <v>0.13200000000000001</v>
      </c>
      <c r="E40" s="11">
        <v>1.4999999999999999E-2</v>
      </c>
      <c r="F40" s="11">
        <v>4.0000000000000001E-3</v>
      </c>
      <c r="G40" s="11">
        <v>2E-3</v>
      </c>
      <c r="H40" s="11">
        <v>1E-3</v>
      </c>
    </row>
    <row r="41" spans="1:8" ht="16" x14ac:dyDescent="0.2">
      <c r="A41" s="11">
        <v>7</v>
      </c>
      <c r="B41" s="11" t="s">
        <v>55</v>
      </c>
      <c r="C41" s="11">
        <v>0.372</v>
      </c>
      <c r="D41" s="11">
        <v>3.9E-2</v>
      </c>
      <c r="E41" s="11">
        <v>1.2999999999999999E-2</v>
      </c>
      <c r="F41" s="11">
        <v>5.0000000000000001E-3</v>
      </c>
      <c r="G41" s="11">
        <v>2E-3</v>
      </c>
      <c r="H41" s="11">
        <v>1E-3</v>
      </c>
    </row>
    <row r="42" spans="1:8" ht="16" x14ac:dyDescent="0.2">
      <c r="A42" s="11">
        <v>11</v>
      </c>
      <c r="B42" s="11" t="s">
        <v>51</v>
      </c>
      <c r="C42" s="11">
        <v>0.36399999999999999</v>
      </c>
      <c r="D42" s="11">
        <v>9.9000000000000005E-2</v>
      </c>
      <c r="E42" s="11">
        <v>1.7999999999999999E-2</v>
      </c>
      <c r="F42" s="11">
        <v>5.0000000000000001E-3</v>
      </c>
      <c r="G42" s="11">
        <v>2E-3</v>
      </c>
      <c r="H42" s="11">
        <v>1E-3</v>
      </c>
    </row>
    <row r="43" spans="1:8" ht="16" x14ac:dyDescent="0.2">
      <c r="A43" s="11">
        <v>9</v>
      </c>
      <c r="B43" s="11" t="s">
        <v>70</v>
      </c>
      <c r="C43" s="11">
        <v>0.32200000000000001</v>
      </c>
      <c r="D43" s="11">
        <v>3.1E-2</v>
      </c>
      <c r="E43" s="11">
        <v>1.2999999999999999E-2</v>
      </c>
      <c r="F43" s="11">
        <v>5.0000000000000001E-3</v>
      </c>
      <c r="G43" s="11">
        <v>3.0000000000000001E-3</v>
      </c>
      <c r="H43" s="11">
        <v>2E-3</v>
      </c>
    </row>
    <row r="44" spans="1:8" ht="16" x14ac:dyDescent="0.2">
      <c r="A44" s="11">
        <v>10</v>
      </c>
      <c r="B44" s="11" t="s">
        <v>47</v>
      </c>
      <c r="C44" s="11">
        <v>0.25</v>
      </c>
      <c r="D44" s="11">
        <v>4.7E-2</v>
      </c>
      <c r="E44" s="11">
        <v>1.9E-2</v>
      </c>
      <c r="F44" s="11">
        <v>6.0000000000000001E-3</v>
      </c>
      <c r="G44" s="11">
        <v>2E-3</v>
      </c>
      <c r="H44" s="11">
        <v>1E-3</v>
      </c>
    </row>
    <row r="45" spans="1:8" ht="16" x14ac:dyDescent="0.2">
      <c r="A45" s="11">
        <v>12</v>
      </c>
      <c r="B45" s="11" t="s">
        <v>69</v>
      </c>
      <c r="C45" s="11">
        <v>0.21099999999999999</v>
      </c>
      <c r="D45" s="11">
        <v>6.4000000000000001E-2</v>
      </c>
      <c r="E45" s="11">
        <v>8.0000000000000002E-3</v>
      </c>
      <c r="F45" s="11">
        <v>3.0000000000000001E-3</v>
      </c>
      <c r="G45" s="11">
        <v>2E-3</v>
      </c>
      <c r="H45" s="11">
        <v>1E-3</v>
      </c>
    </row>
    <row r="46" spans="1:8" ht="16" x14ac:dyDescent="0.2">
      <c r="A46" s="11">
        <v>12</v>
      </c>
      <c r="B46" s="11" t="s">
        <v>67</v>
      </c>
      <c r="C46" s="11">
        <v>0.20699999999999999</v>
      </c>
      <c r="D46" s="11">
        <v>6.0999999999999999E-2</v>
      </c>
      <c r="E46" s="11">
        <v>8.9999999999999993E-3</v>
      </c>
      <c r="F46" s="11">
        <v>3.0000000000000001E-3</v>
      </c>
      <c r="G46" s="11">
        <v>1E-3</v>
      </c>
      <c r="H46" s="11">
        <v>1E-3</v>
      </c>
    </row>
    <row r="47" spans="1:8" ht="16" x14ac:dyDescent="0.2">
      <c r="A47" s="11">
        <v>11</v>
      </c>
      <c r="B47" s="11" t="s">
        <v>58</v>
      </c>
      <c r="C47" s="11">
        <v>0.19700000000000001</v>
      </c>
      <c r="D47" s="11">
        <v>2.5000000000000001E-2</v>
      </c>
      <c r="E47" s="11">
        <v>7.0000000000000001E-3</v>
      </c>
      <c r="F47" s="11">
        <v>3.0000000000000001E-3</v>
      </c>
      <c r="G47" s="11">
        <v>1E-3</v>
      </c>
      <c r="H47" s="11">
        <v>1E-3</v>
      </c>
    </row>
    <row r="48" spans="1:8" ht="16" x14ac:dyDescent="0.2">
      <c r="A48" s="11">
        <v>14</v>
      </c>
      <c r="B48" s="11" t="s">
        <v>75</v>
      </c>
      <c r="C48" s="11">
        <v>0.18</v>
      </c>
      <c r="D48" s="11">
        <v>7.3999999999999996E-2</v>
      </c>
      <c r="E48" s="11">
        <v>1.2E-2</v>
      </c>
      <c r="F48" s="11">
        <v>4.0000000000000001E-3</v>
      </c>
      <c r="G48" s="11">
        <v>2E-3</v>
      </c>
      <c r="H48" s="11">
        <v>1E-3</v>
      </c>
    </row>
    <row r="49" spans="1:8" ht="16" x14ac:dyDescent="0.2">
      <c r="A49" s="11">
        <v>12</v>
      </c>
      <c r="B49" s="11" t="s">
        <v>68</v>
      </c>
      <c r="C49" s="11">
        <v>0.17399999999999999</v>
      </c>
      <c r="D49" s="11">
        <v>4.7E-2</v>
      </c>
      <c r="E49" s="11">
        <v>1.0999999999999999E-2</v>
      </c>
      <c r="F49" s="11">
        <v>4.0000000000000001E-3</v>
      </c>
      <c r="G49" s="11">
        <v>2E-3</v>
      </c>
      <c r="H49" s="11">
        <v>1E-3</v>
      </c>
    </row>
    <row r="50" spans="1:8" ht="16" x14ac:dyDescent="0.2">
      <c r="A50" s="11">
        <v>13</v>
      </c>
      <c r="B50" s="11" t="s">
        <v>73</v>
      </c>
      <c r="C50" s="11">
        <v>0.14899999999999999</v>
      </c>
      <c r="D50" s="11">
        <v>4.1000000000000002E-2</v>
      </c>
      <c r="E50" s="11">
        <v>7.0000000000000001E-3</v>
      </c>
      <c r="F50" s="11">
        <v>3.0000000000000001E-3</v>
      </c>
      <c r="G50" s="11">
        <v>1E-3</v>
      </c>
      <c r="H50" s="11">
        <v>1E-3</v>
      </c>
    </row>
    <row r="51" spans="1:8" ht="16" x14ac:dyDescent="0.2">
      <c r="A51" s="11">
        <v>11</v>
      </c>
      <c r="B51" s="11" t="s">
        <v>65</v>
      </c>
      <c r="C51" s="11">
        <v>0.14899999999999999</v>
      </c>
      <c r="D51" s="11">
        <v>3.2000000000000001E-2</v>
      </c>
      <c r="E51" s="11">
        <v>6.0000000000000001E-3</v>
      </c>
      <c r="F51" s="11">
        <v>2E-3</v>
      </c>
      <c r="G51" s="11">
        <v>1E-3</v>
      </c>
      <c r="H51" s="11">
        <v>1E-3</v>
      </c>
    </row>
    <row r="52" spans="1:8" ht="16" x14ac:dyDescent="0.2">
      <c r="A52" s="11">
        <v>13</v>
      </c>
      <c r="B52" s="11" t="s">
        <v>71</v>
      </c>
      <c r="C52" s="11">
        <v>0.14000000000000001</v>
      </c>
      <c r="D52" s="11">
        <v>4.2999999999999997E-2</v>
      </c>
      <c r="E52" s="11">
        <v>8.9999999999999993E-3</v>
      </c>
      <c r="F52" s="11">
        <v>4.0000000000000001E-3</v>
      </c>
      <c r="G52" s="11">
        <v>1E-3</v>
      </c>
      <c r="H52" s="11">
        <v>1E-3</v>
      </c>
    </row>
    <row r="53" spans="1:8" ht="16" x14ac:dyDescent="0.2">
      <c r="A53" s="11">
        <v>14</v>
      </c>
      <c r="B53" s="11" t="s">
        <v>76</v>
      </c>
      <c r="C53" s="11">
        <v>0.11</v>
      </c>
      <c r="D53" s="11">
        <v>3.3000000000000002E-2</v>
      </c>
      <c r="E53" s="11">
        <v>7.0000000000000001E-3</v>
      </c>
      <c r="F53" s="11">
        <v>3.0000000000000001E-3</v>
      </c>
      <c r="G53" s="11">
        <v>1E-3</v>
      </c>
      <c r="H53" s="11">
        <v>1E-3</v>
      </c>
    </row>
    <row r="54" spans="1:8" ht="16" x14ac:dyDescent="0.2">
      <c r="A54" s="11">
        <v>13</v>
      </c>
      <c r="B54" s="11" t="s">
        <v>72</v>
      </c>
      <c r="C54" s="11">
        <v>0.109</v>
      </c>
      <c r="D54" s="11">
        <v>0.03</v>
      </c>
      <c r="E54" s="11">
        <v>7.0000000000000001E-3</v>
      </c>
      <c r="F54" s="11">
        <v>3.0000000000000001E-3</v>
      </c>
      <c r="G54" s="11">
        <v>1E-3</v>
      </c>
      <c r="H54" s="11">
        <v>1E-3</v>
      </c>
    </row>
    <row r="55" spans="1:8" ht="16" x14ac:dyDescent="0.2">
      <c r="A55" s="11">
        <v>13</v>
      </c>
      <c r="B55" s="11" t="s">
        <v>74</v>
      </c>
      <c r="C55" s="11">
        <v>9.9000000000000005E-2</v>
      </c>
      <c r="D55" s="11">
        <v>3.2000000000000001E-2</v>
      </c>
      <c r="E55" s="11">
        <v>7.0000000000000001E-3</v>
      </c>
      <c r="F55" s="11">
        <v>3.0000000000000001E-3</v>
      </c>
      <c r="G55" s="11">
        <v>1E-3</v>
      </c>
      <c r="H55" s="11">
        <v>1E-3</v>
      </c>
    </row>
    <row r="56" spans="1:8" ht="16" x14ac:dyDescent="0.2">
      <c r="A56" s="11">
        <v>14</v>
      </c>
      <c r="B56" s="11" t="s">
        <v>77</v>
      </c>
      <c r="C56" s="11">
        <v>6.8000000000000005E-2</v>
      </c>
      <c r="D56" s="11">
        <v>2.4E-2</v>
      </c>
      <c r="E56" s="11">
        <v>6.0000000000000001E-3</v>
      </c>
      <c r="F56" s="11">
        <v>2E-3</v>
      </c>
      <c r="G56" s="11">
        <v>1E-3</v>
      </c>
      <c r="H56" s="11">
        <v>0</v>
      </c>
    </row>
    <row r="57" spans="1:8" ht="16" x14ac:dyDescent="0.2">
      <c r="A57" s="11">
        <v>14</v>
      </c>
      <c r="B57" s="11" t="s">
        <v>78</v>
      </c>
      <c r="C57" s="11">
        <v>5.0999999999999997E-2</v>
      </c>
      <c r="D57" s="11">
        <v>2.1999999999999999E-2</v>
      </c>
      <c r="E57" s="11">
        <v>6.0000000000000001E-3</v>
      </c>
      <c r="F57" s="11">
        <v>3.0000000000000001E-3</v>
      </c>
      <c r="G57" s="11">
        <v>1E-3</v>
      </c>
      <c r="H57" s="11">
        <v>1E-3</v>
      </c>
    </row>
    <row r="58" spans="1:8" ht="16" x14ac:dyDescent="0.2">
      <c r="A58" s="11">
        <v>15</v>
      </c>
      <c r="B58" s="11" t="s">
        <v>82</v>
      </c>
      <c r="C58" s="11">
        <v>4.2999999999999997E-2</v>
      </c>
      <c r="D58" s="11">
        <v>0.02</v>
      </c>
      <c r="E58" s="11">
        <v>1.0999999999999999E-2</v>
      </c>
      <c r="F58" s="11">
        <v>3.0000000000000001E-3</v>
      </c>
      <c r="G58" s="11">
        <v>2E-3</v>
      </c>
      <c r="H58" s="11">
        <v>1E-3</v>
      </c>
    </row>
    <row r="59" spans="1:8" ht="16" x14ac:dyDescent="0.2">
      <c r="A59" s="11">
        <v>15</v>
      </c>
      <c r="B59" s="11" t="s">
        <v>84</v>
      </c>
      <c r="C59" s="11">
        <v>4.2999999999999997E-2</v>
      </c>
      <c r="D59" s="11">
        <v>1.7999999999999999E-2</v>
      </c>
      <c r="E59" s="11">
        <v>1.0999999999999999E-2</v>
      </c>
      <c r="F59" s="11">
        <v>3.0000000000000001E-3</v>
      </c>
      <c r="G59" s="11">
        <v>1E-3</v>
      </c>
      <c r="H59" s="11">
        <v>1E-3</v>
      </c>
    </row>
    <row r="60" spans="1:8" ht="16" x14ac:dyDescent="0.2">
      <c r="A60" s="11">
        <v>15</v>
      </c>
      <c r="B60" s="11" t="s">
        <v>79</v>
      </c>
      <c r="C60" s="11">
        <v>0.04</v>
      </c>
      <c r="D60" s="11">
        <v>1.7999999999999999E-2</v>
      </c>
      <c r="E60" s="11">
        <v>1.0999999999999999E-2</v>
      </c>
      <c r="F60" s="11">
        <v>3.0000000000000001E-3</v>
      </c>
      <c r="G60" s="11">
        <v>1E-3</v>
      </c>
      <c r="H60" s="11">
        <v>1E-3</v>
      </c>
    </row>
    <row r="61" spans="1:8" ht="16" x14ac:dyDescent="0.2">
      <c r="A61" s="11">
        <v>16</v>
      </c>
      <c r="B61" s="11" t="s">
        <v>81</v>
      </c>
      <c r="C61" s="11">
        <v>3.9E-2</v>
      </c>
      <c r="D61" s="11">
        <v>1.7000000000000001E-2</v>
      </c>
      <c r="E61" s="11">
        <v>0.01</v>
      </c>
      <c r="F61" s="11">
        <v>7.0000000000000001E-3</v>
      </c>
      <c r="G61" s="11">
        <v>4.0000000000000001E-3</v>
      </c>
      <c r="H61" s="11">
        <v>2E-3</v>
      </c>
    </row>
    <row r="62" spans="1:8" ht="16" x14ac:dyDescent="0.2">
      <c r="A62" s="11">
        <v>15</v>
      </c>
      <c r="B62" s="11" t="s">
        <v>80</v>
      </c>
      <c r="C62" s="11">
        <v>3.6999999999999998E-2</v>
      </c>
      <c r="D62" s="11">
        <v>1.7000000000000001E-2</v>
      </c>
      <c r="E62" s="11">
        <v>1.0999999999999999E-2</v>
      </c>
      <c r="F62" s="11">
        <v>3.0000000000000001E-3</v>
      </c>
      <c r="G62" s="11">
        <v>2E-3</v>
      </c>
      <c r="H62" s="11">
        <v>1E-3</v>
      </c>
    </row>
    <row r="63" spans="1:8" ht="16" x14ac:dyDescent="0.2">
      <c r="A63" s="11">
        <v>16</v>
      </c>
      <c r="B63" s="11" t="s">
        <v>83</v>
      </c>
      <c r="C63" s="11">
        <v>3.2000000000000001E-2</v>
      </c>
      <c r="D63" s="11">
        <v>1.6E-2</v>
      </c>
      <c r="E63" s="11">
        <v>0.01</v>
      </c>
      <c r="F63" s="11">
        <v>7.0000000000000001E-3</v>
      </c>
      <c r="G63" s="11">
        <v>4.0000000000000001E-3</v>
      </c>
      <c r="H63" s="11">
        <v>2E-3</v>
      </c>
    </row>
    <row r="64" spans="1:8" ht="16" x14ac:dyDescent="0.2">
      <c r="A64" s="11">
        <v>16</v>
      </c>
      <c r="B64" s="11" t="s">
        <v>86</v>
      </c>
      <c r="C64" s="11">
        <v>2.7E-2</v>
      </c>
      <c r="D64" s="11">
        <v>1.4E-2</v>
      </c>
      <c r="E64" s="11">
        <v>8.9999999999999993E-3</v>
      </c>
      <c r="F64" s="11">
        <v>6.0000000000000001E-3</v>
      </c>
      <c r="G64" s="11">
        <v>2E-3</v>
      </c>
      <c r="H64" s="11">
        <v>1E-3</v>
      </c>
    </row>
    <row r="65" spans="1:8" ht="16" x14ac:dyDescent="0.2">
      <c r="A65" s="11">
        <v>16</v>
      </c>
      <c r="B65" s="11" t="s">
        <v>88</v>
      </c>
      <c r="C65" s="11">
        <v>2.5999999999999999E-2</v>
      </c>
      <c r="D65" s="11">
        <v>1.2999999999999999E-2</v>
      </c>
      <c r="E65" s="11">
        <v>8.0000000000000002E-3</v>
      </c>
      <c r="F65" s="11">
        <v>6.0000000000000001E-3</v>
      </c>
      <c r="G65" s="11">
        <v>2E-3</v>
      </c>
      <c r="H65" s="11">
        <v>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20" workbookViewId="0">
      <selection activeCell="C56" sqref="C56"/>
    </sheetView>
  </sheetViews>
  <sheetFormatPr baseColWidth="10" defaultRowHeight="15" x14ac:dyDescent="0.2"/>
  <sheetData>
    <row r="1" spans="1:9" ht="16" x14ac:dyDescent="0.2">
      <c r="A1" s="11" t="s">
        <v>91</v>
      </c>
      <c r="B1" s="11" t="s">
        <v>92</v>
      </c>
      <c r="C1" s="11" t="s">
        <v>93</v>
      </c>
      <c r="D1" s="11" t="s">
        <v>94</v>
      </c>
      <c r="E1" s="11" t="s">
        <v>95</v>
      </c>
      <c r="F1" s="11" t="s">
        <v>96</v>
      </c>
      <c r="G1" s="11" t="s">
        <v>97</v>
      </c>
      <c r="H1" s="11" t="s">
        <v>98</v>
      </c>
      <c r="I1" s="11" t="s">
        <v>99</v>
      </c>
    </row>
    <row r="2" spans="1:9" ht="16" x14ac:dyDescent="0.2">
      <c r="A2" s="11">
        <v>7</v>
      </c>
      <c r="B2" s="11" t="s">
        <v>20</v>
      </c>
      <c r="C2" s="11" t="s">
        <v>32</v>
      </c>
      <c r="D2" s="12">
        <f>10*(VLOOKUP($C2,Avg!$C$2:$I$69,2,FALSE)-VLOOKUP($C2,Crowd!$B$2:$H$65,2,FALSE))*VLOOKUP($C2,Avg!$C$2:$I$69,2,FALSE)</f>
        <v>1.0599187412507078</v>
      </c>
      <c r="E2" s="12">
        <f>(10+20)*(VLOOKUP($C2,Avg!$C$2:$I$69,3,FALSE)-VLOOKUP($C2,Crowd!$B$2:$H$65,3,FALSE))*VLOOKUP($C2,Avg!$C$2:$I$69,3,FALSE)</f>
        <v>2.884655536046846</v>
      </c>
      <c r="F2" s="12">
        <f>(10+20+40)*(VLOOKUP($C2,Avg!$C$2:$I$69,4,FALSE)-VLOOKUP($C2,Crowd!$B$2:$H$65,4,FALSE))*VLOOKUP($C2,Avg!$C$2:$I$69,4,FALSE)</f>
        <v>1.7115670498463909</v>
      </c>
      <c r="G2" s="7">
        <f>VLOOKUP($C2,Avg!$C$2:$I$69,5,FALSE)-VLOOKUP($C2,Crowd!$B$2:$H$65,5,FALSE)</f>
        <v>4.1198617185440933E-2</v>
      </c>
      <c r="H2" s="7">
        <f>(10+20+40+80+160)*(VLOOKUP($C2,Avg!$C$2:$I$69,6,FALSE)-VLOOKUP($C2,Crowd!$B$2:$H$65,6,FALSE))*VLOOKUP($C2,Avg!$C$2:$I$69,6,FALSE)</f>
        <v>0.14227596803805007</v>
      </c>
      <c r="I2" s="7">
        <f>(10+20+40+80+160+320)*(VLOOKUP($C2,Avg!$C$2:$I$69,7,FALSE)-VLOOKUP($C2,Crowd!$B$2:$H$65,7,FALSE))*VLOOKUP($C2,Avg!$C$2:$I$69,7,FALSE)</f>
        <v>6.2071618071144606E-2</v>
      </c>
    </row>
    <row r="3" spans="1:9" ht="16" x14ac:dyDescent="0.2">
      <c r="A3" s="11">
        <v>10</v>
      </c>
      <c r="B3" s="11" t="s">
        <v>22</v>
      </c>
      <c r="C3" s="11" t="s">
        <v>47</v>
      </c>
      <c r="D3" s="12">
        <f>10*(VLOOKUP($C3,Avg!$C$2:$I$69,2,FALSE)-VLOOKUP($C3,Crowd!$B$2:$H$65,2,FALSE))*VLOOKUP($C3,Avg!$C$2:$I$69,2,FALSE)</f>
        <v>0.88159104325737447</v>
      </c>
      <c r="E3" s="12">
        <f>(10+20)*(VLOOKUP($C3,Avg!$C$2:$I$69,3,FALSE)-VLOOKUP($C3,Crowd!$B$2:$H$65,3,FALSE))*VLOOKUP($C3,Avg!$C$2:$I$69,3,FALSE)</f>
        <v>0.54959394029649888</v>
      </c>
      <c r="F3" s="12">
        <f>(10+20+40)*(VLOOKUP($C3,Avg!$C$2:$I$69,4,FALSE)-VLOOKUP($C3,Crowd!$B$2:$H$65,4,FALSE))*VLOOKUP($C3,Avg!$C$2:$I$69,4,FALSE)</f>
        <v>0.24032842599780996</v>
      </c>
      <c r="G3" s="7">
        <f>VLOOKUP($C3,Avg!$C$2:$I$69,5,FALSE)-VLOOKUP($C3,Crowd!$B$2:$H$65,5,FALSE)</f>
        <v>1.9314171880666038E-2</v>
      </c>
      <c r="H3" s="7">
        <f>(10+20+40+80+160)*(VLOOKUP($C3,Avg!$C$2:$I$69,6,FALSE)-VLOOKUP($C3,Crowd!$B$2:$H$65,6,FALSE))*VLOOKUP($C3,Avg!$C$2:$I$69,6,FALSE)</f>
        <v>2.6404468394905418E-2</v>
      </c>
      <c r="I3" s="7">
        <f>(10+20+40+80+160+320)*(VLOOKUP($C3,Avg!$C$2:$I$69,7,FALSE)-VLOOKUP($C3,Crowd!$B$2:$H$65,7,FALSE))*VLOOKUP($C3,Avg!$C$2:$I$69,7,FALSE)</f>
        <v>7.5847082678878559E-3</v>
      </c>
    </row>
    <row r="4" spans="1:9" ht="16" x14ac:dyDescent="0.2">
      <c r="A4" s="11">
        <v>10</v>
      </c>
      <c r="B4" s="11" t="s">
        <v>24</v>
      </c>
      <c r="C4" s="11" t="s">
        <v>34</v>
      </c>
      <c r="D4" s="12">
        <f>10*(VLOOKUP($C4,Avg!$C$2:$I$69,2,FALSE)-VLOOKUP($C4,Crowd!$B$2:$H$65,2,FALSE))*VLOOKUP($C4,Avg!$C$2:$I$69,2,FALSE)</f>
        <v>0.79134968752901103</v>
      </c>
      <c r="E4" s="12">
        <f>(10+20)*(VLOOKUP($C4,Avg!$C$2:$I$69,3,FALSE)-VLOOKUP($C4,Crowd!$B$2:$H$65,3,FALSE))*VLOOKUP($C4,Avg!$C$2:$I$69,3,FALSE)</f>
        <v>1.8251920022753532</v>
      </c>
      <c r="F4" s="7">
        <f>(10+20+40)*(VLOOKUP($C4,Avg!$C$2:$I$69,4,FALSE)-VLOOKUP($C4,Crowd!$B$2:$H$65,4,FALSE))*VLOOKUP($C4,Avg!$C$2:$I$69,4,FALSE)</f>
        <v>1.1983431497608392</v>
      </c>
      <c r="G4" s="7">
        <f>VLOOKUP($C4,Avg!$C$2:$I$69,5,FALSE)-VLOOKUP($C4,Crowd!$B$2:$H$65,5,FALSE)</f>
        <v>5.2612936677085095E-2</v>
      </c>
      <c r="H4" s="7">
        <f>(10+20+40+80+160)*(VLOOKUP($C4,Avg!$C$2:$I$69,6,FALSE)-VLOOKUP($C4,Crowd!$B$2:$H$65,6,FALSE))*VLOOKUP($C4,Avg!$C$2:$I$69,6,FALSE)</f>
        <v>0.36888673942807415</v>
      </c>
      <c r="I4" s="7">
        <f>(10+20+40+80+160+320)*(VLOOKUP($C4,Avg!$C$2:$I$69,7,FALSE)-VLOOKUP($C4,Crowd!$B$2:$H$65,7,FALSE))*VLOOKUP($C4,Avg!$C$2:$I$69,7,FALSE)</f>
        <v>0.16533635749117517</v>
      </c>
    </row>
    <row r="5" spans="1:9" ht="16" x14ac:dyDescent="0.2">
      <c r="A5" s="11">
        <v>8</v>
      </c>
      <c r="B5" s="11" t="s">
        <v>18</v>
      </c>
      <c r="C5" s="11" t="s">
        <v>43</v>
      </c>
      <c r="D5" s="12">
        <f>10*(VLOOKUP($C5,Avg!$C$2:$I$69,2,FALSE)-VLOOKUP($C5,Crowd!$B$2:$H$65,2,FALSE))*VLOOKUP($C5,Avg!$C$2:$I$69,2,FALSE)</f>
        <v>0.37614992843800599</v>
      </c>
      <c r="E5" s="12">
        <f>(10+20)*(VLOOKUP($C5,Avg!$C$2:$I$69,3,FALSE)-VLOOKUP($C5,Crowd!$B$2:$H$65,3,FALSE))*VLOOKUP($C5,Avg!$C$2:$I$69,3,FALSE)</f>
        <v>0.68509533040464321</v>
      </c>
      <c r="F5" s="7">
        <f>(10+20+40)*(VLOOKUP($C5,Avg!$C$2:$I$69,4,FALSE)-VLOOKUP($C5,Crowd!$B$2:$H$65,4,FALSE))*VLOOKUP($C5,Avg!$C$2:$I$69,4,FALSE)</f>
        <v>0.17052488068113542</v>
      </c>
      <c r="G5" s="7">
        <f>VLOOKUP($C5,Avg!$C$2:$I$69,5,FALSE)-VLOOKUP($C5,Crowd!$B$2:$H$65,5,FALSE)</f>
        <v>1.4509879116152109E-2</v>
      </c>
      <c r="H5" s="7">
        <f>(10+20+40+80+160)*(VLOOKUP($C5,Avg!$C$2:$I$69,6,FALSE)-VLOOKUP($C5,Crowd!$B$2:$H$65,6,FALSE))*VLOOKUP($C5,Avg!$C$2:$I$69,6,FALSE)</f>
        <v>1.4418380772058998E-2</v>
      </c>
      <c r="I5" s="7">
        <f>(10+20+40+80+160+320)*(VLOOKUP($C5,Avg!$C$2:$I$69,7,FALSE)-VLOOKUP($C5,Crowd!$B$2:$H$65,7,FALSE))*VLOOKUP($C5,Avg!$C$2:$I$69,7,FALSE)</f>
        <v>8.2730476048333643E-3</v>
      </c>
    </row>
    <row r="6" spans="1:9" ht="16" x14ac:dyDescent="0.2">
      <c r="A6" s="11">
        <v>12</v>
      </c>
      <c r="B6" s="11" t="s">
        <v>24</v>
      </c>
      <c r="C6" s="11" t="s">
        <v>61</v>
      </c>
      <c r="D6" s="12">
        <f>10*(VLOOKUP($C6,Avg!$C$2:$I$69,2,FALSE)-VLOOKUP($C6,Crowd!$B$2:$H$65,2,FALSE))*VLOOKUP($C6,Avg!$C$2:$I$69,2,FALSE)</f>
        <v>0.32586696566642515</v>
      </c>
      <c r="E6" s="12">
        <f>(10+20)*(VLOOKUP($C6,Avg!$C$2:$I$69,3,FALSE)-VLOOKUP($C6,Crowd!$B$2:$H$65,3,FALSE))*VLOOKUP($C6,Avg!$C$2:$I$69,3,FALSE)</f>
        <v>0.13234024128506522</v>
      </c>
      <c r="F6" s="7">
        <f>(10+20+40)*(VLOOKUP($C6,Avg!$C$2:$I$69,4,FALSE)-VLOOKUP($C6,Crowd!$B$2:$H$65,4,FALSE))*VLOOKUP($C6,Avg!$C$2:$I$69,4,FALSE)</f>
        <v>4.0872029817669707E-2</v>
      </c>
      <c r="G6" s="7">
        <f>VLOOKUP($C6,Avg!$C$2:$I$69,5,FALSE)-VLOOKUP($C6,Crowd!$B$2:$H$65,5,FALSE)</f>
        <v>3.084032792305411E-3</v>
      </c>
      <c r="H6" s="7">
        <f>(10+20+40+80+160)*(VLOOKUP($C6,Avg!$C$2:$I$69,6,FALSE)-VLOOKUP($C6,Crowd!$B$2:$H$65,6,FALSE))*VLOOKUP($C6,Avg!$C$2:$I$69,6,FALSE)</f>
        <v>3.8863396284249976E-6</v>
      </c>
      <c r="I6" s="7">
        <f>(10+20+40+80+160+320)*(VLOOKUP($C6,Avg!$C$2:$I$69,7,FALSE)-VLOOKUP($C6,Crowd!$B$2:$H$65,7,FALSE))*VLOOKUP($C6,Avg!$C$2:$I$69,7,FALSE)</f>
        <v>-1.5170488902150882E-4</v>
      </c>
    </row>
    <row r="7" spans="1:9" ht="16" x14ac:dyDescent="0.2">
      <c r="A7" s="11">
        <v>5</v>
      </c>
      <c r="B7" s="11" t="s">
        <v>18</v>
      </c>
      <c r="C7" s="11" t="s">
        <v>31</v>
      </c>
      <c r="D7" s="12">
        <f>10*(VLOOKUP($C7,Avg!$C$2:$I$69,2,FALSE)-VLOOKUP($C7,Crowd!$B$2:$H$65,2,FALSE))*VLOOKUP($C7,Avg!$C$2:$I$69,2,FALSE)</f>
        <v>0.28854776585298159</v>
      </c>
      <c r="E7" s="12">
        <f>(10+20)*(VLOOKUP($C7,Avg!$C$2:$I$69,3,FALSE)-VLOOKUP($C7,Crowd!$B$2:$H$65,3,FALSE))*VLOOKUP($C7,Avg!$C$2:$I$69,3,FALSE)</f>
        <v>0.82656303103910023</v>
      </c>
      <c r="F7" s="7">
        <f>(10+20+40)*(VLOOKUP($C7,Avg!$C$2:$I$69,4,FALSE)-VLOOKUP($C7,Crowd!$B$2:$H$65,4,FALSE))*VLOOKUP($C7,Avg!$C$2:$I$69,4,FALSE)</f>
        <v>0.84468500321056295</v>
      </c>
      <c r="G7" s="7">
        <f>VLOOKUP($C7,Avg!$C$2:$I$69,5,FALSE)-VLOOKUP($C7,Crowd!$B$2:$H$65,5,FALSE)</f>
        <v>4.4055003077424576E-2</v>
      </c>
      <c r="H7" s="7">
        <f>(10+20+40+80+160)*(VLOOKUP($C7,Avg!$C$2:$I$69,6,FALSE)-VLOOKUP($C7,Crowd!$B$2:$H$65,6,FALSE))*VLOOKUP($C7,Avg!$C$2:$I$69,6,FALSE)</f>
        <v>0.21665772863329685</v>
      </c>
      <c r="I7" s="7">
        <f>(10+20+40+80+160+320)*(VLOOKUP($C7,Avg!$C$2:$I$69,7,FALSE)-VLOOKUP($C7,Crowd!$B$2:$H$65,7,FALSE))*VLOOKUP($C7,Avg!$C$2:$I$69,7,FALSE)</f>
        <v>0.17385004240840871</v>
      </c>
    </row>
    <row r="8" spans="1:9" ht="16" x14ac:dyDescent="0.2">
      <c r="A8" s="11">
        <v>8</v>
      </c>
      <c r="B8" s="11" t="s">
        <v>22</v>
      </c>
      <c r="C8" s="11" t="s">
        <v>48</v>
      </c>
      <c r="D8" s="12">
        <f>10*(VLOOKUP($C8,Avg!$C$2:$I$69,2,FALSE)-VLOOKUP($C8,Crowd!$B$2:$H$65,2,FALSE))*VLOOKUP($C8,Avg!$C$2:$I$69,2,FALSE)</f>
        <v>0.24601958437706359</v>
      </c>
      <c r="E8" s="12">
        <f>(10+20)*(VLOOKUP($C8,Avg!$C$2:$I$69,3,FALSE)-VLOOKUP($C8,Crowd!$B$2:$H$65,3,FALSE))*VLOOKUP($C8,Avg!$C$2:$I$69,3,FALSE)</f>
        <v>0.30398565117706594</v>
      </c>
      <c r="F8" s="7">
        <f>(10+20+40)*(VLOOKUP($C8,Avg!$C$2:$I$69,4,FALSE)-VLOOKUP($C8,Crowd!$B$2:$H$65,4,FALSE))*VLOOKUP($C8,Avg!$C$2:$I$69,4,FALSE)</f>
        <v>3.3734729529497784E-2</v>
      </c>
      <c r="G8" s="7">
        <f>VLOOKUP($C8,Avg!$C$2:$I$69,5,FALSE)-VLOOKUP($C8,Crowd!$B$2:$H$65,5,FALSE)</f>
        <v>2.5808375583755497E-3</v>
      </c>
      <c r="H8" s="7">
        <f>(10+20+40+80+160)*(VLOOKUP($C8,Avg!$C$2:$I$69,6,FALSE)-VLOOKUP($C8,Crowd!$B$2:$H$65,6,FALSE))*VLOOKUP($C8,Avg!$C$2:$I$69,6,FALSE)</f>
        <v>5.8882967915081417E-4</v>
      </c>
      <c r="I8" s="7">
        <f>(10+20+40+80+160+320)*(VLOOKUP($C8,Avg!$C$2:$I$69,7,FALSE)-VLOOKUP($C8,Crowd!$B$2:$H$65,7,FALSE))*VLOOKUP($C8,Avg!$C$2:$I$69,7,FALSE)</f>
        <v>-6.2170807786112467E-4</v>
      </c>
    </row>
    <row r="9" spans="1:9" ht="16" x14ac:dyDescent="0.2">
      <c r="A9" s="11">
        <v>1</v>
      </c>
      <c r="B9" s="11" t="s">
        <v>20</v>
      </c>
      <c r="C9" s="11" t="s">
        <v>19</v>
      </c>
      <c r="D9" s="12">
        <f>10*(VLOOKUP($C9,Avg!$C$2:$I$69,2,FALSE)-VLOOKUP($C9,Crowd!$B$2:$H$65,2,FALSE))*VLOOKUP($C9,Avg!$C$2:$I$69,2,FALSE)</f>
        <v>0.24198262268052637</v>
      </c>
      <c r="E9" s="12">
        <f>(10+20)*(VLOOKUP($C9,Avg!$C$2:$I$69,3,FALSE)-VLOOKUP($C9,Crowd!$B$2:$H$65,3,FALSE))*VLOOKUP($C9,Avg!$C$2:$I$69,3,FALSE)</f>
        <v>0.2729341698884713</v>
      </c>
      <c r="F9" s="12">
        <f>(10+20+40)*(VLOOKUP($C9,Avg!$C$2:$I$69,4,FALSE)-VLOOKUP($C9,Crowd!$B$2:$H$65,4,FALSE))*VLOOKUP($C9,Avg!$C$2:$I$69,4,FALSE)</f>
        <v>4.8153957633801463</v>
      </c>
      <c r="G9" s="12">
        <f>VLOOKUP($C9,Avg!$C$2:$I$69,5,FALSE)-VLOOKUP($C9,Crowd!$B$2:$H$65,5,FALSE)</f>
        <v>0.28495040738580413</v>
      </c>
      <c r="H9" s="12">
        <f>(10+20+40+80+160)*(VLOOKUP($C9,Avg!$C$2:$I$69,6,FALSE)-VLOOKUP($C9,Crowd!$B$2:$H$65,6,FALSE))*VLOOKUP($C9,Avg!$C$2:$I$69,6,FALSE)</f>
        <v>9.2798402706608876</v>
      </c>
      <c r="I9" s="12">
        <f>(10+20+40+80+160+320)*(VLOOKUP($C9,Avg!$C$2:$I$69,7,FALSE)-VLOOKUP($C9,Crowd!$B$2:$H$65,7,FALSE))*VLOOKUP($C9,Avg!$C$2:$I$69,7,FALSE)</f>
        <v>27.294728042716724</v>
      </c>
    </row>
    <row r="10" spans="1:9" ht="16" x14ac:dyDescent="0.2">
      <c r="A10" s="11">
        <v>4</v>
      </c>
      <c r="B10" s="11" t="s">
        <v>20</v>
      </c>
      <c r="C10" s="11" t="s">
        <v>29</v>
      </c>
      <c r="D10" s="12">
        <f>10*(VLOOKUP($C10,Avg!$C$2:$I$69,2,FALSE)-VLOOKUP($C10,Crowd!$B$2:$H$65,2,FALSE))*VLOOKUP($C10,Avg!$C$2:$I$69,2,FALSE)</f>
        <v>0.18397303581390689</v>
      </c>
      <c r="E10" s="12">
        <f>(10+20)*(VLOOKUP($C10,Avg!$C$2:$I$69,3,FALSE)-VLOOKUP($C10,Crowd!$B$2:$H$65,3,FALSE))*VLOOKUP($C10,Avg!$C$2:$I$69,3,FALSE)</f>
        <v>3.5528817603901941</v>
      </c>
      <c r="F10" s="7">
        <f>(10+20+40)*(VLOOKUP($C10,Avg!$C$2:$I$69,4,FALSE)-VLOOKUP($C10,Crowd!$B$2:$H$65,4,FALSE))*VLOOKUP($C10,Avg!$C$2:$I$69,4,FALSE)</f>
        <v>0.76203354732896444</v>
      </c>
      <c r="G10" s="7">
        <f>VLOOKUP($C10,Avg!$C$2:$I$69,5,FALSE)-VLOOKUP($C10,Crowd!$B$2:$H$65,5,FALSE)</f>
        <v>5.5949459167015742E-2</v>
      </c>
      <c r="H10" s="7">
        <f>(10+20+40+80+160)*(VLOOKUP($C10,Avg!$C$2:$I$69,6,FALSE)-VLOOKUP($C10,Crowd!$B$2:$H$65,6,FALSE))*VLOOKUP($C10,Avg!$C$2:$I$69,6,FALSE)</f>
        <v>1.0187914281330959</v>
      </c>
      <c r="I10" s="7">
        <f>(10+20+40+80+160+320)*(VLOOKUP($C10,Avg!$C$2:$I$69,7,FALSE)-VLOOKUP($C10,Crowd!$B$2:$H$65,7,FALSE))*VLOOKUP($C10,Avg!$C$2:$I$69,7,FALSE)</f>
        <v>1.4833348833560334</v>
      </c>
    </row>
    <row r="11" spans="1:9" ht="16" x14ac:dyDescent="0.2">
      <c r="A11" s="11">
        <v>1</v>
      </c>
      <c r="B11" s="11" t="s">
        <v>24</v>
      </c>
      <c r="C11" s="11" t="s">
        <v>25</v>
      </c>
      <c r="D11" s="12">
        <f>10*(VLOOKUP($C11,Avg!$C$2:$I$69,2,FALSE)-VLOOKUP($C11,Crowd!$B$2:$H$65,2,FALSE))*VLOOKUP($C11,Avg!$C$2:$I$69,2,FALSE)</f>
        <v>0.14813562463040666</v>
      </c>
      <c r="E11" s="7">
        <f>(10+20)*(VLOOKUP($C11,Avg!$C$2:$I$69,3,FALSE)-VLOOKUP($C11,Crowd!$B$2:$H$65,3,FALSE))*VLOOKUP($C11,Avg!$C$2:$I$69,3,FALSE)</f>
        <v>-2.5148796322939151</v>
      </c>
      <c r="F11" s="7">
        <f>(10+20+40)*(VLOOKUP($C11,Avg!$C$2:$I$69,4,FALSE)-VLOOKUP($C11,Crowd!$B$2:$H$65,4,FALSE))*VLOOKUP($C11,Avg!$C$2:$I$69,4,FALSE)</f>
        <v>-7.1406443228009389</v>
      </c>
      <c r="G11" s="7">
        <f>VLOOKUP($C11,Avg!$C$2:$I$69,5,FALSE)-VLOOKUP($C11,Crowd!$B$2:$H$65,5,FALSE)</f>
        <v>0.10145012562327788</v>
      </c>
      <c r="H11" s="7">
        <f>(10+20+40+80+160)*(VLOOKUP($C11,Avg!$C$2:$I$69,6,FALSE)-VLOOKUP($C11,Crowd!$B$2:$H$65,6,FALSE))*VLOOKUP($C11,Avg!$C$2:$I$69,6,FALSE)</f>
        <v>-4.132336337411747</v>
      </c>
      <c r="I11" s="7">
        <f>(10+20+40+80+160+320)*(VLOOKUP($C11,Avg!$C$2:$I$69,7,FALSE)-VLOOKUP($C11,Crowd!$B$2:$H$65,7,FALSE))*VLOOKUP($C11,Avg!$C$2:$I$69,7,FALSE)</f>
        <v>-2.7599290092084829</v>
      </c>
    </row>
    <row r="12" spans="1:9" ht="16" x14ac:dyDescent="0.2">
      <c r="A12" s="11">
        <v>4</v>
      </c>
      <c r="B12" s="11" t="s">
        <v>18</v>
      </c>
      <c r="C12" s="11" t="s">
        <v>40</v>
      </c>
      <c r="D12" s="12">
        <f>10*(VLOOKUP($C12,Avg!$C$2:$I$69,2,FALSE)-VLOOKUP($C12,Crowd!$B$2:$H$65,2,FALSE))*VLOOKUP($C12,Avg!$C$2:$I$69,2,FALSE)</f>
        <v>9.4818935492715473E-2</v>
      </c>
      <c r="E12" s="7">
        <f>(10+20)*(VLOOKUP($C12,Avg!$C$2:$I$69,3,FALSE)-VLOOKUP($C12,Crowd!$B$2:$H$65,3,FALSE))*VLOOKUP($C12,Avg!$C$2:$I$69,3,FALSE)</f>
        <v>-0.36128941752567956</v>
      </c>
      <c r="F12" s="7">
        <f>(10+20+40)*(VLOOKUP($C12,Avg!$C$2:$I$69,4,FALSE)-VLOOKUP($C12,Crowd!$B$2:$H$65,4,FALSE))*VLOOKUP($C12,Avg!$C$2:$I$69,4,FALSE)</f>
        <v>0.59437843648212041</v>
      </c>
      <c r="G12" s="7">
        <f>VLOOKUP($C12,Avg!$C$2:$I$69,5,FALSE)-VLOOKUP($C12,Crowd!$B$2:$H$65,5,FALSE)</f>
        <v>3.5373051188487048E-2</v>
      </c>
      <c r="H12" s="7">
        <f>(10+20+40+80+160)*(VLOOKUP($C12,Avg!$C$2:$I$69,6,FALSE)-VLOOKUP($C12,Crowd!$B$2:$H$65,6,FALSE))*VLOOKUP($C12,Avg!$C$2:$I$69,6,FALSE)</f>
        <v>0.12066653204834391</v>
      </c>
      <c r="I12" s="7">
        <f>(10+20+40+80+160+320)*(VLOOKUP($C12,Avg!$C$2:$I$69,7,FALSE)-VLOOKUP($C12,Crowd!$B$2:$H$65,7,FALSE))*VLOOKUP($C12,Avg!$C$2:$I$69,7,FALSE)</f>
        <v>0.10705864611542033</v>
      </c>
    </row>
    <row r="13" spans="1:9" ht="16" x14ac:dyDescent="0.2">
      <c r="A13" s="11">
        <v>1</v>
      </c>
      <c r="B13" s="11" t="s">
        <v>18</v>
      </c>
      <c r="C13" s="11" t="s">
        <v>17</v>
      </c>
      <c r="D13" s="12">
        <f>10*(VLOOKUP($C13,Avg!$C$2:$I$69,2,FALSE)-VLOOKUP($C13,Crowd!$B$2:$H$65,2,FALSE))*VLOOKUP($C13,Avg!$C$2:$I$69,2,FALSE)</f>
        <v>9.0606345357825843E-2</v>
      </c>
      <c r="E13" s="12">
        <f>(10+20)*(VLOOKUP($C13,Avg!$C$2:$I$69,3,FALSE)-VLOOKUP($C13,Crowd!$B$2:$H$65,3,FALSE))*VLOOKUP($C13,Avg!$C$2:$I$69,3,FALSE)</f>
        <v>-2.5856224687010014</v>
      </c>
      <c r="F13" s="12">
        <f>(10+20+40)*(VLOOKUP($C13,Avg!$C$2:$I$69,4,FALSE)-VLOOKUP($C13,Crowd!$B$2:$H$65,4,FALSE))*VLOOKUP($C13,Avg!$C$2:$I$69,4,FALSE)</f>
        <v>-6.4273156645991341</v>
      </c>
      <c r="G13" s="12">
        <f>(10+20+40+80)*(VLOOKUP($C13,Avg!$C$2:$I$69,5,FALSE)-VLOOKUP($C13,Crowd!$B$2:$H$65,5,FALSE))*VLOOKUP($C13,Avg!$C$2:$I$69,5,FALSE)</f>
        <v>9.0820169622768177</v>
      </c>
      <c r="H13" s="12">
        <f>(10+20+40+80+160)*(VLOOKUP($C13,Avg!$C$2:$I$69,6,FALSE)-VLOOKUP($C13,Crowd!$B$2:$H$65,6,FALSE))*VLOOKUP($C13,Avg!$C$2:$I$69,6,FALSE)</f>
        <v>10.241906741250393</v>
      </c>
      <c r="I13" s="7">
        <f>(10+20+40+80+160+320)*(VLOOKUP($C13,Avg!$C$2:$I$69,7,FALSE)-VLOOKUP($C13,Crowd!$B$2:$H$65,7,FALSE))*VLOOKUP($C13,Avg!$C$2:$I$69,7,FALSE)</f>
        <v>-1.4138612855549848</v>
      </c>
    </row>
    <row r="14" spans="1:9" ht="16" x14ac:dyDescent="0.2">
      <c r="A14" s="11">
        <v>5</v>
      </c>
      <c r="B14" s="11" t="s">
        <v>22</v>
      </c>
      <c r="C14" s="11" t="s">
        <v>36</v>
      </c>
      <c r="D14" s="12">
        <f>10*(VLOOKUP($C14,Avg!$C$2:$I$69,2,FALSE)-VLOOKUP($C14,Crowd!$B$2:$H$65,2,FALSE))*VLOOKUP($C14,Avg!$C$2:$I$69,2,FALSE)</f>
        <v>6.968761477336638E-2</v>
      </c>
      <c r="E14" s="12">
        <f>(10+20)*(VLOOKUP($C14,Avg!$C$2:$I$69,3,FALSE)-VLOOKUP($C14,Crowd!$B$2:$H$65,3,FALSE))*VLOOKUP($C14,Avg!$C$2:$I$69,3,FALSE)</f>
        <v>0.11720153783742321</v>
      </c>
      <c r="F14" s="7">
        <f>(10+20+40)*(VLOOKUP($C14,Avg!$C$2:$I$69,4,FALSE)-VLOOKUP($C14,Crowd!$B$2:$H$65,4,FALSE))*VLOOKUP($C14,Avg!$C$2:$I$69,4,FALSE)</f>
        <v>0.75805245477742822</v>
      </c>
      <c r="G14" s="7">
        <f>VLOOKUP($C14,Avg!$C$2:$I$69,5,FALSE)-VLOOKUP($C14,Crowd!$B$2:$H$65,5,FALSE)</f>
        <v>3.488093328772552E-2</v>
      </c>
      <c r="H14" s="7">
        <f>(10+20+40+80+160)*(VLOOKUP($C14,Avg!$C$2:$I$69,6,FALSE)-VLOOKUP($C14,Crowd!$B$2:$H$65,6,FALSE))*VLOOKUP($C14,Avg!$C$2:$I$69,6,FALSE)</f>
        <v>0.27188635691418117</v>
      </c>
      <c r="I14" s="7">
        <f>(10+20+40+80+160+320)*(VLOOKUP($C14,Avg!$C$2:$I$69,7,FALSE)-VLOOKUP($C14,Crowd!$B$2:$H$65,7,FALSE))*VLOOKUP($C14,Avg!$C$2:$I$69,7,FALSE)</f>
        <v>0.10804883199566617</v>
      </c>
    </row>
    <row r="15" spans="1:9" ht="16" x14ac:dyDescent="0.2">
      <c r="A15" s="11">
        <v>11</v>
      </c>
      <c r="B15" s="11" t="s">
        <v>22</v>
      </c>
      <c r="C15" s="11" t="s">
        <v>51</v>
      </c>
      <c r="D15" s="7">
        <f>10*(VLOOKUP($C15,Avg!$C$2:$I$69,2,FALSE)-VLOOKUP($C15,Crowd!$B$2:$H$65,2,FALSE))*VLOOKUP($C15,Avg!$C$2:$I$69,2,FALSE)</f>
        <v>6.7556425144080751E-2</v>
      </c>
      <c r="E15" s="7">
        <f>(10+20)*(VLOOKUP($C15,Avg!$C$2:$I$69,3,FALSE)-VLOOKUP($C15,Crowd!$B$2:$H$65,3,FALSE))*VLOOKUP($C15,Avg!$C$2:$I$69,3,FALSE)</f>
        <v>9.4783537299194406E-2</v>
      </c>
      <c r="F15" s="7">
        <f>(10+20+40)*(VLOOKUP($C15,Avg!$C$2:$I$69,4,FALSE)-VLOOKUP($C15,Crowd!$B$2:$H$65,4,FALSE))*VLOOKUP($C15,Avg!$C$2:$I$69,4,FALSE)</f>
        <v>2.172563988840167E-2</v>
      </c>
      <c r="G15" s="7">
        <f>VLOOKUP($C15,Avg!$C$2:$I$69,5,FALSE)-VLOOKUP($C15,Crowd!$B$2:$H$65,5,FALSE)</f>
        <v>1.6948947418437702E-3</v>
      </c>
      <c r="H15" s="7">
        <f>(10+20+40+80+160)*(VLOOKUP($C15,Avg!$C$2:$I$69,6,FALSE)-VLOOKUP($C15,Crowd!$B$2:$H$65,6,FALSE))*VLOOKUP($C15,Avg!$C$2:$I$69,6,FALSE)</f>
        <v>2.1282935451138226E-4</v>
      </c>
      <c r="I15" s="7">
        <f>(10+20+40+80+160+320)*(VLOOKUP($C15,Avg!$C$2:$I$69,7,FALSE)-VLOOKUP($C15,Crowd!$B$2:$H$65,7,FALSE))*VLOOKUP($C15,Avg!$C$2:$I$69,7,FALSE)</f>
        <v>-1.5561020253910176E-4</v>
      </c>
    </row>
    <row r="16" spans="1:9" ht="16" x14ac:dyDescent="0.2">
      <c r="A16" s="11">
        <v>8</v>
      </c>
      <c r="B16" s="11" t="s">
        <v>24</v>
      </c>
      <c r="C16" s="11" t="s">
        <v>49</v>
      </c>
      <c r="D16" s="12">
        <f>10*(VLOOKUP($C16,Avg!$C$2:$I$69,2,FALSE)-VLOOKUP($C16,Crowd!$B$2:$H$65,2,FALSE))*VLOOKUP($C16,Avg!$C$2:$I$69,2,FALSE)</f>
        <v>6.6691561245835099E-2</v>
      </c>
      <c r="E16" s="12">
        <f>(10+20)*(VLOOKUP($C16,Avg!$C$2:$I$69,3,FALSE)-VLOOKUP($C16,Crowd!$B$2:$H$65,3,FALSE))*VLOOKUP($C16,Avg!$C$2:$I$69,3,FALSE)</f>
        <v>0.19540347767884839</v>
      </c>
      <c r="F16" s="7">
        <f>(10+20+40)*(VLOOKUP($C16,Avg!$C$2:$I$69,4,FALSE)-VLOOKUP($C16,Crowd!$B$2:$H$65,4,FALSE))*VLOOKUP($C16,Avg!$C$2:$I$69,4,FALSE)</f>
        <v>4.7953022869901496E-2</v>
      </c>
      <c r="G16" s="7">
        <f>VLOOKUP($C16,Avg!$C$2:$I$69,5,FALSE)-VLOOKUP($C16,Crowd!$B$2:$H$65,5,FALSE)</f>
        <v>3.3418067374236414E-3</v>
      </c>
      <c r="H16" s="7">
        <f>(10+20+40+80+160)*(VLOOKUP($C16,Avg!$C$2:$I$69,6,FALSE)-VLOOKUP($C16,Crowd!$B$2:$H$65,6,FALSE))*VLOOKUP($C16,Avg!$C$2:$I$69,6,FALSE)</f>
        <v>-2.9369285339423328E-4</v>
      </c>
      <c r="I16" s="7">
        <f>(10+20+40+80+160+320)*(VLOOKUP($C16,Avg!$C$2:$I$69,7,FALSE)-VLOOKUP($C16,Crowd!$B$2:$H$65,7,FALSE))*VLOOKUP($C16,Avg!$C$2:$I$69,7,FALSE)</f>
        <v>-1.4143905988263944E-4</v>
      </c>
    </row>
    <row r="17" spans="1:9" ht="16" x14ac:dyDescent="0.2">
      <c r="A17" s="11">
        <v>2</v>
      </c>
      <c r="B17" s="11" t="s">
        <v>22</v>
      </c>
      <c r="C17" s="11" t="s">
        <v>27</v>
      </c>
      <c r="D17" s="12">
        <f>10*(VLOOKUP($C17,Avg!$C$2:$I$69,2,FALSE)-VLOOKUP($C17,Crowd!$B$2:$H$65,2,FALSE))*VLOOKUP($C17,Avg!$C$2:$I$69,2,FALSE)</f>
        <v>4.1362401048381611E-2</v>
      </c>
      <c r="E17" s="12">
        <f>(10+20)*(VLOOKUP($C17,Avg!$C$2:$I$69,3,FALSE)-VLOOKUP($C17,Crowd!$B$2:$H$65,3,FALSE))*VLOOKUP($C17,Avg!$C$2:$I$69,3,FALSE)</f>
        <v>-1.2723544437548493</v>
      </c>
      <c r="F17" s="12">
        <f>(10+20+40)*(VLOOKUP($C17,Avg!$C$2:$I$69,4,FALSE)-VLOOKUP($C17,Crowd!$B$2:$H$65,4,FALSE))*VLOOKUP($C17,Avg!$C$2:$I$69,4,FALSE)</f>
        <v>1.3394796756637815</v>
      </c>
      <c r="G17" s="7">
        <f>VLOOKUP($C17,Avg!$C$2:$I$69,5,FALSE)-VLOOKUP($C17,Crowd!$B$2:$H$65,5,FALSE)</f>
        <v>-2.3031524031897871E-2</v>
      </c>
      <c r="H17" s="7">
        <f>(10+20+40+80+160)*(VLOOKUP($C17,Avg!$C$2:$I$69,6,FALSE)-VLOOKUP($C17,Crowd!$B$2:$H$65,6,FALSE))*VLOOKUP($C17,Avg!$C$2:$I$69,6,FALSE)</f>
        <v>0.67121240298127638</v>
      </c>
      <c r="I17" s="7">
        <f>(10+20+40+80+160+320)*(VLOOKUP($C17,Avg!$C$2:$I$69,7,FALSE)-VLOOKUP($C17,Crowd!$B$2:$H$65,7,FALSE))*VLOOKUP($C17,Avg!$C$2:$I$69,7,FALSE)</f>
        <v>0.36746660625224808</v>
      </c>
    </row>
    <row r="18" spans="1:9" ht="16" x14ac:dyDescent="0.2">
      <c r="A18" s="11">
        <v>2</v>
      </c>
      <c r="B18" s="11" t="s">
        <v>24</v>
      </c>
      <c r="C18" s="11" t="s">
        <v>23</v>
      </c>
      <c r="D18" s="12">
        <f>10*(VLOOKUP($C18,Avg!$C$2:$I$69,2,FALSE)-VLOOKUP($C18,Crowd!$B$2:$H$65,2,FALSE))*VLOOKUP($C18,Avg!$C$2:$I$69,2,FALSE)</f>
        <v>3.7922113831044366E-2</v>
      </c>
      <c r="E18" s="12">
        <f>(10+20)*(VLOOKUP($C18,Avg!$C$2:$I$69,3,FALSE)-VLOOKUP($C18,Crowd!$B$2:$H$65,3,FALSE))*VLOOKUP($C18,Avg!$C$2:$I$69,3,FALSE)</f>
        <v>-3.7988336911439697</v>
      </c>
      <c r="F18" s="12">
        <f>(10+20+40)*(VLOOKUP($C18,Avg!$C$2:$I$69,4,FALSE)-VLOOKUP($C18,Crowd!$B$2:$H$65,4,FALSE))*VLOOKUP($C18,Avg!$C$2:$I$69,4,FALSE)</f>
        <v>2.0707783772197161</v>
      </c>
      <c r="G18" s="7">
        <f>VLOOKUP($C18,Avg!$C$2:$I$69,5,FALSE)-VLOOKUP($C18,Crowd!$B$2:$H$65,5,FALSE)</f>
        <v>-4.5001451732867209E-2</v>
      </c>
      <c r="H18" s="7">
        <f>(10+20+40+80+160)*(VLOOKUP($C18,Avg!$C$2:$I$69,6,FALSE)-VLOOKUP($C18,Crowd!$B$2:$H$65,6,FALSE))*VLOOKUP($C18,Avg!$C$2:$I$69,6,FALSE)</f>
        <v>-0.89244479137052735</v>
      </c>
      <c r="I18" s="7">
        <f>(10+20+40+80+160+320)*(VLOOKUP($C18,Avg!$C$2:$I$69,7,FALSE)-VLOOKUP($C18,Crowd!$B$2:$H$65,7,FALSE))*VLOOKUP($C18,Avg!$C$2:$I$69,7,FALSE)</f>
        <v>-0.62488744766275639</v>
      </c>
    </row>
    <row r="19" spans="1:9" ht="16" x14ac:dyDescent="0.2">
      <c r="A19" s="11">
        <v>13</v>
      </c>
      <c r="B19" s="11" t="s">
        <v>22</v>
      </c>
      <c r="C19" s="11" t="s">
        <v>71</v>
      </c>
      <c r="D19" s="12">
        <f>10*(VLOOKUP($C19,Avg!$C$2:$I$69,2,FALSE)-VLOOKUP($C19,Crowd!$B$2:$H$65,2,FALSE))*VLOOKUP($C19,Avg!$C$2:$I$69,2,FALSE)</f>
        <v>2.9196316178427894E-2</v>
      </c>
      <c r="E19" s="7">
        <f>(10+20)*(VLOOKUP($C19,Avg!$C$2:$I$69,3,FALSE)-VLOOKUP($C19,Crowd!$B$2:$H$65,3,FALSE))*VLOOKUP($C19,Avg!$C$2:$I$69,3,FALSE)</f>
        <v>-2.7619262385460861E-3</v>
      </c>
      <c r="F19" s="7">
        <f>(10+20+40)*(VLOOKUP($C19,Avg!$C$2:$I$69,4,FALSE)-VLOOKUP($C19,Crowd!$B$2:$H$65,4,FALSE))*VLOOKUP($C19,Avg!$C$2:$I$69,4,FALSE)</f>
        <v>-9.319630760687629E-4</v>
      </c>
      <c r="G19" s="7">
        <f>VLOOKUP($C19,Avg!$C$2:$I$69,5,FALSE)-VLOOKUP($C19,Crowd!$B$2:$H$65,5,FALSE)</f>
        <v>-2.7557075628557482E-3</v>
      </c>
      <c r="H19" s="7">
        <f>(10+20+40+80+160)*(VLOOKUP($C19,Avg!$C$2:$I$69,6,FALSE)-VLOOKUP($C19,Crowd!$B$2:$H$65,6,FALSE))*VLOOKUP($C19,Avg!$C$2:$I$69,6,FALSE)</f>
        <v>-6.6137293705249351E-5</v>
      </c>
      <c r="I19" s="7">
        <f>(10+20+40+80+160+320)*(VLOOKUP($C19,Avg!$C$2:$I$69,7,FALSE)-VLOOKUP($C19,Crowd!$B$2:$H$65,7,FALSE))*VLOOKUP($C19,Avg!$C$2:$I$69,7,FALSE)</f>
        <v>-3.4835059787984345E-5</v>
      </c>
    </row>
    <row r="20" spans="1:9" ht="16" x14ac:dyDescent="0.2">
      <c r="A20" s="11">
        <v>12</v>
      </c>
      <c r="B20" s="11" t="s">
        <v>20</v>
      </c>
      <c r="C20" s="11" t="s">
        <v>68</v>
      </c>
      <c r="D20" s="7">
        <f>10*(VLOOKUP($C20,Avg!$C$2:$I$69,2,FALSE)-VLOOKUP($C20,Crowd!$B$2:$H$65,2,FALSE))*VLOOKUP($C20,Avg!$C$2:$I$69,2,FALSE)</f>
        <v>2.3408389979629896E-2</v>
      </c>
      <c r="E20" s="7">
        <f>(10+20)*(VLOOKUP($C20,Avg!$C$2:$I$69,3,FALSE)-VLOOKUP($C20,Crowd!$B$2:$H$65,3,FALSE))*VLOOKUP($C20,Avg!$C$2:$I$69,3,FALSE)</f>
        <v>-6.4419323595585531E-3</v>
      </c>
      <c r="F20" s="7">
        <f>(10+20+40)*(VLOOKUP($C20,Avg!$C$2:$I$69,4,FALSE)-VLOOKUP($C20,Crowd!$B$2:$H$65,4,FALSE))*VLOOKUP($C20,Avg!$C$2:$I$69,4,FALSE)</f>
        <v>-2.1111647643947047E-3</v>
      </c>
      <c r="G20" s="7">
        <f>VLOOKUP($C20,Avg!$C$2:$I$69,5,FALSE)-VLOOKUP($C20,Crowd!$B$2:$H$65,5,FALSE)</f>
        <v>-2.647243525132752E-3</v>
      </c>
      <c r="H20" s="7">
        <f>(10+20+40+80+160)*(VLOOKUP($C20,Avg!$C$2:$I$69,6,FALSE)-VLOOKUP($C20,Crowd!$B$2:$H$65,6,FALSE))*VLOOKUP($C20,Avg!$C$2:$I$69,6,FALSE)</f>
        <v>-1.6945421387664798E-4</v>
      </c>
      <c r="I20" s="7">
        <f>(10+20+40+80+160+320)*(VLOOKUP($C20,Avg!$C$2:$I$69,7,FALSE)-VLOOKUP($C20,Crowd!$B$2:$H$65,7,FALSE))*VLOOKUP($C20,Avg!$C$2:$I$69,7,FALSE)</f>
        <v>-4.0305232214616515E-5</v>
      </c>
    </row>
    <row r="21" spans="1:9" ht="16" x14ac:dyDescent="0.2">
      <c r="A21" s="11">
        <v>13</v>
      </c>
      <c r="B21" s="11" t="s">
        <v>24</v>
      </c>
      <c r="C21" s="11" t="s">
        <v>74</v>
      </c>
      <c r="D21" s="7">
        <f>10*(VLOOKUP($C21,Avg!$C$2:$I$69,2,FALSE)-VLOOKUP($C21,Crowd!$B$2:$H$65,2,FALSE))*VLOOKUP($C21,Avg!$C$2:$I$69,2,FALSE)</f>
        <v>1.0497795609111701E-2</v>
      </c>
      <c r="E21" s="7">
        <f>(10+20)*(VLOOKUP($C21,Avg!$C$2:$I$69,3,FALSE)-VLOOKUP($C21,Crowd!$B$2:$H$65,3,FALSE))*VLOOKUP($C21,Avg!$C$2:$I$69,3,FALSE)</f>
        <v>-4.930707585621392E-3</v>
      </c>
      <c r="F21" s="7">
        <f>(10+20+40)*(VLOOKUP($C21,Avg!$C$2:$I$69,4,FALSE)-VLOOKUP($C21,Crowd!$B$2:$H$65,4,FALSE))*VLOOKUP($C21,Avg!$C$2:$I$69,4,FALSE)</f>
        <v>-7.2598300235719672E-4</v>
      </c>
      <c r="G21" s="7">
        <f>VLOOKUP($C21,Avg!$C$2:$I$69,5,FALSE)-VLOOKUP($C21,Crowd!$B$2:$H$65,5,FALSE)</f>
        <v>-2.8039383344328535E-3</v>
      </c>
      <c r="H21" s="7">
        <f>(10+20+40+80+160)*(VLOOKUP($C21,Avg!$C$2:$I$69,6,FALSE)-VLOOKUP($C21,Crowd!$B$2:$H$65,6,FALSE))*VLOOKUP($C21,Avg!$C$2:$I$69,6,FALSE)</f>
        <v>-8.3483861990341329E-6</v>
      </c>
      <c r="I21" s="7">
        <f>(10+20+40+80+160+320)*(VLOOKUP($C21,Avg!$C$2:$I$69,7,FALSE)-VLOOKUP($C21,Crowd!$B$2:$H$65,7,FALSE))*VLOOKUP($C21,Avg!$C$2:$I$69,7,FALSE)</f>
        <v>-2.9852626897335243E-6</v>
      </c>
    </row>
    <row r="22" spans="1:9" ht="16" x14ac:dyDescent="0.2">
      <c r="A22" s="11">
        <v>14</v>
      </c>
      <c r="B22" s="11" t="s">
        <v>22</v>
      </c>
      <c r="C22" s="11" t="s">
        <v>77</v>
      </c>
      <c r="D22" s="7">
        <f>10*(VLOOKUP($C22,Avg!$C$2:$I$69,2,FALSE)-VLOOKUP($C22,Crowd!$B$2:$H$65,2,FALSE))*VLOOKUP($C22,Avg!$C$2:$I$69,2,FALSE)</f>
        <v>8.8753621193398517E-3</v>
      </c>
      <c r="E22" s="7">
        <f>(10+20)*(VLOOKUP($C22,Avg!$C$2:$I$69,3,FALSE)-VLOOKUP($C22,Crowd!$B$2:$H$65,3,FALSE))*VLOOKUP($C22,Avg!$C$2:$I$69,3,FALSE)</f>
        <v>-4.2728433093786114E-3</v>
      </c>
      <c r="F22" s="7">
        <f>(10+20+40)*(VLOOKUP($C22,Avg!$C$2:$I$69,4,FALSE)-VLOOKUP($C22,Crowd!$B$2:$H$65,4,FALSE))*VLOOKUP($C22,Avg!$C$2:$I$69,4,FALSE)</f>
        <v>-3.4529566932704639E-4</v>
      </c>
      <c r="G22" s="7">
        <f>VLOOKUP($C22,Avg!$C$2:$I$69,5,FALSE)-VLOOKUP($C22,Crowd!$B$2:$H$65,5,FALSE)</f>
        <v>-1.8925654542115637E-3</v>
      </c>
      <c r="H22" s="7">
        <f>(10+20+40+80+160)*(VLOOKUP($C22,Avg!$C$2:$I$69,6,FALSE)-VLOOKUP($C22,Crowd!$B$2:$H$65,6,FALSE))*VLOOKUP($C22,Avg!$C$2:$I$69,6,FALSE)</f>
        <v>-3.3946932311354943E-6</v>
      </c>
      <c r="I22" s="7">
        <f>(10+20+40+80+160+320)*(VLOOKUP($C22,Avg!$C$2:$I$69,7,FALSE)-VLOOKUP($C22,Crowd!$B$2:$H$65,7,FALSE))*VLOOKUP($C22,Avg!$C$2:$I$69,7,FALSE)</f>
        <v>5.802741815957101E-10</v>
      </c>
    </row>
    <row r="23" spans="1:9" ht="16" x14ac:dyDescent="0.2">
      <c r="A23" s="11">
        <v>14</v>
      </c>
      <c r="B23" s="11" t="s">
        <v>24</v>
      </c>
      <c r="C23" s="11" t="s">
        <v>78</v>
      </c>
      <c r="D23" s="12">
        <f>10*(VLOOKUP($C23,Avg!$C$2:$I$69,2,FALSE)-VLOOKUP($C23,Crowd!$B$2:$H$65,2,FALSE))*VLOOKUP($C23,Avg!$C$2:$I$69,2,FALSE)</f>
        <v>4.7939539831566361E-3</v>
      </c>
      <c r="E23" s="7">
        <f>(10+20)*(VLOOKUP($C23,Avg!$C$2:$I$69,3,FALSE)-VLOOKUP($C23,Crowd!$B$2:$H$65,3,FALSE))*VLOOKUP($C23,Avg!$C$2:$I$69,3,FALSE)</f>
        <v>-3.1079252142631525E-3</v>
      </c>
      <c r="F23" s="7">
        <f>(10+20+40)*(VLOOKUP($C23,Avg!$C$2:$I$69,4,FALSE)-VLOOKUP($C23,Crowd!$B$2:$H$65,4,FALSE))*VLOOKUP($C23,Avg!$C$2:$I$69,4,FALSE)</f>
        <v>-1.4204984827173602E-4</v>
      </c>
      <c r="G23" s="7">
        <f>VLOOKUP($C23,Avg!$C$2:$I$69,5,FALSE)-VLOOKUP($C23,Crowd!$B$2:$H$65,5,FALSE)</f>
        <v>-2.9697323501565592E-3</v>
      </c>
      <c r="H23" s="7">
        <f>(10+20+40+80+160)*(VLOOKUP($C23,Avg!$C$2:$I$69,6,FALSE)-VLOOKUP($C23,Crowd!$B$2:$H$65,6,FALSE))*VLOOKUP($C23,Avg!$C$2:$I$69,6,FALSE)</f>
        <v>-9.45185051739519E-7</v>
      </c>
      <c r="I23" s="7">
        <f>(10+20+40+80+160+320)*(VLOOKUP($C23,Avg!$C$2:$I$69,7,FALSE)-VLOOKUP($C23,Crowd!$B$2:$H$65,7,FALSE))*VLOOKUP($C23,Avg!$C$2:$I$69,7,FALSE)</f>
        <v>-2.558343209936709E-7</v>
      </c>
    </row>
    <row r="24" spans="1:9" ht="16" x14ac:dyDescent="0.2">
      <c r="A24" s="11">
        <v>15</v>
      </c>
      <c r="B24" s="11" t="s">
        <v>18</v>
      </c>
      <c r="C24" s="11" t="s">
        <v>79</v>
      </c>
      <c r="D24" s="7">
        <f>10*(VLOOKUP($C24,Avg!$C$2:$I$69,2,FALSE)-VLOOKUP($C24,Crowd!$B$2:$H$65,2,FALSE))*VLOOKUP($C24,Avg!$C$2:$I$69,2,FALSE)</f>
        <v>-4.9472333410267692E-4</v>
      </c>
      <c r="E24" s="7">
        <f>(10+20)*(VLOOKUP($C24,Avg!$C$2:$I$69,3,FALSE)-VLOOKUP($C24,Crowd!$B$2:$H$65,3,FALSE))*VLOOKUP($C24,Avg!$C$2:$I$69,3,FALSE)</f>
        <v>-2.2940880267446578E-3</v>
      </c>
      <c r="F24" s="7">
        <f>(10+20+40)*(VLOOKUP($C24,Avg!$C$2:$I$69,4,FALSE)-VLOOKUP($C24,Crowd!$B$2:$H$65,4,FALSE))*VLOOKUP($C24,Avg!$C$2:$I$69,4,FALSE)</f>
        <v>-5.1429283363715514E-4</v>
      </c>
      <c r="G24" s="7">
        <f>VLOOKUP($C24,Avg!$C$2:$I$69,5,FALSE)-VLOOKUP($C24,Crowd!$B$2:$H$65,5,FALSE)</f>
        <v>-2.9417644175232264E-3</v>
      </c>
      <c r="H24" s="7">
        <f>(10+20+40+80+160)*(VLOOKUP($C24,Avg!$C$2:$I$69,6,FALSE)-VLOOKUP($C24,Crowd!$B$2:$H$65,6,FALSE))*VLOOKUP($C24,Avg!$C$2:$I$69,6,FALSE)</f>
        <v>-3.8667076304596787E-7</v>
      </c>
      <c r="I24" s="7">
        <f>(10+20+40+80+160+320)*(VLOOKUP($C24,Avg!$C$2:$I$69,7,FALSE)-VLOOKUP($C24,Crowd!$B$2:$H$65,7,FALSE))*VLOOKUP($C24,Avg!$C$2:$I$69,7,FALSE)</f>
        <v>-1.1422224090739948E-7</v>
      </c>
    </row>
    <row r="25" spans="1:9" ht="16" x14ac:dyDescent="0.2">
      <c r="A25" s="11">
        <v>15</v>
      </c>
      <c r="B25" s="11" t="s">
        <v>20</v>
      </c>
      <c r="C25" s="11" t="s">
        <v>82</v>
      </c>
      <c r="D25" s="7">
        <f>10*(VLOOKUP($C25,Avg!$C$2:$I$69,2,FALSE)-VLOOKUP($C25,Crowd!$B$2:$H$65,2,FALSE))*VLOOKUP($C25,Avg!$C$2:$I$69,2,FALSE)</f>
        <v>-8.5620782386132941E-4</v>
      </c>
      <c r="E25" s="7">
        <f>(10+20)*(VLOOKUP($C25,Avg!$C$2:$I$69,3,FALSE)-VLOOKUP($C25,Crowd!$B$2:$H$65,3,FALSE))*VLOOKUP($C25,Avg!$C$2:$I$69,3,FALSE)</f>
        <v>-2.0207957127943241E-3</v>
      </c>
      <c r="F25" s="7">
        <f>(10+20+40)*(VLOOKUP($C25,Avg!$C$2:$I$69,4,FALSE)-VLOOKUP($C25,Crowd!$B$2:$H$65,4,FALSE))*VLOOKUP($C25,Avg!$C$2:$I$69,4,FALSE)</f>
        <v>-3.4047265314637425E-4</v>
      </c>
      <c r="G25" s="7">
        <f>VLOOKUP($C25,Avg!$C$2:$I$69,5,FALSE)-VLOOKUP($C25,Crowd!$B$2:$H$65,5,FALSE)</f>
        <v>-2.9815989611400801E-3</v>
      </c>
      <c r="H25" s="7">
        <f>(10+20+40+80+160)*(VLOOKUP($C25,Avg!$C$2:$I$69,6,FALSE)-VLOOKUP($C25,Crowd!$B$2:$H$65,6,FALSE))*VLOOKUP($C25,Avg!$C$2:$I$69,6,FALSE)</f>
        <v>-7.510205071717345E-7</v>
      </c>
      <c r="I25" s="7">
        <f>(10+20+40+80+160+320)*(VLOOKUP($C25,Avg!$C$2:$I$69,7,FALSE)-VLOOKUP($C25,Crowd!$B$2:$H$65,7,FALSE))*VLOOKUP($C25,Avg!$C$2:$I$69,7,FALSE)</f>
        <v>-1.0063698460973064E-7</v>
      </c>
    </row>
    <row r="26" spans="1:9" ht="16" x14ac:dyDescent="0.2">
      <c r="A26" s="11">
        <v>15</v>
      </c>
      <c r="B26" s="11" t="s">
        <v>24</v>
      </c>
      <c r="C26" s="11" t="s">
        <v>80</v>
      </c>
      <c r="D26" s="7">
        <f>10*(VLOOKUP($C26,Avg!$C$2:$I$69,2,FALSE)-VLOOKUP($C26,Crowd!$B$2:$H$65,2,FALSE))*VLOOKUP($C26,Avg!$C$2:$I$69,2,FALSE)</f>
        <v>-1.297302131777941E-3</v>
      </c>
      <c r="E26" s="7">
        <f>(10+20)*(VLOOKUP($C26,Avg!$C$2:$I$69,3,FALSE)-VLOOKUP($C26,Crowd!$B$2:$H$65,3,FALSE))*VLOOKUP($C26,Avg!$C$2:$I$69,3,FALSE)</f>
        <v>-1.2326428036164231E-3</v>
      </c>
      <c r="F26" s="7">
        <f>(10+20+40)*(VLOOKUP($C26,Avg!$C$2:$I$69,4,FALSE)-VLOOKUP($C26,Crowd!$B$2:$H$65,4,FALSE))*VLOOKUP($C26,Avg!$C$2:$I$69,4,FALSE)</f>
        <v>-1.7755273608523008E-4</v>
      </c>
      <c r="G26" s="7">
        <f>VLOOKUP($C26,Avg!$C$2:$I$69,5,FALSE)-VLOOKUP($C26,Crowd!$B$2:$H$65,5,FALSE)</f>
        <v>-2.9810995000004283E-3</v>
      </c>
      <c r="H26" s="7">
        <f>(10+20+40+80+160)*(VLOOKUP($C26,Avg!$C$2:$I$69,6,FALSE)-VLOOKUP($C26,Crowd!$B$2:$H$65,6,FALSE))*VLOOKUP($C26,Avg!$C$2:$I$69,6,FALSE)</f>
        <v>-1.0065809620103264E-6</v>
      </c>
      <c r="I26" s="7">
        <f>(10+20+40+80+160+320)*(VLOOKUP($C26,Avg!$C$2:$I$69,7,FALSE)-VLOOKUP($C26,Crowd!$B$2:$H$65,7,FALSE))*VLOOKUP($C26,Avg!$C$2:$I$69,7,FALSE)</f>
        <v>-1.1339115133548763E-7</v>
      </c>
    </row>
    <row r="27" spans="1:9" ht="16" x14ac:dyDescent="0.2">
      <c r="A27" s="11">
        <v>16</v>
      </c>
      <c r="B27" s="11" t="s">
        <v>22</v>
      </c>
      <c r="C27" s="11" t="s">
        <v>86</v>
      </c>
      <c r="D27" s="7">
        <f>10*(VLOOKUP($C27,Avg!$C$2:$I$69,2,FALSE)-VLOOKUP($C27,Crowd!$B$2:$H$65,2,FALSE))*VLOOKUP($C27,Avg!$C$2:$I$69,2,FALSE)</f>
        <v>-1.2981812887007281E-3</v>
      </c>
      <c r="E27" s="7">
        <f>(10+20)*(VLOOKUP($C27,Avg!$C$2:$I$69,3,FALSE)-VLOOKUP($C27,Crowd!$B$2:$H$65,3,FALSE))*VLOOKUP($C27,Avg!$C$2:$I$69,3,FALSE)</f>
        <v>-2.3664109567862821E-4</v>
      </c>
      <c r="F27" s="7">
        <f>(10+20+40)*(VLOOKUP($C27,Avg!$C$2:$I$69,4,FALSE)-VLOOKUP($C27,Crowd!$B$2:$H$65,4,FALSE))*VLOOKUP($C27,Avg!$C$2:$I$69,4,FALSE)</f>
        <v>-9.4150105185545354E-6</v>
      </c>
      <c r="G27" s="7">
        <f>VLOOKUP($C27,Avg!$C$2:$I$69,5,FALSE)-VLOOKUP($C27,Crowd!$B$2:$H$65,5,FALSE)</f>
        <v>-5.9991284969409461E-3</v>
      </c>
      <c r="H27" s="7">
        <f>(10+20+40+80+160)*(VLOOKUP($C27,Avg!$C$2:$I$69,6,FALSE)-VLOOKUP($C27,Crowd!$B$2:$H$65,6,FALSE))*VLOOKUP($C27,Avg!$C$2:$I$69,6,FALSE)</f>
        <v>-7.6315276204758596E-8</v>
      </c>
      <c r="I27" s="7">
        <f>(10+20+40+80+160+320)*(VLOOKUP($C27,Avg!$C$2:$I$69,7,FALSE)-VLOOKUP($C27,Crowd!$B$2:$H$65,7,FALSE))*VLOOKUP($C27,Avg!$C$2:$I$69,7,FALSE)</f>
        <v>-8.555625058399466E-9</v>
      </c>
    </row>
    <row r="28" spans="1:9" ht="16" x14ac:dyDescent="0.2">
      <c r="A28" s="11">
        <v>16</v>
      </c>
      <c r="B28" s="11" t="s">
        <v>18</v>
      </c>
      <c r="C28" s="11" t="s">
        <v>88</v>
      </c>
      <c r="D28" s="7">
        <f>10*(VLOOKUP($C28,Avg!$C$2:$I$69,2,FALSE)-VLOOKUP($C28,Crowd!$B$2:$H$65,2,FALSE))*VLOOKUP($C28,Avg!$C$2:$I$69,2,FALSE)</f>
        <v>-1.5444546352225623E-3</v>
      </c>
      <c r="E28" s="7">
        <f>(10+20)*(VLOOKUP($C28,Avg!$C$2:$I$69,3,FALSE)-VLOOKUP($C28,Crowd!$B$2:$H$65,3,FALSE))*VLOOKUP($C28,Avg!$C$2:$I$69,3,FALSE)</f>
        <v>-3.9222737232336608E-4</v>
      </c>
      <c r="F28" s="7">
        <f>(10+20+40)*(VLOOKUP($C28,Avg!$C$2:$I$69,4,FALSE)-VLOOKUP($C28,Crowd!$B$2:$H$65,4,FALSE))*VLOOKUP($C28,Avg!$C$2:$I$69,4,FALSE)</f>
        <v>-4.7766138774762369E-5</v>
      </c>
      <c r="G28" s="7">
        <f>VLOOKUP($C28,Avg!$C$2:$I$69,5,FALSE)-VLOOKUP($C28,Crowd!$B$2:$H$65,5,FALSE)</f>
        <v>-5.9923149634267736E-3</v>
      </c>
      <c r="H28" s="7">
        <f>(10+20+40+80+160)*(VLOOKUP($C28,Avg!$C$2:$I$69,6,FALSE)-VLOOKUP($C28,Crowd!$B$2:$H$65,6,FALSE))*VLOOKUP($C28,Avg!$C$2:$I$69,6,FALSE)</f>
        <v>-1.9856107291475998E-8</v>
      </c>
      <c r="I28" s="7">
        <f>(10+20+40+80+160+320)*(VLOOKUP($C28,Avg!$C$2:$I$69,7,FALSE)-VLOOKUP($C28,Crowd!$B$2:$H$65,7,FALSE))*VLOOKUP($C28,Avg!$C$2:$I$69,7,FALSE)</f>
        <v>-2.1317246618558941E-9</v>
      </c>
    </row>
    <row r="29" spans="1:9" ht="16" x14ac:dyDescent="0.2">
      <c r="A29" s="11">
        <v>15</v>
      </c>
      <c r="B29" s="11" t="s">
        <v>22</v>
      </c>
      <c r="C29" s="11" t="s">
        <v>84</v>
      </c>
      <c r="D29" s="7">
        <f>10*(VLOOKUP($C29,Avg!$C$2:$I$69,2,FALSE)-VLOOKUP($C29,Crowd!$B$2:$H$65,2,FALSE))*VLOOKUP($C29,Avg!$C$2:$I$69,2,FALSE)</f>
        <v>-1.9975469324036159E-3</v>
      </c>
      <c r="E29" s="7">
        <f>(10+20)*(VLOOKUP($C29,Avg!$C$2:$I$69,3,FALSE)-VLOOKUP($C29,Crowd!$B$2:$H$65,3,FALSE))*VLOOKUP($C29,Avg!$C$2:$I$69,3,FALSE)</f>
        <v>-1.5829821897937828E-3</v>
      </c>
      <c r="F29" s="7">
        <f>(10+20+40)*(VLOOKUP($C29,Avg!$C$2:$I$69,4,FALSE)-VLOOKUP($C29,Crowd!$B$2:$H$65,4,FALSE))*VLOOKUP($C29,Avg!$C$2:$I$69,4,FALSE)</f>
        <v>-2.5102271228185513E-4</v>
      </c>
      <c r="G29" s="7">
        <f>VLOOKUP($C29,Avg!$C$2:$I$69,5,FALSE)-VLOOKUP($C29,Crowd!$B$2:$H$65,5,FALSE)</f>
        <v>-2.9723099905386904E-3</v>
      </c>
      <c r="H29" s="7">
        <f>(10+20+40+80+160)*(VLOOKUP($C29,Avg!$C$2:$I$69,6,FALSE)-VLOOKUP($C29,Crowd!$B$2:$H$65,6,FALSE))*VLOOKUP($C29,Avg!$C$2:$I$69,6,FALSE)</f>
        <v>-1.5295894832569955E-6</v>
      </c>
      <c r="I29" s="7">
        <f>(10+20+40+80+160+320)*(VLOOKUP($C29,Avg!$C$2:$I$69,7,FALSE)-VLOOKUP($C29,Crowd!$B$2:$H$65,7,FALSE))*VLOOKUP($C29,Avg!$C$2:$I$69,7,FALSE)</f>
        <v>-2.0793776135443393E-8</v>
      </c>
    </row>
    <row r="30" spans="1:9" ht="16" x14ac:dyDescent="0.2">
      <c r="A30" s="11">
        <v>16</v>
      </c>
      <c r="B30" s="11" t="s">
        <v>24</v>
      </c>
      <c r="C30" s="11" t="s">
        <v>83</v>
      </c>
      <c r="D30" s="7">
        <f>10*(VLOOKUP($C30,Avg!$C$2:$I$69,2,FALSE)-VLOOKUP($C30,Crowd!$B$2:$H$65,2,FALSE))*VLOOKUP($C30,Avg!$C$2:$I$69,2,FALSE)</f>
        <v>-2.5513267124710067E-3</v>
      </c>
      <c r="E30" s="7">
        <f>(10+20)*(VLOOKUP($C30,Avg!$C$2:$I$69,3,FALSE)-VLOOKUP($C30,Crowd!$B$2:$H$65,3,FALSE))*VLOOKUP($C30,Avg!$C$2:$I$69,3,FALSE)</f>
        <v>-9.0173461206769228E-4</v>
      </c>
      <c r="F30" s="7">
        <f>(10+20+40)*(VLOOKUP($C30,Avg!$C$2:$I$69,4,FALSE)-VLOOKUP($C30,Crowd!$B$2:$H$65,4,FALSE))*VLOOKUP($C30,Avg!$C$2:$I$69,4,FALSE)</f>
        <v>-1.1981202956398521E-4</v>
      </c>
      <c r="G30" s="7">
        <f>VLOOKUP($C30,Avg!$C$2:$I$69,5,FALSE)-VLOOKUP($C30,Crowd!$B$2:$H$65,5,FALSE)</f>
        <v>-6.995286332187059E-3</v>
      </c>
      <c r="H30" s="7">
        <f>(10+20+40+80+160)*(VLOOKUP($C30,Avg!$C$2:$I$69,6,FALSE)-VLOOKUP($C30,Crowd!$B$2:$H$65,6,FALSE))*VLOOKUP($C30,Avg!$C$2:$I$69,6,FALSE)</f>
        <v>-6.8938594284327355E-7</v>
      </c>
      <c r="I30" s="7">
        <f>(10+20+40+80+160+320)*(VLOOKUP($C30,Avg!$C$2:$I$69,7,FALSE)-VLOOKUP($C30,Crowd!$B$2:$H$65,7,FALSE))*VLOOKUP($C30,Avg!$C$2:$I$69,7,FALSE)</f>
        <v>-6.5406809772677239E-8</v>
      </c>
    </row>
    <row r="31" spans="1:9" ht="16" x14ac:dyDescent="0.2">
      <c r="A31" s="11">
        <v>16</v>
      </c>
      <c r="B31" s="11" t="s">
        <v>20</v>
      </c>
      <c r="C31" s="11" t="s">
        <v>81</v>
      </c>
      <c r="D31" s="7">
        <f>10*(VLOOKUP($C31,Avg!$C$2:$I$69,2,FALSE)-VLOOKUP($C31,Crowd!$B$2:$H$65,2,FALSE))*VLOOKUP($C31,Avg!$C$2:$I$69,2,FALSE)</f>
        <v>-3.3523673043913431E-3</v>
      </c>
      <c r="E31" s="7">
        <f>(10+20)*(VLOOKUP($C31,Avg!$C$2:$I$69,3,FALSE)-VLOOKUP($C31,Crowd!$B$2:$H$65,3,FALSE))*VLOOKUP($C31,Avg!$C$2:$I$69,3,FALSE)</f>
        <v>-9.2187198170573797E-4</v>
      </c>
      <c r="F31" s="7">
        <f>(10+20+40)*(VLOOKUP($C31,Avg!$C$2:$I$69,4,FALSE)-VLOOKUP($C31,Crowd!$B$2:$H$65,4,FALSE))*VLOOKUP($C31,Avg!$C$2:$I$69,4,FALSE)</f>
        <v>-1.2083236796697736E-4</v>
      </c>
      <c r="G31" s="7">
        <f>VLOOKUP($C31,Avg!$C$2:$I$69,5,FALSE)-VLOOKUP($C31,Crowd!$B$2:$H$65,5,FALSE)</f>
        <v>-6.9896120155636234E-3</v>
      </c>
      <c r="H31" s="7">
        <f>(10+20+40+80+160)*(VLOOKUP($C31,Avg!$C$2:$I$69,6,FALSE)-VLOOKUP($C31,Crowd!$B$2:$H$65,6,FALSE))*VLOOKUP($C31,Avg!$C$2:$I$69,6,FALSE)</f>
        <v>-1.5359908148286313E-6</v>
      </c>
      <c r="I31" s="7">
        <f>(10+20+40+80+160+320)*(VLOOKUP($C31,Avg!$C$2:$I$69,7,FALSE)-VLOOKUP($C31,Crowd!$B$2:$H$65,7,FALSE))*VLOOKUP($C31,Avg!$C$2:$I$69,7,FALSE)</f>
        <v>-2.2240924347024214E-7</v>
      </c>
    </row>
    <row r="32" spans="1:9" ht="16" x14ac:dyDescent="0.2">
      <c r="A32" s="11">
        <v>12</v>
      </c>
      <c r="B32" s="11" t="s">
        <v>22</v>
      </c>
      <c r="C32" s="11" t="s">
        <v>67</v>
      </c>
      <c r="D32" s="7">
        <f>10*(VLOOKUP($C32,Avg!$C$2:$I$69,2,FALSE)-VLOOKUP($C32,Crowd!$B$2:$H$65,2,FALSE))*VLOOKUP($C32,Avg!$C$2:$I$69,2,FALSE)</f>
        <v>-1.7237995073594511E-2</v>
      </c>
      <c r="E32" s="7">
        <f>(10+20)*(VLOOKUP($C32,Avg!$C$2:$I$69,3,FALSE)-VLOOKUP($C32,Crowd!$B$2:$H$65,3,FALSE))*VLOOKUP($C32,Avg!$C$2:$I$69,3,FALSE)</f>
        <v>-1.5249071701938188E-2</v>
      </c>
      <c r="F32" s="7">
        <f>(10+20+40)*(VLOOKUP($C32,Avg!$C$2:$I$69,4,FALSE)-VLOOKUP($C32,Crowd!$B$2:$H$65,4,FALSE))*VLOOKUP($C32,Avg!$C$2:$I$69,4,FALSE)</f>
        <v>2.9528729067636051E-4</v>
      </c>
      <c r="G32" s="7">
        <f>VLOOKUP($C32,Avg!$C$2:$I$69,5,FALSE)-VLOOKUP($C32,Crowd!$B$2:$H$65,5,FALSE)</f>
        <v>-8.7343433249892919E-4</v>
      </c>
      <c r="H32" s="7">
        <f>(10+20+40+80+160)*(VLOOKUP($C32,Avg!$C$2:$I$69,6,FALSE)-VLOOKUP($C32,Crowd!$B$2:$H$65,6,FALSE))*VLOOKUP($C32,Avg!$C$2:$I$69,6,FALSE)</f>
        <v>-7.3514731599902094E-5</v>
      </c>
      <c r="I32" s="7">
        <f>(10+20+40+80+160+320)*(VLOOKUP($C32,Avg!$C$2:$I$69,7,FALSE)-VLOOKUP($C32,Crowd!$B$2:$H$65,7,FALSE))*VLOOKUP($C32,Avg!$C$2:$I$69,7,FALSE)</f>
        <v>-5.1895492458302595E-5</v>
      </c>
    </row>
    <row r="33" spans="1:9" ht="16" x14ac:dyDescent="0.2">
      <c r="A33" s="11">
        <v>14</v>
      </c>
      <c r="B33" s="11" t="s">
        <v>18</v>
      </c>
      <c r="C33" s="11" t="s">
        <v>76</v>
      </c>
      <c r="D33" s="7">
        <f>10*(VLOOKUP($C33,Avg!$C$2:$I$69,2,FALSE)-VLOOKUP($C33,Crowd!$B$2:$H$65,2,FALSE))*VLOOKUP($C33,Avg!$C$2:$I$69,2,FALSE)</f>
        <v>-2.1062053572696367E-2</v>
      </c>
      <c r="E33" s="7">
        <f>(10+20)*(VLOOKUP($C33,Avg!$C$2:$I$69,3,FALSE)-VLOOKUP($C33,Crowd!$B$2:$H$65,3,FALSE))*VLOOKUP($C33,Avg!$C$2:$I$69,3,FALSE)</f>
        <v>-8.1014974552631337E-3</v>
      </c>
      <c r="F33" s="7">
        <f>(10+20+40)*(VLOOKUP($C33,Avg!$C$2:$I$69,4,FALSE)-VLOOKUP($C33,Crowd!$B$2:$H$65,4,FALSE))*VLOOKUP($C33,Avg!$C$2:$I$69,4,FALSE)</f>
        <v>-7.1015111656559616E-4</v>
      </c>
      <c r="G33" s="7">
        <f>VLOOKUP($C33,Avg!$C$2:$I$69,5,FALSE)-VLOOKUP($C33,Crowd!$B$2:$H$65,5,FALSE)</f>
        <v>-2.7715754494985626E-3</v>
      </c>
      <c r="H33" s="7">
        <f>(10+20+40+80+160)*(VLOOKUP($C33,Avg!$C$2:$I$69,6,FALSE)-VLOOKUP($C33,Crowd!$B$2:$H$65,6,FALSE))*VLOOKUP($C33,Avg!$C$2:$I$69,6,FALSE)</f>
        <v>-7.2070815169333315E-6</v>
      </c>
      <c r="I33" s="7">
        <f>(10+20+40+80+160+320)*(VLOOKUP($C33,Avg!$C$2:$I$69,7,FALSE)-VLOOKUP($C33,Crowd!$B$2:$H$65,7,FALSE))*VLOOKUP($C33,Avg!$C$2:$I$69,7,FALSE)</f>
        <v>-2.4714496078999952E-6</v>
      </c>
    </row>
    <row r="34" spans="1:9" ht="16" x14ac:dyDescent="0.2">
      <c r="A34" s="11">
        <v>13</v>
      </c>
      <c r="B34" s="11" t="s">
        <v>20</v>
      </c>
      <c r="C34" s="11" t="s">
        <v>72</v>
      </c>
      <c r="D34" s="7">
        <f>10*(VLOOKUP($C34,Avg!$C$2:$I$69,2,FALSE)-VLOOKUP($C34,Crowd!$B$2:$H$65,2,FALSE))*VLOOKUP($C34,Avg!$C$2:$I$69,2,FALSE)</f>
        <v>-2.6190177913727315E-2</v>
      </c>
      <c r="E34" s="7">
        <f>(10+20)*(VLOOKUP($C34,Avg!$C$2:$I$69,3,FALSE)-VLOOKUP($C34,Crowd!$B$2:$H$65,3,FALSE))*VLOOKUP($C34,Avg!$C$2:$I$69,3,FALSE)</f>
        <v>-5.7533671812296282E-3</v>
      </c>
      <c r="F34" s="7">
        <f>(10+20+40)*(VLOOKUP($C34,Avg!$C$2:$I$69,4,FALSE)-VLOOKUP($C34,Crowd!$B$2:$H$65,4,FALSE))*VLOOKUP($C34,Avg!$C$2:$I$69,4,FALSE)</f>
        <v>-6.9138238626943391E-4</v>
      </c>
      <c r="G34" s="7">
        <f>VLOOKUP($C34,Avg!$C$2:$I$69,5,FALSE)-VLOOKUP($C34,Crowd!$B$2:$H$65,5,FALSE)</f>
        <v>-2.6718823605921776E-3</v>
      </c>
      <c r="H34" s="7">
        <f>(10+20+40+80+160)*(VLOOKUP($C34,Avg!$C$2:$I$69,6,FALSE)-VLOOKUP($C34,Crowd!$B$2:$H$65,6,FALSE))*VLOOKUP($C34,Avg!$C$2:$I$69,6,FALSE)</f>
        <v>-1.4809216987056532E-5</v>
      </c>
      <c r="I34" s="7">
        <f>(10+20+40+80+160+320)*(VLOOKUP($C34,Avg!$C$2:$I$69,7,FALSE)-VLOOKUP($C34,Crowd!$B$2:$H$65,7,FALSE))*VLOOKUP($C34,Avg!$C$2:$I$69,7,FALSE)</f>
        <v>-7.8045495060590655E-6</v>
      </c>
    </row>
    <row r="35" spans="1:9" ht="16" x14ac:dyDescent="0.2">
      <c r="A35" s="11">
        <v>1</v>
      </c>
      <c r="B35" s="11" t="s">
        <v>22</v>
      </c>
      <c r="C35" s="11" t="s">
        <v>21</v>
      </c>
      <c r="D35" s="12">
        <f>10*(VLOOKUP($C35,Avg!$C$2:$I$69,2,FALSE)-VLOOKUP($C35,Crowd!$B$2:$H$65,2,FALSE))*VLOOKUP($C35,Avg!$C$2:$I$69,2,FALSE)</f>
        <v>-2.6858695739213227E-2</v>
      </c>
      <c r="E35" s="12">
        <f>(10+20)*(VLOOKUP($C35,Avg!$C$2:$I$69,3,FALSE)-VLOOKUP($C35,Crowd!$B$2:$H$65,3,FALSE))*VLOOKUP($C35,Avg!$C$2:$I$69,3,FALSE)</f>
        <v>-2.3139483929767146</v>
      </c>
      <c r="F35" s="12">
        <f>(10+20+40)*(VLOOKUP($C35,Avg!$C$2:$I$69,4,FALSE)-VLOOKUP($C35,Crowd!$B$2:$H$65,4,FALSE))*VLOOKUP($C35,Avg!$C$2:$I$69,4,FALSE)</f>
        <v>-6.509404033074075</v>
      </c>
      <c r="G35" s="12">
        <f>VLOOKUP($C35,Avg!$C$2:$I$69,5,FALSE)-VLOOKUP($C35,Crowd!$B$2:$H$65,5,FALSE)</f>
        <v>-3.0448394729755801E-2</v>
      </c>
      <c r="H35" s="12">
        <f>(10+20+40+80+160)*(VLOOKUP($C35,Avg!$C$2:$I$69,6,FALSE)-VLOOKUP($C35,Crowd!$B$2:$H$65,6,FALSE))*VLOOKUP($C35,Avg!$C$2:$I$69,6,FALSE)</f>
        <v>8.6585951576283247</v>
      </c>
      <c r="I35" s="7">
        <f>(10+20+40+80+160+320)*(VLOOKUP($C35,Avg!$C$2:$I$69,7,FALSE)-VLOOKUP($C35,Crowd!$B$2:$H$65,7,FALSE))*VLOOKUP($C35,Avg!$C$2:$I$69,7,FALSE)</f>
        <v>-2.1264185547637582</v>
      </c>
    </row>
    <row r="36" spans="1:9" ht="16" x14ac:dyDescent="0.2">
      <c r="A36" s="11">
        <v>11</v>
      </c>
      <c r="B36" s="11" t="s">
        <v>24</v>
      </c>
      <c r="C36" s="11" t="s">
        <v>58</v>
      </c>
      <c r="D36" s="7">
        <f>10*(VLOOKUP($C36,Avg!$C$2:$I$69,2,FALSE)-VLOOKUP($C36,Crowd!$B$2:$H$65,2,FALSE))*VLOOKUP($C36,Avg!$C$2:$I$69,2,FALSE)</f>
        <v>-4.005656881405429E-2</v>
      </c>
      <c r="E36" s="7">
        <f>(10+20)*(VLOOKUP($C36,Avg!$C$2:$I$69,3,FALSE)-VLOOKUP($C36,Crowd!$B$2:$H$65,3,FALSE))*VLOOKUP($C36,Avg!$C$2:$I$69,3,FALSE)</f>
        <v>5.582034011772332E-2</v>
      </c>
      <c r="F36" s="7">
        <f>(10+20+40)*(VLOOKUP($C36,Avg!$C$2:$I$69,4,FALSE)-VLOOKUP($C36,Crowd!$B$2:$H$65,4,FALSE))*VLOOKUP($C36,Avg!$C$2:$I$69,4,FALSE)</f>
        <v>5.1529465213154607E-3</v>
      </c>
      <c r="G36" s="7">
        <f>VLOOKUP($C36,Avg!$C$2:$I$69,5,FALSE)-VLOOKUP($C36,Crowd!$B$2:$H$65,5,FALSE)</f>
        <v>5.9009735002593655E-4</v>
      </c>
      <c r="H36" s="7">
        <f>(10+20+40+80+160)*(VLOOKUP($C36,Avg!$C$2:$I$69,6,FALSE)-VLOOKUP($C36,Crowd!$B$2:$H$65,6,FALSE))*VLOOKUP($C36,Avg!$C$2:$I$69,6,FALSE)</f>
        <v>1.6311242927842282E-4</v>
      </c>
      <c r="I36" s="7">
        <f>(10+20+40+80+160+320)*(VLOOKUP($C36,Avg!$C$2:$I$69,7,FALSE)-VLOOKUP($C36,Crowd!$B$2:$H$65,7,FALSE))*VLOOKUP($C36,Avg!$C$2:$I$69,7,FALSE)</f>
        <v>-1.3939917787721308E-4</v>
      </c>
    </row>
    <row r="37" spans="1:9" ht="16" x14ac:dyDescent="0.2">
      <c r="A37" s="11">
        <v>13</v>
      </c>
      <c r="B37" s="11" t="s">
        <v>18</v>
      </c>
      <c r="C37" s="11" t="s">
        <v>73</v>
      </c>
      <c r="D37" s="7">
        <f>10*(VLOOKUP($C37,Avg!$C$2:$I$69,2,FALSE)-VLOOKUP($C37,Crowd!$B$2:$H$65,2,FALSE))*VLOOKUP($C37,Avg!$C$2:$I$69,2,FALSE)</f>
        <v>-4.9542315429505136E-2</v>
      </c>
      <c r="E37" s="7">
        <f>(10+20)*(VLOOKUP($C37,Avg!$C$2:$I$69,3,FALSE)-VLOOKUP($C37,Crowd!$B$2:$H$65,3,FALSE))*VLOOKUP($C37,Avg!$C$2:$I$69,3,FALSE)</f>
        <v>-1.2493183270313643E-2</v>
      </c>
      <c r="F37" s="7">
        <f>(10+20+40)*(VLOOKUP($C37,Avg!$C$2:$I$69,4,FALSE)-VLOOKUP($C37,Crowd!$B$2:$H$65,4,FALSE))*VLOOKUP($C37,Avg!$C$2:$I$69,4,FALSE)</f>
        <v>-8.2310382440441826E-4</v>
      </c>
      <c r="G37" s="7">
        <f>VLOOKUP($C37,Avg!$C$2:$I$69,5,FALSE)-VLOOKUP($C37,Crowd!$B$2:$H$65,5,FALSE)</f>
        <v>-2.4126757001300971E-3</v>
      </c>
      <c r="H37" s="7">
        <f>(10+20+40+80+160)*(VLOOKUP($C37,Avg!$C$2:$I$69,6,FALSE)-VLOOKUP($C37,Crowd!$B$2:$H$65,6,FALSE))*VLOOKUP($C37,Avg!$C$2:$I$69,6,FALSE)</f>
        <v>-2.6108198917626689E-5</v>
      </c>
      <c r="I37" s="7">
        <f>(10+20+40+80+160+320)*(VLOOKUP($C37,Avg!$C$2:$I$69,7,FALSE)-VLOOKUP($C37,Crowd!$B$2:$H$65,7,FALSE))*VLOOKUP($C37,Avg!$C$2:$I$69,7,FALSE)</f>
        <v>-1.2528949086827613E-5</v>
      </c>
    </row>
    <row r="38" spans="1:9" ht="16" x14ac:dyDescent="0.2">
      <c r="A38" s="11">
        <v>11</v>
      </c>
      <c r="B38" s="11" t="s">
        <v>18</v>
      </c>
      <c r="C38" s="11" t="s">
        <v>65</v>
      </c>
      <c r="D38" s="7">
        <f>10*(VLOOKUP($C38,Avg!$C$2:$I$69,2,FALSE)-VLOOKUP($C38,Crowd!$B$2:$H$65,2,FALSE))*VLOOKUP($C38,Avg!$C$2:$I$69,2,FALSE)</f>
        <v>-5.4791590922205959E-2</v>
      </c>
      <c r="E38" s="7">
        <f>(10+20)*(VLOOKUP($C38,Avg!$C$2:$I$69,3,FALSE)-VLOOKUP($C38,Crowd!$B$2:$H$65,3,FALSE))*VLOOKUP($C38,Avg!$C$2:$I$69,3,FALSE)</f>
        <v>-4.5058814091506914E-3</v>
      </c>
      <c r="F38" s="7">
        <f>(10+20+40)*(VLOOKUP($C38,Avg!$C$2:$I$69,4,FALSE)-VLOOKUP($C38,Crowd!$B$2:$H$65,4,FALSE))*VLOOKUP($C38,Avg!$C$2:$I$69,4,FALSE)</f>
        <v>1.4574995643016974E-4</v>
      </c>
      <c r="G38" s="7">
        <f>VLOOKUP($C38,Avg!$C$2:$I$69,5,FALSE)-VLOOKUP($C38,Crowd!$B$2:$H$65,5,FALSE)</f>
        <v>-9.2082707297533621E-4</v>
      </c>
      <c r="H38" s="7">
        <f>(10+20+40+80+160)*(VLOOKUP($C38,Avg!$C$2:$I$69,6,FALSE)-VLOOKUP($C38,Crowd!$B$2:$H$65,6,FALSE))*VLOOKUP($C38,Avg!$C$2:$I$69,6,FALSE)</f>
        <v>-6.8746348776616375E-5</v>
      </c>
      <c r="I38" s="7">
        <f>(10+20+40+80+160+320)*(VLOOKUP($C38,Avg!$C$2:$I$69,7,FALSE)-VLOOKUP($C38,Crowd!$B$2:$H$65,7,FALSE))*VLOOKUP($C38,Avg!$C$2:$I$69,7,FALSE)</f>
        <v>-5.6069240613942434E-5</v>
      </c>
    </row>
    <row r="39" spans="1:9" ht="16" x14ac:dyDescent="0.2">
      <c r="A39" s="11">
        <v>9</v>
      </c>
      <c r="B39" s="11" t="s">
        <v>24</v>
      </c>
      <c r="C39" s="11" t="s">
        <v>54</v>
      </c>
      <c r="D39" s="12">
        <f>10*(VLOOKUP($C39,Avg!$C$2:$I$69,2,FALSE)-VLOOKUP($C39,Crowd!$B$2:$H$65,2,FALSE))*VLOOKUP($C39,Avg!$C$2:$I$69,2,FALSE)</f>
        <v>-6.2086992525815565E-2</v>
      </c>
      <c r="E39" s="12">
        <f>(10+20)*(VLOOKUP($C39,Avg!$C$2:$I$69,3,FALSE)-VLOOKUP($C39,Crowd!$B$2:$H$65,3,FALSE))*VLOOKUP($C39,Avg!$C$2:$I$69,3,FALSE)</f>
        <v>0.13358047748915569</v>
      </c>
      <c r="F39" s="7">
        <f>(10+20+40)*(VLOOKUP($C39,Avg!$C$2:$I$69,4,FALSE)-VLOOKUP($C39,Crowd!$B$2:$H$65,4,FALSE))*VLOOKUP($C39,Avg!$C$2:$I$69,4,FALSE)</f>
        <v>2.3589650806909723E-2</v>
      </c>
      <c r="G39" s="7">
        <f>VLOOKUP($C39,Avg!$C$2:$I$69,5,FALSE)-VLOOKUP($C39,Crowd!$B$2:$H$65,5,FALSE)</f>
        <v>6.7203895082865086E-4</v>
      </c>
      <c r="H39" s="7">
        <f>(10+20+40+80+160)*(VLOOKUP($C39,Avg!$C$2:$I$69,6,FALSE)-VLOOKUP($C39,Crowd!$B$2:$H$65,6,FALSE))*VLOOKUP($C39,Avg!$C$2:$I$69,6,FALSE)</f>
        <v>-5.3164010103880949E-5</v>
      </c>
      <c r="I39" s="7">
        <f>(10+20+40+80+160+320)*(VLOOKUP($C39,Avg!$C$2:$I$69,7,FALSE)-VLOOKUP($C39,Crowd!$B$2:$H$65,7,FALSE))*VLOOKUP($C39,Avg!$C$2:$I$69,7,FALSE)</f>
        <v>-1.4233940066321371E-4</v>
      </c>
    </row>
    <row r="40" spans="1:9" ht="16" x14ac:dyDescent="0.2">
      <c r="A40" s="11">
        <v>3</v>
      </c>
      <c r="B40" s="11" t="s">
        <v>24</v>
      </c>
      <c r="C40" s="11" t="s">
        <v>30</v>
      </c>
      <c r="D40" s="7">
        <f>10*(VLOOKUP($C40,Avg!$C$2:$I$69,2,FALSE)-VLOOKUP($C40,Crowd!$B$2:$H$65,2,FALSE))*VLOOKUP($C40,Avg!$C$2:$I$69,2,FALSE)</f>
        <v>-7.6308024338254038E-2</v>
      </c>
      <c r="E40" s="7">
        <f>(10+20)*(VLOOKUP($C40,Avg!$C$2:$I$69,3,FALSE)-VLOOKUP($C40,Crowd!$B$2:$H$65,3,FALSE))*VLOOKUP($C40,Avg!$C$2:$I$69,3,FALSE)</f>
        <v>-4.2414637865825764</v>
      </c>
      <c r="F40" s="7">
        <f>(10+20+40)*(VLOOKUP($C40,Avg!$C$2:$I$69,4,FALSE)-VLOOKUP($C40,Crowd!$B$2:$H$65,4,FALSE))*VLOOKUP($C40,Avg!$C$2:$I$69,4,FALSE)</f>
        <v>-3.1817711063386951</v>
      </c>
      <c r="G40" s="7">
        <f>VLOOKUP($C40,Avg!$C$2:$I$69,5,FALSE)-VLOOKUP($C40,Crowd!$B$2:$H$65,5,FALSE)</f>
        <v>-0.17319648527855103</v>
      </c>
      <c r="H40" s="7">
        <f>(10+20+40+80+160)*(VLOOKUP($C40,Avg!$C$2:$I$69,6,FALSE)-VLOOKUP($C40,Crowd!$B$2:$H$65,6,FALSE))*VLOOKUP($C40,Avg!$C$2:$I$69,6,FALSE)</f>
        <v>-1.4919354691443378</v>
      </c>
      <c r="I40" s="7">
        <f>(10+20+40+80+160+320)*(VLOOKUP($C40,Avg!$C$2:$I$69,7,FALSE)-VLOOKUP($C40,Crowd!$B$2:$H$65,7,FALSE))*VLOOKUP($C40,Avg!$C$2:$I$69,7,FALSE)</f>
        <v>-0.81590727705488086</v>
      </c>
    </row>
    <row r="41" spans="1:9" ht="16" x14ac:dyDescent="0.2">
      <c r="A41" s="11">
        <v>14</v>
      </c>
      <c r="B41" s="11" t="s">
        <v>20</v>
      </c>
      <c r="C41" s="11" t="s">
        <v>75</v>
      </c>
      <c r="D41" s="12">
        <f>10*(VLOOKUP($C41,Avg!$C$2:$I$69,2,FALSE)-VLOOKUP($C41,Crowd!$B$2:$H$65,2,FALSE))*VLOOKUP($C41,Avg!$C$2:$I$69,2,FALSE)</f>
        <v>-8.0933909859293982E-2</v>
      </c>
      <c r="E41" s="12">
        <f>(10+20)*(VLOOKUP($C41,Avg!$C$2:$I$69,3,FALSE)-VLOOKUP($C41,Crowd!$B$2:$H$65,3,FALSE))*VLOOKUP($C41,Avg!$C$2:$I$69,3,FALSE)</f>
        <v>-3.7397607278418135E-2</v>
      </c>
      <c r="F41" s="7">
        <f>(10+20+40)*(VLOOKUP($C41,Avg!$C$2:$I$69,4,FALSE)-VLOOKUP($C41,Crowd!$B$2:$H$65,4,FALSE))*VLOOKUP($C41,Avg!$C$2:$I$69,4,FALSE)</f>
        <v>-1.9153386055067063E-3</v>
      </c>
      <c r="G41" s="7">
        <f>VLOOKUP($C41,Avg!$C$2:$I$69,5,FALSE)-VLOOKUP($C41,Crowd!$B$2:$H$65,5,FALSE)</f>
        <v>-3.7942018699914362E-3</v>
      </c>
      <c r="H41" s="7">
        <f>(10+20+40+80+160)*(VLOOKUP($C41,Avg!$C$2:$I$69,6,FALSE)-VLOOKUP($C41,Crowd!$B$2:$H$65,6,FALSE))*VLOOKUP($C41,Avg!$C$2:$I$69,6,FALSE)</f>
        <v>-2.0561173576145802E-5</v>
      </c>
      <c r="I41" s="7">
        <f>(10+20+40+80+160+320)*(VLOOKUP($C41,Avg!$C$2:$I$69,7,FALSE)-VLOOKUP($C41,Crowd!$B$2:$H$65,7,FALSE))*VLOOKUP($C41,Avg!$C$2:$I$69,7,FALSE)</f>
        <v>-4.0495022332422039E-6</v>
      </c>
    </row>
    <row r="42" spans="1:9" ht="16" x14ac:dyDescent="0.2">
      <c r="A42" s="11">
        <v>4</v>
      </c>
      <c r="B42" s="11" t="s">
        <v>24</v>
      </c>
      <c r="C42" s="11" t="s">
        <v>39</v>
      </c>
      <c r="D42" s="12">
        <f>10*(VLOOKUP($C42,Avg!$C$2:$I$69,2,FALSE)-VLOOKUP($C42,Crowd!$B$2:$H$65,2,FALSE))*VLOOKUP($C42,Avg!$C$2:$I$69,2,FALSE)</f>
        <v>-8.611268104856068E-2</v>
      </c>
      <c r="E42" s="12">
        <f>(10+20)*(VLOOKUP($C42,Avg!$C$2:$I$69,3,FALSE)-VLOOKUP($C42,Crowd!$B$2:$H$65,3,FALSE))*VLOOKUP($C42,Avg!$C$2:$I$69,3,FALSE)</f>
        <v>-0.35995674661035543</v>
      </c>
      <c r="F42" s="12">
        <f>(10+20+40)*(VLOOKUP($C42,Avg!$C$2:$I$69,4,FALSE)-VLOOKUP($C42,Crowd!$B$2:$H$65,4,FALSE))*VLOOKUP($C42,Avg!$C$2:$I$69,4,FALSE)</f>
        <v>1.3894661969919371</v>
      </c>
      <c r="G42" s="7">
        <f>VLOOKUP($C42,Avg!$C$2:$I$69,5,FALSE)-VLOOKUP($C42,Crowd!$B$2:$H$65,5,FALSE)</f>
        <v>4.0538906327453605E-2</v>
      </c>
      <c r="H42" s="7">
        <f>(10+20+40+80+160)*(VLOOKUP($C42,Avg!$C$2:$I$69,6,FALSE)-VLOOKUP($C42,Crowd!$B$2:$H$65,6,FALSE))*VLOOKUP($C42,Avg!$C$2:$I$69,6,FALSE)</f>
        <v>0.21023622143026091</v>
      </c>
      <c r="I42" s="7">
        <f>(10+20+40+80+160+320)*(VLOOKUP($C42,Avg!$C$2:$I$69,7,FALSE)-VLOOKUP($C42,Crowd!$B$2:$H$65,7,FALSE))*VLOOKUP($C42,Avg!$C$2:$I$69,7,FALSE)</f>
        <v>6.9270712314774455E-2</v>
      </c>
    </row>
    <row r="43" spans="1:9" ht="16" x14ac:dyDescent="0.2">
      <c r="A43" s="11">
        <v>3</v>
      </c>
      <c r="B43" s="11" t="s">
        <v>22</v>
      </c>
      <c r="C43" s="11" t="s">
        <v>38</v>
      </c>
      <c r="D43" s="7">
        <f>10*(VLOOKUP($C43,Avg!$C$2:$I$69,2,FALSE)-VLOOKUP($C43,Crowd!$B$2:$H$65,2,FALSE))*VLOOKUP($C43,Avg!$C$2:$I$69,2,FALSE)</f>
        <v>-0.10317952524877497</v>
      </c>
      <c r="E43" s="7">
        <f>(10+20)*(VLOOKUP($C43,Avg!$C$2:$I$69,3,FALSE)-VLOOKUP($C43,Crowd!$B$2:$H$65,3,FALSE))*VLOOKUP($C43,Avg!$C$2:$I$69,3,FALSE)</f>
        <v>-2.1904462364627721</v>
      </c>
      <c r="F43" s="7">
        <f>(10+20+40)*(VLOOKUP($C43,Avg!$C$2:$I$69,4,FALSE)-VLOOKUP($C43,Crowd!$B$2:$H$65,4,FALSE))*VLOOKUP($C43,Avg!$C$2:$I$69,4,FALSE)</f>
        <v>-1.309636011695041</v>
      </c>
      <c r="G43" s="7">
        <f>VLOOKUP($C43,Avg!$C$2:$I$69,5,FALSE)-VLOOKUP($C43,Crowd!$B$2:$H$65,5,FALSE)</f>
        <v>-2.6657074625034832E-2</v>
      </c>
      <c r="H43" s="7">
        <f>(10+20+40+80+160)*(VLOOKUP($C43,Avg!$C$2:$I$69,6,FALSE)-VLOOKUP($C43,Crowd!$B$2:$H$65,6,FALSE))*VLOOKUP($C43,Avg!$C$2:$I$69,6,FALSE)</f>
        <v>7.4085612726890349E-2</v>
      </c>
      <c r="I43" s="7">
        <f>(10+20+40+80+160+320)*(VLOOKUP($C43,Avg!$C$2:$I$69,7,FALSE)-VLOOKUP($C43,Crowd!$B$2:$H$65,7,FALSE))*VLOOKUP($C43,Avg!$C$2:$I$69,7,FALSE)</f>
        <v>2.2301678238640703E-2</v>
      </c>
    </row>
    <row r="44" spans="1:9" ht="16" x14ac:dyDescent="0.2">
      <c r="A44" s="11">
        <v>12</v>
      </c>
      <c r="B44" s="11" t="s">
        <v>18</v>
      </c>
      <c r="C44" s="11" t="s">
        <v>69</v>
      </c>
      <c r="D44" s="7">
        <f>10*(VLOOKUP($C44,Avg!$C$2:$I$69,2,FALSE)-VLOOKUP($C44,Crowd!$B$2:$H$65,2,FALSE))*VLOOKUP($C44,Avg!$C$2:$I$69,2,FALSE)</f>
        <v>-0.10799704675176663</v>
      </c>
      <c r="E44" s="7">
        <f>(10+20)*(VLOOKUP($C44,Avg!$C$2:$I$69,3,FALSE)-VLOOKUP($C44,Crowd!$B$2:$H$65,3,FALSE))*VLOOKUP($C44,Avg!$C$2:$I$69,3,FALSE)</f>
        <v>-3.0715575814589668E-2</v>
      </c>
      <c r="F44" s="7">
        <f>(10+20+40)*(VLOOKUP($C44,Avg!$C$2:$I$69,4,FALSE)-VLOOKUP($C44,Crowd!$B$2:$H$65,4,FALSE))*VLOOKUP($C44,Avg!$C$2:$I$69,4,FALSE)</f>
        <v>-1.1139135053479224E-3</v>
      </c>
      <c r="G44" s="7">
        <f>VLOOKUP($C44,Avg!$C$2:$I$69,5,FALSE)-VLOOKUP($C44,Crowd!$B$2:$H$65,5,FALSE)</f>
        <v>-2.2134131797397327E-3</v>
      </c>
      <c r="H44" s="7">
        <f>(10+20+40+80+160)*(VLOOKUP($C44,Avg!$C$2:$I$69,6,FALSE)-VLOOKUP($C44,Crowd!$B$2:$H$65,6,FALSE))*VLOOKUP($C44,Avg!$C$2:$I$69,6,FALSE)</f>
        <v>-1.1329791800335749E-4</v>
      </c>
      <c r="I44" s="7">
        <f>(10+20+40+80+160+320)*(VLOOKUP($C44,Avg!$C$2:$I$69,7,FALSE)-VLOOKUP($C44,Crowd!$B$2:$H$65,7,FALSE))*VLOOKUP($C44,Avg!$C$2:$I$69,7,FALSE)</f>
        <v>-2.4670292579191359E-5</v>
      </c>
    </row>
    <row r="45" spans="1:9" ht="16" x14ac:dyDescent="0.2">
      <c r="A45" s="11">
        <v>6</v>
      </c>
      <c r="B45" s="11" t="s">
        <v>22</v>
      </c>
      <c r="C45" s="11" t="s">
        <v>46</v>
      </c>
      <c r="D45" s="12">
        <f>10*(VLOOKUP($C45,Avg!$C$2:$I$69,2,FALSE)-VLOOKUP($C45,Crowd!$B$2:$H$65,2,FALSE))*VLOOKUP($C45,Avg!$C$2:$I$69,2,FALSE)</f>
        <v>-0.10943237087877347</v>
      </c>
      <c r="E45" s="12">
        <f>(10+20)*(VLOOKUP($C45,Avg!$C$2:$I$69,3,FALSE)-VLOOKUP($C45,Crowd!$B$2:$H$65,3,FALSE))*VLOOKUP($C45,Avg!$C$2:$I$69,3,FALSE)</f>
        <v>0.82400497452042532</v>
      </c>
      <c r="F45" s="7">
        <f>(10+20+40)*(VLOOKUP($C45,Avg!$C$2:$I$69,4,FALSE)-VLOOKUP($C45,Crowd!$B$2:$H$65,4,FALSE))*VLOOKUP($C45,Avg!$C$2:$I$69,4,FALSE)</f>
        <v>0.24978812454010535</v>
      </c>
      <c r="G45" s="7">
        <f>VLOOKUP($C45,Avg!$C$2:$I$69,5,FALSE)-VLOOKUP($C45,Crowd!$B$2:$H$65,5,FALSE)</f>
        <v>1.5832641214788612E-2</v>
      </c>
      <c r="H45" s="7">
        <f>(10+20+40+80+160)*(VLOOKUP($C45,Avg!$C$2:$I$69,6,FALSE)-VLOOKUP($C45,Crowd!$B$2:$H$65,6,FALSE))*VLOOKUP($C45,Avg!$C$2:$I$69,6,FALSE)</f>
        <v>1.9533819590671977E-2</v>
      </c>
      <c r="I45" s="7">
        <f>(10+20+40+80+160+320)*(VLOOKUP($C45,Avg!$C$2:$I$69,7,FALSE)-VLOOKUP($C45,Crowd!$B$2:$H$65,7,FALSE))*VLOOKUP($C45,Avg!$C$2:$I$69,7,FALSE)</f>
        <v>4.9457129135505153E-3</v>
      </c>
    </row>
    <row r="46" spans="1:9" ht="16" x14ac:dyDescent="0.2">
      <c r="A46" s="11">
        <v>2</v>
      </c>
      <c r="B46" s="11" t="s">
        <v>18</v>
      </c>
      <c r="C46" s="11" t="s">
        <v>26</v>
      </c>
      <c r="D46" s="7">
        <f>10*(VLOOKUP($C46,Avg!$C$2:$I$69,2,FALSE)-VLOOKUP($C46,Crowd!$B$2:$H$65,2,FALSE))*VLOOKUP($C46,Avg!$C$2:$I$69,2,FALSE)</f>
        <v>-0.11969559891190724</v>
      </c>
      <c r="E46" s="7">
        <f>(10+20)*(VLOOKUP($C46,Avg!$C$2:$I$69,3,FALSE)-VLOOKUP($C46,Crowd!$B$2:$H$65,3,FALSE))*VLOOKUP($C46,Avg!$C$2:$I$69,3,FALSE)</f>
        <v>-3.7054038275680505</v>
      </c>
      <c r="F46" s="7">
        <f>(10+20+40)*(VLOOKUP($C46,Avg!$C$2:$I$69,4,FALSE)-VLOOKUP($C46,Crowd!$B$2:$H$65,4,FALSE))*VLOOKUP($C46,Avg!$C$2:$I$69,4,FALSE)</f>
        <v>-6.9416751462290822</v>
      </c>
      <c r="G46" s="7">
        <f>VLOOKUP($C46,Avg!$C$2:$I$69,5,FALSE)-VLOOKUP($C46,Crowd!$B$2:$H$65,5,FALSE)</f>
        <v>-0.25502725858326369</v>
      </c>
      <c r="H46" s="7">
        <f>(10+20+40+80+160)*(VLOOKUP($C46,Avg!$C$2:$I$69,6,FALSE)-VLOOKUP($C46,Crowd!$B$2:$H$65,6,FALSE))*VLOOKUP($C46,Avg!$C$2:$I$69,6,FALSE)</f>
        <v>-3.8030716143753618</v>
      </c>
      <c r="I46" s="7">
        <f>(10+20+40+80+160+320)*(VLOOKUP($C46,Avg!$C$2:$I$69,7,FALSE)-VLOOKUP($C46,Crowd!$B$2:$H$65,7,FALSE))*VLOOKUP($C46,Avg!$C$2:$I$69,7,FALSE)</f>
        <v>-2.0811214462880954</v>
      </c>
    </row>
    <row r="47" spans="1:9" ht="16" x14ac:dyDescent="0.2">
      <c r="A47" s="11">
        <v>4</v>
      </c>
      <c r="B47" s="11" t="s">
        <v>22</v>
      </c>
      <c r="C47" s="11" t="s">
        <v>33</v>
      </c>
      <c r="D47" s="12">
        <f>10*(VLOOKUP($C47,Avg!$C$2:$I$69,2,FALSE)-VLOOKUP($C47,Crowd!$B$2:$H$65,2,FALSE))*VLOOKUP($C47,Avg!$C$2:$I$69,2,FALSE)</f>
        <v>-0.15509049350736615</v>
      </c>
      <c r="E47" s="12">
        <f>(10+20)*(VLOOKUP($C47,Avg!$C$2:$I$69,3,FALSE)-VLOOKUP($C47,Crowd!$B$2:$H$65,3,FALSE))*VLOOKUP($C47,Avg!$C$2:$I$69,3,FALSE)</f>
        <v>2.8667037924649846E-2</v>
      </c>
      <c r="F47" s="12">
        <f>(10+20+40)*(VLOOKUP($C47,Avg!$C$2:$I$69,4,FALSE)-VLOOKUP($C47,Crowd!$B$2:$H$65,4,FALSE))*VLOOKUP($C47,Avg!$C$2:$I$69,4,FALSE)</f>
        <v>1.3259588191529292</v>
      </c>
      <c r="G47" s="7">
        <f>VLOOKUP($C47,Avg!$C$2:$I$69,5,FALSE)-VLOOKUP($C47,Crowd!$B$2:$H$65,5,FALSE)</f>
        <v>4.8603566252469539E-2</v>
      </c>
      <c r="H47" s="7">
        <f>(10+20+40+80+160)*(VLOOKUP($C47,Avg!$C$2:$I$69,6,FALSE)-VLOOKUP($C47,Crowd!$B$2:$H$65,6,FALSE))*VLOOKUP($C47,Avg!$C$2:$I$69,6,FALSE)</f>
        <v>0.3897012141658982</v>
      </c>
      <c r="I47" s="7">
        <f>(10+20+40+80+160+320)*(VLOOKUP($C47,Avg!$C$2:$I$69,7,FALSE)-VLOOKUP($C47,Crowd!$B$2:$H$65,7,FALSE))*VLOOKUP($C47,Avg!$C$2:$I$69,7,FALSE)</f>
        <v>0.16105077702575601</v>
      </c>
    </row>
    <row r="48" spans="1:9" ht="16" x14ac:dyDescent="0.2">
      <c r="A48" s="11">
        <v>9</v>
      </c>
      <c r="B48" s="11" t="s">
        <v>22</v>
      </c>
      <c r="C48" s="11" t="s">
        <v>57</v>
      </c>
      <c r="D48" s="7">
        <f>10*(VLOOKUP($C48,Avg!$C$2:$I$69,2,FALSE)-VLOOKUP($C48,Crowd!$B$2:$H$65,2,FALSE))*VLOOKUP($C48,Avg!$C$2:$I$69,2,FALSE)</f>
        <v>-0.21226393148105466</v>
      </c>
      <c r="E48" s="7">
        <f>(10+20)*(VLOOKUP($C48,Avg!$C$2:$I$69,3,FALSE)-VLOOKUP($C48,Crowd!$B$2:$H$65,3,FALSE))*VLOOKUP($C48,Avg!$C$2:$I$69,3,FALSE)</f>
        <v>8.5536623137078771E-2</v>
      </c>
      <c r="F48" s="7">
        <f>(10+20+40)*(VLOOKUP($C48,Avg!$C$2:$I$69,4,FALSE)-VLOOKUP($C48,Crowd!$B$2:$H$65,4,FALSE))*VLOOKUP($C48,Avg!$C$2:$I$69,4,FALSE)</f>
        <v>-2.1324033487913376E-2</v>
      </c>
      <c r="G48" s="7">
        <f>VLOOKUP($C48,Avg!$C$2:$I$69,5,FALSE)-VLOOKUP($C48,Crowd!$B$2:$H$65,5,FALSE)</f>
        <v>-9.4512134975069662E-3</v>
      </c>
      <c r="H48" s="7">
        <f>(10+20+40+80+160)*(VLOOKUP($C48,Avg!$C$2:$I$69,6,FALSE)-VLOOKUP($C48,Crowd!$B$2:$H$65,6,FALSE))*VLOOKUP($C48,Avg!$C$2:$I$69,6,FALSE)</f>
        <v>-3.1320645289160251E-3</v>
      </c>
      <c r="I48" s="7">
        <f>(10+20+40+80+160+320)*(VLOOKUP($C48,Avg!$C$2:$I$69,7,FALSE)-VLOOKUP($C48,Crowd!$B$2:$H$65,7,FALSE))*VLOOKUP($C48,Avg!$C$2:$I$69,7,FALSE)</f>
        <v>-9.2556478202488542E-4</v>
      </c>
    </row>
    <row r="49" spans="1:9" ht="16" x14ac:dyDescent="0.2">
      <c r="A49" s="11">
        <v>9</v>
      </c>
      <c r="B49" s="11" t="s">
        <v>18</v>
      </c>
      <c r="C49" s="11" t="s">
        <v>70</v>
      </c>
      <c r="D49" s="7">
        <f>10*(VLOOKUP($C49,Avg!$C$2:$I$69,2,FALSE)-VLOOKUP($C49,Crowd!$B$2:$H$65,2,FALSE))*VLOOKUP($C49,Avg!$C$2:$I$69,2,FALSE)</f>
        <v>-0.25477505774963577</v>
      </c>
      <c r="E49" s="7">
        <f>(10+20)*(VLOOKUP($C49,Avg!$C$2:$I$69,3,FALSE)-VLOOKUP($C49,Crowd!$B$2:$H$65,3,FALSE))*VLOOKUP($C49,Avg!$C$2:$I$69,3,FALSE)</f>
        <v>-2.0803457876967572E-3</v>
      </c>
      <c r="F49" s="7">
        <f>(10+20+40)*(VLOOKUP($C49,Avg!$C$2:$I$69,4,FALSE)-VLOOKUP($C49,Crowd!$B$2:$H$65,4,FALSE))*VLOOKUP($C49,Avg!$C$2:$I$69,4,FALSE)</f>
        <v>-2.9574892636713181E-3</v>
      </c>
      <c r="G49" s="7">
        <f>VLOOKUP($C49,Avg!$C$2:$I$69,5,FALSE)-VLOOKUP($C49,Crowd!$B$2:$H$65,5,FALSE)</f>
        <v>-3.2724912069250298E-3</v>
      </c>
      <c r="H49" s="7">
        <f>(10+20+40+80+160)*(VLOOKUP($C49,Avg!$C$2:$I$69,6,FALSE)-VLOOKUP($C49,Crowd!$B$2:$H$65,6,FALSE))*VLOOKUP($C49,Avg!$C$2:$I$69,6,FALSE)</f>
        <v>-2.5546717322923597E-4</v>
      </c>
      <c r="I49" s="7">
        <f>(10+20+40+80+160+320)*(VLOOKUP($C49,Avg!$C$2:$I$69,7,FALSE)-VLOOKUP($C49,Crowd!$B$2:$H$65,7,FALSE))*VLOOKUP($C49,Avg!$C$2:$I$69,7,FALSE)</f>
        <v>-1.2445629367652551E-4</v>
      </c>
    </row>
    <row r="50" spans="1:9" ht="16" x14ac:dyDescent="0.2">
      <c r="A50" s="11">
        <v>11</v>
      </c>
      <c r="B50" s="11" t="s">
        <v>20</v>
      </c>
      <c r="C50" s="11" t="s">
        <v>59</v>
      </c>
      <c r="D50" s="12">
        <f>10*(VLOOKUP($C50,Avg!$C$2:$I$69,2,FALSE)-VLOOKUP($C50,Crowd!$B$2:$H$65,2,FALSE))*VLOOKUP($C50,Avg!$C$2:$I$69,2,FALSE)</f>
        <v>-0.28364409529157536</v>
      </c>
      <c r="E50" s="7">
        <f>(10+20)*(VLOOKUP($C50,Avg!$C$2:$I$69,3,FALSE)-VLOOKUP($C50,Crowd!$B$2:$H$65,3,FALSE))*VLOOKUP($C50,Avg!$C$2:$I$69,3,FALSE)</f>
        <v>-0.10043095379245132</v>
      </c>
      <c r="F50" s="7">
        <f>(10+20+40)*(VLOOKUP($C50,Avg!$C$2:$I$69,4,FALSE)-VLOOKUP($C50,Crowd!$B$2:$H$65,4,FALSE))*VLOOKUP($C50,Avg!$C$2:$I$69,4,FALSE)</f>
        <v>-5.3614195537626391E-3</v>
      </c>
      <c r="G50" s="7">
        <f>VLOOKUP($C50,Avg!$C$2:$I$69,5,FALSE)-VLOOKUP($C50,Crowd!$B$2:$H$65,5,FALSE)</f>
        <v>-4.7899616531311738E-3</v>
      </c>
      <c r="H50" s="7">
        <f>(10+20+40+80+160)*(VLOOKUP($C50,Avg!$C$2:$I$69,6,FALSE)-VLOOKUP($C50,Crowd!$B$2:$H$65,6,FALSE))*VLOOKUP($C50,Avg!$C$2:$I$69,6,FALSE)</f>
        <v>-6.9749999819769982E-4</v>
      </c>
      <c r="I50" s="7">
        <f>(10+20+40+80+160+320)*(VLOOKUP($C50,Avg!$C$2:$I$69,7,FALSE)-VLOOKUP($C50,Crowd!$B$2:$H$65,7,FALSE))*VLOOKUP($C50,Avg!$C$2:$I$69,7,FALSE)</f>
        <v>-1.5208976956945642E-4</v>
      </c>
    </row>
    <row r="51" spans="1:9" ht="16" x14ac:dyDescent="0.2">
      <c r="A51" s="11">
        <v>7</v>
      </c>
      <c r="B51" s="11" t="s">
        <v>24</v>
      </c>
      <c r="C51" s="11" t="s">
        <v>55</v>
      </c>
      <c r="D51" s="7">
        <f>10*(VLOOKUP($C51,Avg!$C$2:$I$69,2,FALSE)-VLOOKUP($C51,Crowd!$B$2:$H$65,2,FALSE))*VLOOKUP($C51,Avg!$C$2:$I$69,2,FALSE)</f>
        <v>-0.28446540273409376</v>
      </c>
      <c r="E51" s="7">
        <f>(10+20)*(VLOOKUP($C51,Avg!$C$2:$I$69,3,FALSE)-VLOOKUP($C51,Crowd!$B$2:$H$65,3,FALSE))*VLOOKUP($C51,Avg!$C$2:$I$69,3,FALSE)</f>
        <v>3.3964821907259038E-2</v>
      </c>
      <c r="F51" s="7">
        <f>(10+20+40)*(VLOOKUP($C51,Avg!$C$2:$I$69,4,FALSE)-VLOOKUP($C51,Crowd!$B$2:$H$65,4,FALSE))*VLOOKUP($C51,Avg!$C$2:$I$69,4,FALSE)</f>
        <v>4.9839436643397284E-3</v>
      </c>
      <c r="G51" s="7">
        <f>VLOOKUP($C51,Avg!$C$2:$I$69,5,FALSE)-VLOOKUP($C51,Crowd!$B$2:$H$65,5,FALSE)</f>
        <v>-4.0592776728473612E-4</v>
      </c>
      <c r="H51" s="7">
        <f>(10+20+40+80+160)*(VLOOKUP($C51,Avg!$C$2:$I$69,6,FALSE)-VLOOKUP($C51,Crowd!$B$2:$H$65,6,FALSE))*VLOOKUP($C51,Avg!$C$2:$I$69,6,FALSE)</f>
        <v>-1.9161521189509935E-4</v>
      </c>
      <c r="I51" s="7">
        <f>(10+20+40+80+160+320)*(VLOOKUP($C51,Avg!$C$2:$I$69,7,FALSE)-VLOOKUP($C51,Crowd!$B$2:$H$65,7,FALSE))*VLOOKUP($C51,Avg!$C$2:$I$69,7,FALSE)</f>
        <v>-1.419989915815503E-4</v>
      </c>
    </row>
    <row r="52" spans="1:9" ht="16" x14ac:dyDescent="0.2">
      <c r="A52" s="11">
        <v>7</v>
      </c>
      <c r="B52" s="11" t="s">
        <v>18</v>
      </c>
      <c r="C52" s="11" t="s">
        <v>53</v>
      </c>
      <c r="D52" s="12">
        <f>10*(VLOOKUP($C52,Avg!$C$2:$I$69,2,FALSE)-VLOOKUP($C52,Crowd!$B$2:$H$65,2,FALSE))*VLOOKUP($C52,Avg!$C$2:$I$69,2,FALSE)</f>
        <v>-0.38473747429523325</v>
      </c>
      <c r="E52" s="12">
        <f>(10+20)*(VLOOKUP($C52,Avg!$C$2:$I$69,3,FALSE)-VLOOKUP($C52,Crowd!$B$2:$H$65,3,FALSE))*VLOOKUP($C52,Avg!$C$2:$I$69,3,FALSE)</f>
        <v>0.17075477558099539</v>
      </c>
      <c r="F52" s="7">
        <f>(10+20+40)*(VLOOKUP($C52,Avg!$C$2:$I$69,4,FALSE)-VLOOKUP($C52,Crowd!$B$2:$H$65,4,FALSE))*VLOOKUP($C52,Avg!$C$2:$I$69,4,FALSE)</f>
        <v>2.6141662449553345E-2</v>
      </c>
      <c r="G52" s="7">
        <f>VLOOKUP($C52,Avg!$C$2:$I$69,5,FALSE)-VLOOKUP($C52,Crowd!$B$2:$H$65,5,FALSE)</f>
        <v>1.1995943364436447E-3</v>
      </c>
      <c r="H52" s="7">
        <f>(10+20+40+80+160)*(VLOOKUP($C52,Avg!$C$2:$I$69,6,FALSE)-VLOOKUP($C52,Crowd!$B$2:$H$65,6,FALSE))*VLOOKUP($C52,Avg!$C$2:$I$69,6,FALSE)</f>
        <v>-1.6986018512071742E-4</v>
      </c>
      <c r="I52" s="7">
        <f>(10+20+40+80+160+320)*(VLOOKUP($C52,Avg!$C$2:$I$69,7,FALSE)-VLOOKUP($C52,Crowd!$B$2:$H$65,7,FALSE))*VLOOKUP($C52,Avg!$C$2:$I$69,7,FALSE)</f>
        <v>-1.5717280457407687E-4</v>
      </c>
    </row>
    <row r="53" spans="1:9" ht="16" x14ac:dyDescent="0.2">
      <c r="A53" s="11">
        <v>5</v>
      </c>
      <c r="B53" s="11" t="s">
        <v>24</v>
      </c>
      <c r="C53" s="11" t="s">
        <v>64</v>
      </c>
      <c r="D53" s="7">
        <f>10*(VLOOKUP($C53,Avg!$C$2:$I$69,2,FALSE)-VLOOKUP($C53,Crowd!$B$2:$H$65,2,FALSE))*VLOOKUP($C53,Avg!$C$2:$I$69,2,FALSE)</f>
        <v>-0.38677747819359859</v>
      </c>
      <c r="E53" s="7">
        <f>(10+20)*(VLOOKUP($C53,Avg!$C$2:$I$69,3,FALSE)-VLOOKUP($C53,Crowd!$B$2:$H$65,3,FALSE))*VLOOKUP($C53,Avg!$C$2:$I$69,3,FALSE)</f>
        <v>-1.3099158216732413E-2</v>
      </c>
      <c r="F53" s="7">
        <f>(10+20+40)*(VLOOKUP($C53,Avg!$C$2:$I$69,4,FALSE)-VLOOKUP($C53,Crowd!$B$2:$H$65,4,FALSE))*VLOOKUP($C53,Avg!$C$2:$I$69,4,FALSE)</f>
        <v>5.3070405496439044E-2</v>
      </c>
      <c r="G53" s="7">
        <f>VLOOKUP($C53,Avg!$C$2:$I$69,5,FALSE)-VLOOKUP($C53,Crowd!$B$2:$H$65,5,FALSE)</f>
        <v>1.6875545422739228E-3</v>
      </c>
      <c r="H53" s="7">
        <f>(10+20+40+80+160)*(VLOOKUP($C53,Avg!$C$2:$I$69,6,FALSE)-VLOOKUP($C53,Crowd!$B$2:$H$65,6,FALSE))*VLOOKUP($C53,Avg!$C$2:$I$69,6,FALSE)</f>
        <v>-7.6585097833812774E-4</v>
      </c>
      <c r="I53" s="7">
        <f>(10+20+40+80+160+320)*(VLOOKUP($C53,Avg!$C$2:$I$69,7,FALSE)-VLOOKUP($C53,Crowd!$B$2:$H$65,7,FALSE))*VLOOKUP($C53,Avg!$C$2:$I$69,7,FALSE)</f>
        <v>-6.1988047055032294E-4</v>
      </c>
    </row>
    <row r="54" spans="1:9" ht="16" x14ac:dyDescent="0.2">
      <c r="A54" s="11">
        <v>6</v>
      </c>
      <c r="B54" s="11" t="s">
        <v>18</v>
      </c>
      <c r="C54" s="11" t="s">
        <v>35</v>
      </c>
      <c r="D54" s="12">
        <f>10*(VLOOKUP($C54,Avg!$C$2:$I$69,2,FALSE)-VLOOKUP($C54,Crowd!$B$2:$H$65,2,FALSE))*VLOOKUP($C54,Avg!$C$2:$I$69,2,FALSE)</f>
        <v>-0.45385211630229633</v>
      </c>
      <c r="E54" s="12">
        <f>(10+20)*(VLOOKUP($C54,Avg!$C$2:$I$69,3,FALSE)-VLOOKUP($C54,Crowd!$B$2:$H$65,3,FALSE))*VLOOKUP($C54,Avg!$C$2:$I$69,3,FALSE)</f>
        <v>0.82259473295708696</v>
      </c>
      <c r="F54" s="12">
        <f>(10+20+40)*(VLOOKUP($C54,Avg!$C$2:$I$69,4,FALSE)-VLOOKUP($C54,Crowd!$B$2:$H$65,4,FALSE))*VLOOKUP($C54,Avg!$C$2:$I$69,4,FALSE)</f>
        <v>1.1430206678268093</v>
      </c>
      <c r="G54" s="7">
        <f>VLOOKUP($C54,Avg!$C$2:$I$69,5,FALSE)-VLOOKUP($C54,Crowd!$B$2:$H$65,5,FALSE)</f>
        <v>3.7377032519068223E-2</v>
      </c>
      <c r="H54" s="7">
        <f>(10+20+40+80+160)*(VLOOKUP($C54,Avg!$C$2:$I$69,6,FALSE)-VLOOKUP($C54,Crowd!$B$2:$H$65,6,FALSE))*VLOOKUP($C54,Avg!$C$2:$I$69,6,FALSE)</f>
        <v>0.13560221848453222</v>
      </c>
      <c r="I54" s="7">
        <f>(10+20+40+80+160+320)*(VLOOKUP($C54,Avg!$C$2:$I$69,7,FALSE)-VLOOKUP($C54,Crowd!$B$2:$H$65,7,FALSE))*VLOOKUP($C54,Avg!$C$2:$I$69,7,FALSE)</f>
        <v>9.0016406152243988E-2</v>
      </c>
    </row>
    <row r="55" spans="1:9" ht="16" x14ac:dyDescent="0.2">
      <c r="A55" s="11">
        <v>10</v>
      </c>
      <c r="B55" s="11" t="s">
        <v>20</v>
      </c>
      <c r="C55" s="11" t="s">
        <v>60</v>
      </c>
      <c r="D55" s="7">
        <f>10*(VLOOKUP($C55,Avg!$C$2:$I$69,2,FALSE)-VLOOKUP($C55,Crowd!$B$2:$H$65,2,FALSE))*VLOOKUP($C55,Avg!$C$2:$I$69,2,FALSE)</f>
        <v>-0.46592988549813719</v>
      </c>
      <c r="E55" s="7">
        <f>(10+20)*(VLOOKUP($C55,Avg!$C$2:$I$69,3,FALSE)-VLOOKUP($C55,Crowd!$B$2:$H$65,3,FALSE))*VLOOKUP($C55,Avg!$C$2:$I$69,3,FALSE)</f>
        <v>2.8098753519083065E-2</v>
      </c>
      <c r="F55" s="7">
        <f>(10+20+40)*(VLOOKUP($C55,Avg!$C$2:$I$69,4,FALSE)-VLOOKUP($C55,Crowd!$B$2:$H$65,4,FALSE))*VLOOKUP($C55,Avg!$C$2:$I$69,4,FALSE)</f>
        <v>5.9749979143799477E-3</v>
      </c>
      <c r="G55" s="7">
        <f>VLOOKUP($C55,Avg!$C$2:$I$69,5,FALSE)-VLOOKUP($C55,Crowd!$B$2:$H$65,5,FALSE)</f>
        <v>-1.6833285182250822E-3</v>
      </c>
      <c r="H55" s="7">
        <f>(10+20+40+80+160)*(VLOOKUP($C55,Avg!$C$2:$I$69,6,FALSE)-VLOOKUP($C55,Crowd!$B$2:$H$65,6,FALSE))*VLOOKUP($C55,Avg!$C$2:$I$69,6,FALSE)</f>
        <v>-3.0997594870071877E-4</v>
      </c>
      <c r="I55" s="7">
        <f>(10+20+40+80+160+320)*(VLOOKUP($C55,Avg!$C$2:$I$69,7,FALSE)-VLOOKUP($C55,Crowd!$B$2:$H$65,7,FALSE))*VLOOKUP($C55,Avg!$C$2:$I$69,7,FALSE)</f>
        <v>-1.2756139207586913E-4</v>
      </c>
    </row>
    <row r="56" spans="1:9" ht="16" x14ac:dyDescent="0.2">
      <c r="A56" s="11">
        <v>9</v>
      </c>
      <c r="B56" s="11" t="s">
        <v>20</v>
      </c>
      <c r="C56" s="11" t="s">
        <v>50</v>
      </c>
      <c r="D56" s="7">
        <f>10*(VLOOKUP($C56,Avg!$C$2:$I$69,2,FALSE)-VLOOKUP($C56,Crowd!$B$2:$H$65,2,FALSE))*VLOOKUP($C56,Avg!$C$2:$I$69,2,FALSE)</f>
        <v>-0.46918346373375025</v>
      </c>
      <c r="E56" s="7">
        <f>(10+20)*(VLOOKUP($C56,Avg!$C$2:$I$69,3,FALSE)-VLOOKUP($C56,Crowd!$B$2:$H$65,3,FALSE))*VLOOKUP($C56,Avg!$C$2:$I$69,3,FALSE)</f>
        <v>-7.9449512356774901E-3</v>
      </c>
      <c r="F56" s="7">
        <f>(10+20+40)*(VLOOKUP($C56,Avg!$C$2:$I$69,4,FALSE)-VLOOKUP($C56,Crowd!$B$2:$H$65,4,FALSE))*VLOOKUP($C56,Avg!$C$2:$I$69,4,FALSE)</f>
        <v>-2.9926376511362584E-3</v>
      </c>
      <c r="G56" s="7">
        <f>VLOOKUP($C56,Avg!$C$2:$I$69,5,FALSE)-VLOOKUP($C56,Crowd!$B$2:$H$65,5,FALSE)</f>
        <v>-1.9513836823733342E-3</v>
      </c>
      <c r="H56" s="7">
        <f>(10+20+40+80+160)*(VLOOKUP($C56,Avg!$C$2:$I$69,6,FALSE)-VLOOKUP($C56,Crowd!$B$2:$H$65,6,FALSE))*VLOOKUP($C56,Avg!$C$2:$I$69,6,FALSE)</f>
        <v>-2.0434045865192307E-4</v>
      </c>
      <c r="I56" s="7">
        <f>(10+20+40+80+160+320)*(VLOOKUP($C56,Avg!$C$2:$I$69,7,FALSE)-VLOOKUP($C56,Crowd!$B$2:$H$65,7,FALSE))*VLOOKUP($C56,Avg!$C$2:$I$69,7,FALSE)</f>
        <v>-1.5727256438791956E-4</v>
      </c>
    </row>
    <row r="57" spans="1:9" ht="16" x14ac:dyDescent="0.2">
      <c r="A57" s="11">
        <v>8</v>
      </c>
      <c r="B57" s="11" t="s">
        <v>20</v>
      </c>
      <c r="C57" s="11" t="s">
        <v>63</v>
      </c>
      <c r="D57" s="7">
        <f>10*(VLOOKUP($C57,Avg!$C$2:$I$69,2,FALSE)-VLOOKUP($C57,Crowd!$B$2:$H$65,2,FALSE))*VLOOKUP($C57,Avg!$C$2:$I$69,2,FALSE)</f>
        <v>-0.62483780047745185</v>
      </c>
      <c r="E57" s="7">
        <f>(10+20)*(VLOOKUP($C57,Avg!$C$2:$I$69,3,FALSE)-VLOOKUP($C57,Crowd!$B$2:$H$65,3,FALSE))*VLOOKUP($C57,Avg!$C$2:$I$69,3,FALSE)</f>
        <v>-2.3943965864640995E-2</v>
      </c>
      <c r="F57" s="7">
        <f>(10+20+40)*(VLOOKUP($C57,Avg!$C$2:$I$69,4,FALSE)-VLOOKUP($C57,Crowd!$B$2:$H$65,4,FALSE))*VLOOKUP($C57,Avg!$C$2:$I$69,4,FALSE)</f>
        <v>-8.3239324885624206E-3</v>
      </c>
      <c r="G57" s="7">
        <f>VLOOKUP($C57,Avg!$C$2:$I$69,5,FALSE)-VLOOKUP($C57,Crowd!$B$2:$H$65,5,FALSE)</f>
        <v>-4.3252088871000866E-3</v>
      </c>
      <c r="H57" s="7">
        <f>(10+20+40+80+160)*(VLOOKUP($C57,Avg!$C$2:$I$69,6,FALSE)-VLOOKUP($C57,Crowd!$B$2:$H$65,6,FALSE))*VLOOKUP($C57,Avg!$C$2:$I$69,6,FALSE)</f>
        <v>-6.0930364814565483E-4</v>
      </c>
      <c r="I57" s="7">
        <f>(10+20+40+80+160+320)*(VLOOKUP($C57,Avg!$C$2:$I$69,7,FALSE)-VLOOKUP($C57,Crowd!$B$2:$H$65,7,FALSE))*VLOOKUP($C57,Avg!$C$2:$I$69,7,FALSE)</f>
        <v>-3.4610129932921471E-4</v>
      </c>
    </row>
    <row r="58" spans="1:9" ht="16" x14ac:dyDescent="0.2">
      <c r="A58" s="11">
        <v>10</v>
      </c>
      <c r="B58" s="11" t="s">
        <v>18</v>
      </c>
      <c r="C58" s="11" t="s">
        <v>56</v>
      </c>
      <c r="D58" s="12">
        <f>10*(VLOOKUP($C58,Avg!$C$2:$I$69,2,FALSE)-VLOOKUP($C58,Crowd!$B$2:$H$65,2,FALSE))*VLOOKUP($C58,Avg!$C$2:$I$69,2,FALSE)</f>
        <v>-0.70175996540006735</v>
      </c>
      <c r="E58" s="12">
        <f>(10+20)*(VLOOKUP($C58,Avg!$C$2:$I$69,3,FALSE)-VLOOKUP($C58,Crowd!$B$2:$H$65,3,FALSE))*VLOOKUP($C58,Avg!$C$2:$I$69,3,FALSE)</f>
        <v>0.10505365719816291</v>
      </c>
      <c r="F58" s="7">
        <f>(10+20+40)*(VLOOKUP($C58,Avg!$C$2:$I$69,4,FALSE)-VLOOKUP($C58,Crowd!$B$2:$H$65,4,FALSE))*VLOOKUP($C58,Avg!$C$2:$I$69,4,FALSE)</f>
        <v>1.3495728622599701E-2</v>
      </c>
      <c r="G58" s="7">
        <f>VLOOKUP($C58,Avg!$C$2:$I$69,5,FALSE)-VLOOKUP($C58,Crowd!$B$2:$H$65,5,FALSE)</f>
        <v>2.8300371998842694E-4</v>
      </c>
      <c r="H58" s="7">
        <f>(10+20+40+80+160)*(VLOOKUP($C58,Avg!$C$2:$I$69,6,FALSE)-VLOOKUP($C58,Crowd!$B$2:$H$65,6,FALSE))*VLOOKUP($C58,Avg!$C$2:$I$69,6,FALSE)</f>
        <v>-1.0844055547225242E-4</v>
      </c>
      <c r="I58" s="7">
        <f>(10+20+40+80+160+320)*(VLOOKUP($C58,Avg!$C$2:$I$69,7,FALSE)-VLOOKUP($C58,Crowd!$B$2:$H$65,7,FALSE))*VLOOKUP($C58,Avg!$C$2:$I$69,7,FALSE)</f>
        <v>-1.5656901629983291E-4</v>
      </c>
    </row>
    <row r="59" spans="1:9" ht="16" x14ac:dyDescent="0.2">
      <c r="A59" s="11">
        <v>6</v>
      </c>
      <c r="B59" s="11" t="s">
        <v>20</v>
      </c>
      <c r="C59" s="11" t="s">
        <v>62</v>
      </c>
      <c r="D59" s="7">
        <f>10*(VLOOKUP($C59,Avg!$C$2:$I$69,2,FALSE)-VLOOKUP($C59,Crowd!$B$2:$H$65,2,FALSE))*VLOOKUP($C59,Avg!$C$2:$I$69,2,FALSE)</f>
        <v>-0.8200565631575899</v>
      </c>
      <c r="E59" s="7">
        <f>(10+20)*(VLOOKUP($C59,Avg!$C$2:$I$69,3,FALSE)-VLOOKUP($C59,Crowd!$B$2:$H$65,3,FALSE))*VLOOKUP($C59,Avg!$C$2:$I$69,3,FALSE)</f>
        <v>-0.2844936132981542</v>
      </c>
      <c r="F59" s="7">
        <f>(10+20+40)*(VLOOKUP($C59,Avg!$C$2:$I$69,4,FALSE)-VLOOKUP($C59,Crowd!$B$2:$H$65,4,FALSE))*VLOOKUP($C59,Avg!$C$2:$I$69,4,FALSE)</f>
        <v>-3.5503302956720953E-2</v>
      </c>
      <c r="G59" s="7">
        <f>VLOOKUP($C59,Avg!$C$2:$I$69,5,FALSE)-VLOOKUP($C59,Crowd!$B$2:$H$65,5,FALSE)</f>
        <v>-1.0543071946976632E-2</v>
      </c>
      <c r="H59" s="7">
        <f>(10+20+40+80+160)*(VLOOKUP($C59,Avg!$C$2:$I$69,6,FALSE)-VLOOKUP($C59,Crowd!$B$2:$H$65,6,FALSE))*VLOOKUP($C59,Avg!$C$2:$I$69,6,FALSE)</f>
        <v>-1.4531703576669069E-3</v>
      </c>
      <c r="I59" s="7">
        <f>(10+20+40+80+160+320)*(VLOOKUP($C59,Avg!$C$2:$I$69,7,FALSE)-VLOOKUP($C59,Crowd!$B$2:$H$65,7,FALSE))*VLOOKUP($C59,Avg!$C$2:$I$69,7,FALSE)</f>
        <v>-3.5127101779126928E-4</v>
      </c>
    </row>
    <row r="60" spans="1:9" ht="16" x14ac:dyDescent="0.2">
      <c r="A60" s="11">
        <v>6</v>
      </c>
      <c r="B60" s="11" t="s">
        <v>24</v>
      </c>
      <c r="C60" s="11" t="s">
        <v>42</v>
      </c>
      <c r="D60" s="12">
        <f>10*(VLOOKUP($C60,Avg!$C$2:$I$69,2,FALSE)-VLOOKUP($C60,Crowd!$B$2:$H$65,2,FALSE))*VLOOKUP($C60,Avg!$C$2:$I$69,2,FALSE)</f>
        <v>-1.0717290057372486</v>
      </c>
      <c r="E60" s="12">
        <f>(10+20)*(VLOOKUP($C60,Avg!$C$2:$I$69,3,FALSE)-VLOOKUP($C60,Crowd!$B$2:$H$65,3,FALSE))*VLOOKUP($C60,Avg!$C$2:$I$69,3,FALSE)</f>
        <v>1.3941739896390901</v>
      </c>
      <c r="F60" s="7">
        <f>(10+20+40)*(VLOOKUP($C60,Avg!$C$2:$I$69,4,FALSE)-VLOOKUP($C60,Crowd!$B$2:$H$65,4,FALSE))*VLOOKUP($C60,Avg!$C$2:$I$69,4,FALSE)</f>
        <v>0.39086702121010619</v>
      </c>
      <c r="G60" s="7">
        <f>VLOOKUP($C60,Avg!$C$2:$I$69,5,FALSE)-VLOOKUP($C60,Crowd!$B$2:$H$65,5,FALSE)</f>
        <v>2.4577134442636209E-2</v>
      </c>
      <c r="H60" s="7">
        <f>(10+20+40+80+160)*(VLOOKUP($C60,Avg!$C$2:$I$69,6,FALSE)-VLOOKUP($C60,Crowd!$B$2:$H$65,6,FALSE))*VLOOKUP($C60,Avg!$C$2:$I$69,6,FALSE)</f>
        <v>6.5959836969079519E-2</v>
      </c>
      <c r="I60" s="7">
        <f>(10+20+40+80+160+320)*(VLOOKUP($C60,Avg!$C$2:$I$69,7,FALSE)-VLOOKUP($C60,Crowd!$B$2:$H$65,7,FALSE))*VLOOKUP($C60,Avg!$C$2:$I$69,7,FALSE)</f>
        <v>1.9198219380770935E-2</v>
      </c>
    </row>
    <row r="61" spans="1:9" ht="16" x14ac:dyDescent="0.2">
      <c r="A61" s="11">
        <v>7</v>
      </c>
      <c r="B61" s="11" t="s">
        <v>22</v>
      </c>
      <c r="C61" s="11" t="s">
        <v>44</v>
      </c>
      <c r="D61" s="7">
        <f>10*(VLOOKUP($C61,Avg!$C$2:$I$69,2,FALSE)-VLOOKUP($C61,Crowd!$B$2:$H$65,2,FALSE))*VLOOKUP($C61,Avg!$C$2:$I$69,2,FALSE)</f>
        <v>-1.0899629967322926</v>
      </c>
      <c r="E61" s="7">
        <f>(10+20)*(VLOOKUP($C61,Avg!$C$2:$I$69,3,FALSE)-VLOOKUP($C61,Crowd!$B$2:$H$65,3,FALSE))*VLOOKUP($C61,Avg!$C$2:$I$69,3,FALSE)</f>
        <v>-0.19312237439897012</v>
      </c>
      <c r="F61" s="7">
        <f>(10+20+40)*(VLOOKUP($C61,Avg!$C$2:$I$69,4,FALSE)-VLOOKUP($C61,Crowd!$B$2:$H$65,4,FALSE))*VLOOKUP($C61,Avg!$C$2:$I$69,4,FALSE)</f>
        <v>-0.29454296759564857</v>
      </c>
      <c r="G61" s="7">
        <f>VLOOKUP($C61,Avg!$C$2:$I$69,5,FALSE)-VLOOKUP($C61,Crowd!$B$2:$H$65,5,FALSE)</f>
        <v>-1.7692800227054037E-2</v>
      </c>
      <c r="H61" s="7">
        <f>(10+20+40+80+160)*(VLOOKUP($C61,Avg!$C$2:$I$69,6,FALSE)-VLOOKUP($C61,Crowd!$B$2:$H$65,6,FALSE))*VLOOKUP($C61,Avg!$C$2:$I$69,6,FALSE)</f>
        <v>-1.8775304422083139E-2</v>
      </c>
      <c r="I61" s="7">
        <f>(10+20+40+80+160+320)*(VLOOKUP($C61,Avg!$C$2:$I$69,7,FALSE)-VLOOKUP($C61,Crowd!$B$2:$H$65,7,FALSE))*VLOOKUP($C61,Avg!$C$2:$I$69,7,FALSE)</f>
        <v>-1.9033190104747213E-2</v>
      </c>
    </row>
    <row r="62" spans="1:9" ht="16" x14ac:dyDescent="0.2">
      <c r="A62" s="11">
        <v>3</v>
      </c>
      <c r="B62" s="11" t="s">
        <v>20</v>
      </c>
      <c r="C62" s="11" t="s">
        <v>41</v>
      </c>
      <c r="D62" s="7">
        <f>10*(VLOOKUP($C62,Avg!$C$2:$I$69,2,FALSE)-VLOOKUP($C62,Crowd!$B$2:$H$65,2,FALSE))*VLOOKUP($C62,Avg!$C$2:$I$69,2,FALSE)</f>
        <v>-1.387466649020882</v>
      </c>
      <c r="E62" s="7">
        <f>(10+20)*(VLOOKUP($C62,Avg!$C$2:$I$69,3,FALSE)-VLOOKUP($C62,Crowd!$B$2:$H$65,3,FALSE))*VLOOKUP($C62,Avg!$C$2:$I$69,3,FALSE)</f>
        <v>-2.1379108505638458</v>
      </c>
      <c r="F62" s="7">
        <f>(10+20+40)*(VLOOKUP($C62,Avg!$C$2:$I$69,4,FALSE)-VLOOKUP($C62,Crowd!$B$2:$H$65,4,FALSE))*VLOOKUP($C62,Avg!$C$2:$I$69,4,FALSE)</f>
        <v>-0.17097684248366815</v>
      </c>
      <c r="G62" s="7">
        <f>VLOOKUP($C62,Avg!$C$2:$I$69,5,FALSE)-VLOOKUP($C62,Crowd!$B$2:$H$65,5,FALSE)</f>
        <v>-2.4137986625713231E-2</v>
      </c>
      <c r="H62" s="7">
        <f>(10+20+40+80+160)*(VLOOKUP($C62,Avg!$C$2:$I$69,6,FALSE)-VLOOKUP($C62,Crowd!$B$2:$H$65,6,FALSE))*VLOOKUP($C62,Avg!$C$2:$I$69,6,FALSE)</f>
        <v>-1.2982145171459427E-2</v>
      </c>
      <c r="I62" s="7">
        <f>(10+20+40+80+160+320)*(VLOOKUP($C62,Avg!$C$2:$I$69,7,FALSE)-VLOOKUP($C62,Crowd!$B$2:$H$65,7,FALSE))*VLOOKUP($C62,Avg!$C$2:$I$69,7,FALSE)</f>
        <v>1.2555671948962716E-3</v>
      </c>
    </row>
    <row r="63" spans="1:9" ht="16" x14ac:dyDescent="0.2">
      <c r="A63" s="11">
        <v>5</v>
      </c>
      <c r="B63" s="11" t="s">
        <v>20</v>
      </c>
      <c r="C63" s="11" t="s">
        <v>45</v>
      </c>
      <c r="D63" s="7">
        <f>10*(VLOOKUP($C63,Avg!$C$2:$I$69,2,FALSE)-VLOOKUP($C63,Crowd!$B$2:$H$65,2,FALSE))*VLOOKUP($C63,Avg!$C$2:$I$69,2,FALSE)</f>
        <v>-1.6577908998487785</v>
      </c>
      <c r="E63" s="7">
        <f>(10+20)*(VLOOKUP($C63,Avg!$C$2:$I$69,3,FALSE)-VLOOKUP($C63,Crowd!$B$2:$H$65,3,FALSE))*VLOOKUP($C63,Avg!$C$2:$I$69,3,FALSE)</f>
        <v>-1.4236239959805694</v>
      </c>
      <c r="F63" s="7">
        <f>(10+20+40)*(VLOOKUP($C63,Avg!$C$2:$I$69,4,FALSE)-VLOOKUP($C63,Crowd!$B$2:$H$65,4,FALSE))*VLOOKUP($C63,Avg!$C$2:$I$69,4,FALSE)</f>
        <v>-0.42651921326668985</v>
      </c>
      <c r="G63" s="7">
        <f>VLOOKUP($C63,Avg!$C$2:$I$69,5,FALSE)-VLOOKUP($C63,Crowd!$B$2:$H$65,5,FALSE)</f>
        <v>-4.5897739406710825E-2</v>
      </c>
      <c r="H63" s="7">
        <f>(10+20+40+80+160)*(VLOOKUP($C63,Avg!$C$2:$I$69,6,FALSE)-VLOOKUP($C63,Crowd!$B$2:$H$65,6,FALSE))*VLOOKUP($C63,Avg!$C$2:$I$69,6,FALSE)</f>
        <v>-2.3681957794084236E-2</v>
      </c>
      <c r="I63" s="7">
        <f>(10+20+40+80+160+320)*(VLOOKUP($C63,Avg!$C$2:$I$69,7,FALSE)-VLOOKUP($C63,Crowd!$B$2:$H$65,7,FALSE))*VLOOKUP($C63,Avg!$C$2:$I$69,7,FALSE)</f>
        <v>-7.4347151844432876E-3</v>
      </c>
    </row>
    <row r="64" spans="1:9" ht="16" x14ac:dyDescent="0.2">
      <c r="A64" s="11">
        <v>3</v>
      </c>
      <c r="B64" s="11" t="s">
        <v>18</v>
      </c>
      <c r="C64" s="11" t="s">
        <v>37</v>
      </c>
      <c r="D64" s="7">
        <f>10*(VLOOKUP($C64,Avg!$C$2:$I$69,2,FALSE)-VLOOKUP($C64,Crowd!$B$2:$H$65,2,FALSE))*VLOOKUP($C64,Avg!$C$2:$I$69,2,FALSE)</f>
        <v>-1.7885778136179384</v>
      </c>
      <c r="E64" s="7">
        <f>(10+20)*(VLOOKUP($C64,Avg!$C$2:$I$69,3,FALSE)-VLOOKUP($C64,Crowd!$B$2:$H$65,3,FALSE))*VLOOKUP($C64,Avg!$C$2:$I$69,3,FALSE)</f>
        <v>-2.4373662083772314</v>
      </c>
      <c r="F64" s="7">
        <f>(10+20+40)*(VLOOKUP($C64,Avg!$C$2:$I$69,4,FALSE)-VLOOKUP($C64,Crowd!$B$2:$H$65,4,FALSE))*VLOOKUP($C64,Avg!$C$2:$I$69,4,FALSE)</f>
        <v>-0.21368694267799829</v>
      </c>
      <c r="G64" s="7">
        <f>VLOOKUP($C64,Avg!$C$2:$I$69,5,FALSE)-VLOOKUP($C64,Crowd!$B$2:$H$65,5,FALSE)</f>
        <v>-8.7615295351139502E-3</v>
      </c>
      <c r="H64" s="7">
        <f>(10+20+40+80+160)*(VLOOKUP($C64,Avg!$C$2:$I$69,6,FALSE)-VLOOKUP($C64,Crowd!$B$2:$H$65,6,FALSE))*VLOOKUP($C64,Avg!$C$2:$I$69,6,FALSE)</f>
        <v>-1.2878415956044206E-2</v>
      </c>
      <c r="I64" s="7">
        <f>(10+20+40+80+160+320)*(VLOOKUP($C64,Avg!$C$2:$I$69,7,FALSE)-VLOOKUP($C64,Crowd!$B$2:$H$65,7,FALSE))*VLOOKUP($C64,Avg!$C$2:$I$69,7,FALSE)</f>
        <v>9.2206639431562688E-3</v>
      </c>
    </row>
    <row r="65" spans="1:9" ht="16" x14ac:dyDescent="0.2">
      <c r="A65" s="11">
        <v>2</v>
      </c>
      <c r="B65" s="11" t="s">
        <v>20</v>
      </c>
      <c r="C65" s="11" t="s">
        <v>28</v>
      </c>
      <c r="D65" s="7">
        <f>10*(VLOOKUP($C65,Avg!$C$2:$I$69,2,FALSE)-VLOOKUP($C65,Crowd!$B$2:$H$65,2,FALSE))*VLOOKUP($C65,Avg!$C$2:$I$69,2,FALSE)</f>
        <v>-2.0665670422607385</v>
      </c>
      <c r="E65" s="7">
        <f>(10+20)*(VLOOKUP($C65,Avg!$C$2:$I$69,3,FALSE)-VLOOKUP($C65,Crowd!$B$2:$H$65,3,FALSE))*VLOOKUP($C65,Avg!$C$2:$I$69,3,FALSE)</f>
        <v>-5.3238944524600607</v>
      </c>
      <c r="F65" s="7">
        <f>(10+20+40)*(VLOOKUP($C65,Avg!$C$2:$I$69,4,FALSE)-VLOOKUP($C65,Crowd!$B$2:$H$65,4,FALSE))*VLOOKUP($C65,Avg!$C$2:$I$69,4,FALSE)</f>
        <v>-8.2063894312784669</v>
      </c>
      <c r="G65" s="7">
        <f>VLOOKUP($C65,Avg!$C$2:$I$69,5,FALSE)-VLOOKUP($C65,Crowd!$B$2:$H$65,5,FALSE)</f>
        <v>-0.32875800557189966</v>
      </c>
      <c r="H65" s="7">
        <f>(10+20+40+80+160)*(VLOOKUP($C65,Avg!$C$2:$I$69,6,FALSE)-VLOOKUP($C65,Crowd!$B$2:$H$65,6,FALSE))*VLOOKUP($C65,Avg!$C$2:$I$69,6,FALSE)</f>
        <v>-1.0874230732352597</v>
      </c>
      <c r="I65" s="7">
        <f>(10+20+40+80+160+320)*(VLOOKUP($C65,Avg!$C$2:$I$69,7,FALSE)-VLOOKUP($C65,Crowd!$B$2:$H$65,7,FALSE))*VLOOKUP($C65,Avg!$C$2:$I$69,7,FALSE)</f>
        <v>-0.44335608462125198</v>
      </c>
    </row>
  </sheetData>
  <autoFilter ref="A1:I65">
    <sortState ref="A2:I65">
      <sortCondition descending="1" ref="D1:D65"/>
    </sortState>
  </autoFilter>
  <conditionalFormatting sqref="D2:I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fte2017</vt:lpstr>
      <vt:lpstr>kenpom2017</vt:lpstr>
      <vt:lpstr>powerrank2017</vt:lpstr>
      <vt:lpstr>chalk2017</vt:lpstr>
      <vt:lpstr>Avg</vt:lpstr>
      <vt:lpstr>Diff</vt:lpstr>
      <vt:lpstr>Crowd</vt:lpstr>
      <vt:lpstr>Value Picks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Flack, Andrew C</dc:creator>
  <cp:lastModifiedBy>Microsoft Office User</cp:lastModifiedBy>
  <dcterms:created xsi:type="dcterms:W3CDTF">2017-03-13T14:14:05Z</dcterms:created>
  <dcterms:modified xsi:type="dcterms:W3CDTF">2017-03-14T02:54:15Z</dcterms:modified>
</cp:coreProperties>
</file>