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harts/chart7.xml" ContentType="application/vnd.openxmlformats-officedocument.drawingml.chart+xml"/>
  <Override PartName="/xl/charts/style7.xml" ContentType="application/vnd.ms-office.chartstyle+xml"/>
  <Override PartName="/xl/charts/colors7.xml" ContentType="application/vnd.ms-office.chartcolorstyle+xml"/>
  <Override PartName="/xl/charts/chart8.xml" ContentType="application/vnd.openxmlformats-officedocument.drawingml.chart+xml"/>
  <Override PartName="/xl/charts/style8.xml" ContentType="application/vnd.ms-office.chartstyle+xml"/>
  <Override PartName="/xl/charts/colors8.xml" ContentType="application/vnd.ms-office.chartcolorstyle+xml"/>
  <Override PartName="/xl/charts/chart9.xml" ContentType="application/vnd.openxmlformats-officedocument.drawingml.chart+xml"/>
  <Override PartName="/xl/charts/style9.xml" ContentType="application/vnd.ms-office.chartstyle+xml"/>
  <Override PartName="/xl/charts/colors9.xml" ContentType="application/vnd.ms-office.chartcolorstyle+xml"/>
  <Override PartName="/xl/charts/chart10.xml" ContentType="application/vnd.openxmlformats-officedocument.drawingml.chart+xml"/>
  <Override PartName="/xl/charts/style10.xml" ContentType="application/vnd.ms-office.chartstyle+xml"/>
  <Override PartName="/xl/charts/colors10.xml" ContentType="application/vnd.ms-office.chartcolorstyle+xml"/>
  <Override PartName="/xl/charts/chart11.xml" ContentType="application/vnd.openxmlformats-officedocument.drawingml.chart+xml"/>
  <Override PartName="/xl/charts/style11.xml" ContentType="application/vnd.ms-office.chartstyle+xml"/>
  <Override PartName="/xl/charts/colors11.xml" ContentType="application/vnd.ms-office.chartcolorstyle+xml"/>
  <Override PartName="/xl/charts/chart12.xml" ContentType="application/vnd.openxmlformats-officedocument.drawingml.chart+xml"/>
  <Override PartName="/xl/charts/style12.xml" ContentType="application/vnd.ms-office.chartstyle+xml"/>
  <Override PartName="/xl/charts/colors12.xml" ContentType="application/vnd.ms-office.chartcolorstyle+xml"/>
  <Override PartName="/xl/charts/chart13.xml" ContentType="application/vnd.openxmlformats-officedocument.drawingml.chart+xml"/>
  <Override PartName="/xl/charts/style13.xml" ContentType="application/vnd.ms-office.chartstyle+xml"/>
  <Override PartName="/xl/charts/colors13.xml" ContentType="application/vnd.ms-office.chartcolorstyle+xml"/>
  <Override PartName="/xl/charts/chart14.xml" ContentType="application/vnd.openxmlformats-officedocument.drawingml.chart+xml"/>
  <Override PartName="/xl/charts/style14.xml" ContentType="application/vnd.ms-office.chartstyle+xml"/>
  <Override PartName="/xl/charts/colors14.xml" ContentType="application/vnd.ms-office.chartcolorstyle+xml"/>
  <Override PartName="/xl/charts/chart15.xml" ContentType="application/vnd.openxmlformats-officedocument.drawingml.chart+xml"/>
  <Override PartName="/xl/charts/style15.xml" ContentType="application/vnd.ms-office.chartstyle+xml"/>
  <Override PartName="/xl/charts/colors15.xml" ContentType="application/vnd.ms-office.chartcolorstyle+xml"/>
  <Override PartName="/xl/charts/chart16.xml" ContentType="application/vnd.openxmlformats-officedocument.drawingml.chart+xml"/>
  <Override PartName="/xl/charts/style16.xml" ContentType="application/vnd.ms-office.chartstyle+xml"/>
  <Override PartName="/xl/charts/colors16.xml" ContentType="application/vnd.ms-office.chartcolorstyle+xml"/>
  <Override PartName="/xl/charts/chart17.xml" ContentType="application/vnd.openxmlformats-officedocument.drawingml.chart+xml"/>
  <Override PartName="/xl/charts/style17.xml" ContentType="application/vnd.ms-office.chartstyle+xml"/>
  <Override PartName="/xl/charts/colors17.xml" ContentType="application/vnd.ms-office.chartcolorstyle+xml"/>
  <Override PartName="/xl/charts/chart18.xml" ContentType="application/vnd.openxmlformats-officedocument.drawingml.chart+xml"/>
  <Override PartName="/xl/charts/style18.xml" ContentType="application/vnd.ms-office.chartstyle+xml"/>
  <Override PartName="/xl/charts/colors18.xml" ContentType="application/vnd.ms-office.chartcolorstyle+xml"/>
  <Override PartName="/xl/charts/chart19.xml" ContentType="application/vnd.openxmlformats-officedocument.drawingml.chart+xml"/>
  <Override PartName="/xl/charts/style19.xml" ContentType="application/vnd.ms-office.chartstyle+xml"/>
  <Override PartName="/xl/charts/colors19.xml" ContentType="application/vnd.ms-office.chartcolorstyle+xml"/>
  <Override PartName="/xl/charts/chart20.xml" ContentType="application/vnd.openxmlformats-officedocument.drawingml.chart+xml"/>
  <Override PartName="/xl/charts/style20.xml" ContentType="application/vnd.ms-office.chartstyle+xml"/>
  <Override PartName="/xl/charts/colors20.xml" ContentType="application/vnd.ms-office.chartcolorstyle+xml"/>
  <Override PartName="/xl/charts/chart21.xml" ContentType="application/vnd.openxmlformats-officedocument.drawingml.chart+xml"/>
  <Override PartName="/xl/charts/style21.xml" ContentType="application/vnd.ms-office.chartstyle+xml"/>
  <Override PartName="/xl/charts/colors21.xml" ContentType="application/vnd.ms-office.chartcolorstyle+xml"/>
  <Override PartName="/xl/charts/chart22.xml" ContentType="application/vnd.openxmlformats-officedocument.drawingml.chart+xml"/>
  <Override PartName="/xl/charts/style22.xml" ContentType="application/vnd.ms-office.chartstyle+xml"/>
  <Override PartName="/xl/charts/colors22.xml" ContentType="application/vnd.ms-office.chartcolorstyle+xml"/>
  <Override PartName="/xl/charts/chart23.xml" ContentType="application/vnd.openxmlformats-officedocument.drawingml.chart+xml"/>
  <Override PartName="/xl/charts/style23.xml" ContentType="application/vnd.ms-office.chartstyle+xml"/>
  <Override PartName="/xl/charts/colors23.xml" ContentType="application/vnd.ms-office.chartcolorstyle+xml"/>
  <Override PartName="/xl/charts/chart24.xml" ContentType="application/vnd.openxmlformats-officedocument.drawingml.chart+xml"/>
  <Override PartName="/xl/charts/style24.xml" ContentType="application/vnd.ms-office.chartstyle+xml"/>
  <Override PartName="/xl/charts/colors24.xml" ContentType="application/vnd.ms-office.chartcolorstyle+xml"/>
  <Override PartName="/xl/charts/chart25.xml" ContentType="application/vnd.openxmlformats-officedocument.drawingml.chart+xml"/>
  <Override PartName="/xl/charts/style25.xml" ContentType="application/vnd.ms-office.chartstyle+xml"/>
  <Override PartName="/xl/charts/colors25.xml" ContentType="application/vnd.ms-office.chartcolorstyle+xml"/>
  <Override PartName="/xl/charts/chart26.xml" ContentType="application/vnd.openxmlformats-officedocument.drawingml.chart+xml"/>
  <Override PartName="/xl/charts/style26.xml" ContentType="application/vnd.ms-office.chartstyle+xml"/>
  <Override PartName="/xl/charts/colors26.xml" ContentType="application/vnd.ms-office.chartcolorstyle+xml"/>
  <Override PartName="/xl/charts/chart27.xml" ContentType="application/vnd.openxmlformats-officedocument.drawingml.chart+xml"/>
  <Override PartName="/xl/charts/style27.xml" ContentType="application/vnd.ms-office.chartstyle+xml"/>
  <Override PartName="/xl/charts/colors27.xml" ContentType="application/vnd.ms-office.chartcolorstyle+xml"/>
  <Override PartName="/xl/charts/chart28.xml" ContentType="application/vnd.openxmlformats-officedocument.drawingml.chart+xml"/>
  <Override PartName="/xl/charts/style28.xml" ContentType="application/vnd.ms-office.chartstyle+xml"/>
  <Override PartName="/xl/charts/colors28.xml" ContentType="application/vnd.ms-office.chartcolorstyle+xml"/>
  <Override PartName="/xl/charts/chart29.xml" ContentType="application/vnd.openxmlformats-officedocument.drawingml.chart+xml"/>
  <Override PartName="/xl/charts/style29.xml" ContentType="application/vnd.ms-office.chartstyle+xml"/>
  <Override PartName="/xl/charts/colors29.xml" ContentType="application/vnd.ms-office.chartcolorstyle+xml"/>
  <Override PartName="/xl/charts/chart30.xml" ContentType="application/vnd.openxmlformats-officedocument.drawingml.chart+xml"/>
  <Override PartName="/xl/charts/style30.xml" ContentType="application/vnd.ms-office.chartstyle+xml"/>
  <Override PartName="/xl/charts/colors30.xml" ContentType="application/vnd.ms-office.chartcolorstyle+xml"/>
  <Override PartName="/xl/charts/chart31.xml" ContentType="application/vnd.openxmlformats-officedocument.drawingml.chart+xml"/>
  <Override PartName="/xl/charts/style31.xml" ContentType="application/vnd.ms-office.chartstyle+xml"/>
  <Override PartName="/xl/charts/colors31.xml" ContentType="application/vnd.ms-office.chartcolorstyle+xml"/>
  <Override PartName="/xl/charts/chart32.xml" ContentType="application/vnd.openxmlformats-officedocument.drawingml.chart+xml"/>
  <Override PartName="/xl/charts/style32.xml" ContentType="application/vnd.ms-office.chartstyle+xml"/>
  <Override PartName="/xl/charts/colors32.xml" ContentType="application/vnd.ms-office.chartcolorstyle+xml"/>
  <Override PartName="/xl/charts/chart33.xml" ContentType="application/vnd.openxmlformats-officedocument.drawingml.chart+xml"/>
  <Override PartName="/xl/charts/style33.xml" ContentType="application/vnd.ms-office.chartstyle+xml"/>
  <Override PartName="/xl/charts/colors33.xml" ContentType="application/vnd.ms-office.chartcolorstyle+xml"/>
  <Override PartName="/xl/drawings/drawing2.xml" ContentType="application/vnd.openxmlformats-officedocument.drawing+xml"/>
  <Override PartName="/xl/charts/chart34.xml" ContentType="application/vnd.openxmlformats-officedocument.drawingml.chart+xml"/>
  <Override PartName="/xl/charts/style34.xml" ContentType="application/vnd.ms-office.chartstyle+xml"/>
  <Override PartName="/xl/charts/colors34.xml" ContentType="application/vnd.ms-office.chartcolorstyle+xml"/>
  <Override PartName="/xl/charts/chart35.xml" ContentType="application/vnd.openxmlformats-officedocument.drawingml.chart+xml"/>
  <Override PartName="/xl/charts/style35.xml" ContentType="application/vnd.ms-office.chartstyle+xml"/>
  <Override PartName="/xl/charts/colors35.xml" ContentType="application/vnd.ms-office.chartcolorstyle+xml"/>
  <Override PartName="/xl/charts/chart36.xml" ContentType="application/vnd.openxmlformats-officedocument.drawingml.chart+xml"/>
  <Override PartName="/xl/charts/style36.xml" ContentType="application/vnd.ms-office.chartstyle+xml"/>
  <Override PartName="/xl/charts/colors36.xml" ContentType="application/vnd.ms-office.chartcolorstyle+xml"/>
  <Override PartName="/xl/charts/chart37.xml" ContentType="application/vnd.openxmlformats-officedocument.drawingml.chart+xml"/>
  <Override PartName="/xl/charts/style37.xml" ContentType="application/vnd.ms-office.chartstyle+xml"/>
  <Override PartName="/xl/charts/colors37.xml" ContentType="application/vnd.ms-office.chartcolorstyle+xml"/>
  <Override PartName="/xl/charts/chart38.xml" ContentType="application/vnd.openxmlformats-officedocument.drawingml.chart+xml"/>
  <Override PartName="/xl/charts/style38.xml" ContentType="application/vnd.ms-office.chartstyle+xml"/>
  <Override PartName="/xl/charts/colors38.xml" ContentType="application/vnd.ms-office.chartcolorstyle+xml"/>
  <Override PartName="/xl/charts/chart39.xml" ContentType="application/vnd.openxmlformats-officedocument.drawingml.chart+xml"/>
  <Override PartName="/xl/charts/style39.xml" ContentType="application/vnd.ms-office.chartstyle+xml"/>
  <Override PartName="/xl/charts/colors39.xml" ContentType="application/vnd.ms-office.chartcolorstyle+xml"/>
  <Override PartName="/xl/charts/chart40.xml" ContentType="application/vnd.openxmlformats-officedocument.drawingml.chart+xml"/>
  <Override PartName="/xl/charts/style40.xml" ContentType="application/vnd.ms-office.chartstyle+xml"/>
  <Override PartName="/xl/charts/colors40.xml" ContentType="application/vnd.ms-office.chartcolorstyle+xml"/>
  <Override PartName="/xl/charts/chart41.xml" ContentType="application/vnd.openxmlformats-officedocument.drawingml.chart+xml"/>
  <Override PartName="/xl/charts/style41.xml" ContentType="application/vnd.ms-office.chartstyle+xml"/>
  <Override PartName="/xl/charts/colors41.xml" ContentType="application/vnd.ms-office.chartcolorstyle+xml"/>
  <Override PartName="/xl/charts/chart42.xml" ContentType="application/vnd.openxmlformats-officedocument.drawingml.chart+xml"/>
  <Override PartName="/xl/charts/style42.xml" ContentType="application/vnd.ms-office.chartstyle+xml"/>
  <Override PartName="/xl/charts/colors42.xml" ContentType="application/vnd.ms-office.chartcolorstyle+xml"/>
  <Override PartName="/xl/charts/chart43.xml" ContentType="application/vnd.openxmlformats-officedocument.drawingml.chart+xml"/>
  <Override PartName="/xl/charts/style43.xml" ContentType="application/vnd.ms-office.chartstyle+xml"/>
  <Override PartName="/xl/charts/colors43.xml" ContentType="application/vnd.ms-office.chartcolorstyle+xml"/>
  <Override PartName="/xl/charts/chart44.xml" ContentType="application/vnd.openxmlformats-officedocument.drawingml.chart+xml"/>
  <Override PartName="/xl/charts/style44.xml" ContentType="application/vnd.ms-office.chartstyle+xml"/>
  <Override PartName="/xl/charts/colors44.xml" ContentType="application/vnd.ms-office.chartcolorstyle+xml"/>
  <Override PartName="/xl/drawings/drawing3.xml" ContentType="application/vnd.openxmlformats-officedocument.drawing+xml"/>
  <Override PartName="/xl/charts/chart45.xml" ContentType="application/vnd.openxmlformats-officedocument.drawingml.chart+xml"/>
  <Override PartName="/xl/charts/style45.xml" ContentType="application/vnd.ms-office.chartstyle+xml"/>
  <Override PartName="/xl/charts/colors45.xml" ContentType="application/vnd.ms-office.chartcolorstyle+xml"/>
  <Override PartName="/xl/charts/chart46.xml" ContentType="application/vnd.openxmlformats-officedocument.drawingml.chart+xml"/>
  <Override PartName="/xl/charts/style46.xml" ContentType="application/vnd.ms-office.chartstyle+xml"/>
  <Override PartName="/xl/charts/colors46.xml" ContentType="application/vnd.ms-office.chartcolorstyle+xml"/>
  <Override PartName="/xl/charts/chart47.xml" ContentType="application/vnd.openxmlformats-officedocument.drawingml.chart+xml"/>
  <Override PartName="/xl/charts/style47.xml" ContentType="application/vnd.ms-office.chartstyle+xml"/>
  <Override PartName="/xl/charts/colors47.xml" ContentType="application/vnd.ms-office.chartcolorstyle+xml"/>
  <Override PartName="/xl/charts/chart48.xml" ContentType="application/vnd.openxmlformats-officedocument.drawingml.chart+xml"/>
  <Override PartName="/xl/charts/style48.xml" ContentType="application/vnd.ms-office.chartstyle+xml"/>
  <Override PartName="/xl/charts/colors48.xml" ContentType="application/vnd.ms-office.chartcolorstyle+xml"/>
  <Override PartName="/xl/charts/chart49.xml" ContentType="application/vnd.openxmlformats-officedocument.drawingml.chart+xml"/>
  <Override PartName="/xl/charts/style49.xml" ContentType="application/vnd.ms-office.chartstyle+xml"/>
  <Override PartName="/xl/charts/colors49.xml" ContentType="application/vnd.ms-office.chartcolorstyle+xml"/>
  <Override PartName="/xl/charts/chart50.xml" ContentType="application/vnd.openxmlformats-officedocument.drawingml.chart+xml"/>
  <Override PartName="/xl/charts/style50.xml" ContentType="application/vnd.ms-office.chartstyle+xml"/>
  <Override PartName="/xl/charts/colors50.xml" ContentType="application/vnd.ms-office.chartcolorstyle+xml"/>
  <Override PartName="/xl/charts/chart51.xml" ContentType="application/vnd.openxmlformats-officedocument.drawingml.chart+xml"/>
  <Override PartName="/xl/charts/style51.xml" ContentType="application/vnd.ms-office.chartstyle+xml"/>
  <Override PartName="/xl/charts/colors51.xml" ContentType="application/vnd.ms-office.chartcolorstyle+xml"/>
  <Override PartName="/xl/charts/chart52.xml" ContentType="application/vnd.openxmlformats-officedocument.drawingml.chart+xml"/>
  <Override PartName="/xl/charts/style52.xml" ContentType="application/vnd.ms-office.chartstyle+xml"/>
  <Override PartName="/xl/charts/colors52.xml" ContentType="application/vnd.ms-office.chartcolorstyle+xml"/>
  <Override PartName="/xl/charts/chart53.xml" ContentType="application/vnd.openxmlformats-officedocument.drawingml.chart+xml"/>
  <Override PartName="/xl/charts/style53.xml" ContentType="application/vnd.ms-office.chartstyle+xml"/>
  <Override PartName="/xl/charts/colors53.xml" ContentType="application/vnd.ms-office.chartcolorstyle+xml"/>
  <Override PartName="/xl/charts/chart54.xml" ContentType="application/vnd.openxmlformats-officedocument.drawingml.chart+xml"/>
  <Override PartName="/xl/charts/style54.xml" ContentType="application/vnd.ms-office.chartstyle+xml"/>
  <Override PartName="/xl/charts/colors54.xml" ContentType="application/vnd.ms-office.chartcolorstyle+xml"/>
  <Override PartName="/xl/charts/chart55.xml" ContentType="application/vnd.openxmlformats-officedocument.drawingml.chart+xml"/>
  <Override PartName="/xl/charts/style55.xml" ContentType="application/vnd.ms-office.chartstyle+xml"/>
  <Override PartName="/xl/charts/colors55.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8129"/>
  <workbookPr defaultThemeVersion="166925"/>
  <mc:AlternateContent xmlns:mc="http://schemas.openxmlformats.org/markup-compatibility/2006">
    <mc:Choice Requires="x15">
      <x15ac:absPath xmlns:x15ac="http://schemas.microsoft.com/office/spreadsheetml/2010/11/ac" url="G:\My Drive\1. Bioimage Analysis WT\"/>
    </mc:Choice>
  </mc:AlternateContent>
  <xr:revisionPtr revIDLastSave="0" documentId="13_ncr:1_{23A7B6B9-8DD2-495E-BC66-624BA90AAD61}" xr6:coauthVersionLast="47" xr6:coauthVersionMax="47" xr10:uidLastSave="{00000000-0000-0000-0000-000000000000}"/>
  <bookViews>
    <workbookView xWindow="-105" yWindow="0" windowWidth="21045" windowHeight="15585" activeTab="2" xr2:uid="{A55148EB-0761-401F-A6F4-B90678A96BA9}"/>
  </bookViews>
  <sheets>
    <sheet name="M468 (R1)" sheetId="3" r:id="rId1"/>
    <sheet name="M468 (R2)" sheetId="4" r:id="rId2"/>
    <sheet name="M468 (R3)" sheetId="5" r:id="rId3"/>
  </sheet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E39" i="4" l="1"/>
  <c r="E39" i="3"/>
  <c r="AG67" i="5" l="1"/>
  <c r="Z67" i="5"/>
  <c r="S67" i="5"/>
  <c r="L67" i="5"/>
  <c r="E67" i="5"/>
  <c r="AN39" i="5"/>
  <c r="AG39" i="5"/>
  <c r="Z39" i="5"/>
  <c r="S39" i="5"/>
  <c r="L39" i="5"/>
  <c r="E39" i="5"/>
  <c r="AG67" i="4"/>
  <c r="Z67" i="4"/>
  <c r="S67" i="4"/>
  <c r="L67" i="4"/>
  <c r="E67" i="4"/>
  <c r="AN39" i="4"/>
  <c r="AG39" i="4"/>
  <c r="Z39" i="4"/>
  <c r="S39" i="4"/>
  <c r="L39" i="4"/>
  <c r="AG34" i="4"/>
  <c r="AG81" i="3" l="1"/>
  <c r="AH81" i="3" s="1"/>
  <c r="Z81" i="3"/>
  <c r="AA81" i="3" s="1"/>
  <c r="S81" i="3"/>
  <c r="T81" i="3" s="1"/>
  <c r="L81" i="3"/>
  <c r="M81" i="3" s="1"/>
  <c r="E81" i="3"/>
  <c r="F81" i="3" s="1"/>
  <c r="AG80" i="3"/>
  <c r="AH80" i="3" s="1"/>
  <c r="Z80" i="3"/>
  <c r="AA80" i="3" s="1"/>
  <c r="S80" i="3"/>
  <c r="T80" i="3" s="1"/>
  <c r="L80" i="3"/>
  <c r="M80" i="3" s="1"/>
  <c r="E80" i="3"/>
  <c r="F80" i="3" s="1"/>
  <c r="AG79" i="3"/>
  <c r="AH79" i="3" s="1"/>
  <c r="Z79" i="3"/>
  <c r="AA79" i="3" s="1"/>
  <c r="S79" i="3"/>
  <c r="T79" i="3" s="1"/>
  <c r="L79" i="3"/>
  <c r="M79" i="3" s="1"/>
  <c r="E79" i="3"/>
  <c r="F79" i="3" s="1"/>
  <c r="AG78" i="3"/>
  <c r="AH78" i="3" s="1"/>
  <c r="Z78" i="3"/>
  <c r="AA78" i="3" s="1"/>
  <c r="S78" i="3"/>
  <c r="T78" i="3" s="1"/>
  <c r="L78" i="3"/>
  <c r="M78" i="3" s="1"/>
  <c r="E78" i="3"/>
  <c r="F78" i="3" s="1"/>
  <c r="AG77" i="3"/>
  <c r="AH77" i="3" s="1"/>
  <c r="Z77" i="3"/>
  <c r="AA77" i="3" s="1"/>
  <c r="S77" i="3"/>
  <c r="T77" i="3" s="1"/>
  <c r="L77" i="3"/>
  <c r="M77" i="3" s="1"/>
  <c r="E77" i="3"/>
  <c r="F77" i="3" s="1"/>
  <c r="AG76" i="3"/>
  <c r="AH76" i="3" s="1"/>
  <c r="Z76" i="3"/>
  <c r="AA76" i="3" s="1"/>
  <c r="S76" i="3"/>
  <c r="T76" i="3" s="1"/>
  <c r="L76" i="3"/>
  <c r="M76" i="3" s="1"/>
  <c r="E76" i="3"/>
  <c r="F76" i="3" s="1"/>
  <c r="AG75" i="3"/>
  <c r="AH75" i="3" s="1"/>
  <c r="Z75" i="3"/>
  <c r="AA75" i="3" s="1"/>
  <c r="S75" i="3"/>
  <c r="T75" i="3" s="1"/>
  <c r="L75" i="3"/>
  <c r="M75" i="3" s="1"/>
  <c r="E75" i="3"/>
  <c r="F75" i="3" s="1"/>
  <c r="AG74" i="3"/>
  <c r="AH74" i="3" s="1"/>
  <c r="Z74" i="3"/>
  <c r="AA74" i="3" s="1"/>
  <c r="S74" i="3"/>
  <c r="T74" i="3" s="1"/>
  <c r="L74" i="3"/>
  <c r="M74" i="3" s="1"/>
  <c r="E74" i="3"/>
  <c r="F74" i="3" s="1"/>
  <c r="AG73" i="3"/>
  <c r="AH73" i="3" s="1"/>
  <c r="Z73" i="3"/>
  <c r="AA73" i="3" s="1"/>
  <c r="S73" i="3"/>
  <c r="T73" i="3" s="1"/>
  <c r="L73" i="3"/>
  <c r="M73" i="3" s="1"/>
  <c r="E73" i="3"/>
  <c r="F73" i="3" s="1"/>
  <c r="AG72" i="3"/>
  <c r="AH72" i="3" s="1"/>
  <c r="Z72" i="3"/>
  <c r="AA72" i="3" s="1"/>
  <c r="S72" i="3"/>
  <c r="T72" i="3" s="1"/>
  <c r="L72" i="3"/>
  <c r="M72" i="3" s="1"/>
  <c r="E72" i="3"/>
  <c r="F72" i="3" s="1"/>
  <c r="AG67" i="3"/>
  <c r="AG68" i="3" s="1"/>
  <c r="Z67" i="3"/>
  <c r="Z68" i="3" s="1"/>
  <c r="AB81" i="3" s="1"/>
  <c r="AC81" i="3" s="1"/>
  <c r="S67" i="3"/>
  <c r="S68" i="3" s="1"/>
  <c r="L67" i="3"/>
  <c r="L68" i="3" s="1"/>
  <c r="E67" i="3"/>
  <c r="E68" i="3" s="1"/>
  <c r="AG66" i="3"/>
  <c r="AF66" i="3"/>
  <c r="Z66" i="3"/>
  <c r="Y66" i="3"/>
  <c r="S66" i="3"/>
  <c r="R66" i="3"/>
  <c r="L66" i="3"/>
  <c r="K66" i="3"/>
  <c r="E66" i="3"/>
  <c r="D66" i="3"/>
  <c r="AG65" i="3"/>
  <c r="AF65" i="3"/>
  <c r="Z65" i="3"/>
  <c r="Y65" i="3"/>
  <c r="S65" i="3"/>
  <c r="R65" i="3"/>
  <c r="L65" i="3"/>
  <c r="K65" i="3"/>
  <c r="E65" i="3"/>
  <c r="D65" i="3"/>
  <c r="AG64" i="3"/>
  <c r="AF64" i="3"/>
  <c r="Z64" i="3"/>
  <c r="Y64" i="3"/>
  <c r="S64" i="3"/>
  <c r="R64" i="3"/>
  <c r="L64" i="3"/>
  <c r="K64" i="3"/>
  <c r="E64" i="3"/>
  <c r="D64" i="3"/>
  <c r="AG63" i="3"/>
  <c r="AF63" i="3"/>
  <c r="Z63" i="3"/>
  <c r="Y63" i="3"/>
  <c r="S63" i="3"/>
  <c r="R63" i="3"/>
  <c r="L63" i="3"/>
  <c r="K63" i="3"/>
  <c r="E63" i="3"/>
  <c r="D63" i="3"/>
  <c r="AG62" i="3"/>
  <c r="AF62" i="3"/>
  <c r="Z62" i="3"/>
  <c r="Y62" i="3"/>
  <c r="S62" i="3"/>
  <c r="R62" i="3"/>
  <c r="L62" i="3"/>
  <c r="K62" i="3"/>
  <c r="E62" i="3"/>
  <c r="D62" i="3"/>
  <c r="AN53" i="3"/>
  <c r="AO53" i="3" s="1"/>
  <c r="AG53" i="3"/>
  <c r="AH53" i="3" s="1"/>
  <c r="Z53" i="3"/>
  <c r="AA53" i="3" s="1"/>
  <c r="S53" i="3"/>
  <c r="T53" i="3" s="1"/>
  <c r="L53" i="3"/>
  <c r="M53" i="3" s="1"/>
  <c r="E53" i="3"/>
  <c r="F53" i="3" s="1"/>
  <c r="AN52" i="3"/>
  <c r="AO52" i="3" s="1"/>
  <c r="AG52" i="3"/>
  <c r="AH52" i="3" s="1"/>
  <c r="Z52" i="3"/>
  <c r="AA52" i="3" s="1"/>
  <c r="S52" i="3"/>
  <c r="T52" i="3" s="1"/>
  <c r="L52" i="3"/>
  <c r="M52" i="3" s="1"/>
  <c r="E52" i="3"/>
  <c r="F52" i="3" s="1"/>
  <c r="AN51" i="3"/>
  <c r="AO51" i="3" s="1"/>
  <c r="AG51" i="3"/>
  <c r="AH51" i="3" s="1"/>
  <c r="Z51" i="3"/>
  <c r="AA51" i="3" s="1"/>
  <c r="S51" i="3"/>
  <c r="T51" i="3" s="1"/>
  <c r="L51" i="3"/>
  <c r="M51" i="3" s="1"/>
  <c r="E51" i="3"/>
  <c r="F51" i="3" s="1"/>
  <c r="AN50" i="3"/>
  <c r="AO50" i="3" s="1"/>
  <c r="AG50" i="3"/>
  <c r="AH50" i="3" s="1"/>
  <c r="Z50" i="3"/>
  <c r="AA50" i="3" s="1"/>
  <c r="S50" i="3"/>
  <c r="T50" i="3" s="1"/>
  <c r="L50" i="3"/>
  <c r="M50" i="3" s="1"/>
  <c r="E50" i="3"/>
  <c r="F50" i="3" s="1"/>
  <c r="AN49" i="3"/>
  <c r="AO49" i="3" s="1"/>
  <c r="AG49" i="3"/>
  <c r="AH49" i="3" s="1"/>
  <c r="Z49" i="3"/>
  <c r="AA49" i="3" s="1"/>
  <c r="S49" i="3"/>
  <c r="T49" i="3" s="1"/>
  <c r="L49" i="3"/>
  <c r="M49" i="3" s="1"/>
  <c r="E49" i="3"/>
  <c r="F49" i="3" s="1"/>
  <c r="AN48" i="3"/>
  <c r="AO48" i="3" s="1"/>
  <c r="AG48" i="3"/>
  <c r="AH48" i="3" s="1"/>
  <c r="Z48" i="3"/>
  <c r="AA48" i="3" s="1"/>
  <c r="S48" i="3"/>
  <c r="T48" i="3" s="1"/>
  <c r="L48" i="3"/>
  <c r="M48" i="3" s="1"/>
  <c r="E48" i="3"/>
  <c r="F48" i="3" s="1"/>
  <c r="AN47" i="3"/>
  <c r="AO47" i="3" s="1"/>
  <c r="AG47" i="3"/>
  <c r="AH47" i="3" s="1"/>
  <c r="Z47" i="3"/>
  <c r="AA47" i="3" s="1"/>
  <c r="S47" i="3"/>
  <c r="T47" i="3" s="1"/>
  <c r="L47" i="3"/>
  <c r="M47" i="3" s="1"/>
  <c r="E47" i="3"/>
  <c r="F47" i="3" s="1"/>
  <c r="AN46" i="3"/>
  <c r="AO46" i="3" s="1"/>
  <c r="AG46" i="3"/>
  <c r="AH46" i="3" s="1"/>
  <c r="Z46" i="3"/>
  <c r="AA46" i="3" s="1"/>
  <c r="S46" i="3"/>
  <c r="T46" i="3" s="1"/>
  <c r="L46" i="3"/>
  <c r="M46" i="3" s="1"/>
  <c r="E46" i="3"/>
  <c r="F46" i="3" s="1"/>
  <c r="AN45" i="3"/>
  <c r="AO45" i="3" s="1"/>
  <c r="AG45" i="3"/>
  <c r="AH45" i="3" s="1"/>
  <c r="Z45" i="3"/>
  <c r="AA45" i="3" s="1"/>
  <c r="S45" i="3"/>
  <c r="T45" i="3" s="1"/>
  <c r="L45" i="3"/>
  <c r="M45" i="3" s="1"/>
  <c r="E45" i="3"/>
  <c r="F45" i="3" s="1"/>
  <c r="AN44" i="3"/>
  <c r="AO44" i="3" s="1"/>
  <c r="AG44" i="3"/>
  <c r="AH44" i="3" s="1"/>
  <c r="Z44" i="3"/>
  <c r="S44" i="3"/>
  <c r="T44" i="3" s="1"/>
  <c r="L44" i="3"/>
  <c r="E44" i="3"/>
  <c r="F44" i="3" s="1"/>
  <c r="E40" i="3"/>
  <c r="AN39" i="3"/>
  <c r="AN40" i="3" s="1"/>
  <c r="AG39" i="3"/>
  <c r="AG40" i="3" s="1"/>
  <c r="Z39" i="3"/>
  <c r="Z40" i="3" s="1"/>
  <c r="S39" i="3"/>
  <c r="S40" i="3" s="1"/>
  <c r="L39" i="3"/>
  <c r="L40" i="3" s="1"/>
  <c r="AN38" i="3"/>
  <c r="AM38" i="3"/>
  <c r="AG38" i="3"/>
  <c r="AF38" i="3"/>
  <c r="Z38" i="3"/>
  <c r="Y38" i="3"/>
  <c r="S38" i="3"/>
  <c r="R38" i="3"/>
  <c r="L38" i="3"/>
  <c r="K38" i="3"/>
  <c r="E38" i="3"/>
  <c r="D38" i="3"/>
  <c r="AN37" i="3"/>
  <c r="AM37" i="3"/>
  <c r="AG37" i="3"/>
  <c r="AF37" i="3"/>
  <c r="Z37" i="3"/>
  <c r="Y37" i="3"/>
  <c r="S37" i="3"/>
  <c r="R37" i="3"/>
  <c r="L37" i="3"/>
  <c r="K37" i="3"/>
  <c r="E37" i="3"/>
  <c r="D37" i="3"/>
  <c r="AN36" i="3"/>
  <c r="AM36" i="3"/>
  <c r="AG36" i="3"/>
  <c r="AF36" i="3"/>
  <c r="Z36" i="3"/>
  <c r="Y36" i="3"/>
  <c r="S36" i="3"/>
  <c r="R36" i="3"/>
  <c r="L36" i="3"/>
  <c r="K36" i="3"/>
  <c r="E36" i="3"/>
  <c r="D36" i="3"/>
  <c r="AN35" i="3"/>
  <c r="AM35" i="3"/>
  <c r="AG35" i="3"/>
  <c r="AF35" i="3"/>
  <c r="Z35" i="3"/>
  <c r="Y35" i="3"/>
  <c r="S35" i="3"/>
  <c r="R35" i="3"/>
  <c r="L35" i="3"/>
  <c r="K35" i="3"/>
  <c r="E35" i="3"/>
  <c r="D35" i="3"/>
  <c r="AN34" i="3"/>
  <c r="AM34" i="3"/>
  <c r="AG34" i="3"/>
  <c r="AF34" i="3"/>
  <c r="Z34" i="3"/>
  <c r="Y34" i="3"/>
  <c r="S34" i="3"/>
  <c r="R34" i="3"/>
  <c r="L34" i="3"/>
  <c r="K34" i="3"/>
  <c r="E34" i="3"/>
  <c r="D34" i="3"/>
  <c r="AG81" i="5"/>
  <c r="AH81" i="5" s="1"/>
  <c r="Z81" i="5"/>
  <c r="AA81" i="5" s="1"/>
  <c r="S81" i="5"/>
  <c r="T81" i="5" s="1"/>
  <c r="L81" i="5"/>
  <c r="M81" i="5" s="1"/>
  <c r="E81" i="5"/>
  <c r="F81" i="5" s="1"/>
  <c r="AG80" i="5"/>
  <c r="AH80" i="5" s="1"/>
  <c r="Z80" i="5"/>
  <c r="AA80" i="5" s="1"/>
  <c r="S80" i="5"/>
  <c r="T80" i="5" s="1"/>
  <c r="L80" i="5"/>
  <c r="M80" i="5" s="1"/>
  <c r="E80" i="5"/>
  <c r="F80" i="5" s="1"/>
  <c r="AG79" i="5"/>
  <c r="AH79" i="5" s="1"/>
  <c r="Z79" i="5"/>
  <c r="AA79" i="5" s="1"/>
  <c r="S79" i="5"/>
  <c r="T79" i="5" s="1"/>
  <c r="L79" i="5"/>
  <c r="M79" i="5" s="1"/>
  <c r="E79" i="5"/>
  <c r="F79" i="5" s="1"/>
  <c r="AG78" i="5"/>
  <c r="AH78" i="5" s="1"/>
  <c r="Z78" i="5"/>
  <c r="AA78" i="5" s="1"/>
  <c r="S78" i="5"/>
  <c r="T78" i="5" s="1"/>
  <c r="L78" i="5"/>
  <c r="M78" i="5" s="1"/>
  <c r="E78" i="5"/>
  <c r="F78" i="5" s="1"/>
  <c r="AG77" i="5"/>
  <c r="AH77" i="5" s="1"/>
  <c r="Z77" i="5"/>
  <c r="AA77" i="5" s="1"/>
  <c r="S77" i="5"/>
  <c r="T77" i="5" s="1"/>
  <c r="L77" i="5"/>
  <c r="M77" i="5" s="1"/>
  <c r="E77" i="5"/>
  <c r="F77" i="5" s="1"/>
  <c r="AG76" i="5"/>
  <c r="AH76" i="5" s="1"/>
  <c r="Z76" i="5"/>
  <c r="AA76" i="5" s="1"/>
  <c r="S76" i="5"/>
  <c r="L76" i="5"/>
  <c r="M76" i="5" s="1"/>
  <c r="E76" i="5"/>
  <c r="F76" i="5" s="1"/>
  <c r="AG75" i="5"/>
  <c r="AH75" i="5" s="1"/>
  <c r="Z75" i="5"/>
  <c r="AA75" i="5" s="1"/>
  <c r="S75" i="5"/>
  <c r="T75" i="5" s="1"/>
  <c r="L75" i="5"/>
  <c r="M75" i="5" s="1"/>
  <c r="E75" i="5"/>
  <c r="F75" i="5" s="1"/>
  <c r="AG74" i="5"/>
  <c r="AH74" i="5" s="1"/>
  <c r="Z74" i="5"/>
  <c r="AA74" i="5" s="1"/>
  <c r="S74" i="5"/>
  <c r="T74" i="5" s="1"/>
  <c r="L74" i="5"/>
  <c r="M74" i="5" s="1"/>
  <c r="E74" i="5"/>
  <c r="F74" i="5" s="1"/>
  <c r="AG73" i="5"/>
  <c r="AH73" i="5" s="1"/>
  <c r="Z73" i="5"/>
  <c r="AA73" i="5" s="1"/>
  <c r="S73" i="5"/>
  <c r="T73" i="5" s="1"/>
  <c r="L73" i="5"/>
  <c r="M73" i="5" s="1"/>
  <c r="E73" i="5"/>
  <c r="F73" i="5" s="1"/>
  <c r="AG72" i="5"/>
  <c r="AH72" i="5" s="1"/>
  <c r="Z72" i="5"/>
  <c r="S72" i="5"/>
  <c r="T72" i="5" s="1"/>
  <c r="L72" i="5"/>
  <c r="M72" i="5" s="1"/>
  <c r="E72" i="5"/>
  <c r="F72" i="5" s="1"/>
  <c r="AG68" i="5"/>
  <c r="Z68" i="5"/>
  <c r="S68" i="5"/>
  <c r="L68" i="5"/>
  <c r="E68" i="5"/>
  <c r="AG66" i="5"/>
  <c r="AF66" i="5"/>
  <c r="Z66" i="5"/>
  <c r="Y66" i="5"/>
  <c r="S66" i="5"/>
  <c r="R66" i="5"/>
  <c r="L66" i="5"/>
  <c r="K66" i="5"/>
  <c r="E66" i="5"/>
  <c r="D66" i="5"/>
  <c r="AG65" i="5"/>
  <c r="AF65" i="5"/>
  <c r="Z65" i="5"/>
  <c r="Y65" i="5"/>
  <c r="S65" i="5"/>
  <c r="R65" i="5"/>
  <c r="L65" i="5"/>
  <c r="K65" i="5"/>
  <c r="E65" i="5"/>
  <c r="D65" i="5"/>
  <c r="AG64" i="5"/>
  <c r="AF64" i="5"/>
  <c r="Z64" i="5"/>
  <c r="Y64" i="5"/>
  <c r="S64" i="5"/>
  <c r="R64" i="5"/>
  <c r="L64" i="5"/>
  <c r="K64" i="5"/>
  <c r="E64" i="5"/>
  <c r="D64" i="5"/>
  <c r="AG63" i="5"/>
  <c r="AF63" i="5"/>
  <c r="Z63" i="5"/>
  <c r="Y63" i="5"/>
  <c r="S63" i="5"/>
  <c r="R63" i="5"/>
  <c r="L63" i="5"/>
  <c r="K63" i="5"/>
  <c r="E63" i="5"/>
  <c r="D63" i="5"/>
  <c r="AG62" i="5"/>
  <c r="AF62" i="5"/>
  <c r="Z62" i="5"/>
  <c r="Y62" i="5"/>
  <c r="S62" i="5"/>
  <c r="R62" i="5"/>
  <c r="L62" i="5"/>
  <c r="K62" i="5"/>
  <c r="E62" i="5"/>
  <c r="D62" i="5"/>
  <c r="AN53" i="5"/>
  <c r="AO53" i="5" s="1"/>
  <c r="AG53" i="5"/>
  <c r="AH53" i="5" s="1"/>
  <c r="Z53" i="5"/>
  <c r="AA53" i="5" s="1"/>
  <c r="S53" i="5"/>
  <c r="T53" i="5" s="1"/>
  <c r="L53" i="5"/>
  <c r="M53" i="5" s="1"/>
  <c r="E53" i="5"/>
  <c r="F53" i="5" s="1"/>
  <c r="AN52" i="5"/>
  <c r="AO52" i="5" s="1"/>
  <c r="AG52" i="5"/>
  <c r="AH52" i="5" s="1"/>
  <c r="Z52" i="5"/>
  <c r="AA52" i="5" s="1"/>
  <c r="S52" i="5"/>
  <c r="T52" i="5" s="1"/>
  <c r="L52" i="5"/>
  <c r="M52" i="5" s="1"/>
  <c r="E52" i="5"/>
  <c r="F52" i="5" s="1"/>
  <c r="AN51" i="5"/>
  <c r="AO51" i="5" s="1"/>
  <c r="AG51" i="5"/>
  <c r="AH51" i="5" s="1"/>
  <c r="Z51" i="5"/>
  <c r="AA51" i="5" s="1"/>
  <c r="S51" i="5"/>
  <c r="T51" i="5" s="1"/>
  <c r="L51" i="5"/>
  <c r="M51" i="5" s="1"/>
  <c r="E51" i="5"/>
  <c r="F51" i="5" s="1"/>
  <c r="AN50" i="5"/>
  <c r="AO50" i="5" s="1"/>
  <c r="AG50" i="5"/>
  <c r="AH50" i="5" s="1"/>
  <c r="Z50" i="5"/>
  <c r="AA50" i="5" s="1"/>
  <c r="S50" i="5"/>
  <c r="T50" i="5" s="1"/>
  <c r="L50" i="5"/>
  <c r="M50" i="5" s="1"/>
  <c r="E50" i="5"/>
  <c r="F50" i="5" s="1"/>
  <c r="AN49" i="5"/>
  <c r="AO49" i="5" s="1"/>
  <c r="AG49" i="5"/>
  <c r="AH49" i="5" s="1"/>
  <c r="Z49" i="5"/>
  <c r="AA49" i="5" s="1"/>
  <c r="S49" i="5"/>
  <c r="T49" i="5" s="1"/>
  <c r="L49" i="5"/>
  <c r="M49" i="5" s="1"/>
  <c r="E49" i="5"/>
  <c r="F49" i="5" s="1"/>
  <c r="AN48" i="5"/>
  <c r="AO48" i="5" s="1"/>
  <c r="AG48" i="5"/>
  <c r="AH48" i="5" s="1"/>
  <c r="Z48" i="5"/>
  <c r="AA48" i="5" s="1"/>
  <c r="S48" i="5"/>
  <c r="T48" i="5" s="1"/>
  <c r="L48" i="5"/>
  <c r="M48" i="5" s="1"/>
  <c r="E48" i="5"/>
  <c r="F48" i="5" s="1"/>
  <c r="AN47" i="5"/>
  <c r="AO47" i="5" s="1"/>
  <c r="AG47" i="5"/>
  <c r="AH47" i="5" s="1"/>
  <c r="Z47" i="5"/>
  <c r="AA47" i="5" s="1"/>
  <c r="S47" i="5"/>
  <c r="T47" i="5" s="1"/>
  <c r="L47" i="5"/>
  <c r="M47" i="5" s="1"/>
  <c r="E47" i="5"/>
  <c r="F47" i="5" s="1"/>
  <c r="AN46" i="5"/>
  <c r="AO46" i="5" s="1"/>
  <c r="AG46" i="5"/>
  <c r="AH46" i="5" s="1"/>
  <c r="Z46" i="5"/>
  <c r="AA46" i="5" s="1"/>
  <c r="S46" i="5"/>
  <c r="T46" i="5" s="1"/>
  <c r="L46" i="5"/>
  <c r="M46" i="5" s="1"/>
  <c r="E46" i="5"/>
  <c r="F46" i="5" s="1"/>
  <c r="AN45" i="5"/>
  <c r="AO45" i="5" s="1"/>
  <c r="AG45" i="5"/>
  <c r="AH45" i="5" s="1"/>
  <c r="Z45" i="5"/>
  <c r="AA45" i="5" s="1"/>
  <c r="S45" i="5"/>
  <c r="T45" i="5" s="1"/>
  <c r="L45" i="5"/>
  <c r="M45" i="5" s="1"/>
  <c r="E45" i="5"/>
  <c r="F45" i="5" s="1"/>
  <c r="AN44" i="5"/>
  <c r="AO44" i="5" s="1"/>
  <c r="AG44" i="5"/>
  <c r="AH44" i="5" s="1"/>
  <c r="Z44" i="5"/>
  <c r="S44" i="5"/>
  <c r="T44" i="5" s="1"/>
  <c r="L44" i="5"/>
  <c r="M44" i="5" s="1"/>
  <c r="E44" i="5"/>
  <c r="F44" i="5" s="1"/>
  <c r="AN40" i="5"/>
  <c r="AG40" i="5"/>
  <c r="Z40" i="5"/>
  <c r="S40" i="5"/>
  <c r="L40" i="5"/>
  <c r="E40" i="5"/>
  <c r="AN38" i="5"/>
  <c r="AM38" i="5"/>
  <c r="AG38" i="5"/>
  <c r="AF38" i="5"/>
  <c r="Z38" i="5"/>
  <c r="Y38" i="5"/>
  <c r="S38" i="5"/>
  <c r="R38" i="5"/>
  <c r="L38" i="5"/>
  <c r="K38" i="5"/>
  <c r="E38" i="5"/>
  <c r="D38" i="5"/>
  <c r="AN37" i="5"/>
  <c r="AM37" i="5"/>
  <c r="AG37" i="5"/>
  <c r="AF37" i="5"/>
  <c r="Z37" i="5"/>
  <c r="Y37" i="5"/>
  <c r="S37" i="5"/>
  <c r="R37" i="5"/>
  <c r="L37" i="5"/>
  <c r="K37" i="5"/>
  <c r="E37" i="5"/>
  <c r="D37" i="5"/>
  <c r="AN36" i="5"/>
  <c r="AM36" i="5"/>
  <c r="AG36" i="5"/>
  <c r="AF36" i="5"/>
  <c r="Z36" i="5"/>
  <c r="Y36" i="5"/>
  <c r="S36" i="5"/>
  <c r="R36" i="5"/>
  <c r="L36" i="5"/>
  <c r="K36" i="5"/>
  <c r="E36" i="5"/>
  <c r="D36" i="5"/>
  <c r="AN35" i="5"/>
  <c r="AM35" i="5"/>
  <c r="AG35" i="5"/>
  <c r="AF35" i="5"/>
  <c r="Z35" i="5"/>
  <c r="Y35" i="5"/>
  <c r="S35" i="5"/>
  <c r="R35" i="5"/>
  <c r="L35" i="5"/>
  <c r="K35" i="5"/>
  <c r="E35" i="5"/>
  <c r="D35" i="5"/>
  <c r="AN34" i="5"/>
  <c r="AM34" i="5"/>
  <c r="AG34" i="5"/>
  <c r="AF34" i="5"/>
  <c r="Z34" i="5"/>
  <c r="Y34" i="5"/>
  <c r="S34" i="5"/>
  <c r="R34" i="5"/>
  <c r="L34" i="5"/>
  <c r="K34" i="5"/>
  <c r="E34" i="5"/>
  <c r="D34" i="5"/>
  <c r="AG81" i="4"/>
  <c r="AH81" i="4" s="1"/>
  <c r="Z81" i="4"/>
  <c r="AA81" i="4" s="1"/>
  <c r="S81" i="4"/>
  <c r="T81" i="4" s="1"/>
  <c r="L81" i="4"/>
  <c r="M81" i="4" s="1"/>
  <c r="E81" i="4"/>
  <c r="F81" i="4" s="1"/>
  <c r="AG80" i="4"/>
  <c r="AH80" i="4" s="1"/>
  <c r="Z80" i="4"/>
  <c r="AA80" i="4" s="1"/>
  <c r="S80" i="4"/>
  <c r="T80" i="4" s="1"/>
  <c r="L80" i="4"/>
  <c r="M80" i="4" s="1"/>
  <c r="E80" i="4"/>
  <c r="F80" i="4" s="1"/>
  <c r="AG79" i="4"/>
  <c r="AH79" i="4" s="1"/>
  <c r="Z79" i="4"/>
  <c r="AA79" i="4" s="1"/>
  <c r="S79" i="4"/>
  <c r="T79" i="4" s="1"/>
  <c r="L79" i="4"/>
  <c r="M79" i="4" s="1"/>
  <c r="E79" i="4"/>
  <c r="F79" i="4" s="1"/>
  <c r="AG78" i="4"/>
  <c r="AH78" i="4" s="1"/>
  <c r="Z78" i="4"/>
  <c r="AA78" i="4" s="1"/>
  <c r="S78" i="4"/>
  <c r="T78" i="4" s="1"/>
  <c r="L78" i="4"/>
  <c r="M78" i="4" s="1"/>
  <c r="E78" i="4"/>
  <c r="F78" i="4" s="1"/>
  <c r="AG77" i="4"/>
  <c r="AH77" i="4" s="1"/>
  <c r="Z77" i="4"/>
  <c r="AA77" i="4" s="1"/>
  <c r="S77" i="4"/>
  <c r="T77" i="4" s="1"/>
  <c r="L77" i="4"/>
  <c r="M77" i="4" s="1"/>
  <c r="E77" i="4"/>
  <c r="F77" i="4" s="1"/>
  <c r="AG76" i="4"/>
  <c r="AH76" i="4" s="1"/>
  <c r="Z76" i="4"/>
  <c r="AA76" i="4" s="1"/>
  <c r="S76" i="4"/>
  <c r="T76" i="4" s="1"/>
  <c r="L76" i="4"/>
  <c r="M76" i="4" s="1"/>
  <c r="E76" i="4"/>
  <c r="F76" i="4" s="1"/>
  <c r="AG75" i="4"/>
  <c r="AH75" i="4" s="1"/>
  <c r="Z75" i="4"/>
  <c r="AA75" i="4" s="1"/>
  <c r="S75" i="4"/>
  <c r="T75" i="4" s="1"/>
  <c r="L75" i="4"/>
  <c r="M75" i="4" s="1"/>
  <c r="E75" i="4"/>
  <c r="F75" i="4" s="1"/>
  <c r="AG74" i="4"/>
  <c r="AH74" i="4" s="1"/>
  <c r="Z74" i="4"/>
  <c r="AA74" i="4" s="1"/>
  <c r="S74" i="4"/>
  <c r="T74" i="4" s="1"/>
  <c r="L74" i="4"/>
  <c r="M74" i="4" s="1"/>
  <c r="E74" i="4"/>
  <c r="F74" i="4" s="1"/>
  <c r="AG73" i="4"/>
  <c r="AH73" i="4" s="1"/>
  <c r="Z73" i="4"/>
  <c r="AA73" i="4" s="1"/>
  <c r="S73" i="4"/>
  <c r="T73" i="4" s="1"/>
  <c r="L73" i="4"/>
  <c r="M73" i="4" s="1"/>
  <c r="E73" i="4"/>
  <c r="F73" i="4" s="1"/>
  <c r="AG72" i="4"/>
  <c r="AH72" i="4" s="1"/>
  <c r="Z72" i="4"/>
  <c r="AA72" i="4" s="1"/>
  <c r="S72" i="4"/>
  <c r="T72" i="4" s="1"/>
  <c r="L72" i="4"/>
  <c r="M72" i="4" s="1"/>
  <c r="E72" i="4"/>
  <c r="F72" i="4" s="1"/>
  <c r="S68" i="4"/>
  <c r="AG68" i="4"/>
  <c r="Z68" i="4"/>
  <c r="L68" i="4"/>
  <c r="E68" i="4"/>
  <c r="AG66" i="4"/>
  <c r="AF66" i="4"/>
  <c r="Z66" i="4"/>
  <c r="Y66" i="4"/>
  <c r="S66" i="4"/>
  <c r="R66" i="4"/>
  <c r="L66" i="4"/>
  <c r="K66" i="4"/>
  <c r="E66" i="4"/>
  <c r="D66" i="4"/>
  <c r="AG65" i="4"/>
  <c r="AF65" i="4"/>
  <c r="Z65" i="4"/>
  <c r="Y65" i="4"/>
  <c r="S65" i="4"/>
  <c r="R65" i="4"/>
  <c r="L65" i="4"/>
  <c r="K65" i="4"/>
  <c r="E65" i="4"/>
  <c r="D65" i="4"/>
  <c r="AG64" i="4"/>
  <c r="AF64" i="4"/>
  <c r="Z64" i="4"/>
  <c r="Y64" i="4"/>
  <c r="S64" i="4"/>
  <c r="R64" i="4"/>
  <c r="L64" i="4"/>
  <c r="K64" i="4"/>
  <c r="E64" i="4"/>
  <c r="D64" i="4"/>
  <c r="AG63" i="4"/>
  <c r="AF63" i="4"/>
  <c r="Z63" i="4"/>
  <c r="Y63" i="4"/>
  <c r="S63" i="4"/>
  <c r="R63" i="4"/>
  <c r="L63" i="4"/>
  <c r="K63" i="4"/>
  <c r="E63" i="4"/>
  <c r="D63" i="4"/>
  <c r="AG62" i="4"/>
  <c r="AF62" i="4"/>
  <c r="Z62" i="4"/>
  <c r="Y62" i="4"/>
  <c r="S62" i="4"/>
  <c r="R62" i="4"/>
  <c r="L62" i="4"/>
  <c r="K62" i="4"/>
  <c r="E62" i="4"/>
  <c r="D62" i="4"/>
  <c r="AN53" i="4"/>
  <c r="AO53" i="4" s="1"/>
  <c r="AG53" i="4"/>
  <c r="AH53" i="4" s="1"/>
  <c r="Z53" i="4"/>
  <c r="AA53" i="4" s="1"/>
  <c r="S53" i="4"/>
  <c r="T53" i="4" s="1"/>
  <c r="L53" i="4"/>
  <c r="M53" i="4" s="1"/>
  <c r="E53" i="4"/>
  <c r="F53" i="4" s="1"/>
  <c r="AN52" i="4"/>
  <c r="AO52" i="4" s="1"/>
  <c r="AG52" i="4"/>
  <c r="AH52" i="4" s="1"/>
  <c r="Z52" i="4"/>
  <c r="AA52" i="4" s="1"/>
  <c r="S52" i="4"/>
  <c r="T52" i="4" s="1"/>
  <c r="L52" i="4"/>
  <c r="M52" i="4" s="1"/>
  <c r="E52" i="4"/>
  <c r="F52" i="4" s="1"/>
  <c r="AN51" i="4"/>
  <c r="AO51" i="4" s="1"/>
  <c r="AG51" i="4"/>
  <c r="AH51" i="4" s="1"/>
  <c r="Z51" i="4"/>
  <c r="AA51" i="4" s="1"/>
  <c r="S51" i="4"/>
  <c r="T51" i="4" s="1"/>
  <c r="L51" i="4"/>
  <c r="M51" i="4" s="1"/>
  <c r="E51" i="4"/>
  <c r="F51" i="4" s="1"/>
  <c r="AN50" i="4"/>
  <c r="AO50" i="4" s="1"/>
  <c r="AG50" i="4"/>
  <c r="AH50" i="4" s="1"/>
  <c r="Z50" i="4"/>
  <c r="AA50" i="4" s="1"/>
  <c r="S50" i="4"/>
  <c r="T50" i="4" s="1"/>
  <c r="L50" i="4"/>
  <c r="M50" i="4" s="1"/>
  <c r="E50" i="4"/>
  <c r="F50" i="4" s="1"/>
  <c r="AN49" i="4"/>
  <c r="AO49" i="4" s="1"/>
  <c r="AG49" i="4"/>
  <c r="AH49" i="4" s="1"/>
  <c r="Z49" i="4"/>
  <c r="AA49" i="4" s="1"/>
  <c r="S49" i="4"/>
  <c r="T49" i="4" s="1"/>
  <c r="L49" i="4"/>
  <c r="M49" i="4" s="1"/>
  <c r="E49" i="4"/>
  <c r="F49" i="4" s="1"/>
  <c r="AN48" i="4"/>
  <c r="AO48" i="4" s="1"/>
  <c r="AG48" i="4"/>
  <c r="AH48" i="4" s="1"/>
  <c r="Z48" i="4"/>
  <c r="AA48" i="4" s="1"/>
  <c r="S48" i="4"/>
  <c r="T48" i="4" s="1"/>
  <c r="L48" i="4"/>
  <c r="M48" i="4" s="1"/>
  <c r="E48" i="4"/>
  <c r="F48" i="4" s="1"/>
  <c r="AN47" i="4"/>
  <c r="AO47" i="4" s="1"/>
  <c r="AG47" i="4"/>
  <c r="AH47" i="4" s="1"/>
  <c r="Z47" i="4"/>
  <c r="AA47" i="4" s="1"/>
  <c r="S47" i="4"/>
  <c r="T47" i="4" s="1"/>
  <c r="L47" i="4"/>
  <c r="M47" i="4" s="1"/>
  <c r="E47" i="4"/>
  <c r="F47" i="4" s="1"/>
  <c r="AN46" i="4"/>
  <c r="AO46" i="4" s="1"/>
  <c r="AG46" i="4"/>
  <c r="AH46" i="4" s="1"/>
  <c r="Z46" i="4"/>
  <c r="AA46" i="4" s="1"/>
  <c r="S46" i="4"/>
  <c r="T46" i="4" s="1"/>
  <c r="L46" i="4"/>
  <c r="M46" i="4" s="1"/>
  <c r="E46" i="4"/>
  <c r="F46" i="4" s="1"/>
  <c r="AN45" i="4"/>
  <c r="AO45" i="4" s="1"/>
  <c r="AG45" i="4"/>
  <c r="AH45" i="4" s="1"/>
  <c r="Z45" i="4"/>
  <c r="AA45" i="4" s="1"/>
  <c r="S45" i="4"/>
  <c r="T45" i="4" s="1"/>
  <c r="L45" i="4"/>
  <c r="M45" i="4" s="1"/>
  <c r="E45" i="4"/>
  <c r="F45" i="4" s="1"/>
  <c r="AN44" i="4"/>
  <c r="AO44" i="4" s="1"/>
  <c r="AG44" i="4"/>
  <c r="AH44" i="4" s="1"/>
  <c r="Z44" i="4"/>
  <c r="AA44" i="4" s="1"/>
  <c r="S44" i="4"/>
  <c r="T44" i="4" s="1"/>
  <c r="L44" i="4"/>
  <c r="M44" i="4" s="1"/>
  <c r="E44" i="4"/>
  <c r="F44" i="4" s="1"/>
  <c r="L40" i="4"/>
  <c r="AN40" i="4"/>
  <c r="AG40" i="4"/>
  <c r="Z40" i="4"/>
  <c r="S40" i="4"/>
  <c r="E40" i="4"/>
  <c r="AN38" i="4"/>
  <c r="AM38" i="4"/>
  <c r="AG38" i="4"/>
  <c r="AF38" i="4"/>
  <c r="Z38" i="4"/>
  <c r="Y38" i="4"/>
  <c r="S38" i="4"/>
  <c r="R38" i="4"/>
  <c r="L38" i="4"/>
  <c r="K38" i="4"/>
  <c r="E38" i="4"/>
  <c r="D38" i="4"/>
  <c r="AN37" i="4"/>
  <c r="AM37" i="4"/>
  <c r="AG37" i="4"/>
  <c r="AF37" i="4"/>
  <c r="Z37" i="4"/>
  <c r="Y37" i="4"/>
  <c r="S37" i="4"/>
  <c r="R37" i="4"/>
  <c r="L37" i="4"/>
  <c r="K37" i="4"/>
  <c r="E37" i="4"/>
  <c r="D37" i="4"/>
  <c r="AN36" i="4"/>
  <c r="AM36" i="4"/>
  <c r="AG36" i="4"/>
  <c r="AF36" i="4"/>
  <c r="Z36" i="4"/>
  <c r="Y36" i="4"/>
  <c r="S36" i="4"/>
  <c r="R36" i="4"/>
  <c r="L36" i="4"/>
  <c r="K36" i="4"/>
  <c r="E36" i="4"/>
  <c r="D36" i="4"/>
  <c r="AN35" i="4"/>
  <c r="AM35" i="4"/>
  <c r="AG35" i="4"/>
  <c r="AF35" i="4"/>
  <c r="Z35" i="4"/>
  <c r="Y35" i="4"/>
  <c r="S35" i="4"/>
  <c r="R35" i="4"/>
  <c r="L35" i="4"/>
  <c r="K35" i="4"/>
  <c r="E35" i="4"/>
  <c r="D35" i="4"/>
  <c r="AN34" i="4"/>
  <c r="AM34" i="4"/>
  <c r="AF34" i="4"/>
  <c r="Z34" i="4"/>
  <c r="Y34" i="4"/>
  <c r="S34" i="4"/>
  <c r="R34" i="4"/>
  <c r="L34" i="4"/>
  <c r="K34" i="4"/>
  <c r="E34" i="4"/>
  <c r="D34" i="4"/>
  <c r="N81" i="3" l="1"/>
  <c r="O81" i="3" s="1"/>
  <c r="AI81" i="3"/>
  <c r="AJ81" i="3" s="1"/>
  <c r="G81" i="3"/>
  <c r="H81" i="3" s="1"/>
  <c r="G45" i="3"/>
  <c r="H45" i="3" s="1"/>
  <c r="AI45" i="3"/>
  <c r="AJ45" i="3" s="1"/>
  <c r="AB44" i="5"/>
  <c r="AC44" i="5" s="1"/>
  <c r="AA44" i="5"/>
  <c r="U78" i="3"/>
  <c r="V78" i="3" s="1"/>
  <c r="T76" i="5"/>
  <c r="T84" i="5" s="1"/>
  <c r="T83" i="5" s="1"/>
  <c r="Z84" i="5"/>
  <c r="Z83" i="5" s="1"/>
  <c r="AA72" i="5"/>
  <c r="AA82" i="5" s="1"/>
  <c r="AG84" i="5"/>
  <c r="AG83" i="5" s="1"/>
  <c r="L84" i="5"/>
  <c r="L83" i="5" s="1"/>
  <c r="S84" i="5"/>
  <c r="S83" i="5" s="1"/>
  <c r="E84" i="5"/>
  <c r="AI46" i="5"/>
  <c r="AJ46" i="5" s="1"/>
  <c r="G48" i="5"/>
  <c r="H48" i="5" s="1"/>
  <c r="AO56" i="4"/>
  <c r="AO55" i="4" s="1"/>
  <c r="AH56" i="4"/>
  <c r="AH55" i="4" s="1"/>
  <c r="F56" i="4"/>
  <c r="F55" i="4" s="1"/>
  <c r="AB53" i="3"/>
  <c r="AC53" i="3" s="1"/>
  <c r="AB46" i="3"/>
  <c r="AC46" i="3" s="1"/>
  <c r="AB45" i="3"/>
  <c r="AC45" i="3" s="1"/>
  <c r="AB44" i="3"/>
  <c r="AC44" i="3" s="1"/>
  <c r="AB46" i="5"/>
  <c r="AC46" i="5" s="1"/>
  <c r="AB47" i="5"/>
  <c r="AC47" i="5" s="1"/>
  <c r="U45" i="4"/>
  <c r="V45" i="4" s="1"/>
  <c r="U47" i="4"/>
  <c r="V47" i="4" s="1"/>
  <c r="U50" i="4"/>
  <c r="V50" i="4" s="1"/>
  <c r="N47" i="4"/>
  <c r="O47" i="4" s="1"/>
  <c r="AB48" i="4"/>
  <c r="AC48" i="4" s="1"/>
  <c r="U49" i="4"/>
  <c r="V49" i="4" s="1"/>
  <c r="U52" i="4"/>
  <c r="V52" i="4" s="1"/>
  <c r="G73" i="4"/>
  <c r="H73" i="4" s="1"/>
  <c r="AI73" i="4"/>
  <c r="AJ73" i="4" s="1"/>
  <c r="G75" i="4"/>
  <c r="H75" i="4" s="1"/>
  <c r="AB51" i="5"/>
  <c r="AC51" i="5" s="1"/>
  <c r="AB53" i="5"/>
  <c r="AC53" i="5" s="1"/>
  <c r="U72" i="3"/>
  <c r="V72" i="3" s="1"/>
  <c r="G75" i="3"/>
  <c r="H75" i="3" s="1"/>
  <c r="U76" i="3"/>
  <c r="V76" i="3" s="1"/>
  <c r="G79" i="3"/>
  <c r="H79" i="3" s="1"/>
  <c r="U80" i="3"/>
  <c r="V80" i="3" s="1"/>
  <c r="G72" i="3"/>
  <c r="H72" i="3" s="1"/>
  <c r="U73" i="3"/>
  <c r="V73" i="3" s="1"/>
  <c r="G76" i="3"/>
  <c r="H76" i="3" s="1"/>
  <c r="U77" i="3"/>
  <c r="V77" i="3" s="1"/>
  <c r="G80" i="3"/>
  <c r="H80" i="3" s="1"/>
  <c r="U81" i="3"/>
  <c r="V81" i="3" s="1"/>
  <c r="N44" i="4"/>
  <c r="O44" i="4" s="1"/>
  <c r="N73" i="4"/>
  <c r="O73" i="4" s="1"/>
  <c r="N75" i="4"/>
  <c r="O75" i="4" s="1"/>
  <c r="U44" i="4"/>
  <c r="V44" i="4" s="1"/>
  <c r="AB45" i="4"/>
  <c r="AC45" i="4" s="1"/>
  <c r="U46" i="4"/>
  <c r="V46" i="4" s="1"/>
  <c r="AB47" i="4"/>
  <c r="AC47" i="4" s="1"/>
  <c r="U48" i="4"/>
  <c r="V48" i="4" s="1"/>
  <c r="N51" i="4"/>
  <c r="O51" i="4" s="1"/>
  <c r="U53" i="4"/>
  <c r="V53" i="4" s="1"/>
  <c r="G74" i="4"/>
  <c r="H74" i="4" s="1"/>
  <c r="AI74" i="4"/>
  <c r="AJ74" i="4" s="1"/>
  <c r="AB45" i="5"/>
  <c r="AC45" i="5" s="1"/>
  <c r="AB48" i="5"/>
  <c r="AC48" i="5" s="1"/>
  <c r="Z56" i="3"/>
  <c r="G73" i="3"/>
  <c r="H73" i="3" s="1"/>
  <c r="U74" i="3"/>
  <c r="V74" i="3" s="1"/>
  <c r="G77" i="3"/>
  <c r="H77" i="3" s="1"/>
  <c r="N46" i="4"/>
  <c r="O46" i="4" s="1"/>
  <c r="N48" i="4"/>
  <c r="O48" i="4" s="1"/>
  <c r="N53" i="4"/>
  <c r="O53" i="4" s="1"/>
  <c r="U74" i="4"/>
  <c r="V74" i="4" s="1"/>
  <c r="AA56" i="4"/>
  <c r="AA55" i="4" s="1"/>
  <c r="N49" i="4"/>
  <c r="O49" i="4" s="1"/>
  <c r="N50" i="4"/>
  <c r="O50" i="4" s="1"/>
  <c r="U51" i="4"/>
  <c r="V51" i="4" s="1"/>
  <c r="N52" i="4"/>
  <c r="O52" i="4" s="1"/>
  <c r="U73" i="4"/>
  <c r="V73" i="4" s="1"/>
  <c r="N74" i="4"/>
  <c r="O74" i="4" s="1"/>
  <c r="M84" i="5"/>
  <c r="M83" i="5" s="1"/>
  <c r="AH84" i="5"/>
  <c r="AH83" i="5" s="1"/>
  <c r="M44" i="3"/>
  <c r="M56" i="3" s="1"/>
  <c r="AA44" i="3"/>
  <c r="AA54" i="3" s="1"/>
  <c r="AN56" i="3"/>
  <c r="AN55" i="3" s="1"/>
  <c r="G74" i="3"/>
  <c r="H74" i="3" s="1"/>
  <c r="U75" i="3"/>
  <c r="V75" i="3" s="1"/>
  <c r="G78" i="3"/>
  <c r="H78" i="3" s="1"/>
  <c r="U79" i="3"/>
  <c r="V79" i="3" s="1"/>
  <c r="U45" i="3"/>
  <c r="V45" i="3" s="1"/>
  <c r="U47" i="3"/>
  <c r="V47" i="3" s="1"/>
  <c r="U46" i="3"/>
  <c r="V46" i="3" s="1"/>
  <c r="U44" i="3"/>
  <c r="N53" i="3"/>
  <c r="O53" i="3" s="1"/>
  <c r="N52" i="3"/>
  <c r="O52" i="3" s="1"/>
  <c r="N51" i="3"/>
  <c r="O51" i="3" s="1"/>
  <c r="N50" i="3"/>
  <c r="O50" i="3" s="1"/>
  <c r="N49" i="3"/>
  <c r="O49" i="3" s="1"/>
  <c r="N48" i="3"/>
  <c r="O48" i="3" s="1"/>
  <c r="N46" i="3"/>
  <c r="O46" i="3" s="1"/>
  <c r="N45" i="3"/>
  <c r="O45" i="3" s="1"/>
  <c r="N44" i="3"/>
  <c r="N47" i="3"/>
  <c r="O47" i="3" s="1"/>
  <c r="AP53" i="3"/>
  <c r="AQ53" i="3" s="1"/>
  <c r="AP52" i="3"/>
  <c r="AQ52" i="3" s="1"/>
  <c r="AP51" i="3"/>
  <c r="AQ51" i="3" s="1"/>
  <c r="AP50" i="3"/>
  <c r="AQ50" i="3" s="1"/>
  <c r="AP49" i="3"/>
  <c r="AQ49" i="3" s="1"/>
  <c r="AP48" i="3"/>
  <c r="AQ48" i="3" s="1"/>
  <c r="AP47" i="3"/>
  <c r="AQ47" i="3" s="1"/>
  <c r="AP46" i="3"/>
  <c r="AQ46" i="3" s="1"/>
  <c r="AP45" i="3"/>
  <c r="AQ45" i="3" s="1"/>
  <c r="AP44" i="3"/>
  <c r="G46" i="3"/>
  <c r="H46" i="3" s="1"/>
  <c r="AI46" i="3"/>
  <c r="AJ46" i="3" s="1"/>
  <c r="S54" i="3"/>
  <c r="S56" i="3"/>
  <c r="AI47" i="3"/>
  <c r="AJ47" i="3" s="1"/>
  <c r="G48" i="3"/>
  <c r="H48" i="3" s="1"/>
  <c r="U48" i="3"/>
  <c r="V48" i="3" s="1"/>
  <c r="AI48" i="3"/>
  <c r="AJ48" i="3" s="1"/>
  <c r="G49" i="3"/>
  <c r="H49" i="3" s="1"/>
  <c r="U49" i="3"/>
  <c r="V49" i="3" s="1"/>
  <c r="AI49" i="3"/>
  <c r="AJ49" i="3" s="1"/>
  <c r="G50" i="3"/>
  <c r="H50" i="3" s="1"/>
  <c r="U50" i="3"/>
  <c r="V50" i="3" s="1"/>
  <c r="AI50" i="3"/>
  <c r="AJ50" i="3" s="1"/>
  <c r="G51" i="3"/>
  <c r="H51" i="3" s="1"/>
  <c r="U51" i="3"/>
  <c r="V51" i="3" s="1"/>
  <c r="AI51" i="3"/>
  <c r="AJ51" i="3" s="1"/>
  <c r="G52" i="3"/>
  <c r="H52" i="3" s="1"/>
  <c r="U52" i="3"/>
  <c r="V52" i="3" s="1"/>
  <c r="AI52" i="3"/>
  <c r="AJ52" i="3" s="1"/>
  <c r="G53" i="3"/>
  <c r="H53" i="3" s="1"/>
  <c r="U53" i="3"/>
  <c r="V53" i="3" s="1"/>
  <c r="AI53" i="3"/>
  <c r="AJ53" i="3" s="1"/>
  <c r="M84" i="3"/>
  <c r="M82" i="3"/>
  <c r="AA84" i="3"/>
  <c r="AA82" i="3"/>
  <c r="AH84" i="3"/>
  <c r="AH82" i="3"/>
  <c r="G44" i="3"/>
  <c r="AI44" i="3"/>
  <c r="G47" i="3"/>
  <c r="H47" i="3" s="1"/>
  <c r="AG54" i="3"/>
  <c r="AG56" i="3"/>
  <c r="L54" i="3"/>
  <c r="Z54" i="3"/>
  <c r="AN54" i="3"/>
  <c r="Z55" i="3"/>
  <c r="L56" i="3"/>
  <c r="N72" i="3"/>
  <c r="AB72" i="3"/>
  <c r="AI72" i="3"/>
  <c r="N73" i="3"/>
  <c r="O73" i="3" s="1"/>
  <c r="AB73" i="3"/>
  <c r="AC73" i="3" s="1"/>
  <c r="AI73" i="3"/>
  <c r="AJ73" i="3" s="1"/>
  <c r="N74" i="3"/>
  <c r="O74" i="3" s="1"/>
  <c r="AB74" i="3"/>
  <c r="AC74" i="3" s="1"/>
  <c r="AI74" i="3"/>
  <c r="AJ74" i="3" s="1"/>
  <c r="N75" i="3"/>
  <c r="O75" i="3" s="1"/>
  <c r="AB75" i="3"/>
  <c r="AC75" i="3" s="1"/>
  <c r="AI75" i="3"/>
  <c r="AJ75" i="3" s="1"/>
  <c r="N76" i="3"/>
  <c r="O76" i="3" s="1"/>
  <c r="AB76" i="3"/>
  <c r="AC76" i="3" s="1"/>
  <c r="AI76" i="3"/>
  <c r="AJ76" i="3" s="1"/>
  <c r="N77" i="3"/>
  <c r="O77" i="3" s="1"/>
  <c r="AB77" i="3"/>
  <c r="AC77" i="3" s="1"/>
  <c r="AI77" i="3"/>
  <c r="AJ77" i="3" s="1"/>
  <c r="N78" i="3"/>
  <c r="O78" i="3" s="1"/>
  <c r="AB78" i="3"/>
  <c r="AC78" i="3" s="1"/>
  <c r="AI78" i="3"/>
  <c r="AJ78" i="3" s="1"/>
  <c r="N79" i="3"/>
  <c r="O79" i="3" s="1"/>
  <c r="AB79" i="3"/>
  <c r="AC79" i="3" s="1"/>
  <c r="AI79" i="3"/>
  <c r="AJ79" i="3" s="1"/>
  <c r="N80" i="3"/>
  <c r="O80" i="3" s="1"/>
  <c r="AB80" i="3"/>
  <c r="AC80" i="3" s="1"/>
  <c r="AI80" i="3"/>
  <c r="AJ80" i="3" s="1"/>
  <c r="E54" i="3"/>
  <c r="E56" i="3"/>
  <c r="F56" i="3"/>
  <c r="F54" i="3"/>
  <c r="T56" i="3"/>
  <c r="T54" i="3"/>
  <c r="AH56" i="3"/>
  <c r="AH54" i="3"/>
  <c r="AO56" i="3"/>
  <c r="AO54" i="3"/>
  <c r="AB47" i="3"/>
  <c r="AC47" i="3" s="1"/>
  <c r="AB48" i="3"/>
  <c r="AC48" i="3" s="1"/>
  <c r="AB49" i="3"/>
  <c r="AC49" i="3" s="1"/>
  <c r="AB50" i="3"/>
  <c r="AC50" i="3" s="1"/>
  <c r="AB51" i="3"/>
  <c r="AC51" i="3" s="1"/>
  <c r="AB52" i="3"/>
  <c r="AC52" i="3" s="1"/>
  <c r="F84" i="3"/>
  <c r="F82" i="3"/>
  <c r="T84" i="3"/>
  <c r="T82" i="3"/>
  <c r="E82" i="3"/>
  <c r="L82" i="3"/>
  <c r="S82" i="3"/>
  <c r="Z82" i="3"/>
  <c r="AG82" i="3"/>
  <c r="E84" i="3"/>
  <c r="L84" i="3"/>
  <c r="S84" i="3"/>
  <c r="Z84" i="3"/>
  <c r="AG84" i="3"/>
  <c r="N47" i="5"/>
  <c r="O47" i="5" s="1"/>
  <c r="N45" i="5"/>
  <c r="O45" i="5" s="1"/>
  <c r="N44" i="5"/>
  <c r="O44" i="5" s="1"/>
  <c r="N48" i="5"/>
  <c r="O48" i="5" s="1"/>
  <c r="N46" i="5"/>
  <c r="O46" i="5" s="1"/>
  <c r="AP44" i="5"/>
  <c r="AQ44" i="5" s="1"/>
  <c r="AP47" i="5"/>
  <c r="AQ47" i="5" s="1"/>
  <c r="AP46" i="5"/>
  <c r="AQ46" i="5" s="1"/>
  <c r="AP45" i="5"/>
  <c r="AQ45" i="5" s="1"/>
  <c r="N81" i="5"/>
  <c r="O81" i="5" s="1"/>
  <c r="N80" i="5"/>
  <c r="O80" i="5" s="1"/>
  <c r="N79" i="5"/>
  <c r="O79" i="5" s="1"/>
  <c r="N78" i="5"/>
  <c r="O78" i="5" s="1"/>
  <c r="N77" i="5"/>
  <c r="O77" i="5" s="1"/>
  <c r="N76" i="5"/>
  <c r="O76" i="5" s="1"/>
  <c r="N75" i="5"/>
  <c r="O75" i="5" s="1"/>
  <c r="N74" i="5"/>
  <c r="O74" i="5" s="1"/>
  <c r="N73" i="5"/>
  <c r="O73" i="5" s="1"/>
  <c r="N72" i="5"/>
  <c r="O72" i="5" s="1"/>
  <c r="AI81" i="5"/>
  <c r="AJ81" i="5" s="1"/>
  <c r="AI80" i="5"/>
  <c r="AJ80" i="5" s="1"/>
  <c r="AI79" i="5"/>
  <c r="AJ79" i="5" s="1"/>
  <c r="AI78" i="5"/>
  <c r="AJ78" i="5" s="1"/>
  <c r="AI77" i="5"/>
  <c r="AJ77" i="5" s="1"/>
  <c r="AI76" i="5"/>
  <c r="AJ76" i="5" s="1"/>
  <c r="AI75" i="5"/>
  <c r="AJ75" i="5" s="1"/>
  <c r="AI74" i="5"/>
  <c r="AJ74" i="5" s="1"/>
  <c r="AI73" i="5"/>
  <c r="AJ73" i="5" s="1"/>
  <c r="AI72" i="5"/>
  <c r="AJ72" i="5" s="1"/>
  <c r="U47" i="5"/>
  <c r="V47" i="5" s="1"/>
  <c r="U46" i="5"/>
  <c r="V46" i="5" s="1"/>
  <c r="U45" i="5"/>
  <c r="V45" i="5" s="1"/>
  <c r="U48" i="5"/>
  <c r="V48" i="5" s="1"/>
  <c r="U44" i="5"/>
  <c r="V44" i="5" s="1"/>
  <c r="AB81" i="5"/>
  <c r="AC81" i="5" s="1"/>
  <c r="AB80" i="5"/>
  <c r="AC80" i="5" s="1"/>
  <c r="AB79" i="5"/>
  <c r="AC79" i="5" s="1"/>
  <c r="AB78" i="5"/>
  <c r="AC78" i="5" s="1"/>
  <c r="AB77" i="5"/>
  <c r="AC77" i="5" s="1"/>
  <c r="AB76" i="5"/>
  <c r="AC76" i="5" s="1"/>
  <c r="AB75" i="5"/>
  <c r="AC75" i="5" s="1"/>
  <c r="AB74" i="5"/>
  <c r="AC74" i="5" s="1"/>
  <c r="AB73" i="5"/>
  <c r="AC73" i="5" s="1"/>
  <c r="AB72" i="5"/>
  <c r="AC72" i="5" s="1"/>
  <c r="AI47" i="5"/>
  <c r="AJ47" i="5" s="1"/>
  <c r="AB49" i="5"/>
  <c r="AC49" i="5" s="1"/>
  <c r="N50" i="5"/>
  <c r="O50" i="5" s="1"/>
  <c r="AP50" i="5"/>
  <c r="AQ50" i="5" s="1"/>
  <c r="N52" i="5"/>
  <c r="O52" i="5" s="1"/>
  <c r="AP52" i="5"/>
  <c r="AQ52" i="5" s="1"/>
  <c r="AI48" i="5"/>
  <c r="AJ48" i="5" s="1"/>
  <c r="U49" i="5"/>
  <c r="V49" i="5" s="1"/>
  <c r="G50" i="5"/>
  <c r="H50" i="5" s="1"/>
  <c r="AI50" i="5"/>
  <c r="AJ50" i="5" s="1"/>
  <c r="U51" i="5"/>
  <c r="V51" i="5" s="1"/>
  <c r="G52" i="5"/>
  <c r="H52" i="5" s="1"/>
  <c r="AI52" i="5"/>
  <c r="AJ52" i="5" s="1"/>
  <c r="U53" i="5"/>
  <c r="V53" i="5" s="1"/>
  <c r="G81" i="5"/>
  <c r="H81" i="5" s="1"/>
  <c r="G80" i="5"/>
  <c r="H80" i="5" s="1"/>
  <c r="G79" i="5"/>
  <c r="H79" i="5" s="1"/>
  <c r="G78" i="5"/>
  <c r="H78" i="5" s="1"/>
  <c r="G77" i="5"/>
  <c r="H77" i="5" s="1"/>
  <c r="G76" i="5"/>
  <c r="H76" i="5" s="1"/>
  <c r="G75" i="5"/>
  <c r="H75" i="5" s="1"/>
  <c r="G74" i="5"/>
  <c r="H74" i="5" s="1"/>
  <c r="G73" i="5"/>
  <c r="H73" i="5" s="1"/>
  <c r="G72" i="5"/>
  <c r="H72" i="5" s="1"/>
  <c r="G44" i="5"/>
  <c r="H44" i="5" s="1"/>
  <c r="AI44" i="5"/>
  <c r="AJ44" i="5" s="1"/>
  <c r="E56" i="5"/>
  <c r="E54" i="5"/>
  <c r="L56" i="5"/>
  <c r="L54" i="5"/>
  <c r="S56" i="5"/>
  <c r="S54" i="5"/>
  <c r="Z56" i="5"/>
  <c r="Z54" i="5"/>
  <c r="AG56" i="5"/>
  <c r="AG54" i="5"/>
  <c r="AN56" i="5"/>
  <c r="AN54" i="5"/>
  <c r="N49" i="5"/>
  <c r="O49" i="5" s="1"/>
  <c r="AP49" i="5"/>
  <c r="AQ49" i="5" s="1"/>
  <c r="AB50" i="5"/>
  <c r="AC50" i="5" s="1"/>
  <c r="N51" i="5"/>
  <c r="O51" i="5" s="1"/>
  <c r="AP51" i="5"/>
  <c r="AQ51" i="5" s="1"/>
  <c r="AB52" i="5"/>
  <c r="N53" i="5"/>
  <c r="O53" i="5" s="1"/>
  <c r="AP53" i="5"/>
  <c r="AQ53" i="5" s="1"/>
  <c r="E83" i="5"/>
  <c r="G45" i="5"/>
  <c r="H45" i="5" s="1"/>
  <c r="AI45" i="5"/>
  <c r="AJ45" i="5" s="1"/>
  <c r="G46" i="5"/>
  <c r="H46" i="5" s="1"/>
  <c r="G47" i="5"/>
  <c r="H47" i="5" s="1"/>
  <c r="AP48" i="5"/>
  <c r="AQ48" i="5" s="1"/>
  <c r="G49" i="5"/>
  <c r="H49" i="5" s="1"/>
  <c r="AI49" i="5"/>
  <c r="AJ49" i="5" s="1"/>
  <c r="U50" i="5"/>
  <c r="V50" i="5" s="1"/>
  <c r="G51" i="5"/>
  <c r="H51" i="5" s="1"/>
  <c r="AI51" i="5"/>
  <c r="AJ51" i="5" s="1"/>
  <c r="U52" i="5"/>
  <c r="V52" i="5" s="1"/>
  <c r="G53" i="5"/>
  <c r="H53" i="5" s="1"/>
  <c r="AI53" i="5"/>
  <c r="AJ53" i="5" s="1"/>
  <c r="U81" i="5"/>
  <c r="V81" i="5" s="1"/>
  <c r="U80" i="5"/>
  <c r="V80" i="5" s="1"/>
  <c r="U79" i="5"/>
  <c r="V79" i="5" s="1"/>
  <c r="U78" i="5"/>
  <c r="V78" i="5" s="1"/>
  <c r="U77" i="5"/>
  <c r="V77" i="5" s="1"/>
  <c r="U76" i="5"/>
  <c r="V76" i="5" s="1"/>
  <c r="U75" i="5"/>
  <c r="V75" i="5" s="1"/>
  <c r="U74" i="5"/>
  <c r="V74" i="5" s="1"/>
  <c r="U73" i="5"/>
  <c r="V73" i="5" s="1"/>
  <c r="U72" i="5"/>
  <c r="V72" i="5" s="1"/>
  <c r="F84" i="5"/>
  <c r="F82" i="5"/>
  <c r="E82" i="5"/>
  <c r="L82" i="5"/>
  <c r="S82" i="5"/>
  <c r="Z82" i="5"/>
  <c r="AG82" i="5"/>
  <c r="M82" i="5"/>
  <c r="AH82" i="5"/>
  <c r="U75" i="4"/>
  <c r="V75" i="4" s="1"/>
  <c r="F84" i="4"/>
  <c r="M54" i="4"/>
  <c r="AP47" i="4"/>
  <c r="AQ47" i="4" s="1"/>
  <c r="AP46" i="4"/>
  <c r="AQ46" i="4" s="1"/>
  <c r="AP48" i="4"/>
  <c r="AQ48" i="4" s="1"/>
  <c r="G44" i="4"/>
  <c r="H44" i="4" s="1"/>
  <c r="AI44" i="4"/>
  <c r="AJ44" i="4" s="1"/>
  <c r="G46" i="4"/>
  <c r="H46" i="4" s="1"/>
  <c r="AI46" i="4"/>
  <c r="AJ46" i="4" s="1"/>
  <c r="AB49" i="4"/>
  <c r="AC49" i="4" s="1"/>
  <c r="AP49" i="4"/>
  <c r="AQ49" i="4" s="1"/>
  <c r="AB50" i="4"/>
  <c r="AC50" i="4" s="1"/>
  <c r="AP50" i="4"/>
  <c r="AQ50" i="4" s="1"/>
  <c r="AB51" i="4"/>
  <c r="AC51" i="4" s="1"/>
  <c r="AP51" i="4"/>
  <c r="AQ51" i="4" s="1"/>
  <c r="AB52" i="4"/>
  <c r="AC52" i="4" s="1"/>
  <c r="AP52" i="4"/>
  <c r="AQ52" i="4" s="1"/>
  <c r="AB53" i="4"/>
  <c r="AC53" i="4" s="1"/>
  <c r="AP53" i="4"/>
  <c r="AQ53" i="4" s="1"/>
  <c r="AB44" i="4"/>
  <c r="AC44" i="4" s="1"/>
  <c r="N45" i="4"/>
  <c r="O45" i="4" s="1"/>
  <c r="AP45" i="4"/>
  <c r="AQ45" i="4" s="1"/>
  <c r="AB46" i="4"/>
  <c r="AC46" i="4" s="1"/>
  <c r="G47" i="4"/>
  <c r="H47" i="4" s="1"/>
  <c r="AI47" i="4"/>
  <c r="AJ47" i="4" s="1"/>
  <c r="G48" i="4"/>
  <c r="H48" i="4" s="1"/>
  <c r="AI48" i="4"/>
  <c r="AJ48" i="4" s="1"/>
  <c r="AB73" i="4"/>
  <c r="AC73" i="4" s="1"/>
  <c r="AB74" i="4"/>
  <c r="AC74" i="4" s="1"/>
  <c r="AP44" i="4"/>
  <c r="AQ44" i="4" s="1"/>
  <c r="G45" i="4"/>
  <c r="H45" i="4" s="1"/>
  <c r="AI45" i="4"/>
  <c r="AJ45" i="4" s="1"/>
  <c r="G49" i="4"/>
  <c r="H49" i="4" s="1"/>
  <c r="AI49" i="4"/>
  <c r="AJ49" i="4" s="1"/>
  <c r="G50" i="4"/>
  <c r="H50" i="4" s="1"/>
  <c r="AI50" i="4"/>
  <c r="AJ50" i="4" s="1"/>
  <c r="G51" i="4"/>
  <c r="H51" i="4" s="1"/>
  <c r="AI51" i="4"/>
  <c r="AJ51" i="4" s="1"/>
  <c r="G52" i="4"/>
  <c r="H52" i="4" s="1"/>
  <c r="AI52" i="4"/>
  <c r="AJ52" i="4" s="1"/>
  <c r="G53" i="4"/>
  <c r="H53" i="4" s="1"/>
  <c r="AI53" i="4"/>
  <c r="AJ53" i="4" s="1"/>
  <c r="E82" i="4"/>
  <c r="S82" i="4"/>
  <c r="E54" i="4"/>
  <c r="L54" i="4"/>
  <c r="S54" i="4"/>
  <c r="Z54" i="4"/>
  <c r="AG54" i="4"/>
  <c r="AN54" i="4"/>
  <c r="E56" i="4"/>
  <c r="L56" i="4"/>
  <c r="S56" i="4"/>
  <c r="Z56" i="4"/>
  <c r="AG56" i="4"/>
  <c r="AN56" i="4"/>
  <c r="E84" i="4"/>
  <c r="L84" i="4"/>
  <c r="S84" i="4"/>
  <c r="Z84" i="4"/>
  <c r="AG84" i="4"/>
  <c r="M84" i="4"/>
  <c r="G76" i="4"/>
  <c r="H76" i="4" s="1"/>
  <c r="U76" i="4"/>
  <c r="V76" i="4" s="1"/>
  <c r="G77" i="4"/>
  <c r="H77" i="4" s="1"/>
  <c r="U77" i="4"/>
  <c r="V77" i="4" s="1"/>
  <c r="G78" i="4"/>
  <c r="H78" i="4" s="1"/>
  <c r="U78" i="4"/>
  <c r="V78" i="4" s="1"/>
  <c r="G79" i="4"/>
  <c r="H79" i="4" s="1"/>
  <c r="U79" i="4"/>
  <c r="V79" i="4" s="1"/>
  <c r="G80" i="4"/>
  <c r="H80" i="4" s="1"/>
  <c r="U80" i="4"/>
  <c r="V80" i="4" s="1"/>
  <c r="G81" i="4"/>
  <c r="H81" i="4" s="1"/>
  <c r="U81" i="4"/>
  <c r="V81" i="4" s="1"/>
  <c r="F54" i="4"/>
  <c r="AA54" i="4"/>
  <c r="AH54" i="4"/>
  <c r="AO54" i="4"/>
  <c r="M82" i="4"/>
  <c r="T84" i="4"/>
  <c r="T82" i="4"/>
  <c r="AA84" i="4"/>
  <c r="AA82" i="4"/>
  <c r="AH84" i="4"/>
  <c r="AH82" i="4"/>
  <c r="L82" i="4"/>
  <c r="Z82" i="4"/>
  <c r="AG82" i="4"/>
  <c r="G72" i="4"/>
  <c r="H72" i="4" s="1"/>
  <c r="N72" i="4"/>
  <c r="O72" i="4" s="1"/>
  <c r="U72" i="4"/>
  <c r="V72" i="4" s="1"/>
  <c r="AB72" i="4"/>
  <c r="AC72" i="4" s="1"/>
  <c r="AI72" i="4"/>
  <c r="AJ72" i="4" s="1"/>
  <c r="AB75" i="4"/>
  <c r="AC75" i="4" s="1"/>
  <c r="AI75" i="4"/>
  <c r="AJ75" i="4" s="1"/>
  <c r="N76" i="4"/>
  <c r="O76" i="4" s="1"/>
  <c r="AB76" i="4"/>
  <c r="AC76" i="4" s="1"/>
  <c r="AI76" i="4"/>
  <c r="AJ76" i="4" s="1"/>
  <c r="N77" i="4"/>
  <c r="O77" i="4" s="1"/>
  <c r="AB77" i="4"/>
  <c r="AC77" i="4" s="1"/>
  <c r="AI77" i="4"/>
  <c r="AJ77" i="4" s="1"/>
  <c r="N78" i="4"/>
  <c r="O78" i="4" s="1"/>
  <c r="AB78" i="4"/>
  <c r="AC78" i="4" s="1"/>
  <c r="AI78" i="4"/>
  <c r="AJ78" i="4" s="1"/>
  <c r="N79" i="4"/>
  <c r="O79" i="4" s="1"/>
  <c r="AB79" i="4"/>
  <c r="AC79" i="4" s="1"/>
  <c r="AI79" i="4"/>
  <c r="AJ79" i="4" s="1"/>
  <c r="N80" i="4"/>
  <c r="O80" i="4" s="1"/>
  <c r="AB80" i="4"/>
  <c r="AC80" i="4" s="1"/>
  <c r="AI80" i="4"/>
  <c r="AJ80" i="4" s="1"/>
  <c r="N81" i="4"/>
  <c r="O81" i="4" s="1"/>
  <c r="AB81" i="4"/>
  <c r="AC81" i="4" s="1"/>
  <c r="AI81" i="4"/>
  <c r="AJ81" i="4" s="1"/>
  <c r="T82" i="5" l="1"/>
  <c r="AH85" i="5"/>
  <c r="F57" i="4"/>
  <c r="AG85" i="5"/>
  <c r="Z85" i="5"/>
  <c r="E85" i="5"/>
  <c r="AA56" i="3"/>
  <c r="AA57" i="3" s="1"/>
  <c r="M54" i="3"/>
  <c r="AA84" i="5"/>
  <c r="AA83" i="5" s="1"/>
  <c r="L85" i="5"/>
  <c r="H84" i="3"/>
  <c r="H83" i="3" s="1"/>
  <c r="H82" i="3"/>
  <c r="G84" i="3"/>
  <c r="AN57" i="3"/>
  <c r="U82" i="3"/>
  <c r="V84" i="3"/>
  <c r="V83" i="3" s="1"/>
  <c r="G82" i="3"/>
  <c r="Z57" i="3"/>
  <c r="AQ54" i="5"/>
  <c r="AC52" i="5"/>
  <c r="AC56" i="5" s="1"/>
  <c r="AC55" i="5" s="1"/>
  <c r="V82" i="3"/>
  <c r="AB56" i="5"/>
  <c r="AB57" i="5" s="1"/>
  <c r="AO57" i="4"/>
  <c r="AH57" i="4"/>
  <c r="V56" i="4"/>
  <c r="V55" i="4" s="1"/>
  <c r="M85" i="5"/>
  <c r="T85" i="5"/>
  <c r="S85" i="5"/>
  <c r="AB54" i="5"/>
  <c r="F82" i="4"/>
  <c r="F85" i="4" s="1"/>
  <c r="AA57" i="4"/>
  <c r="T56" i="4"/>
  <c r="T55" i="4" s="1"/>
  <c r="U56" i="4"/>
  <c r="U55" i="4" s="1"/>
  <c r="V54" i="4"/>
  <c r="U54" i="4"/>
  <c r="N54" i="4"/>
  <c r="M56" i="4"/>
  <c r="M55" i="4" s="1"/>
  <c r="O56" i="4"/>
  <c r="O55" i="4" s="1"/>
  <c r="T54" i="4"/>
  <c r="U84" i="3"/>
  <c r="L85" i="3"/>
  <c r="L83" i="3"/>
  <c r="T85" i="3"/>
  <c r="T83" i="3"/>
  <c r="AH57" i="3"/>
  <c r="AH55" i="3"/>
  <c r="G56" i="3"/>
  <c r="G54" i="3"/>
  <c r="H44" i="3"/>
  <c r="AA85" i="3"/>
  <c r="AA83" i="3"/>
  <c r="U56" i="3"/>
  <c r="U54" i="3"/>
  <c r="V44" i="3"/>
  <c r="E85" i="3"/>
  <c r="E83" i="3"/>
  <c r="AB56" i="3"/>
  <c r="AG57" i="3"/>
  <c r="AG55" i="3"/>
  <c r="S57" i="3"/>
  <c r="S55" i="3"/>
  <c r="AB54" i="3"/>
  <c r="N56" i="3"/>
  <c r="N54" i="3"/>
  <c r="O44" i="3"/>
  <c r="AG85" i="3"/>
  <c r="AG83" i="3"/>
  <c r="T57" i="3"/>
  <c r="T55" i="3"/>
  <c r="O72" i="3"/>
  <c r="N84" i="3"/>
  <c r="N82" i="3"/>
  <c r="Z85" i="3"/>
  <c r="Z83" i="3"/>
  <c r="F85" i="3"/>
  <c r="F83" i="3"/>
  <c r="AO57" i="3"/>
  <c r="AO55" i="3"/>
  <c r="AA55" i="3"/>
  <c r="M57" i="3"/>
  <c r="M55" i="3"/>
  <c r="AJ72" i="3"/>
  <c r="AI84" i="3"/>
  <c r="AI82" i="3"/>
  <c r="L57" i="3"/>
  <c r="L55" i="3"/>
  <c r="AH85" i="3"/>
  <c r="AH83" i="3"/>
  <c r="M85" i="3"/>
  <c r="M83" i="3"/>
  <c r="AC56" i="3"/>
  <c r="AC54" i="3"/>
  <c r="AP54" i="3"/>
  <c r="AP56" i="3"/>
  <c r="AQ44" i="3"/>
  <c r="F57" i="3"/>
  <c r="F55" i="3"/>
  <c r="S85" i="3"/>
  <c r="S83" i="3"/>
  <c r="E57" i="3"/>
  <c r="E55" i="3"/>
  <c r="AC72" i="3"/>
  <c r="AB84" i="3"/>
  <c r="AB82" i="3"/>
  <c r="AI56" i="3"/>
  <c r="AI54" i="3"/>
  <c r="AJ44" i="3"/>
  <c r="U56" i="5"/>
  <c r="U54" i="5"/>
  <c r="F85" i="5"/>
  <c r="F83" i="5"/>
  <c r="AH56" i="5"/>
  <c r="AH54" i="5"/>
  <c r="F56" i="5"/>
  <c r="F54" i="5"/>
  <c r="AG57" i="5"/>
  <c r="AG55" i="5"/>
  <c r="S57" i="5"/>
  <c r="S55" i="5"/>
  <c r="E57" i="5"/>
  <c r="E55" i="5"/>
  <c r="AI84" i="5"/>
  <c r="AI82" i="5"/>
  <c r="N56" i="5"/>
  <c r="N54" i="5"/>
  <c r="M56" i="5"/>
  <c r="M54" i="5"/>
  <c r="U84" i="5"/>
  <c r="U82" i="5"/>
  <c r="AA56" i="5"/>
  <c r="AA54" i="5"/>
  <c r="AI56" i="5"/>
  <c r="AI54" i="5"/>
  <c r="AB84" i="5"/>
  <c r="AB82" i="5"/>
  <c r="AP56" i="5"/>
  <c r="AP54" i="5"/>
  <c r="AO56" i="5"/>
  <c r="AO54" i="5"/>
  <c r="T56" i="5"/>
  <c r="T54" i="5"/>
  <c r="AN57" i="5"/>
  <c r="AN55" i="5"/>
  <c r="Z57" i="5"/>
  <c r="Z55" i="5"/>
  <c r="L57" i="5"/>
  <c r="L55" i="5"/>
  <c r="G56" i="5"/>
  <c r="G54" i="5"/>
  <c r="G84" i="5"/>
  <c r="G82" i="5"/>
  <c r="N84" i="5"/>
  <c r="N82" i="5"/>
  <c r="AI82" i="4"/>
  <c r="AI84" i="4"/>
  <c r="E85" i="4"/>
  <c r="E83" i="4"/>
  <c r="S57" i="4"/>
  <c r="S55" i="4"/>
  <c r="G56" i="4"/>
  <c r="G54" i="4"/>
  <c r="G84" i="4"/>
  <c r="G82" i="4"/>
  <c r="T85" i="4"/>
  <c r="T83" i="4"/>
  <c r="F83" i="4"/>
  <c r="AG85" i="4"/>
  <c r="AG83" i="4"/>
  <c r="Z85" i="4"/>
  <c r="Z83" i="4"/>
  <c r="AN57" i="4"/>
  <c r="AN55" i="4"/>
  <c r="L57" i="4"/>
  <c r="L55" i="4"/>
  <c r="N56" i="4"/>
  <c r="N82" i="4"/>
  <c r="N84" i="4"/>
  <c r="AB82" i="4"/>
  <c r="AB84" i="4"/>
  <c r="S85" i="4"/>
  <c r="S83" i="4"/>
  <c r="AG57" i="4"/>
  <c r="AG55" i="4"/>
  <c r="E57" i="4"/>
  <c r="E55" i="4"/>
  <c r="AB56" i="4"/>
  <c r="AB54" i="4"/>
  <c r="O54" i="4"/>
  <c r="U84" i="4"/>
  <c r="U82" i="4"/>
  <c r="AH85" i="4"/>
  <c r="AH83" i="4"/>
  <c r="AA85" i="4"/>
  <c r="AA83" i="4"/>
  <c r="M85" i="4"/>
  <c r="M83" i="4"/>
  <c r="L85" i="4"/>
  <c r="L83" i="4"/>
  <c r="Z57" i="4"/>
  <c r="Z55" i="4"/>
  <c r="AP56" i="4"/>
  <c r="AP54" i="4"/>
  <c r="AI56" i="4"/>
  <c r="AI54" i="4"/>
  <c r="H85" i="3" l="1"/>
  <c r="U85" i="3"/>
  <c r="U83" i="3"/>
  <c r="G85" i="3"/>
  <c r="G83" i="3"/>
  <c r="AC54" i="5"/>
  <c r="AC57" i="5" s="1"/>
  <c r="AA85" i="5"/>
  <c r="V85" i="3"/>
  <c r="AB55" i="5"/>
  <c r="U57" i="4"/>
  <c r="T57" i="4"/>
  <c r="V57" i="4"/>
  <c r="O57" i="4"/>
  <c r="M57" i="4"/>
  <c r="AC84" i="3"/>
  <c r="AC82" i="3"/>
  <c r="AP55" i="3"/>
  <c r="AP57" i="3"/>
  <c r="AJ84" i="3"/>
  <c r="AJ82" i="3"/>
  <c r="G57" i="3"/>
  <c r="G55" i="3"/>
  <c r="AI57" i="3"/>
  <c r="AI55" i="3"/>
  <c r="V56" i="3"/>
  <c r="V54" i="3"/>
  <c r="N55" i="3"/>
  <c r="N57" i="3"/>
  <c r="N85" i="3"/>
  <c r="N83" i="3"/>
  <c r="O56" i="3"/>
  <c r="O54" i="3"/>
  <c r="AB55" i="3"/>
  <c r="AB57" i="3"/>
  <c r="H56" i="3"/>
  <c r="H54" i="3"/>
  <c r="AJ56" i="3"/>
  <c r="AJ54" i="3"/>
  <c r="AB85" i="3"/>
  <c r="AB83" i="3"/>
  <c r="AQ56" i="3"/>
  <c r="AQ54" i="3"/>
  <c r="AC57" i="3"/>
  <c r="AC55" i="3"/>
  <c r="AI85" i="3"/>
  <c r="AI83" i="3"/>
  <c r="O84" i="3"/>
  <c r="O82" i="3"/>
  <c r="U57" i="3"/>
  <c r="U55" i="3"/>
  <c r="H84" i="5"/>
  <c r="H82" i="5"/>
  <c r="AB85" i="5"/>
  <c r="AB83" i="5"/>
  <c r="AI57" i="5"/>
  <c r="AI55" i="5"/>
  <c r="V84" i="5"/>
  <c r="V82" i="5"/>
  <c r="O56" i="5"/>
  <c r="O54" i="5"/>
  <c r="F57" i="5"/>
  <c r="F55" i="5"/>
  <c r="G57" i="5"/>
  <c r="G55" i="5"/>
  <c r="AO57" i="5"/>
  <c r="AO55" i="5"/>
  <c r="AQ56" i="5"/>
  <c r="AI85" i="5"/>
  <c r="AI83" i="5"/>
  <c r="U57" i="5"/>
  <c r="U55" i="5"/>
  <c r="N85" i="5"/>
  <c r="N83" i="5"/>
  <c r="G85" i="5"/>
  <c r="G83" i="5"/>
  <c r="AC84" i="5"/>
  <c r="AC82" i="5"/>
  <c r="AJ56" i="5"/>
  <c r="AJ54" i="5"/>
  <c r="U85" i="5"/>
  <c r="U83" i="5"/>
  <c r="N57" i="5"/>
  <c r="N55" i="5"/>
  <c r="AH57" i="5"/>
  <c r="AH55" i="5"/>
  <c r="O84" i="5"/>
  <c r="O82" i="5"/>
  <c r="H56" i="5"/>
  <c r="H54" i="5"/>
  <c r="T57" i="5"/>
  <c r="T55" i="5"/>
  <c r="AP57" i="5"/>
  <c r="AP55" i="5"/>
  <c r="AA57" i="5"/>
  <c r="AA55" i="5"/>
  <c r="M57" i="5"/>
  <c r="M55" i="5"/>
  <c r="AJ84" i="5"/>
  <c r="AJ82" i="5"/>
  <c r="V56" i="5"/>
  <c r="V54" i="5"/>
  <c r="AQ56" i="4"/>
  <c r="AQ54" i="4"/>
  <c r="AB57" i="4"/>
  <c r="AB55" i="4"/>
  <c r="H54" i="4"/>
  <c r="H56" i="4"/>
  <c r="AJ56" i="4"/>
  <c r="AJ54" i="4"/>
  <c r="U85" i="4"/>
  <c r="U83" i="4"/>
  <c r="N83" i="4"/>
  <c r="N85" i="4"/>
  <c r="H84" i="4"/>
  <c r="H82" i="4"/>
  <c r="AJ84" i="4"/>
  <c r="AJ82" i="4"/>
  <c r="AB83" i="4"/>
  <c r="AB85" i="4"/>
  <c r="O84" i="4"/>
  <c r="O82" i="4"/>
  <c r="N57" i="4"/>
  <c r="N55" i="4"/>
  <c r="G57" i="4"/>
  <c r="G55" i="4"/>
  <c r="AI85" i="4"/>
  <c r="AI83" i="4"/>
  <c r="AP57" i="4"/>
  <c r="AP55" i="4"/>
  <c r="AC56" i="4"/>
  <c r="AC54" i="4"/>
  <c r="AI57" i="4"/>
  <c r="AI55" i="4"/>
  <c r="V84" i="4"/>
  <c r="V82" i="4"/>
  <c r="AC84" i="4"/>
  <c r="AC82" i="4"/>
  <c r="G85" i="4"/>
  <c r="G83" i="4"/>
  <c r="AQ57" i="3" l="1"/>
  <c r="AQ55" i="3"/>
  <c r="V57" i="3"/>
  <c r="V55" i="3"/>
  <c r="AJ85" i="3"/>
  <c r="AJ83" i="3"/>
  <c r="AC85" i="3"/>
  <c r="AC83" i="3"/>
  <c r="O57" i="3"/>
  <c r="O55" i="3"/>
  <c r="O85" i="3"/>
  <c r="O83" i="3"/>
  <c r="AJ57" i="3"/>
  <c r="AJ55" i="3"/>
  <c r="H57" i="3"/>
  <c r="H55" i="3"/>
  <c r="V57" i="5"/>
  <c r="V55" i="5"/>
  <c r="AJ85" i="5"/>
  <c r="AJ83" i="5"/>
  <c r="V85" i="5"/>
  <c r="V83" i="5"/>
  <c r="AJ57" i="5"/>
  <c r="AJ55" i="5"/>
  <c r="AQ57" i="5"/>
  <c r="AQ55" i="5"/>
  <c r="O85" i="5"/>
  <c r="O83" i="5"/>
  <c r="H57" i="5"/>
  <c r="H55" i="5"/>
  <c r="AC85" i="5"/>
  <c r="AC83" i="5"/>
  <c r="O57" i="5"/>
  <c r="O55" i="5"/>
  <c r="H85" i="5"/>
  <c r="H83" i="5"/>
  <c r="O85" i="4"/>
  <c r="O83" i="4"/>
  <c r="AC85" i="4"/>
  <c r="AC83" i="4"/>
  <c r="V85" i="4"/>
  <c r="V83" i="4"/>
  <c r="AC57" i="4"/>
  <c r="AC55" i="4"/>
  <c r="AJ85" i="4"/>
  <c r="AJ83" i="4"/>
  <c r="AQ57" i="4"/>
  <c r="AQ55" i="4"/>
  <c r="H55" i="4"/>
  <c r="H57" i="4"/>
  <c r="H85" i="4"/>
  <c r="H83" i="4"/>
  <c r="AJ55" i="4"/>
  <c r="AJ57" i="4"/>
</calcChain>
</file>

<file path=xl/sharedStrings.xml><?xml version="1.0" encoding="utf-8"?>
<sst xmlns="http://schemas.openxmlformats.org/spreadsheetml/2006/main" count="1172" uniqueCount="117">
  <si>
    <t>A</t>
  </si>
  <si>
    <t>B</t>
  </si>
  <si>
    <t>C</t>
  </si>
  <si>
    <t>D</t>
  </si>
  <si>
    <t>E</t>
  </si>
  <si>
    <t>F</t>
  </si>
  <si>
    <t>G</t>
  </si>
  <si>
    <t>H</t>
  </si>
  <si>
    <t>I</t>
  </si>
  <si>
    <t>J</t>
  </si>
  <si>
    <t>K</t>
  </si>
  <si>
    <t>L</t>
  </si>
  <si>
    <t>M</t>
  </si>
  <si>
    <t>N</t>
  </si>
  <si>
    <t>O</t>
  </si>
  <si>
    <t>P</t>
  </si>
  <si>
    <t>Empty</t>
  </si>
  <si>
    <t>OAZ1</t>
  </si>
  <si>
    <t>ACTB</t>
  </si>
  <si>
    <t>RPL27</t>
  </si>
  <si>
    <t>RPL30</t>
  </si>
  <si>
    <t>RPLP1</t>
  </si>
  <si>
    <t>CCSSER2</t>
  </si>
  <si>
    <t>GUSB</t>
  </si>
  <si>
    <t>PGK1</t>
  </si>
  <si>
    <t>EPAS1</t>
  </si>
  <si>
    <t>TBP</t>
  </si>
  <si>
    <t>TFRC</t>
  </si>
  <si>
    <t>Standard</t>
  </si>
  <si>
    <t xml:space="preserve">Normoxia </t>
  </si>
  <si>
    <t>Hypoxia 8 hours</t>
  </si>
  <si>
    <t>Hypoxia 48 hours</t>
  </si>
  <si>
    <r>
      <t>dH</t>
    </r>
    <r>
      <rPr>
        <vertAlign val="subscript"/>
        <sz val="11"/>
        <color theme="1"/>
        <rFont val="Calibri"/>
        <family val="2"/>
        <scheme val="minor"/>
      </rPr>
      <t>2</t>
    </r>
    <r>
      <rPr>
        <sz val="11"/>
        <color theme="1"/>
        <rFont val="Calibri"/>
        <family val="2"/>
        <scheme val="minor"/>
      </rPr>
      <t>O</t>
    </r>
  </si>
  <si>
    <t>ng / ul</t>
  </si>
  <si>
    <t>Water</t>
  </si>
  <si>
    <t>0hr T1</t>
  </si>
  <si>
    <t>0hr T2</t>
  </si>
  <si>
    <t>0hr T3</t>
  </si>
  <si>
    <t>8hr T1</t>
  </si>
  <si>
    <t>8hr T2</t>
  </si>
  <si>
    <t>8hr T3</t>
  </si>
  <si>
    <t>48hr T1</t>
  </si>
  <si>
    <t>48hr T2</t>
  </si>
  <si>
    <t>48hr T3</t>
  </si>
  <si>
    <t>Avg Ct</t>
  </si>
  <si>
    <t>Log</t>
  </si>
  <si>
    <t>P. efficiency (%)</t>
  </si>
  <si>
    <t>cDNA Pool Standard</t>
  </si>
  <si>
    <t>CCSER2</t>
  </si>
  <si>
    <t>Undetermined</t>
  </si>
  <si>
    <t>P. efficiency</t>
  </si>
  <si>
    <t>TP</t>
  </si>
  <si>
    <t>Time point</t>
  </si>
  <si>
    <t>Ct</t>
  </si>
  <si>
    <t>Cycle threshold</t>
  </si>
  <si>
    <t>RE</t>
  </si>
  <si>
    <t>Relative expression</t>
  </si>
  <si>
    <t>ECCt</t>
  </si>
  <si>
    <t>Efficiency corrected cycle threshold</t>
  </si>
  <si>
    <t>ECRE</t>
  </si>
  <si>
    <t>Efficiency corrected relative expression</t>
  </si>
  <si>
    <t>Ct Mean</t>
  </si>
  <si>
    <t>Mean Ct for this gene</t>
  </si>
  <si>
    <t>Ct SD</t>
  </si>
  <si>
    <t>Standard deviation of Ct in this gene</t>
  </si>
  <si>
    <t>Ct CV</t>
  </si>
  <si>
    <t>Coefficient of variation for this gene</t>
  </si>
  <si>
    <t>Formulas</t>
  </si>
  <si>
    <r>
      <rPr>
        <sz val="11"/>
        <color theme="0"/>
        <rFont val="Calibri"/>
        <family val="2"/>
        <scheme val="minor"/>
      </rPr>
      <t xml:space="preserve"> *</t>
    </r>
    <r>
      <rPr>
        <sz val="11"/>
        <color theme="1"/>
        <rFont val="Calibri"/>
        <family val="2"/>
        <scheme val="minor"/>
      </rPr>
      <t>=SUM(Ct*(log(p.efficiency)/log(2)))</t>
    </r>
  </si>
  <si>
    <r>
      <rPr>
        <sz val="11"/>
        <color theme="0"/>
        <rFont val="Calibri"/>
        <family val="2"/>
        <scheme val="minor"/>
      </rPr>
      <t>*</t>
    </r>
    <r>
      <rPr>
        <sz val="11"/>
        <color theme="1"/>
        <rFont val="Calibri"/>
        <family val="2"/>
        <scheme val="minor"/>
      </rPr>
      <t xml:space="preserve"> =AVERAGE(0hrT1:48hrT3)</t>
    </r>
  </si>
  <si>
    <t>** Water samples not included in calculations **</t>
  </si>
  <si>
    <r>
      <rPr>
        <sz val="11"/>
        <color theme="0"/>
        <rFont val="Calibri"/>
        <family val="2"/>
        <scheme val="minor"/>
      </rPr>
      <t>*</t>
    </r>
    <r>
      <rPr>
        <sz val="11"/>
        <color theme="1"/>
        <rFont val="Calibri"/>
        <family val="2"/>
        <scheme val="minor"/>
      </rPr>
      <t xml:space="preserve"> =STDEV(0hrT1:48hrT3)</t>
    </r>
  </si>
  <si>
    <r>
      <rPr>
        <sz val="11"/>
        <color theme="0"/>
        <rFont val="Calibri"/>
        <family val="2"/>
        <scheme val="minor"/>
      </rPr>
      <t>*</t>
    </r>
    <r>
      <rPr>
        <sz val="11"/>
        <color theme="1"/>
        <rFont val="Calibri"/>
        <family val="2"/>
        <scheme val="minor"/>
      </rPr>
      <t xml:space="preserve"> =SUM(Ct SD / Ct Mean)</t>
    </r>
  </si>
  <si>
    <t>Mean</t>
  </si>
  <si>
    <t>SE</t>
  </si>
  <si>
    <t>SD</t>
  </si>
  <si>
    <t>CV</t>
  </si>
  <si>
    <t>Experiment  information</t>
  </si>
  <si>
    <t>Seeded</t>
  </si>
  <si>
    <t>RNA extraction</t>
  </si>
  <si>
    <t>RNA integrity check</t>
  </si>
  <si>
    <t>cDNA synthesis</t>
  </si>
  <si>
    <t>RT-qPCR</t>
  </si>
  <si>
    <t>10^((Average Ct - 21.495)/-3.2708)</t>
  </si>
  <si>
    <t>10^((Average Ct - 21.359)/-3.4184)</t>
  </si>
  <si>
    <t>10^((Average Ct - 26.025)/-2.6141)</t>
  </si>
  <si>
    <t>10^((Average Ct - 21.951)/-3.2802)</t>
  </si>
  <si>
    <t>10^((Average Ct - 22.517)/-3.1896)</t>
  </si>
  <si>
    <t>10^((Average Ct - 22.347)/-3.3604)</t>
  </si>
  <si>
    <t>10^((Average Ct - 25.075)/-3.1399)</t>
  </si>
  <si>
    <t>10^((Average Ct - 26.715)/-3.2493)</t>
  </si>
  <si>
    <t>10^((Average Ct - 23.836)/-3.2997)</t>
  </si>
  <si>
    <t>10^((Average Ct - 21.961)/-3.3738)</t>
  </si>
  <si>
    <t>10^((Average Ct - 26.951)/-3.27)</t>
  </si>
  <si>
    <t>10^((Average Ct - 27.742)/-3.2981)</t>
  </si>
  <si>
    <t>10^((Average Ct - 30.609)/-4.1796)</t>
  </si>
  <si>
    <t>10^((Average Ct - 29.34)/-1.5376)</t>
  </si>
  <si>
    <t>10^((Average Ct - 25.057)/-3.237)</t>
  </si>
  <si>
    <t>10^((Average Ct - 23.988)/-3.272)</t>
  </si>
  <si>
    <t>10^((Average Ct - 28.392)/-1.9489)</t>
  </si>
  <si>
    <t>10^((Average Ct - 29.713)/-2.5831)</t>
  </si>
  <si>
    <t>10^((Average Ct - 26.303)/-3.1827)</t>
  </si>
  <si>
    <t>10^((Average Ct - 25.568)/-3.3429)</t>
  </si>
  <si>
    <t>10^((Average Ct - 32.656)/-0.844)</t>
  </si>
  <si>
    <t>10^((Average Ct - 26.725)/-3.4152)</t>
  </si>
  <si>
    <t>10^((Average Ct - 23.716)/-3.3343)</t>
  </si>
  <si>
    <t>10^((Average Ct - 23.766)/-5.5913)</t>
  </si>
  <si>
    <t>10^((Average Ct - 23.504)/-0.3264)</t>
  </si>
  <si>
    <t>10^((Average Ct - 20.987)/-3.3402)</t>
  </si>
  <si>
    <t>10^((Average Ct - 22.137)/-3.2321)</t>
  </si>
  <si>
    <t>10^((Average Ct - 21.6)/-3.5861)</t>
  </si>
  <si>
    <t>10^((Average Ct - 25.928)/-2.648)</t>
  </si>
  <si>
    <t>10^((Average Ct - 26.58)/-2.5133)</t>
  </si>
  <si>
    <t>10^((Average Ct - 22.98)/-2.9083)</t>
  </si>
  <si>
    <t>10^((Average Ct - 22.098)/-3.4172)</t>
  </si>
  <si>
    <t>10^((Average Ct - 27.945)/-1.494)</t>
  </si>
  <si>
    <r>
      <rPr>
        <b/>
        <sz val="11"/>
        <color theme="1"/>
        <rFont val="Calibri"/>
        <family val="2"/>
        <scheme val="minor"/>
      </rPr>
      <t xml:space="preserve">Supplementary Excel File Information: </t>
    </r>
    <r>
      <rPr>
        <sz val="11"/>
        <color theme="1"/>
        <rFont val="Calibri"/>
        <family val="2"/>
        <scheme val="minor"/>
      </rPr>
      <t>Each sheet in the excel file contains raw qPCR Ct values (B4:B28 - Z4:Z28) for individual biological replicates (R1, R2 &amp; R3) carried out in a 384-well plate. Tables generated in row 31 and row 59 pertain to average Ct values extracted from specified wells in the 384-well reaction plate, against a standard curve of known cDNA amount in ng / ul and Log10. Corresponding standard curve plots are displayed in column AS and BA. Details outlining calculations for primer efficiency are outlined in materials and methods.Tables generated in row 42 and 70 pertain to average ct values extracted from specified wells in the 384-well reaction plate and correspond to a specified technical replicate (T1, T2 &amp; T3) and a normoxic (0 hr) or hypoxic time course (8 hr &amp; 48 hr).</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</si>
</sst>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2" x14ac:knownFonts="1">
    <font>
      <sz val="11"/>
      <color theme="1"/>
      <name val="Calibri"/>
      <family val="2"/>
      <scheme val="minor"/>
    </font>
    <font>
      <sz val="11"/>
      <color rgb="FFFF0000"/>
      <name val="Calibri"/>
      <family val="2"/>
      <scheme val="minor"/>
    </font>
    <font>
      <b/>
      <sz val="11"/>
      <color theme="1"/>
      <name val="Calibri"/>
      <family val="2"/>
      <scheme val="minor"/>
    </font>
    <font>
      <vertAlign val="subscript"/>
      <sz val="11"/>
      <color theme="1"/>
      <name val="Calibri"/>
      <family val="2"/>
      <scheme val="minor"/>
    </font>
    <font>
      <b/>
      <sz val="11"/>
      <color theme="8" tint="-0.249977111117893"/>
      <name val="Calibri"/>
      <family val="2"/>
      <scheme val="minor"/>
    </font>
    <font>
      <sz val="11"/>
      <color theme="1"/>
      <name val="Calibri"/>
      <family val="2"/>
    </font>
    <font>
      <sz val="11"/>
      <name val="Arial"/>
      <family val="2"/>
    </font>
    <font>
      <sz val="11"/>
      <color rgb="FF222222"/>
      <name val="Calibri"/>
      <family val="2"/>
      <scheme val="minor"/>
    </font>
    <font>
      <sz val="11"/>
      <color theme="1"/>
      <name val="Arial"/>
      <family val="2"/>
    </font>
    <font>
      <b/>
      <sz val="11"/>
      <color theme="1"/>
      <name val="Calibri"/>
      <family val="2"/>
    </font>
    <font>
      <sz val="11"/>
      <color theme="0"/>
      <name val="Calibri"/>
      <family val="2"/>
      <scheme val="minor"/>
    </font>
    <font>
      <b/>
      <u/>
      <sz val="11"/>
      <color theme="1"/>
      <name val="Calibri"/>
      <family val="2"/>
      <scheme val="minor"/>
    </font>
  </fonts>
  <fills count="19">
    <fill>
      <patternFill patternType="none"/>
    </fill>
    <fill>
      <patternFill patternType="gray125"/>
    </fill>
    <fill>
      <patternFill patternType="solid">
        <fgColor theme="2" tint="-9.9978637043366805E-2"/>
        <bgColor indexed="64"/>
      </patternFill>
    </fill>
    <fill>
      <patternFill patternType="solid">
        <fgColor theme="9" tint="0.59999389629810485"/>
        <bgColor indexed="64"/>
      </patternFill>
    </fill>
    <fill>
      <patternFill patternType="solid">
        <fgColor theme="4" tint="0.79998168889431442"/>
        <bgColor indexed="64"/>
      </patternFill>
    </fill>
    <fill>
      <patternFill patternType="solid">
        <fgColor theme="5" tint="0.59999389629810485"/>
        <bgColor indexed="64"/>
      </patternFill>
    </fill>
    <fill>
      <patternFill patternType="solid">
        <fgColor theme="5" tint="0.39997558519241921"/>
        <bgColor indexed="64"/>
      </patternFill>
    </fill>
    <fill>
      <patternFill patternType="solid">
        <fgColor theme="8" tint="0.39997558519241921"/>
        <bgColor indexed="64"/>
      </patternFill>
    </fill>
    <fill>
      <patternFill patternType="solid">
        <fgColor theme="1" tint="0.499984740745262"/>
        <bgColor indexed="64"/>
      </patternFill>
    </fill>
    <fill>
      <patternFill patternType="solid">
        <fgColor theme="0"/>
        <bgColor indexed="64"/>
      </patternFill>
    </fill>
    <fill>
      <patternFill patternType="solid">
        <fgColor theme="2"/>
        <bgColor indexed="64"/>
      </patternFill>
    </fill>
    <fill>
      <patternFill patternType="solid">
        <fgColor theme="2" tint="-0.499984740745262"/>
        <bgColor indexed="64"/>
      </patternFill>
    </fill>
    <fill>
      <patternFill patternType="solid">
        <fgColor theme="0"/>
        <bgColor theme="0"/>
      </patternFill>
    </fill>
    <fill>
      <patternFill patternType="solid">
        <fgColor theme="8" tint="0.79998168889431442"/>
        <bgColor theme="0"/>
      </patternFill>
    </fill>
    <fill>
      <patternFill patternType="solid">
        <fgColor theme="5" tint="0.59999389629810485"/>
        <bgColor theme="0"/>
      </patternFill>
    </fill>
    <fill>
      <patternFill patternType="solid">
        <fgColor theme="5" tint="0.39997558519241921"/>
        <bgColor theme="0"/>
      </patternFill>
    </fill>
    <fill>
      <patternFill patternType="solid">
        <fgColor theme="8" tint="0.39997558519241921"/>
        <bgColor theme="0"/>
      </patternFill>
    </fill>
    <fill>
      <patternFill patternType="solid">
        <fgColor theme="9" tint="0.59999389629810485"/>
        <bgColor theme="0"/>
      </patternFill>
    </fill>
    <fill>
      <patternFill patternType="solid">
        <fgColor theme="4" tint="0.79998168889431442"/>
        <bgColor theme="0"/>
      </patternFill>
    </fill>
  </fills>
  <borders count="61">
    <border>
      <left/>
      <right/>
      <top/>
      <bottom/>
      <diagonal/>
    </border>
    <border>
      <left style="thin">
        <color indexed="64"/>
      </left>
      <right style="thin">
        <color indexed="64"/>
      </right>
      <top style="thin">
        <color indexed="64"/>
      </top>
      <bottom style="thin">
        <color indexed="64"/>
      </bottom>
      <diagonal/>
    </border>
    <border>
      <left style="thin">
        <color indexed="64"/>
      </left>
      <right/>
      <top style="thin">
        <color indexed="64"/>
      </top>
      <bottom/>
      <diagonal/>
    </border>
    <border>
      <left/>
      <right/>
      <top style="thin">
        <color indexed="64"/>
      </top>
      <bottom/>
      <diagonal/>
    </border>
    <border>
      <left/>
      <right style="thin">
        <color indexed="64"/>
      </right>
      <top style="thin">
        <color indexed="64"/>
      </top>
      <bottom/>
      <diagonal/>
    </border>
    <border>
      <left/>
      <right style="thin">
        <color indexed="64"/>
      </right>
      <top/>
      <bottom style="thin">
        <color indexed="64"/>
      </bottom>
      <diagonal/>
    </border>
    <border>
      <left style="thin">
        <color indexed="64"/>
      </left>
      <right/>
      <top/>
      <bottom/>
      <diagonal/>
    </border>
    <border>
      <left style="thin">
        <color indexed="64"/>
      </left>
      <right style="thin">
        <color indexed="64"/>
      </right>
      <top style="thin">
        <color indexed="64"/>
      </top>
      <bottom/>
      <diagonal/>
    </border>
    <border>
      <left style="thin">
        <color indexed="64"/>
      </left>
      <right style="thin">
        <color indexed="64"/>
      </right>
      <top/>
      <bottom/>
      <diagonal/>
    </border>
    <border>
      <left style="thin">
        <color indexed="64"/>
      </left>
      <right style="thin">
        <color indexed="64"/>
      </right>
      <top/>
      <bottom style="thin">
        <color indexed="64"/>
      </bottom>
      <diagonal/>
    </border>
    <border>
      <left/>
      <right style="thin">
        <color indexed="64"/>
      </right>
      <top/>
      <bottom/>
      <diagonal/>
    </border>
    <border>
      <left style="medium">
        <color indexed="64"/>
      </left>
      <right style="medium">
        <color indexed="64"/>
      </right>
      <top style="medium">
        <color indexed="64"/>
      </top>
      <bottom style="medium">
        <color indexed="64"/>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thin">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thin">
        <color indexed="64"/>
      </left>
      <right style="medium">
        <color indexed="64"/>
      </right>
      <top style="thin">
        <color indexed="64"/>
      </top>
      <bottom/>
      <diagonal/>
    </border>
    <border>
      <left style="thin">
        <color indexed="64"/>
      </left>
      <right style="medium">
        <color indexed="64"/>
      </right>
      <top/>
      <bottom style="thin">
        <color indexed="64"/>
      </bottom>
      <diagonal/>
    </border>
    <border>
      <left style="medium">
        <color indexed="64"/>
      </left>
      <right style="medium">
        <color indexed="64"/>
      </right>
      <top style="medium">
        <color indexed="64"/>
      </top>
      <bottom/>
      <diagonal/>
    </border>
    <border>
      <left style="medium">
        <color indexed="64"/>
      </left>
      <right style="medium">
        <color indexed="64"/>
      </right>
      <top/>
      <bottom style="medium">
        <color indexed="64"/>
      </bottom>
      <diagonal/>
    </border>
    <border>
      <left style="medium">
        <color indexed="64"/>
      </left>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
      <left style="thin">
        <color indexed="64"/>
      </left>
      <right style="medium">
        <color indexed="64"/>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thin">
        <color rgb="FF000000"/>
      </left>
      <right/>
      <top style="thin">
        <color rgb="FF000000"/>
      </top>
      <bottom style="thin">
        <color rgb="FF000000"/>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style="thin">
        <color rgb="FF000000"/>
      </left>
      <right style="thin">
        <color rgb="FF000000"/>
      </right>
      <top style="thin">
        <color rgb="FF000000"/>
      </top>
      <bottom style="thin">
        <color rgb="FF000000"/>
      </bottom>
      <diagonal/>
    </border>
    <border>
      <left style="thin">
        <color rgb="FF000000"/>
      </left>
      <right/>
      <top/>
      <bottom/>
      <diagonal/>
    </border>
    <border>
      <left style="thin">
        <color rgb="FF000000"/>
      </left>
      <right style="thin">
        <color rgb="FF000000"/>
      </right>
      <top/>
      <bottom/>
      <diagonal/>
    </border>
    <border>
      <left/>
      <right style="thin">
        <color rgb="FF000000"/>
      </right>
      <top/>
      <bottom/>
      <diagonal/>
    </border>
    <border>
      <left style="thin">
        <color rgb="FF000000"/>
      </left>
      <right/>
      <top/>
      <bottom style="thin">
        <color rgb="FF000000"/>
      </bottom>
      <diagonal/>
    </border>
    <border>
      <left style="thin">
        <color rgb="FF000000"/>
      </left>
      <right style="thin">
        <color rgb="FF000000"/>
      </right>
      <top/>
      <bottom style="thin">
        <color rgb="FF000000"/>
      </bottom>
      <diagonal/>
    </border>
    <border>
      <left/>
      <right style="thin">
        <color rgb="FF000000"/>
      </right>
      <top/>
      <bottom style="thin">
        <color rgb="FF000000"/>
      </bottom>
      <diagonal/>
    </border>
    <border>
      <left style="thin">
        <color rgb="FF000000"/>
      </left>
      <right/>
      <top/>
      <bottom style="thin">
        <color indexed="64"/>
      </bottom>
      <diagonal/>
    </border>
    <border>
      <left style="thin">
        <color indexed="64"/>
      </left>
      <right/>
      <top style="thin">
        <color indexed="64"/>
      </top>
      <bottom style="thin">
        <color indexed="64"/>
      </bottom>
      <diagonal/>
    </border>
    <border>
      <left style="thin">
        <color indexed="64"/>
      </left>
      <right style="thin">
        <color indexed="64"/>
      </right>
      <top style="thin">
        <color rgb="FF000000"/>
      </top>
      <bottom/>
      <diagonal/>
    </border>
    <border>
      <left/>
      <right style="thin">
        <color indexed="64"/>
      </right>
      <top style="thin">
        <color rgb="FF000000"/>
      </top>
      <bottom/>
      <diagonal/>
    </border>
    <border>
      <left style="thin">
        <color indexed="64"/>
      </left>
      <right/>
      <top style="thin">
        <color rgb="FF000000"/>
      </top>
      <bottom style="thin">
        <color indexed="64"/>
      </bottom>
      <diagonal/>
    </border>
    <border>
      <left/>
      <right style="thin">
        <color rgb="FF000000"/>
      </right>
      <top/>
      <bottom style="thin">
        <color indexed="64"/>
      </bottom>
      <diagonal/>
    </border>
    <border>
      <left/>
      <right/>
      <top/>
      <bottom style="thin">
        <color rgb="FF000000"/>
      </bottom>
      <diagonal/>
    </border>
    <border>
      <left/>
      <right style="thin">
        <color indexed="64"/>
      </right>
      <top style="thin">
        <color rgb="FF000000"/>
      </top>
      <bottom style="thin">
        <color indexed="64"/>
      </bottom>
      <diagonal/>
    </border>
    <border>
      <left style="thin">
        <color indexed="64"/>
      </left>
      <right/>
      <top/>
      <bottom style="thin">
        <color indexed="64"/>
      </bottom>
      <diagonal/>
    </border>
    <border>
      <left/>
      <right/>
      <top/>
      <bottom style="thin">
        <color indexed="64"/>
      </bottom>
      <diagonal/>
    </border>
    <border>
      <left/>
      <right/>
      <top style="thin">
        <color indexed="64"/>
      </top>
      <bottom style="thin">
        <color indexed="64"/>
      </bottom>
      <diagonal/>
    </border>
    <border>
      <left style="thin">
        <color indexed="64"/>
      </left>
      <right/>
      <top/>
      <bottom style="thin">
        <color rgb="FF000000"/>
      </bottom>
      <diagonal/>
    </border>
    <border>
      <left style="thin">
        <color indexed="64"/>
      </left>
      <right style="thin">
        <color indexed="64"/>
      </right>
      <top/>
      <bottom style="thin">
        <color rgb="FF000000"/>
      </bottom>
      <diagonal/>
    </border>
    <border>
      <left style="medium">
        <color indexed="64"/>
      </left>
      <right/>
      <top/>
      <bottom style="thin">
        <color indexed="64"/>
      </bottom>
      <diagonal/>
    </border>
    <border>
      <left/>
      <right style="medium">
        <color indexed="64"/>
      </right>
      <top/>
      <bottom style="thin">
        <color indexed="64"/>
      </bottom>
      <diagonal/>
    </border>
    <border>
      <left/>
      <right style="medium">
        <color indexed="64"/>
      </right>
      <top style="thin">
        <color indexed="64"/>
      </top>
      <bottom/>
      <diagonal/>
    </border>
  </borders>
  <cellStyleXfs count="1">
    <xf numFmtId="0" fontId="0" fillId="0" borderId="0"/>
  </cellStyleXfs>
  <cellXfs count="162">
    <xf numFmtId="0" fontId="0" fillId="0" borderId="0" xfId="0"/>
    <xf numFmtId="0" fontId="0" fillId="3" borderId="1" xfId="0" applyFill="1" applyBorder="1" applyAlignment="1">
      <alignment horizontal="center" vertical="center"/>
    </xf>
    <xf numFmtId="0" fontId="0" fillId="4" borderId="1" xfId="0" applyFill="1" applyBorder="1" applyAlignment="1">
      <alignment horizontal="center" vertical="center"/>
    </xf>
    <xf numFmtId="0" fontId="0" fillId="5" borderId="1" xfId="0" applyFill="1" applyBorder="1" applyAlignment="1">
      <alignment horizontal="center" vertical="center"/>
    </xf>
    <xf numFmtId="0" fontId="0" fillId="6" borderId="1" xfId="0" applyFill="1" applyBorder="1" applyAlignment="1">
      <alignment horizontal="center" vertical="center"/>
    </xf>
    <xf numFmtId="0" fontId="0" fillId="7" borderId="1" xfId="0" applyFill="1" applyBorder="1" applyAlignment="1">
      <alignment horizontal="center" vertical="center"/>
    </xf>
    <xf numFmtId="0" fontId="0" fillId="9" borderId="0" xfId="0" applyFill="1"/>
    <xf numFmtId="0" fontId="1" fillId="9" borderId="0" xfId="0" applyFont="1" applyFill="1"/>
    <xf numFmtId="0" fontId="0" fillId="2" borderId="13" xfId="0" applyFill="1" applyBorder="1" applyAlignment="1">
      <alignment horizontal="center" vertical="center"/>
    </xf>
    <xf numFmtId="0" fontId="0" fillId="2" borderId="14" xfId="0" applyFill="1" applyBorder="1" applyAlignment="1">
      <alignment horizontal="center" vertical="center"/>
    </xf>
    <xf numFmtId="0" fontId="0" fillId="4" borderId="22" xfId="0" applyFill="1" applyBorder="1" applyAlignment="1">
      <alignment horizontal="center" vertical="center"/>
    </xf>
    <xf numFmtId="0" fontId="0" fillId="5" borderId="22" xfId="0" applyFill="1" applyBorder="1" applyAlignment="1">
      <alignment horizontal="center" vertical="center"/>
    </xf>
    <xf numFmtId="0" fontId="0" fillId="6" borderId="22" xfId="0" applyFill="1" applyBorder="1" applyAlignment="1">
      <alignment horizontal="center" vertical="center"/>
    </xf>
    <xf numFmtId="0" fontId="0" fillId="7" borderId="23" xfId="0" applyFill="1" applyBorder="1" applyAlignment="1">
      <alignment horizontal="center" vertical="center"/>
    </xf>
    <xf numFmtId="0" fontId="0" fillId="5" borderId="21" xfId="0" applyFill="1" applyBorder="1" applyAlignment="1">
      <alignment horizontal="center" vertical="center"/>
    </xf>
    <xf numFmtId="0" fontId="0" fillId="6" borderId="23" xfId="0" applyFill="1" applyBorder="1" applyAlignment="1">
      <alignment horizontal="center" vertical="center"/>
    </xf>
    <xf numFmtId="0" fontId="0" fillId="5" borderId="7" xfId="0" applyFill="1" applyBorder="1" applyAlignment="1">
      <alignment horizontal="center" vertical="center"/>
    </xf>
    <xf numFmtId="0" fontId="0" fillId="6" borderId="7" xfId="0" applyFill="1" applyBorder="1" applyAlignment="1">
      <alignment horizontal="center" vertical="center"/>
    </xf>
    <xf numFmtId="0" fontId="0" fillId="7" borderId="24" xfId="0" applyFill="1" applyBorder="1" applyAlignment="1">
      <alignment horizontal="center" vertical="center"/>
    </xf>
    <xf numFmtId="0" fontId="0" fillId="3" borderId="21" xfId="0" applyFill="1" applyBorder="1" applyAlignment="1">
      <alignment vertical="center"/>
    </xf>
    <xf numFmtId="0" fontId="0" fillId="3" borderId="22" xfId="0" applyFill="1" applyBorder="1" applyAlignment="1">
      <alignment vertical="center"/>
    </xf>
    <xf numFmtId="0" fontId="0" fillId="11" borderId="1" xfId="0" applyFill="1" applyBorder="1" applyAlignment="1">
      <alignment horizontal="center" vertical="center"/>
    </xf>
    <xf numFmtId="0" fontId="0" fillId="2" borderId="26" xfId="0" applyFill="1" applyBorder="1" applyAlignment="1">
      <alignment horizontal="center" vertical="center"/>
    </xf>
    <xf numFmtId="0" fontId="0" fillId="2" borderId="27" xfId="0" applyFill="1" applyBorder="1" applyAlignment="1">
      <alignment horizontal="center" vertical="center"/>
    </xf>
    <xf numFmtId="0" fontId="1" fillId="8" borderId="28" xfId="0" applyFont="1" applyFill="1" applyBorder="1" applyAlignment="1">
      <alignment horizontal="center" vertical="center"/>
    </xf>
    <xf numFmtId="0" fontId="0" fillId="2" borderId="11" xfId="0" applyFill="1" applyBorder="1" applyAlignment="1">
      <alignment horizontal="center" vertical="center"/>
    </xf>
    <xf numFmtId="0" fontId="0" fillId="3" borderId="29" xfId="0" applyFill="1" applyBorder="1" applyAlignment="1">
      <alignment vertical="center"/>
    </xf>
    <xf numFmtId="0" fontId="0" fillId="3" borderId="9" xfId="0" applyFill="1" applyBorder="1" applyAlignment="1">
      <alignment vertical="center"/>
    </xf>
    <xf numFmtId="0" fontId="0" fillId="4" borderId="9" xfId="0" applyFill="1" applyBorder="1" applyAlignment="1">
      <alignment horizontal="center" vertical="center"/>
    </xf>
    <xf numFmtId="0" fontId="0" fillId="5" borderId="9" xfId="0" applyFill="1" applyBorder="1" applyAlignment="1">
      <alignment horizontal="center" vertical="center"/>
    </xf>
    <xf numFmtId="0" fontId="0" fillId="6" borderId="9" xfId="0" applyFill="1" applyBorder="1" applyAlignment="1">
      <alignment horizontal="center" vertical="center"/>
    </xf>
    <xf numFmtId="0" fontId="0" fillId="7" borderId="25" xfId="0" applyFill="1" applyBorder="1" applyAlignment="1">
      <alignment horizontal="center" vertical="center"/>
    </xf>
    <xf numFmtId="0" fontId="0" fillId="5" borderId="29" xfId="0" applyFill="1" applyBorder="1" applyAlignment="1">
      <alignment horizontal="center" vertical="center"/>
    </xf>
    <xf numFmtId="0" fontId="0" fillId="6" borderId="25" xfId="0" applyFill="1" applyBorder="1" applyAlignment="1">
      <alignment horizontal="center" vertical="center"/>
    </xf>
    <xf numFmtId="0" fontId="4" fillId="10" borderId="11" xfId="0" applyFont="1" applyFill="1" applyBorder="1" applyAlignment="1">
      <alignment horizontal="center" vertical="center"/>
    </xf>
    <xf numFmtId="0" fontId="5" fillId="12" borderId="35" xfId="0" applyFont="1" applyFill="1" applyBorder="1" applyAlignment="1">
      <alignment horizontal="center" vertical="center" wrapText="1"/>
    </xf>
    <xf numFmtId="0" fontId="5" fillId="12" borderId="38" xfId="0" applyFont="1" applyFill="1" applyBorder="1" applyAlignment="1">
      <alignment horizontal="center" vertical="center" wrapText="1"/>
    </xf>
    <xf numFmtId="2" fontId="7" fillId="9" borderId="1" xfId="0" applyNumberFormat="1" applyFont="1" applyFill="1" applyBorder="1" applyAlignment="1">
      <alignment vertical="center"/>
    </xf>
    <xf numFmtId="0" fontId="5" fillId="12" borderId="0" xfId="0" applyFont="1" applyFill="1" applyAlignment="1">
      <alignment horizontal="center" vertical="center" wrapText="1"/>
    </xf>
    <xf numFmtId="0" fontId="5" fillId="12" borderId="0" xfId="0" applyFont="1" applyFill="1" applyAlignment="1">
      <alignment horizontal="center"/>
    </xf>
    <xf numFmtId="2" fontId="5" fillId="12" borderId="0" xfId="0" applyNumberFormat="1" applyFont="1" applyFill="1" applyAlignment="1">
      <alignment horizontal="center" vertical="center"/>
    </xf>
    <xf numFmtId="0" fontId="5" fillId="12" borderId="0" xfId="0" applyFont="1" applyFill="1" applyAlignment="1">
      <alignment vertical="center" wrapText="1"/>
    </xf>
    <xf numFmtId="0" fontId="6" fillId="9" borderId="0" xfId="0" applyFont="1" applyFill="1"/>
    <xf numFmtId="0" fontId="5" fillId="12" borderId="0" xfId="0" applyFont="1" applyFill="1"/>
    <xf numFmtId="0" fontId="5" fillId="12" borderId="0" xfId="0" applyFont="1" applyFill="1" applyAlignment="1">
      <alignment vertical="center" textRotation="90" wrapText="1"/>
    </xf>
    <xf numFmtId="0" fontId="5" fillId="12" borderId="0" xfId="0" applyFont="1" applyFill="1" applyAlignment="1">
      <alignment vertical="center"/>
    </xf>
    <xf numFmtId="2" fontId="5" fillId="13" borderId="7" xfId="0" applyNumberFormat="1" applyFont="1" applyFill="1" applyBorder="1" applyAlignment="1">
      <alignment horizontal="center" vertical="center"/>
    </xf>
    <xf numFmtId="2" fontId="5" fillId="13" borderId="8" xfId="0" applyNumberFormat="1" applyFont="1" applyFill="1" applyBorder="1" applyAlignment="1">
      <alignment horizontal="center" vertical="center"/>
    </xf>
    <xf numFmtId="2" fontId="5" fillId="13" borderId="9" xfId="0" applyNumberFormat="1" applyFont="1" applyFill="1" applyBorder="1" applyAlignment="1">
      <alignment horizontal="center" vertical="center"/>
    </xf>
    <xf numFmtId="2" fontId="5" fillId="14" borderId="8" xfId="0" applyNumberFormat="1" applyFont="1" applyFill="1" applyBorder="1" applyAlignment="1">
      <alignment horizontal="center" vertical="center"/>
    </xf>
    <xf numFmtId="2" fontId="5" fillId="15" borderId="47" xfId="0" applyNumberFormat="1" applyFont="1" applyFill="1" applyBorder="1" applyAlignment="1">
      <alignment horizontal="center" vertical="center"/>
    </xf>
    <xf numFmtId="2" fontId="5" fillId="15" borderId="8" xfId="0" applyNumberFormat="1" applyFont="1" applyFill="1" applyBorder="1" applyAlignment="1">
      <alignment horizontal="center" vertical="center"/>
    </xf>
    <xf numFmtId="2" fontId="5" fillId="15" borderId="9" xfId="0" applyNumberFormat="1" applyFont="1" applyFill="1" applyBorder="1" applyAlignment="1">
      <alignment horizontal="center" vertical="center"/>
    </xf>
    <xf numFmtId="2" fontId="5" fillId="13" borderId="48" xfId="0" applyNumberFormat="1" applyFont="1" applyFill="1" applyBorder="1" applyAlignment="1">
      <alignment horizontal="center" vertical="center"/>
    </xf>
    <xf numFmtId="2" fontId="5" fillId="13" borderId="10" xfId="0" applyNumberFormat="1" applyFont="1" applyFill="1" applyBorder="1" applyAlignment="1">
      <alignment horizontal="center" vertical="center"/>
    </xf>
    <xf numFmtId="2" fontId="5" fillId="13" borderId="5" xfId="0" applyNumberFormat="1" applyFont="1" applyFill="1" applyBorder="1" applyAlignment="1">
      <alignment horizontal="center" vertical="center"/>
    </xf>
    <xf numFmtId="2" fontId="5" fillId="14" borderId="10" xfId="0" applyNumberFormat="1" applyFont="1" applyFill="1" applyBorder="1" applyAlignment="1">
      <alignment horizontal="center" vertical="center"/>
    </xf>
    <xf numFmtId="2" fontId="5" fillId="15" borderId="48" xfId="0" applyNumberFormat="1" applyFont="1" applyFill="1" applyBorder="1" applyAlignment="1">
      <alignment horizontal="center" vertical="center"/>
    </xf>
    <xf numFmtId="2" fontId="5" fillId="15" borderId="10" xfId="0" applyNumberFormat="1" applyFont="1" applyFill="1" applyBorder="1" applyAlignment="1">
      <alignment horizontal="center" vertical="center"/>
    </xf>
    <xf numFmtId="2" fontId="5" fillId="15" borderId="5" xfId="0" applyNumberFormat="1" applyFont="1" applyFill="1" applyBorder="1" applyAlignment="1">
      <alignment horizontal="center" vertical="center"/>
    </xf>
    <xf numFmtId="2" fontId="5" fillId="16" borderId="1" xfId="0" applyNumberFormat="1" applyFont="1" applyFill="1" applyBorder="1" applyAlignment="1">
      <alignment horizontal="center" vertical="center"/>
    </xf>
    <xf numFmtId="2" fontId="5" fillId="16" borderId="45" xfId="0" applyNumberFormat="1" applyFont="1" applyFill="1" applyBorder="1" applyAlignment="1">
      <alignment horizontal="center" vertical="center"/>
    </xf>
    <xf numFmtId="0" fontId="5" fillId="17" borderId="39" xfId="0" applyFont="1" applyFill="1" applyBorder="1" applyAlignment="1">
      <alignment horizontal="center"/>
    </xf>
    <xf numFmtId="2" fontId="5" fillId="17" borderId="40" xfId="0" applyNumberFormat="1" applyFont="1" applyFill="1" applyBorder="1" applyAlignment="1">
      <alignment horizontal="center"/>
    </xf>
    <xf numFmtId="2" fontId="5" fillId="17" borderId="41" xfId="0" applyNumberFormat="1" applyFont="1" applyFill="1" applyBorder="1" applyAlignment="1">
      <alignment horizontal="center"/>
    </xf>
    <xf numFmtId="0" fontId="5" fillId="17" borderId="42" xfId="0" applyFont="1" applyFill="1" applyBorder="1" applyAlignment="1">
      <alignment horizontal="center"/>
    </xf>
    <xf numFmtId="2" fontId="5" fillId="17" borderId="43" xfId="0" applyNumberFormat="1" applyFont="1" applyFill="1" applyBorder="1" applyAlignment="1">
      <alignment horizontal="center"/>
    </xf>
    <xf numFmtId="2" fontId="5" fillId="17" borderId="44" xfId="0" applyNumberFormat="1" applyFont="1" applyFill="1" applyBorder="1" applyAlignment="1">
      <alignment horizontal="center"/>
    </xf>
    <xf numFmtId="0" fontId="5" fillId="12" borderId="37" xfId="0" applyFont="1" applyFill="1" applyBorder="1" applyAlignment="1">
      <alignment horizontal="center" vertical="center" wrapText="1"/>
    </xf>
    <xf numFmtId="0" fontId="11" fillId="9" borderId="0" xfId="0" applyFont="1" applyFill="1"/>
    <xf numFmtId="0" fontId="0" fillId="9" borderId="2" xfId="0" applyFill="1" applyBorder="1"/>
    <xf numFmtId="0" fontId="0" fillId="9" borderId="3" xfId="0" applyFill="1" applyBorder="1"/>
    <xf numFmtId="0" fontId="1" fillId="9" borderId="4" xfId="0" applyFont="1" applyFill="1" applyBorder="1" applyAlignment="1">
      <alignment horizontal="center" vertical="center"/>
    </xf>
    <xf numFmtId="0" fontId="0" fillId="9" borderId="6" xfId="0" applyFill="1" applyBorder="1"/>
    <xf numFmtId="0" fontId="1" fillId="9" borderId="10" xfId="0" applyFont="1" applyFill="1" applyBorder="1" applyAlignment="1">
      <alignment horizontal="center" vertical="center"/>
    </xf>
    <xf numFmtId="0" fontId="0" fillId="9" borderId="53" xfId="0" applyFill="1" applyBorder="1"/>
    <xf numFmtId="0" fontId="0" fillId="9" borderId="54" xfId="0" applyFill="1" applyBorder="1"/>
    <xf numFmtId="0" fontId="2" fillId="9" borderId="54" xfId="0" applyFont="1" applyFill="1" applyBorder="1"/>
    <xf numFmtId="0" fontId="1" fillId="9" borderId="5" xfId="0" applyFont="1" applyFill="1" applyBorder="1" applyAlignment="1">
      <alignment horizontal="center" vertical="center"/>
    </xf>
    <xf numFmtId="0" fontId="5" fillId="12" borderId="20" xfId="0" applyFont="1" applyFill="1" applyBorder="1" applyAlignment="1">
      <alignment horizontal="center"/>
    </xf>
    <xf numFmtId="0" fontId="5" fillId="12" borderId="9" xfId="0" applyFont="1" applyFill="1" applyBorder="1" applyAlignment="1">
      <alignment horizontal="center"/>
    </xf>
    <xf numFmtId="0" fontId="5" fillId="12" borderId="1" xfId="0" applyFont="1" applyFill="1" applyBorder="1" applyAlignment="1">
      <alignment horizontal="center"/>
    </xf>
    <xf numFmtId="0" fontId="5" fillId="12" borderId="5" xfId="0" applyFont="1" applyFill="1" applyBorder="1" applyAlignment="1">
      <alignment horizontal="center"/>
    </xf>
    <xf numFmtId="0" fontId="5" fillId="12" borderId="6" xfId="0" applyFont="1" applyFill="1" applyBorder="1" applyAlignment="1">
      <alignment horizontal="center"/>
    </xf>
    <xf numFmtId="2" fontId="5" fillId="18" borderId="20" xfId="0" applyNumberFormat="1" applyFont="1" applyFill="1" applyBorder="1" applyAlignment="1">
      <alignment horizontal="center" vertical="center" wrapText="1"/>
    </xf>
    <xf numFmtId="0" fontId="0" fillId="9" borderId="15" xfId="0" applyFill="1" applyBorder="1" applyAlignment="1">
      <alignment horizontal="left" vertical="center"/>
    </xf>
    <xf numFmtId="0" fontId="0" fillId="9" borderId="0" xfId="0" applyFill="1" applyAlignment="1">
      <alignment horizontal="center" vertical="center"/>
    </xf>
    <xf numFmtId="0" fontId="0" fillId="9" borderId="17" xfId="0" applyFill="1" applyBorder="1" applyAlignment="1">
      <alignment horizontal="left" vertical="center"/>
    </xf>
    <xf numFmtId="0" fontId="0" fillId="9" borderId="18" xfId="0" applyFill="1" applyBorder="1" applyAlignment="1">
      <alignment horizontal="center" vertical="center"/>
    </xf>
    <xf numFmtId="0" fontId="0" fillId="3" borderId="29" xfId="0" applyFill="1" applyBorder="1" applyAlignment="1">
      <alignment horizontal="center" vertical="center"/>
    </xf>
    <xf numFmtId="0" fontId="0" fillId="3" borderId="9" xfId="0" applyFill="1" applyBorder="1" applyAlignment="1">
      <alignment horizontal="center" vertical="center"/>
    </xf>
    <xf numFmtId="0" fontId="0" fillId="3" borderId="21" xfId="0" applyFill="1" applyBorder="1" applyAlignment="1">
      <alignment horizontal="center" vertical="center"/>
    </xf>
    <xf numFmtId="0" fontId="1" fillId="3" borderId="22" xfId="0" applyFont="1" applyFill="1" applyBorder="1" applyAlignment="1">
      <alignment horizontal="center" vertical="center"/>
    </xf>
    <xf numFmtId="0" fontId="0" fillId="3" borderId="22" xfId="0" applyFill="1" applyBorder="1" applyAlignment="1">
      <alignment horizontal="center" vertical="center"/>
    </xf>
    <xf numFmtId="14" fontId="0" fillId="9" borderId="0" xfId="0" applyNumberFormat="1" applyFill="1" applyAlignment="1">
      <alignment horizontal="right" vertical="center"/>
    </xf>
    <xf numFmtId="14" fontId="0" fillId="9" borderId="16" xfId="0" applyNumberFormat="1" applyFill="1" applyBorder="1" applyAlignment="1">
      <alignment horizontal="right" vertical="center"/>
    </xf>
    <xf numFmtId="14" fontId="0" fillId="9" borderId="18" xfId="0" applyNumberFormat="1" applyFill="1" applyBorder="1" applyAlignment="1">
      <alignment horizontal="right" vertical="center"/>
    </xf>
    <xf numFmtId="14" fontId="0" fillId="9" borderId="19" xfId="0" applyNumberFormat="1" applyFill="1" applyBorder="1" applyAlignment="1">
      <alignment horizontal="right" vertical="center"/>
    </xf>
    <xf numFmtId="0" fontId="2" fillId="9" borderId="12" xfId="0" applyFont="1" applyFill="1" applyBorder="1" applyAlignment="1">
      <alignment horizontal="center" vertical="center"/>
    </xf>
    <xf numFmtId="0" fontId="2" fillId="9" borderId="13" xfId="0" applyFont="1" applyFill="1" applyBorder="1" applyAlignment="1">
      <alignment horizontal="center" vertical="center"/>
    </xf>
    <xf numFmtId="0" fontId="2" fillId="9" borderId="14" xfId="0" applyFont="1" applyFill="1" applyBorder="1" applyAlignment="1">
      <alignment horizontal="center" vertical="center"/>
    </xf>
    <xf numFmtId="0" fontId="2" fillId="9" borderId="58" xfId="0" applyFont="1" applyFill="1" applyBorder="1" applyAlignment="1">
      <alignment horizontal="center" vertical="center"/>
    </xf>
    <xf numFmtId="0" fontId="2" fillId="9" borderId="54" xfId="0" applyFont="1" applyFill="1" applyBorder="1" applyAlignment="1">
      <alignment horizontal="center" vertical="center"/>
    </xf>
    <xf numFmtId="0" fontId="2" fillId="9" borderId="59" xfId="0" applyFont="1" applyFill="1" applyBorder="1" applyAlignment="1">
      <alignment horizontal="center" vertical="center"/>
    </xf>
    <xf numFmtId="0" fontId="5" fillId="12" borderId="46" xfId="0" applyFont="1" applyFill="1" applyBorder="1" applyAlignment="1">
      <alignment horizontal="center"/>
    </xf>
    <xf numFmtId="0" fontId="5" fillId="12" borderId="55" xfId="0" applyFont="1" applyFill="1" applyBorder="1" applyAlignment="1">
      <alignment horizontal="center"/>
    </xf>
    <xf numFmtId="0" fontId="5" fillId="12" borderId="20" xfId="0" applyFont="1" applyFill="1" applyBorder="1" applyAlignment="1">
      <alignment horizontal="center"/>
    </xf>
    <xf numFmtId="0" fontId="5" fillId="12" borderId="46" xfId="0" applyFont="1" applyFill="1" applyBorder="1" applyAlignment="1">
      <alignment horizontal="center" vertical="center"/>
    </xf>
    <xf numFmtId="0" fontId="5" fillId="12" borderId="20" xfId="0" applyFont="1" applyFill="1" applyBorder="1" applyAlignment="1">
      <alignment horizontal="center" vertical="center"/>
    </xf>
    <xf numFmtId="0" fontId="5" fillId="18" borderId="46" xfId="0" applyFont="1" applyFill="1" applyBorder="1" applyAlignment="1">
      <alignment horizontal="center" vertical="center" wrapText="1"/>
    </xf>
    <xf numFmtId="0" fontId="5" fillId="18" borderId="20" xfId="0" applyFont="1" applyFill="1" applyBorder="1" applyAlignment="1">
      <alignment horizontal="center" vertical="center" wrapText="1"/>
    </xf>
    <xf numFmtId="0" fontId="5" fillId="16" borderId="53" xfId="0" applyFont="1" applyFill="1" applyBorder="1" applyAlignment="1">
      <alignment horizontal="center" vertical="center" wrapText="1"/>
    </xf>
    <xf numFmtId="0" fontId="5" fillId="16" borderId="50" xfId="0" applyFont="1" applyFill="1" applyBorder="1" applyAlignment="1">
      <alignment horizontal="center" vertical="center" wrapText="1"/>
    </xf>
    <xf numFmtId="0" fontId="9" fillId="12" borderId="7" xfId="0" applyFont="1" applyFill="1" applyBorder="1" applyAlignment="1">
      <alignment horizontal="center" vertical="center" textRotation="90" wrapText="1"/>
    </xf>
    <xf numFmtId="0" fontId="9" fillId="12" borderId="8" xfId="0" applyFont="1" applyFill="1" applyBorder="1" applyAlignment="1">
      <alignment horizontal="center" vertical="center" textRotation="90" wrapText="1"/>
    </xf>
    <xf numFmtId="0" fontId="9" fillId="12" borderId="57" xfId="0" applyFont="1" applyFill="1" applyBorder="1" applyAlignment="1">
      <alignment horizontal="center" vertical="center" textRotation="90" wrapText="1"/>
    </xf>
    <xf numFmtId="0" fontId="5" fillId="12" borderId="42" xfId="0" applyFont="1" applyFill="1" applyBorder="1" applyAlignment="1">
      <alignment horizontal="center" vertical="center" wrapText="1"/>
    </xf>
    <xf numFmtId="0" fontId="6" fillId="9" borderId="51" xfId="0" applyFont="1" applyFill="1" applyBorder="1"/>
    <xf numFmtId="0" fontId="6" fillId="9" borderId="44" xfId="0" applyFont="1" applyFill="1" applyBorder="1"/>
    <xf numFmtId="0" fontId="5" fillId="12" borderId="35" xfId="0" applyFont="1" applyFill="1" applyBorder="1" applyAlignment="1">
      <alignment horizontal="center" vertical="center" wrapText="1"/>
    </xf>
    <xf numFmtId="0" fontId="6" fillId="9" borderId="36" xfId="0" applyFont="1" applyFill="1" applyBorder="1"/>
    <xf numFmtId="0" fontId="6" fillId="9" borderId="37" xfId="0" applyFont="1" applyFill="1" applyBorder="1"/>
    <xf numFmtId="0" fontId="6" fillId="9" borderId="36" xfId="0" applyFont="1" applyFill="1" applyBorder="1" applyAlignment="1">
      <alignment wrapText="1"/>
    </xf>
    <xf numFmtId="0" fontId="6" fillId="9" borderId="37" xfId="0" applyFont="1" applyFill="1" applyBorder="1" applyAlignment="1">
      <alignment wrapText="1"/>
    </xf>
    <xf numFmtId="0" fontId="0" fillId="9" borderId="1" xfId="0" applyFill="1" applyBorder="1" applyAlignment="1">
      <alignment horizontal="center"/>
    </xf>
    <xf numFmtId="0" fontId="5" fillId="16" borderId="49" xfId="0" applyFont="1" applyFill="1" applyBorder="1" applyAlignment="1">
      <alignment horizontal="center" vertical="center" wrapText="1"/>
    </xf>
    <xf numFmtId="0" fontId="8" fillId="7" borderId="50" xfId="0" applyFont="1" applyFill="1" applyBorder="1"/>
    <xf numFmtId="0" fontId="9" fillId="12" borderId="6" xfId="0" applyFont="1" applyFill="1" applyBorder="1" applyAlignment="1">
      <alignment horizontal="center" vertical="center" textRotation="90" wrapText="1"/>
    </xf>
    <xf numFmtId="0" fontId="9" fillId="12" borderId="56" xfId="0" applyFont="1" applyFill="1" applyBorder="1" applyAlignment="1">
      <alignment horizontal="center" vertical="center" textRotation="90" wrapText="1"/>
    </xf>
    <xf numFmtId="0" fontId="1" fillId="9" borderId="3" xfId="0" applyFont="1" applyFill="1" applyBorder="1" applyAlignment="1">
      <alignment horizontal="center" vertical="center"/>
    </xf>
    <xf numFmtId="0" fontId="1" fillId="9" borderId="0" xfId="0" applyFont="1" applyFill="1" applyAlignment="1">
      <alignment horizontal="center" vertical="center"/>
    </xf>
    <xf numFmtId="0" fontId="1" fillId="9" borderId="54" xfId="0" applyFont="1" applyFill="1" applyBorder="1" applyAlignment="1">
      <alignment horizontal="center" vertical="center"/>
    </xf>
    <xf numFmtId="0" fontId="4" fillId="10" borderId="30" xfId="0" applyFont="1" applyFill="1" applyBorder="1" applyAlignment="1">
      <alignment horizontal="center" vertical="center"/>
    </xf>
    <xf numFmtId="0" fontId="4" fillId="10" borderId="31" xfId="0" applyFont="1" applyFill="1" applyBorder="1" applyAlignment="1">
      <alignment horizontal="center" vertical="center"/>
    </xf>
    <xf numFmtId="0" fontId="4" fillId="10" borderId="32" xfId="0" applyFont="1" applyFill="1" applyBorder="1" applyAlignment="1">
      <alignment horizontal="center" vertical="center"/>
    </xf>
    <xf numFmtId="0" fontId="0" fillId="11" borderId="12" xfId="0" applyFill="1" applyBorder="1" applyAlignment="1">
      <alignment horizontal="center" vertical="center"/>
    </xf>
    <xf numFmtId="0" fontId="0" fillId="11" borderId="13" xfId="0" applyFill="1" applyBorder="1" applyAlignment="1">
      <alignment horizontal="center" vertical="center"/>
    </xf>
    <xf numFmtId="0" fontId="0" fillId="11" borderId="14" xfId="0" applyFill="1" applyBorder="1" applyAlignment="1">
      <alignment horizontal="center" vertical="center"/>
    </xf>
    <xf numFmtId="0" fontId="0" fillId="11" borderId="15" xfId="0" applyFill="1" applyBorder="1" applyAlignment="1">
      <alignment horizontal="center" vertical="center"/>
    </xf>
    <xf numFmtId="0" fontId="0" fillId="11" borderId="0" xfId="0" applyFill="1" applyAlignment="1">
      <alignment horizontal="center" vertical="center"/>
    </xf>
    <xf numFmtId="0" fontId="0" fillId="11" borderId="16" xfId="0" applyFill="1" applyBorder="1" applyAlignment="1">
      <alignment horizontal="center" vertical="center"/>
    </xf>
    <xf numFmtId="0" fontId="0" fillId="11" borderId="17" xfId="0" applyFill="1" applyBorder="1" applyAlignment="1">
      <alignment horizontal="center" vertical="center"/>
    </xf>
    <xf numFmtId="0" fontId="0" fillId="11" borderId="18" xfId="0" applyFill="1" applyBorder="1" applyAlignment="1">
      <alignment horizontal="center" vertical="center"/>
    </xf>
    <xf numFmtId="0" fontId="0" fillId="11" borderId="19" xfId="0" applyFill="1" applyBorder="1" applyAlignment="1">
      <alignment horizontal="center" vertical="center"/>
    </xf>
    <xf numFmtId="0" fontId="4" fillId="11" borderId="12" xfId="0" applyFont="1" applyFill="1" applyBorder="1" applyAlignment="1">
      <alignment horizontal="center" vertical="center"/>
    </xf>
    <xf numFmtId="0" fontId="4" fillId="11" borderId="13" xfId="0" applyFont="1" applyFill="1" applyBorder="1" applyAlignment="1">
      <alignment horizontal="center" vertical="center"/>
    </xf>
    <xf numFmtId="0" fontId="4" fillId="11" borderId="14" xfId="0" applyFont="1" applyFill="1" applyBorder="1" applyAlignment="1">
      <alignment horizontal="center" vertical="center"/>
    </xf>
    <xf numFmtId="0" fontId="4" fillId="11" borderId="15" xfId="0" applyFont="1" applyFill="1" applyBorder="1" applyAlignment="1">
      <alignment horizontal="center" vertical="center"/>
    </xf>
    <xf numFmtId="0" fontId="4" fillId="11" borderId="0" xfId="0" applyFont="1" applyFill="1" applyAlignment="1">
      <alignment horizontal="center" vertical="center"/>
    </xf>
    <xf numFmtId="0" fontId="4" fillId="11" borderId="16" xfId="0" applyFont="1" applyFill="1" applyBorder="1" applyAlignment="1">
      <alignment horizontal="center" vertical="center"/>
    </xf>
    <xf numFmtId="0" fontId="4" fillId="11" borderId="17" xfId="0" applyFont="1" applyFill="1" applyBorder="1" applyAlignment="1">
      <alignment horizontal="center" vertical="center"/>
    </xf>
    <xf numFmtId="0" fontId="4" fillId="11" borderId="18" xfId="0" applyFont="1" applyFill="1" applyBorder="1" applyAlignment="1">
      <alignment horizontal="center" vertical="center"/>
    </xf>
    <xf numFmtId="0" fontId="4" fillId="11" borderId="19" xfId="0" applyFont="1" applyFill="1" applyBorder="1" applyAlignment="1">
      <alignment horizontal="center" vertical="center"/>
    </xf>
    <xf numFmtId="0" fontId="4" fillId="10" borderId="28" xfId="0" applyFont="1" applyFill="1" applyBorder="1" applyAlignment="1">
      <alignment horizontal="center" vertical="center"/>
    </xf>
    <xf numFmtId="0" fontId="4" fillId="10" borderId="33" xfId="0" applyFont="1" applyFill="1" applyBorder="1" applyAlignment="1">
      <alignment horizontal="center" vertical="center"/>
    </xf>
    <xf numFmtId="0" fontId="4" fillId="10" borderId="34" xfId="0" applyFont="1" applyFill="1" applyBorder="1" applyAlignment="1">
      <alignment horizontal="center" vertical="center"/>
    </xf>
    <xf numFmtId="14" fontId="0" fillId="9" borderId="3" xfId="0" applyNumberFormat="1" applyFill="1" applyBorder="1" applyAlignment="1">
      <alignment horizontal="right" vertical="center"/>
    </xf>
    <xf numFmtId="14" fontId="0" fillId="9" borderId="60" xfId="0" applyNumberFormat="1" applyFill="1" applyBorder="1" applyAlignment="1">
      <alignment horizontal="right" vertical="center"/>
    </xf>
    <xf numFmtId="0" fontId="5" fillId="12" borderId="49" xfId="0" applyFont="1" applyFill="1" applyBorder="1" applyAlignment="1">
      <alignment horizontal="center" vertical="center"/>
    </xf>
    <xf numFmtId="0" fontId="5" fillId="12" borderId="52" xfId="0" applyFont="1" applyFill="1" applyBorder="1" applyAlignment="1">
      <alignment horizontal="center" vertical="center"/>
    </xf>
    <xf numFmtId="0" fontId="0" fillId="9" borderId="0" xfId="0" applyFill="1" applyAlignment="1">
      <alignment horizontal="left" vertical="center" wrapText="1"/>
    </xf>
    <xf numFmtId="0" fontId="0" fillId="9" borderId="18" xfId="0" applyFill="1" applyBorder="1" applyAlignment="1">
      <alignment horizontal="left" vertical="center"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10.xml.rels><?xml version="1.0" encoding="UTF-8" standalone="yes"?>
<Relationships xmlns="http://schemas.openxmlformats.org/package/2006/relationships"><Relationship Id="rId2" Type="http://schemas.microsoft.com/office/2011/relationships/chartColorStyle" Target="colors10.xml"/><Relationship Id="rId1" Type="http://schemas.microsoft.com/office/2011/relationships/chartStyle" Target="style10.xml"/></Relationships>
</file>

<file path=xl/charts/_rels/chart11.xml.rels><?xml version="1.0" encoding="UTF-8" standalone="yes"?>
<Relationships xmlns="http://schemas.openxmlformats.org/package/2006/relationships"><Relationship Id="rId2" Type="http://schemas.microsoft.com/office/2011/relationships/chartColorStyle" Target="colors11.xml"/><Relationship Id="rId1" Type="http://schemas.microsoft.com/office/2011/relationships/chartStyle" Target="style11.xml"/></Relationships>
</file>

<file path=xl/charts/_rels/chart12.xml.rels><?xml version="1.0" encoding="UTF-8" standalone="yes"?>
<Relationships xmlns="http://schemas.openxmlformats.org/package/2006/relationships"><Relationship Id="rId2" Type="http://schemas.microsoft.com/office/2011/relationships/chartColorStyle" Target="colors12.xml"/><Relationship Id="rId1" Type="http://schemas.microsoft.com/office/2011/relationships/chartStyle" Target="style12.xml"/></Relationships>
</file>

<file path=xl/charts/_rels/chart13.xml.rels><?xml version="1.0" encoding="UTF-8" standalone="yes"?>
<Relationships xmlns="http://schemas.openxmlformats.org/package/2006/relationships"><Relationship Id="rId2" Type="http://schemas.microsoft.com/office/2011/relationships/chartColorStyle" Target="colors13.xml"/><Relationship Id="rId1" Type="http://schemas.microsoft.com/office/2011/relationships/chartStyle" Target="style13.xml"/></Relationships>
</file>

<file path=xl/charts/_rels/chart14.xml.rels><?xml version="1.0" encoding="UTF-8" standalone="yes"?>
<Relationships xmlns="http://schemas.openxmlformats.org/package/2006/relationships"><Relationship Id="rId2" Type="http://schemas.microsoft.com/office/2011/relationships/chartColorStyle" Target="colors14.xml"/><Relationship Id="rId1" Type="http://schemas.microsoft.com/office/2011/relationships/chartStyle" Target="style14.xml"/></Relationships>
</file>

<file path=xl/charts/_rels/chart15.xml.rels><?xml version="1.0" encoding="UTF-8" standalone="yes"?>
<Relationships xmlns="http://schemas.openxmlformats.org/package/2006/relationships"><Relationship Id="rId2" Type="http://schemas.microsoft.com/office/2011/relationships/chartColorStyle" Target="colors15.xml"/><Relationship Id="rId1" Type="http://schemas.microsoft.com/office/2011/relationships/chartStyle" Target="style15.xml"/></Relationships>
</file>

<file path=xl/charts/_rels/chart16.xml.rels><?xml version="1.0" encoding="UTF-8" standalone="yes"?>
<Relationships xmlns="http://schemas.openxmlformats.org/package/2006/relationships"><Relationship Id="rId2" Type="http://schemas.microsoft.com/office/2011/relationships/chartColorStyle" Target="colors16.xml"/><Relationship Id="rId1" Type="http://schemas.microsoft.com/office/2011/relationships/chartStyle" Target="style16.xml"/></Relationships>
</file>

<file path=xl/charts/_rels/chart17.xml.rels><?xml version="1.0" encoding="UTF-8" standalone="yes"?>
<Relationships xmlns="http://schemas.openxmlformats.org/package/2006/relationships"><Relationship Id="rId2" Type="http://schemas.microsoft.com/office/2011/relationships/chartColorStyle" Target="colors17.xml"/><Relationship Id="rId1" Type="http://schemas.microsoft.com/office/2011/relationships/chartStyle" Target="style17.xml"/></Relationships>
</file>

<file path=xl/charts/_rels/chart18.xml.rels><?xml version="1.0" encoding="UTF-8" standalone="yes"?>
<Relationships xmlns="http://schemas.openxmlformats.org/package/2006/relationships"><Relationship Id="rId2" Type="http://schemas.microsoft.com/office/2011/relationships/chartColorStyle" Target="colors18.xml"/><Relationship Id="rId1" Type="http://schemas.microsoft.com/office/2011/relationships/chartStyle" Target="style18.xml"/></Relationships>
</file>

<file path=xl/charts/_rels/chart19.xml.rels><?xml version="1.0" encoding="UTF-8" standalone="yes"?>
<Relationships xmlns="http://schemas.openxmlformats.org/package/2006/relationships"><Relationship Id="rId2" Type="http://schemas.microsoft.com/office/2011/relationships/chartColorStyle" Target="colors19.xml"/><Relationship Id="rId1" Type="http://schemas.microsoft.com/office/2011/relationships/chartStyle" Target="style19.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20.xml.rels><?xml version="1.0" encoding="UTF-8" standalone="yes"?>
<Relationships xmlns="http://schemas.openxmlformats.org/package/2006/relationships"><Relationship Id="rId2" Type="http://schemas.microsoft.com/office/2011/relationships/chartColorStyle" Target="colors20.xml"/><Relationship Id="rId1" Type="http://schemas.microsoft.com/office/2011/relationships/chartStyle" Target="style20.xml"/></Relationships>
</file>

<file path=xl/charts/_rels/chart21.xml.rels><?xml version="1.0" encoding="UTF-8" standalone="yes"?>
<Relationships xmlns="http://schemas.openxmlformats.org/package/2006/relationships"><Relationship Id="rId2" Type="http://schemas.microsoft.com/office/2011/relationships/chartColorStyle" Target="colors21.xml"/><Relationship Id="rId1" Type="http://schemas.microsoft.com/office/2011/relationships/chartStyle" Target="style21.xml"/></Relationships>
</file>

<file path=xl/charts/_rels/chart22.xml.rels><?xml version="1.0" encoding="UTF-8" standalone="yes"?>
<Relationships xmlns="http://schemas.openxmlformats.org/package/2006/relationships"><Relationship Id="rId2" Type="http://schemas.microsoft.com/office/2011/relationships/chartColorStyle" Target="colors22.xml"/><Relationship Id="rId1" Type="http://schemas.microsoft.com/office/2011/relationships/chartStyle" Target="style22.xml"/></Relationships>
</file>

<file path=xl/charts/_rels/chart23.xml.rels><?xml version="1.0" encoding="UTF-8" standalone="yes"?>
<Relationships xmlns="http://schemas.openxmlformats.org/package/2006/relationships"><Relationship Id="rId2" Type="http://schemas.microsoft.com/office/2011/relationships/chartColorStyle" Target="colors23.xml"/><Relationship Id="rId1" Type="http://schemas.microsoft.com/office/2011/relationships/chartStyle" Target="style23.xml"/></Relationships>
</file>

<file path=xl/charts/_rels/chart24.xml.rels><?xml version="1.0" encoding="UTF-8" standalone="yes"?>
<Relationships xmlns="http://schemas.openxmlformats.org/package/2006/relationships"><Relationship Id="rId2" Type="http://schemas.microsoft.com/office/2011/relationships/chartColorStyle" Target="colors24.xml"/><Relationship Id="rId1" Type="http://schemas.microsoft.com/office/2011/relationships/chartStyle" Target="style24.xml"/></Relationships>
</file>

<file path=xl/charts/_rels/chart25.xml.rels><?xml version="1.0" encoding="UTF-8" standalone="yes"?>
<Relationships xmlns="http://schemas.openxmlformats.org/package/2006/relationships"><Relationship Id="rId2" Type="http://schemas.microsoft.com/office/2011/relationships/chartColorStyle" Target="colors25.xml"/><Relationship Id="rId1" Type="http://schemas.microsoft.com/office/2011/relationships/chartStyle" Target="style25.xml"/></Relationships>
</file>

<file path=xl/charts/_rels/chart26.xml.rels><?xml version="1.0" encoding="UTF-8" standalone="yes"?>
<Relationships xmlns="http://schemas.openxmlformats.org/package/2006/relationships"><Relationship Id="rId2" Type="http://schemas.microsoft.com/office/2011/relationships/chartColorStyle" Target="colors26.xml"/><Relationship Id="rId1" Type="http://schemas.microsoft.com/office/2011/relationships/chartStyle" Target="style26.xml"/></Relationships>
</file>

<file path=xl/charts/_rels/chart27.xml.rels><?xml version="1.0" encoding="UTF-8" standalone="yes"?>
<Relationships xmlns="http://schemas.openxmlformats.org/package/2006/relationships"><Relationship Id="rId2" Type="http://schemas.microsoft.com/office/2011/relationships/chartColorStyle" Target="colors27.xml"/><Relationship Id="rId1" Type="http://schemas.microsoft.com/office/2011/relationships/chartStyle" Target="style27.xml"/></Relationships>
</file>

<file path=xl/charts/_rels/chart28.xml.rels><?xml version="1.0" encoding="UTF-8" standalone="yes"?>
<Relationships xmlns="http://schemas.openxmlformats.org/package/2006/relationships"><Relationship Id="rId2" Type="http://schemas.microsoft.com/office/2011/relationships/chartColorStyle" Target="colors28.xml"/><Relationship Id="rId1" Type="http://schemas.microsoft.com/office/2011/relationships/chartStyle" Target="style28.xml"/></Relationships>
</file>

<file path=xl/charts/_rels/chart29.xml.rels><?xml version="1.0" encoding="UTF-8" standalone="yes"?>
<Relationships xmlns="http://schemas.openxmlformats.org/package/2006/relationships"><Relationship Id="rId2" Type="http://schemas.microsoft.com/office/2011/relationships/chartColorStyle" Target="colors29.xml"/><Relationship Id="rId1" Type="http://schemas.microsoft.com/office/2011/relationships/chartStyle" Target="style29.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30.xml.rels><?xml version="1.0" encoding="UTF-8" standalone="yes"?>
<Relationships xmlns="http://schemas.openxmlformats.org/package/2006/relationships"><Relationship Id="rId2" Type="http://schemas.microsoft.com/office/2011/relationships/chartColorStyle" Target="colors30.xml"/><Relationship Id="rId1" Type="http://schemas.microsoft.com/office/2011/relationships/chartStyle" Target="style30.xml"/></Relationships>
</file>

<file path=xl/charts/_rels/chart31.xml.rels><?xml version="1.0" encoding="UTF-8" standalone="yes"?>
<Relationships xmlns="http://schemas.openxmlformats.org/package/2006/relationships"><Relationship Id="rId2" Type="http://schemas.microsoft.com/office/2011/relationships/chartColorStyle" Target="colors31.xml"/><Relationship Id="rId1" Type="http://schemas.microsoft.com/office/2011/relationships/chartStyle" Target="style31.xml"/></Relationships>
</file>

<file path=xl/charts/_rels/chart32.xml.rels><?xml version="1.0" encoding="UTF-8" standalone="yes"?>
<Relationships xmlns="http://schemas.openxmlformats.org/package/2006/relationships"><Relationship Id="rId2" Type="http://schemas.microsoft.com/office/2011/relationships/chartColorStyle" Target="colors32.xml"/><Relationship Id="rId1" Type="http://schemas.microsoft.com/office/2011/relationships/chartStyle" Target="style32.xml"/></Relationships>
</file>

<file path=xl/charts/_rels/chart33.xml.rels><?xml version="1.0" encoding="UTF-8" standalone="yes"?>
<Relationships xmlns="http://schemas.openxmlformats.org/package/2006/relationships"><Relationship Id="rId2" Type="http://schemas.microsoft.com/office/2011/relationships/chartColorStyle" Target="colors33.xml"/><Relationship Id="rId1" Type="http://schemas.microsoft.com/office/2011/relationships/chartStyle" Target="style33.xml"/></Relationships>
</file>

<file path=xl/charts/_rels/chart34.xml.rels><?xml version="1.0" encoding="UTF-8" standalone="yes"?>
<Relationships xmlns="http://schemas.openxmlformats.org/package/2006/relationships"><Relationship Id="rId2" Type="http://schemas.microsoft.com/office/2011/relationships/chartColorStyle" Target="colors34.xml"/><Relationship Id="rId1" Type="http://schemas.microsoft.com/office/2011/relationships/chartStyle" Target="style34.xml"/></Relationships>
</file>

<file path=xl/charts/_rels/chart35.xml.rels><?xml version="1.0" encoding="UTF-8" standalone="yes"?>
<Relationships xmlns="http://schemas.openxmlformats.org/package/2006/relationships"><Relationship Id="rId2" Type="http://schemas.microsoft.com/office/2011/relationships/chartColorStyle" Target="colors35.xml"/><Relationship Id="rId1" Type="http://schemas.microsoft.com/office/2011/relationships/chartStyle" Target="style35.xml"/></Relationships>
</file>

<file path=xl/charts/_rels/chart36.xml.rels><?xml version="1.0" encoding="UTF-8" standalone="yes"?>
<Relationships xmlns="http://schemas.openxmlformats.org/package/2006/relationships"><Relationship Id="rId2" Type="http://schemas.microsoft.com/office/2011/relationships/chartColorStyle" Target="colors36.xml"/><Relationship Id="rId1" Type="http://schemas.microsoft.com/office/2011/relationships/chartStyle" Target="style36.xml"/></Relationships>
</file>

<file path=xl/charts/_rels/chart37.xml.rels><?xml version="1.0" encoding="UTF-8" standalone="yes"?>
<Relationships xmlns="http://schemas.openxmlformats.org/package/2006/relationships"><Relationship Id="rId2" Type="http://schemas.microsoft.com/office/2011/relationships/chartColorStyle" Target="colors37.xml"/><Relationship Id="rId1" Type="http://schemas.microsoft.com/office/2011/relationships/chartStyle" Target="style37.xml"/></Relationships>
</file>

<file path=xl/charts/_rels/chart38.xml.rels><?xml version="1.0" encoding="UTF-8" standalone="yes"?>
<Relationships xmlns="http://schemas.openxmlformats.org/package/2006/relationships"><Relationship Id="rId2" Type="http://schemas.microsoft.com/office/2011/relationships/chartColorStyle" Target="colors38.xml"/><Relationship Id="rId1" Type="http://schemas.microsoft.com/office/2011/relationships/chartStyle" Target="style38.xml"/></Relationships>
</file>

<file path=xl/charts/_rels/chart39.xml.rels><?xml version="1.0" encoding="UTF-8" standalone="yes"?>
<Relationships xmlns="http://schemas.openxmlformats.org/package/2006/relationships"><Relationship Id="rId2" Type="http://schemas.microsoft.com/office/2011/relationships/chartColorStyle" Target="colors39.xml"/><Relationship Id="rId1" Type="http://schemas.microsoft.com/office/2011/relationships/chartStyle" Target="style39.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40.xml.rels><?xml version="1.0" encoding="UTF-8" standalone="yes"?>
<Relationships xmlns="http://schemas.openxmlformats.org/package/2006/relationships"><Relationship Id="rId2" Type="http://schemas.microsoft.com/office/2011/relationships/chartColorStyle" Target="colors40.xml"/><Relationship Id="rId1" Type="http://schemas.microsoft.com/office/2011/relationships/chartStyle" Target="style40.xml"/></Relationships>
</file>

<file path=xl/charts/_rels/chart41.xml.rels><?xml version="1.0" encoding="UTF-8" standalone="yes"?>
<Relationships xmlns="http://schemas.openxmlformats.org/package/2006/relationships"><Relationship Id="rId2" Type="http://schemas.microsoft.com/office/2011/relationships/chartColorStyle" Target="colors41.xml"/><Relationship Id="rId1" Type="http://schemas.microsoft.com/office/2011/relationships/chartStyle" Target="style41.xml"/></Relationships>
</file>

<file path=xl/charts/_rels/chart42.xml.rels><?xml version="1.0" encoding="UTF-8" standalone="yes"?>
<Relationships xmlns="http://schemas.openxmlformats.org/package/2006/relationships"><Relationship Id="rId2" Type="http://schemas.microsoft.com/office/2011/relationships/chartColorStyle" Target="colors42.xml"/><Relationship Id="rId1" Type="http://schemas.microsoft.com/office/2011/relationships/chartStyle" Target="style42.xml"/></Relationships>
</file>

<file path=xl/charts/_rels/chart43.xml.rels><?xml version="1.0" encoding="UTF-8" standalone="yes"?>
<Relationships xmlns="http://schemas.openxmlformats.org/package/2006/relationships"><Relationship Id="rId2" Type="http://schemas.microsoft.com/office/2011/relationships/chartColorStyle" Target="colors43.xml"/><Relationship Id="rId1" Type="http://schemas.microsoft.com/office/2011/relationships/chartStyle" Target="style43.xml"/></Relationships>
</file>

<file path=xl/charts/_rels/chart44.xml.rels><?xml version="1.0" encoding="UTF-8" standalone="yes"?>
<Relationships xmlns="http://schemas.openxmlformats.org/package/2006/relationships"><Relationship Id="rId2" Type="http://schemas.microsoft.com/office/2011/relationships/chartColorStyle" Target="colors44.xml"/><Relationship Id="rId1" Type="http://schemas.microsoft.com/office/2011/relationships/chartStyle" Target="style44.xml"/></Relationships>
</file>

<file path=xl/charts/_rels/chart45.xml.rels><?xml version="1.0" encoding="UTF-8" standalone="yes"?>
<Relationships xmlns="http://schemas.openxmlformats.org/package/2006/relationships"><Relationship Id="rId2" Type="http://schemas.microsoft.com/office/2011/relationships/chartColorStyle" Target="colors45.xml"/><Relationship Id="rId1" Type="http://schemas.microsoft.com/office/2011/relationships/chartStyle" Target="style45.xml"/></Relationships>
</file>

<file path=xl/charts/_rels/chart46.xml.rels><?xml version="1.0" encoding="UTF-8" standalone="yes"?>
<Relationships xmlns="http://schemas.openxmlformats.org/package/2006/relationships"><Relationship Id="rId2" Type="http://schemas.microsoft.com/office/2011/relationships/chartColorStyle" Target="colors46.xml"/><Relationship Id="rId1" Type="http://schemas.microsoft.com/office/2011/relationships/chartStyle" Target="style46.xml"/></Relationships>
</file>

<file path=xl/charts/_rels/chart47.xml.rels><?xml version="1.0" encoding="UTF-8" standalone="yes"?>
<Relationships xmlns="http://schemas.openxmlformats.org/package/2006/relationships"><Relationship Id="rId2" Type="http://schemas.microsoft.com/office/2011/relationships/chartColorStyle" Target="colors47.xml"/><Relationship Id="rId1" Type="http://schemas.microsoft.com/office/2011/relationships/chartStyle" Target="style47.xml"/></Relationships>
</file>

<file path=xl/charts/_rels/chart48.xml.rels><?xml version="1.0" encoding="UTF-8" standalone="yes"?>
<Relationships xmlns="http://schemas.openxmlformats.org/package/2006/relationships"><Relationship Id="rId2" Type="http://schemas.microsoft.com/office/2011/relationships/chartColorStyle" Target="colors48.xml"/><Relationship Id="rId1" Type="http://schemas.microsoft.com/office/2011/relationships/chartStyle" Target="style48.xml"/></Relationships>
</file>

<file path=xl/charts/_rels/chart49.xml.rels><?xml version="1.0" encoding="UTF-8" standalone="yes"?>
<Relationships xmlns="http://schemas.openxmlformats.org/package/2006/relationships"><Relationship Id="rId2" Type="http://schemas.microsoft.com/office/2011/relationships/chartColorStyle" Target="colors49.xml"/><Relationship Id="rId1" Type="http://schemas.microsoft.com/office/2011/relationships/chartStyle" Target="style49.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50.xml.rels><?xml version="1.0" encoding="UTF-8" standalone="yes"?>
<Relationships xmlns="http://schemas.openxmlformats.org/package/2006/relationships"><Relationship Id="rId2" Type="http://schemas.microsoft.com/office/2011/relationships/chartColorStyle" Target="colors50.xml"/><Relationship Id="rId1" Type="http://schemas.microsoft.com/office/2011/relationships/chartStyle" Target="style50.xml"/></Relationships>
</file>

<file path=xl/charts/_rels/chart51.xml.rels><?xml version="1.0" encoding="UTF-8" standalone="yes"?>
<Relationships xmlns="http://schemas.openxmlformats.org/package/2006/relationships"><Relationship Id="rId2" Type="http://schemas.microsoft.com/office/2011/relationships/chartColorStyle" Target="colors51.xml"/><Relationship Id="rId1" Type="http://schemas.microsoft.com/office/2011/relationships/chartStyle" Target="style51.xml"/></Relationships>
</file>

<file path=xl/charts/_rels/chart52.xml.rels><?xml version="1.0" encoding="UTF-8" standalone="yes"?>
<Relationships xmlns="http://schemas.openxmlformats.org/package/2006/relationships"><Relationship Id="rId2" Type="http://schemas.microsoft.com/office/2011/relationships/chartColorStyle" Target="colors52.xml"/><Relationship Id="rId1" Type="http://schemas.microsoft.com/office/2011/relationships/chartStyle" Target="style52.xml"/></Relationships>
</file>

<file path=xl/charts/_rels/chart53.xml.rels><?xml version="1.0" encoding="UTF-8" standalone="yes"?>
<Relationships xmlns="http://schemas.openxmlformats.org/package/2006/relationships"><Relationship Id="rId2" Type="http://schemas.microsoft.com/office/2011/relationships/chartColorStyle" Target="colors53.xml"/><Relationship Id="rId1" Type="http://schemas.microsoft.com/office/2011/relationships/chartStyle" Target="style53.xml"/></Relationships>
</file>

<file path=xl/charts/_rels/chart54.xml.rels><?xml version="1.0" encoding="UTF-8" standalone="yes"?>
<Relationships xmlns="http://schemas.openxmlformats.org/package/2006/relationships"><Relationship Id="rId2" Type="http://schemas.microsoft.com/office/2011/relationships/chartColorStyle" Target="colors54.xml"/><Relationship Id="rId1" Type="http://schemas.microsoft.com/office/2011/relationships/chartStyle" Target="style54.xml"/></Relationships>
</file>

<file path=xl/charts/_rels/chart55.xml.rels><?xml version="1.0" encoding="UTF-8" standalone="yes"?>
<Relationships xmlns="http://schemas.openxmlformats.org/package/2006/relationships"><Relationship Id="rId2" Type="http://schemas.microsoft.com/office/2011/relationships/chartColorStyle" Target="colors55.xml"/><Relationship Id="rId1" Type="http://schemas.microsoft.com/office/2011/relationships/chartStyle" Target="style5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_rels/chart7.xml.rels><?xml version="1.0" encoding="UTF-8" standalone="yes"?>
<Relationships xmlns="http://schemas.openxmlformats.org/package/2006/relationships"><Relationship Id="rId2" Type="http://schemas.microsoft.com/office/2011/relationships/chartColorStyle" Target="colors7.xml"/><Relationship Id="rId1" Type="http://schemas.microsoft.com/office/2011/relationships/chartStyle" Target="style7.xml"/></Relationships>
</file>

<file path=xl/charts/_rels/chart8.xml.rels><?xml version="1.0" encoding="UTF-8" standalone="yes"?>
<Relationships xmlns="http://schemas.openxmlformats.org/package/2006/relationships"><Relationship Id="rId2" Type="http://schemas.microsoft.com/office/2011/relationships/chartColorStyle" Target="colors8.xml"/><Relationship Id="rId1" Type="http://schemas.microsoft.com/office/2011/relationships/chartStyle" Target="style8.xml"/></Relationships>
</file>

<file path=xl/charts/_rels/chart9.xml.rels><?xml version="1.0" encoding="UTF-8" standalone="yes"?>
<Relationships xmlns="http://schemas.openxmlformats.org/package/2006/relationships"><Relationship Id="rId2" Type="http://schemas.microsoft.com/office/2011/relationships/chartColorStyle" Target="colors9.xml"/><Relationship Id="rId1" Type="http://schemas.microsoft.com/office/2011/relationships/chartStyle" Target="style9.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912726914263045E-2"/>
                  <c:y val="-0.355784473781649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(R1)'!$D$34:$D$38</c:f>
              <c:numCache>
                <c:formatCode>0.00</c:formatCode>
                <c:ptCount val="5"/>
                <c:pt idx="0">
                  <c:v>-1.494850021680094</c:v>
                </c:pt>
                <c:pt idx="1">
                  <c:v>-0.79588001734407521</c:v>
                </c:pt>
                <c:pt idx="2">
                  <c:v>-9.6910013008056392E-2</c:v>
                </c:pt>
                <c:pt idx="3">
                  <c:v>0.6020599913279624</c:v>
                </c:pt>
                <c:pt idx="4">
                  <c:v>1.3010299956639813</c:v>
                </c:pt>
              </c:numCache>
            </c:numRef>
          </c:xVal>
          <c:yVal>
            <c:numRef>
              <c:f>'M468 (R1)'!$E$34:$E$38</c:f>
              <c:numCache>
                <c:formatCode>0.00</c:formatCode>
                <c:ptCount val="5"/>
                <c:pt idx="0">
                  <c:v>26.520848534567548</c:v>
                </c:pt>
                <c:pt idx="1">
                  <c:v>23.981530021092201</c:v>
                </c:pt>
                <c:pt idx="2">
                  <c:v>21.708282040806651</c:v>
                </c:pt>
                <c:pt idx="3">
                  <c:v>19.535563571214652</c:v>
                </c:pt>
                <c:pt idx="4">
                  <c:v>17.312834929464</c:v>
                </c:pt>
              </c:numCache>
            </c:numRef>
          </c:yVal>
          <c:smooth val="0"/>
          <c:extLst>
            <c:ext xmlns:c16="http://schemas.microsoft.com/office/drawing/2014/chart" uri="{C3380CC4-5D6E-409C-BE32-E72D297353CC}">
              <c16:uniqueId val="{00000000-392F-4D19-9177-D7B0A0D1925E}"/>
            </c:ext>
          </c:extLst>
        </c:ser>
        <c:dLbls>
          <c:showLegendKey val="0"/>
          <c:showVal val="0"/>
          <c:showCatName val="0"/>
          <c:showSerName val="0"/>
          <c:showPercent val="0"/>
          <c:showBubbleSize val="0"/>
        </c:dLbls>
        <c:axId val="1465325375"/>
        <c:axId val="1470613631"/>
      </c:scatterChart>
      <c:valAx>
        <c:axId val="1465325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3631"/>
        <c:crosses val="autoZero"/>
        <c:crossBetween val="midCat"/>
      </c:valAx>
      <c:valAx>
        <c:axId val="1470613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8119750656167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(R1)'!$Y$62:$Y$66</c:f>
              <c:numCache>
                <c:formatCode>0.00</c:formatCode>
                <c:ptCount val="5"/>
                <c:pt idx="0">
                  <c:v>-1.494850021680094</c:v>
                </c:pt>
                <c:pt idx="1">
                  <c:v>-0.79588001734407521</c:v>
                </c:pt>
                <c:pt idx="2">
                  <c:v>-9.6910013008056392E-2</c:v>
                </c:pt>
                <c:pt idx="3">
                  <c:v>0.6020599913279624</c:v>
                </c:pt>
                <c:pt idx="4">
                  <c:v>1.3010299956639813</c:v>
                </c:pt>
              </c:numCache>
            </c:numRef>
          </c:xVal>
          <c:yVal>
            <c:numRef>
              <c:f>'M468 (R1)'!$Z$62:$Z$66</c:f>
              <c:numCache>
                <c:formatCode>0.00</c:formatCode>
                <c:ptCount val="5"/>
                <c:pt idx="0">
                  <c:v>26.936417750194249</c:v>
                </c:pt>
                <c:pt idx="1">
                  <c:v>24.693834395919851</c:v>
                </c:pt>
                <c:pt idx="2">
                  <c:v>22.34008230320865</c:v>
                </c:pt>
                <c:pt idx="3">
                  <c:v>19.953025257523599</c:v>
                </c:pt>
                <c:pt idx="4">
                  <c:v>17.515736500373901</c:v>
                </c:pt>
              </c:numCache>
            </c:numRef>
          </c:yVal>
          <c:smooth val="0"/>
          <c:extLst>
            <c:ext xmlns:c16="http://schemas.microsoft.com/office/drawing/2014/chart" uri="{C3380CC4-5D6E-409C-BE32-E72D297353CC}">
              <c16:uniqueId val="{00000000-4F37-4EEC-B171-B160A6C4AB58}"/>
            </c:ext>
          </c:extLst>
        </c:ser>
        <c:dLbls>
          <c:showLegendKey val="0"/>
          <c:showVal val="0"/>
          <c:showCatName val="0"/>
          <c:showSerName val="0"/>
          <c:showPercent val="0"/>
          <c:showBubbleSize val="0"/>
        </c:dLbls>
        <c:axId val="1644857871"/>
        <c:axId val="1469950831"/>
      </c:scatterChart>
      <c:valAx>
        <c:axId val="1644857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0831"/>
        <c:crosses val="autoZero"/>
        <c:crossBetween val="midCat"/>
      </c:valAx>
      <c:valAx>
        <c:axId val="146995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57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929790026246719E-2"/>
                  <c:y val="-0.322046879556722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(R1)'!$AF$62:$AF$66</c:f>
              <c:numCache>
                <c:formatCode>0.00</c:formatCode>
                <c:ptCount val="5"/>
                <c:pt idx="0">
                  <c:v>-1.494850021680094</c:v>
                </c:pt>
                <c:pt idx="1">
                  <c:v>-0.79588001734407521</c:v>
                </c:pt>
                <c:pt idx="2">
                  <c:v>-9.6910013008056392E-2</c:v>
                </c:pt>
                <c:pt idx="3">
                  <c:v>0.6020599913279624</c:v>
                </c:pt>
                <c:pt idx="4">
                  <c:v>1.3010299956639813</c:v>
                </c:pt>
              </c:numCache>
            </c:numRef>
          </c:xVal>
          <c:yVal>
            <c:numRef>
              <c:f>'M468 (R1)'!$AG$62:$AG$66</c:f>
              <c:numCache>
                <c:formatCode>0.00</c:formatCode>
                <c:ptCount val="5"/>
                <c:pt idx="0">
                  <c:v>31.971645222554997</c:v>
                </c:pt>
                <c:pt idx="1">
                  <c:v>29.428380786654351</c:v>
                </c:pt>
                <c:pt idx="2">
                  <c:v>27.215625299104552</c:v>
                </c:pt>
                <c:pt idx="3">
                  <c:v>24.935397974527298</c:v>
                </c:pt>
                <c:pt idx="4">
                  <c:v>22.789825578003899</c:v>
                </c:pt>
              </c:numCache>
            </c:numRef>
          </c:yVal>
          <c:smooth val="0"/>
          <c:extLst>
            <c:ext xmlns:c16="http://schemas.microsoft.com/office/drawing/2014/chart" uri="{C3380CC4-5D6E-409C-BE32-E72D297353CC}">
              <c16:uniqueId val="{00000000-A101-405E-A97F-6C42AFBEA1E7}"/>
            </c:ext>
          </c:extLst>
        </c:ser>
        <c:dLbls>
          <c:showLegendKey val="0"/>
          <c:showVal val="0"/>
          <c:showCatName val="0"/>
          <c:showSerName val="0"/>
          <c:showPercent val="0"/>
          <c:showBubbleSize val="0"/>
        </c:dLbls>
        <c:axId val="1644860655"/>
        <c:axId val="1469955631"/>
      </c:scatterChart>
      <c:valAx>
        <c:axId val="1644860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5631"/>
        <c:crosses val="autoZero"/>
        <c:crossBetween val="midCat"/>
      </c:valAx>
      <c:valAx>
        <c:axId val="146995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912726914263045E-2"/>
                  <c:y val="-0.355784473781649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(R1)'!$D$34:$D$38</c:f>
              <c:numCache>
                <c:formatCode>0.00</c:formatCode>
                <c:ptCount val="5"/>
                <c:pt idx="0">
                  <c:v>-1.494850021680094</c:v>
                </c:pt>
                <c:pt idx="1">
                  <c:v>-0.79588001734407521</c:v>
                </c:pt>
                <c:pt idx="2">
                  <c:v>-9.6910013008056392E-2</c:v>
                </c:pt>
                <c:pt idx="3">
                  <c:v>0.6020599913279624</c:v>
                </c:pt>
                <c:pt idx="4">
                  <c:v>1.3010299956639813</c:v>
                </c:pt>
              </c:numCache>
            </c:numRef>
          </c:xVal>
          <c:yVal>
            <c:numRef>
              <c:f>'M468 (R1)'!$E$34:$E$38</c:f>
              <c:numCache>
                <c:formatCode>0.00</c:formatCode>
                <c:ptCount val="5"/>
                <c:pt idx="0">
                  <c:v>26.520848534567548</c:v>
                </c:pt>
                <c:pt idx="1">
                  <c:v>23.981530021092201</c:v>
                </c:pt>
                <c:pt idx="2">
                  <c:v>21.708282040806651</c:v>
                </c:pt>
                <c:pt idx="3">
                  <c:v>19.535563571214652</c:v>
                </c:pt>
                <c:pt idx="4">
                  <c:v>17.312834929464</c:v>
                </c:pt>
              </c:numCache>
            </c:numRef>
          </c:yVal>
          <c:smooth val="0"/>
          <c:extLst>
            <c:ext xmlns:c16="http://schemas.microsoft.com/office/drawing/2014/chart" uri="{C3380CC4-5D6E-409C-BE32-E72D297353CC}">
              <c16:uniqueId val="{00000001-318F-47C5-8217-92D2F30371E6}"/>
            </c:ext>
          </c:extLst>
        </c:ser>
        <c:dLbls>
          <c:showLegendKey val="0"/>
          <c:showVal val="0"/>
          <c:showCatName val="0"/>
          <c:showSerName val="0"/>
          <c:showPercent val="0"/>
          <c:showBubbleSize val="0"/>
        </c:dLbls>
        <c:axId val="1465325375"/>
        <c:axId val="1470613631"/>
      </c:scatterChart>
      <c:valAx>
        <c:axId val="1465325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3631"/>
        <c:crosses val="autoZero"/>
        <c:crossBetween val="midCat"/>
      </c:valAx>
      <c:valAx>
        <c:axId val="1470613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382359652960046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(R1)'!$K$34:$K$38</c:f>
              <c:numCache>
                <c:formatCode>0.00</c:formatCode>
                <c:ptCount val="5"/>
                <c:pt idx="0">
                  <c:v>-1.494850021680094</c:v>
                </c:pt>
                <c:pt idx="1">
                  <c:v>-0.79588001734407521</c:v>
                </c:pt>
                <c:pt idx="2">
                  <c:v>-9.6910013008056392E-2</c:v>
                </c:pt>
                <c:pt idx="3">
                  <c:v>0.6020599913279624</c:v>
                </c:pt>
                <c:pt idx="4">
                  <c:v>1.3010299956639813</c:v>
                </c:pt>
              </c:numCache>
            </c:numRef>
          </c:xVal>
          <c:yVal>
            <c:numRef>
              <c:f>'M468 (R1)'!$L$34:$L$38</c:f>
              <c:numCache>
                <c:formatCode>0.00</c:formatCode>
                <c:ptCount val="5"/>
                <c:pt idx="0">
                  <c:v>26.555156051787002</c:v>
                </c:pt>
                <c:pt idx="1">
                  <c:v>24.053447345932398</c:v>
                </c:pt>
                <c:pt idx="2">
                  <c:v>21.592328644564247</c:v>
                </c:pt>
                <c:pt idx="3">
                  <c:v>19.233451119311098</c:v>
                </c:pt>
                <c:pt idx="4">
                  <c:v>17.018503786986798</c:v>
                </c:pt>
              </c:numCache>
            </c:numRef>
          </c:yVal>
          <c:smooth val="0"/>
          <c:extLst>
            <c:ext xmlns:c16="http://schemas.microsoft.com/office/drawing/2014/chart" uri="{C3380CC4-5D6E-409C-BE32-E72D297353CC}">
              <c16:uniqueId val="{00000001-0C4D-409B-9486-76A18454D5BA}"/>
            </c:ext>
          </c:extLst>
        </c:ser>
        <c:dLbls>
          <c:showLegendKey val="0"/>
          <c:showVal val="0"/>
          <c:showCatName val="0"/>
          <c:showSerName val="0"/>
          <c:showPercent val="0"/>
          <c:showBubbleSize val="0"/>
        </c:dLbls>
        <c:axId val="1474388399"/>
        <c:axId val="1470631391"/>
      </c:scatterChart>
      <c:valAx>
        <c:axId val="1474388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1391"/>
        <c:crosses val="autoZero"/>
        <c:crossBetween val="midCat"/>
      </c:valAx>
      <c:valAx>
        <c:axId val="147063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534776902887128E-2"/>
          <c:y val="0.17171296296296298"/>
          <c:w val="0.89075699912510942"/>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41264836687080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(R1)'!$R$34:$R$38</c:f>
              <c:numCache>
                <c:formatCode>0.00</c:formatCode>
                <c:ptCount val="5"/>
                <c:pt idx="0">
                  <c:v>-1.494850021680094</c:v>
                </c:pt>
                <c:pt idx="1">
                  <c:v>-0.79588001734407521</c:v>
                </c:pt>
                <c:pt idx="2">
                  <c:v>-9.6910013008056392E-2</c:v>
                </c:pt>
                <c:pt idx="3">
                  <c:v>0.6020599913279624</c:v>
                </c:pt>
                <c:pt idx="4">
                  <c:v>1.3010299956639813</c:v>
                </c:pt>
              </c:numCache>
            </c:numRef>
          </c:xVal>
          <c:yVal>
            <c:numRef>
              <c:f>'M468 (R1)'!$S$34:$S$38</c:f>
              <c:numCache>
                <c:formatCode>0.00</c:formatCode>
                <c:ptCount val="5"/>
                <c:pt idx="0">
                  <c:v>29.9164548037784</c:v>
                </c:pt>
                <c:pt idx="1">
                  <c:v>27.8482365403089</c:v>
                </c:pt>
                <c:pt idx="2">
                  <c:v>26.589564300650302</c:v>
                </c:pt>
                <c:pt idx="3">
                  <c:v>24.665009294117048</c:v>
                </c:pt>
                <c:pt idx="4">
                  <c:v>22.37222075172275</c:v>
                </c:pt>
              </c:numCache>
            </c:numRef>
          </c:yVal>
          <c:smooth val="0"/>
          <c:extLst>
            <c:ext xmlns:c16="http://schemas.microsoft.com/office/drawing/2014/chart" uri="{C3380CC4-5D6E-409C-BE32-E72D297353CC}">
              <c16:uniqueId val="{00000001-C8FC-4192-8D84-0F30D73EA3C6}"/>
            </c:ext>
          </c:extLst>
        </c:ser>
        <c:dLbls>
          <c:showLegendKey val="0"/>
          <c:showVal val="0"/>
          <c:showCatName val="0"/>
          <c:showSerName val="0"/>
          <c:showPercent val="0"/>
          <c:showBubbleSize val="0"/>
        </c:dLbls>
        <c:axId val="1921742255"/>
        <c:axId val="1470612671"/>
      </c:scatterChart>
      <c:valAx>
        <c:axId val="19217422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2671"/>
        <c:crosses val="autoZero"/>
        <c:crossBetween val="midCat"/>
      </c:valAx>
      <c:valAx>
        <c:axId val="147061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2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237267789442986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(R1)'!$Y$34:$Y$38</c:f>
              <c:numCache>
                <c:formatCode>0.00</c:formatCode>
                <c:ptCount val="5"/>
                <c:pt idx="0">
                  <c:v>-1.494850021680094</c:v>
                </c:pt>
                <c:pt idx="1">
                  <c:v>-0.79588001734407521</c:v>
                </c:pt>
                <c:pt idx="2">
                  <c:v>-9.6910013008056392E-2</c:v>
                </c:pt>
                <c:pt idx="3">
                  <c:v>0.6020599913279624</c:v>
                </c:pt>
                <c:pt idx="4">
                  <c:v>1.3010299956639813</c:v>
                </c:pt>
              </c:numCache>
            </c:numRef>
          </c:xVal>
          <c:yVal>
            <c:numRef>
              <c:f>'M468 (R1)'!$Z$34:$Z$38</c:f>
              <c:numCache>
                <c:formatCode>0.00</c:formatCode>
                <c:ptCount val="5"/>
                <c:pt idx="0">
                  <c:v>26.947003627636349</c:v>
                </c:pt>
                <c:pt idx="1">
                  <c:v>24.386304758562702</c:v>
                </c:pt>
                <c:pt idx="2">
                  <c:v>22.343225338579849</c:v>
                </c:pt>
                <c:pt idx="3">
                  <c:v>19.98074290094775</c:v>
                </c:pt>
                <c:pt idx="4">
                  <c:v>17.6860119325722</c:v>
                </c:pt>
              </c:numCache>
            </c:numRef>
          </c:yVal>
          <c:smooth val="0"/>
          <c:extLst>
            <c:ext xmlns:c16="http://schemas.microsoft.com/office/drawing/2014/chart" uri="{C3380CC4-5D6E-409C-BE32-E72D297353CC}">
              <c16:uniqueId val="{00000001-E9D4-4937-A0BD-5ECAD52D5F7F}"/>
            </c:ext>
          </c:extLst>
        </c:ser>
        <c:dLbls>
          <c:showLegendKey val="0"/>
          <c:showVal val="0"/>
          <c:showCatName val="0"/>
          <c:showSerName val="0"/>
          <c:showPercent val="0"/>
          <c:showBubbleSize val="0"/>
        </c:dLbls>
        <c:axId val="1459446271"/>
        <c:axId val="1470616031"/>
      </c:scatterChart>
      <c:valAx>
        <c:axId val="14594462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6031"/>
        <c:crosses val="autoZero"/>
        <c:crossBetween val="midCat"/>
      </c:valAx>
      <c:valAx>
        <c:axId val="14706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4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040901137357827E-2"/>
                  <c:y val="-0.44065616797900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(R1)'!$AF$34:$AF$38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(R1)'!$AG$34:$AG$38</c:f>
              <c:numCache>
                <c:formatCode>0.00</c:formatCode>
                <c:ptCount val="5"/>
                <c:pt idx="0">
                  <c:v>27.27789369493965</c:v>
                </c:pt>
                <c:pt idx="1">
                  <c:v>25.018639474684051</c:v>
                </c:pt>
                <c:pt idx="2">
                  <c:v>22.9191573917699</c:v>
                </c:pt>
                <c:pt idx="3">
                  <c:v>20.545466753808348</c:v>
                </c:pt>
                <c:pt idx="4">
                  <c:v>18.367189193730699</c:v>
                </c:pt>
              </c:numCache>
            </c:numRef>
          </c:yVal>
          <c:smooth val="0"/>
          <c:extLst>
            <c:ext xmlns:c16="http://schemas.microsoft.com/office/drawing/2014/chart" uri="{C3380CC4-5D6E-409C-BE32-E72D297353CC}">
              <c16:uniqueId val="{00000001-9B1B-4774-8C77-56615BBEE780}"/>
            </c:ext>
          </c:extLst>
        </c:ser>
        <c:dLbls>
          <c:showLegendKey val="0"/>
          <c:showVal val="0"/>
          <c:showCatName val="0"/>
          <c:showSerName val="0"/>
          <c:showPercent val="0"/>
          <c:showBubbleSize val="0"/>
        </c:dLbls>
        <c:axId val="1465310063"/>
        <c:axId val="1470633311"/>
      </c:scatterChart>
      <c:valAx>
        <c:axId val="1465310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311"/>
        <c:crosses val="autoZero"/>
        <c:crossBetween val="midCat"/>
      </c:valAx>
      <c:valAx>
        <c:axId val="147063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10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93966535433070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(R1)'!$AM$34:$AM$38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(R1)'!$AN$34:$AN$38</c:f>
              <c:numCache>
                <c:formatCode>0.00</c:formatCode>
                <c:ptCount val="5"/>
                <c:pt idx="0">
                  <c:v>27.39946635601865</c:v>
                </c:pt>
                <c:pt idx="1">
                  <c:v>25.064974374217499</c:v>
                </c:pt>
                <c:pt idx="2">
                  <c:v>22.570979729379353</c:v>
                </c:pt>
                <c:pt idx="3">
                  <c:v>20.276434740645151</c:v>
                </c:pt>
                <c:pt idx="4">
                  <c:v>18.049649154897551</c:v>
                </c:pt>
              </c:numCache>
            </c:numRef>
          </c:yVal>
          <c:smooth val="0"/>
          <c:extLst>
            <c:ext xmlns:c16="http://schemas.microsoft.com/office/drawing/2014/chart" uri="{C3380CC4-5D6E-409C-BE32-E72D297353CC}">
              <c16:uniqueId val="{00000001-ACD4-480E-BEFB-E520C0112382}"/>
            </c:ext>
          </c:extLst>
        </c:ser>
        <c:dLbls>
          <c:showLegendKey val="0"/>
          <c:showVal val="0"/>
          <c:showCatName val="0"/>
          <c:showSerName val="0"/>
          <c:showPercent val="0"/>
          <c:showBubbleSize val="0"/>
        </c:dLbls>
        <c:axId val="1913353583"/>
        <c:axId val="1470617951"/>
      </c:scatterChart>
      <c:valAx>
        <c:axId val="19133535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7951"/>
        <c:crosses val="autoZero"/>
        <c:crossBetween val="midCat"/>
      </c:valAx>
      <c:valAx>
        <c:axId val="1470617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5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6456692913391E-2"/>
                  <c:y val="-0.336487314085739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(R1)'!$D$62:$D$66</c:f>
              <c:numCache>
                <c:formatCode>0.00</c:formatCode>
                <c:ptCount val="5"/>
                <c:pt idx="0">
                  <c:v>-1.494850021680094</c:v>
                </c:pt>
                <c:pt idx="1">
                  <c:v>-0.79588001734407521</c:v>
                </c:pt>
                <c:pt idx="2">
                  <c:v>-9.6910013008056392E-2</c:v>
                </c:pt>
                <c:pt idx="3">
                  <c:v>0.6020599913279624</c:v>
                </c:pt>
                <c:pt idx="4">
                  <c:v>1.3010299956639813</c:v>
                </c:pt>
              </c:numCache>
            </c:numRef>
          </c:xVal>
          <c:yVal>
            <c:numRef>
              <c:f>'M468 (R1)'!$E$62:$E$66</c:f>
              <c:numCache>
                <c:formatCode>0.00</c:formatCode>
                <c:ptCount val="5"/>
                <c:pt idx="0">
                  <c:v>29.553930263558151</c:v>
                </c:pt>
                <c:pt idx="1">
                  <c:v>27.668948596473797</c:v>
                </c:pt>
                <c:pt idx="2">
                  <c:v>25.606091828036398</c:v>
                </c:pt>
                <c:pt idx="3">
                  <c:v>23.30235315452115</c:v>
                </c:pt>
                <c:pt idx="4">
                  <c:v>20.763854462926499</c:v>
                </c:pt>
              </c:numCache>
            </c:numRef>
          </c:yVal>
          <c:smooth val="0"/>
          <c:extLst>
            <c:ext xmlns:c16="http://schemas.microsoft.com/office/drawing/2014/chart" uri="{C3380CC4-5D6E-409C-BE32-E72D297353CC}">
              <c16:uniqueId val="{00000001-8F71-45F6-B2C4-DF2C50ECCDCD}"/>
            </c:ext>
          </c:extLst>
        </c:ser>
        <c:dLbls>
          <c:showLegendKey val="0"/>
          <c:showVal val="0"/>
          <c:showCatName val="0"/>
          <c:showSerName val="0"/>
          <c:showPercent val="0"/>
          <c:showBubbleSize val="0"/>
        </c:dLbls>
        <c:axId val="1921752463"/>
        <c:axId val="1923563215"/>
      </c:scatterChart>
      <c:valAx>
        <c:axId val="1921752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63215"/>
        <c:crosses val="autoZero"/>
        <c:crossBetween val="midCat"/>
      </c:valAx>
      <c:valAx>
        <c:axId val="192356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5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1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4847805482648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(R1)'!$K$62:$K$66</c:f>
              <c:numCache>
                <c:formatCode>0.00</c:formatCode>
                <c:ptCount val="5"/>
                <c:pt idx="0">
                  <c:v>-1.494850021680094</c:v>
                </c:pt>
                <c:pt idx="1">
                  <c:v>-0.79588001734407521</c:v>
                </c:pt>
                <c:pt idx="2">
                  <c:v>-9.6910013008056392E-2</c:v>
                </c:pt>
                <c:pt idx="3">
                  <c:v>0.6020599913279624</c:v>
                </c:pt>
                <c:pt idx="4">
                  <c:v>1.3010299956639813</c:v>
                </c:pt>
              </c:numCache>
            </c:numRef>
          </c:xVal>
          <c:yVal>
            <c:numRef>
              <c:f>'M468 (R1)'!$L$62:$L$66</c:f>
              <c:numCache>
                <c:formatCode>0.00</c:formatCode>
                <c:ptCount val="5"/>
                <c:pt idx="0">
                  <c:v>31.498895276837899</c:v>
                </c:pt>
                <c:pt idx="1">
                  <c:v>29.268902743098749</c:v>
                </c:pt>
                <c:pt idx="2">
                  <c:v>27.194057889297149</c:v>
                </c:pt>
                <c:pt idx="3">
                  <c:v>24.819419702238548</c:v>
                </c:pt>
                <c:pt idx="4">
                  <c:v>22.367882551155851</c:v>
                </c:pt>
              </c:numCache>
            </c:numRef>
          </c:yVal>
          <c:smooth val="0"/>
          <c:extLst>
            <c:ext xmlns:c16="http://schemas.microsoft.com/office/drawing/2014/chart" uri="{C3380CC4-5D6E-409C-BE32-E72D297353CC}">
              <c16:uniqueId val="{00000001-B544-4BE9-A07E-EC60BB674543}"/>
            </c:ext>
          </c:extLst>
        </c:ser>
        <c:dLbls>
          <c:showLegendKey val="0"/>
          <c:showVal val="0"/>
          <c:showCatName val="0"/>
          <c:showSerName val="0"/>
          <c:showPercent val="0"/>
          <c:showBubbleSize val="0"/>
        </c:dLbls>
        <c:axId val="1635334655"/>
        <c:axId val="1470627071"/>
      </c:scatterChart>
      <c:valAx>
        <c:axId val="1635334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27071"/>
        <c:crosses val="autoZero"/>
        <c:crossBetween val="midCat"/>
      </c:valAx>
      <c:valAx>
        <c:axId val="147062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34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382359652960046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(R1)'!$K$34:$K$38</c:f>
              <c:numCache>
                <c:formatCode>0.00</c:formatCode>
                <c:ptCount val="5"/>
                <c:pt idx="0">
                  <c:v>-1.494850021680094</c:v>
                </c:pt>
                <c:pt idx="1">
                  <c:v>-0.79588001734407521</c:v>
                </c:pt>
                <c:pt idx="2">
                  <c:v>-9.6910013008056392E-2</c:v>
                </c:pt>
                <c:pt idx="3">
                  <c:v>0.6020599913279624</c:v>
                </c:pt>
                <c:pt idx="4">
                  <c:v>1.3010299956639813</c:v>
                </c:pt>
              </c:numCache>
            </c:numRef>
          </c:xVal>
          <c:yVal>
            <c:numRef>
              <c:f>'M468 (R1)'!$L$34:$L$38</c:f>
              <c:numCache>
                <c:formatCode>0.00</c:formatCode>
                <c:ptCount val="5"/>
                <c:pt idx="0">
                  <c:v>26.555156051787002</c:v>
                </c:pt>
                <c:pt idx="1">
                  <c:v>24.053447345932398</c:v>
                </c:pt>
                <c:pt idx="2">
                  <c:v>21.592328644564247</c:v>
                </c:pt>
                <c:pt idx="3">
                  <c:v>19.233451119311098</c:v>
                </c:pt>
                <c:pt idx="4">
                  <c:v>17.018503786986798</c:v>
                </c:pt>
              </c:numCache>
            </c:numRef>
          </c:yVal>
          <c:smooth val="0"/>
          <c:extLst>
            <c:ext xmlns:c16="http://schemas.microsoft.com/office/drawing/2014/chart" uri="{C3380CC4-5D6E-409C-BE32-E72D297353CC}">
              <c16:uniqueId val="{00000000-6E64-44E0-B495-51EF99140A9A}"/>
            </c:ext>
          </c:extLst>
        </c:ser>
        <c:dLbls>
          <c:showLegendKey val="0"/>
          <c:showVal val="0"/>
          <c:showCatName val="0"/>
          <c:showSerName val="0"/>
          <c:showPercent val="0"/>
          <c:showBubbleSize val="0"/>
        </c:dLbls>
        <c:axId val="1474388399"/>
        <c:axId val="1470631391"/>
      </c:scatterChart>
      <c:valAx>
        <c:axId val="1474388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1391"/>
        <c:crosses val="autoZero"/>
        <c:crossBetween val="midCat"/>
      </c:valAx>
      <c:valAx>
        <c:axId val="147063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359911781860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(R1)'!$R$62:$R$66</c:f>
              <c:numCache>
                <c:formatCode>0.00</c:formatCode>
                <c:ptCount val="5"/>
                <c:pt idx="0">
                  <c:v>-1.494850021680094</c:v>
                </c:pt>
                <c:pt idx="1">
                  <c:v>-0.79588001734407521</c:v>
                </c:pt>
                <c:pt idx="2">
                  <c:v>-9.6910013008056392E-2</c:v>
                </c:pt>
                <c:pt idx="3">
                  <c:v>0.6020599913279624</c:v>
                </c:pt>
                <c:pt idx="4">
                  <c:v>1.3010299956639813</c:v>
                </c:pt>
              </c:numCache>
            </c:numRef>
          </c:xVal>
          <c:yVal>
            <c:numRef>
              <c:f>'M468 (R1)'!$S$62:$S$66</c:f>
              <c:numCache>
                <c:formatCode>0.00</c:formatCode>
                <c:ptCount val="5"/>
                <c:pt idx="0">
                  <c:v>28.735817189265553</c:v>
                </c:pt>
                <c:pt idx="1">
                  <c:v>26.412854220175952</c:v>
                </c:pt>
                <c:pt idx="2">
                  <c:v>24.3068656492486</c:v>
                </c:pt>
                <c:pt idx="3">
                  <c:v>21.821430615969799</c:v>
                </c:pt>
                <c:pt idx="4">
                  <c:v>19.4996538748326</c:v>
                </c:pt>
              </c:numCache>
            </c:numRef>
          </c:yVal>
          <c:smooth val="0"/>
          <c:extLst>
            <c:ext xmlns:c16="http://schemas.microsoft.com/office/drawing/2014/chart" uri="{C3380CC4-5D6E-409C-BE32-E72D297353CC}">
              <c16:uniqueId val="{00000001-DC00-43FC-BAE6-E0F03F2D829E}"/>
            </c:ext>
          </c:extLst>
        </c:ser>
        <c:dLbls>
          <c:showLegendKey val="0"/>
          <c:showVal val="0"/>
          <c:showCatName val="0"/>
          <c:showSerName val="0"/>
          <c:showPercent val="0"/>
          <c:showBubbleSize val="0"/>
        </c:dLbls>
        <c:axId val="1633649823"/>
        <c:axId val="1923549295"/>
      </c:scatterChart>
      <c:valAx>
        <c:axId val="1633649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49295"/>
        <c:crosses val="autoZero"/>
        <c:crossBetween val="midCat"/>
      </c:valAx>
      <c:valAx>
        <c:axId val="1923549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8119750656167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(R1)'!$Y$62:$Y$66</c:f>
              <c:numCache>
                <c:formatCode>0.00</c:formatCode>
                <c:ptCount val="5"/>
                <c:pt idx="0">
                  <c:v>-1.494850021680094</c:v>
                </c:pt>
                <c:pt idx="1">
                  <c:v>-0.79588001734407521</c:v>
                </c:pt>
                <c:pt idx="2">
                  <c:v>-9.6910013008056392E-2</c:v>
                </c:pt>
                <c:pt idx="3">
                  <c:v>0.6020599913279624</c:v>
                </c:pt>
                <c:pt idx="4">
                  <c:v>1.3010299956639813</c:v>
                </c:pt>
              </c:numCache>
            </c:numRef>
          </c:xVal>
          <c:yVal>
            <c:numRef>
              <c:f>'M468 (R1)'!$Z$62:$Z$66</c:f>
              <c:numCache>
                <c:formatCode>0.00</c:formatCode>
                <c:ptCount val="5"/>
                <c:pt idx="0">
                  <c:v>26.936417750194249</c:v>
                </c:pt>
                <c:pt idx="1">
                  <c:v>24.693834395919851</c:v>
                </c:pt>
                <c:pt idx="2">
                  <c:v>22.34008230320865</c:v>
                </c:pt>
                <c:pt idx="3">
                  <c:v>19.953025257523599</c:v>
                </c:pt>
                <c:pt idx="4">
                  <c:v>17.515736500373901</c:v>
                </c:pt>
              </c:numCache>
            </c:numRef>
          </c:yVal>
          <c:smooth val="0"/>
          <c:extLst>
            <c:ext xmlns:c16="http://schemas.microsoft.com/office/drawing/2014/chart" uri="{C3380CC4-5D6E-409C-BE32-E72D297353CC}">
              <c16:uniqueId val="{00000001-D426-46DE-ACDD-4F265A4BE03B}"/>
            </c:ext>
          </c:extLst>
        </c:ser>
        <c:dLbls>
          <c:showLegendKey val="0"/>
          <c:showVal val="0"/>
          <c:showCatName val="0"/>
          <c:showSerName val="0"/>
          <c:showPercent val="0"/>
          <c:showBubbleSize val="0"/>
        </c:dLbls>
        <c:axId val="1644857871"/>
        <c:axId val="1469950831"/>
      </c:scatterChart>
      <c:valAx>
        <c:axId val="1644857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0831"/>
        <c:crosses val="autoZero"/>
        <c:crossBetween val="midCat"/>
      </c:valAx>
      <c:valAx>
        <c:axId val="146995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57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929790026246719E-2"/>
                  <c:y val="-0.322046879556722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(R1)'!$AF$62:$AF$66</c:f>
              <c:numCache>
                <c:formatCode>0.00</c:formatCode>
                <c:ptCount val="5"/>
                <c:pt idx="0">
                  <c:v>-1.494850021680094</c:v>
                </c:pt>
                <c:pt idx="1">
                  <c:v>-0.79588001734407521</c:v>
                </c:pt>
                <c:pt idx="2">
                  <c:v>-9.6910013008056392E-2</c:v>
                </c:pt>
                <c:pt idx="3">
                  <c:v>0.6020599913279624</c:v>
                </c:pt>
                <c:pt idx="4">
                  <c:v>1.3010299956639813</c:v>
                </c:pt>
              </c:numCache>
            </c:numRef>
          </c:xVal>
          <c:yVal>
            <c:numRef>
              <c:f>'M468 (R1)'!$AG$62:$AG$66</c:f>
              <c:numCache>
                <c:formatCode>0.00</c:formatCode>
                <c:ptCount val="5"/>
                <c:pt idx="0">
                  <c:v>31.971645222554997</c:v>
                </c:pt>
                <c:pt idx="1">
                  <c:v>29.428380786654351</c:v>
                </c:pt>
                <c:pt idx="2">
                  <c:v>27.215625299104552</c:v>
                </c:pt>
                <c:pt idx="3">
                  <c:v>24.935397974527298</c:v>
                </c:pt>
                <c:pt idx="4">
                  <c:v>22.789825578003899</c:v>
                </c:pt>
              </c:numCache>
            </c:numRef>
          </c:yVal>
          <c:smooth val="0"/>
          <c:extLst>
            <c:ext xmlns:c16="http://schemas.microsoft.com/office/drawing/2014/chart" uri="{C3380CC4-5D6E-409C-BE32-E72D297353CC}">
              <c16:uniqueId val="{00000001-D3B6-4CD0-84A1-D7DA38E6127A}"/>
            </c:ext>
          </c:extLst>
        </c:ser>
        <c:dLbls>
          <c:showLegendKey val="0"/>
          <c:showVal val="0"/>
          <c:showCatName val="0"/>
          <c:showSerName val="0"/>
          <c:showPercent val="0"/>
          <c:showBubbleSize val="0"/>
        </c:dLbls>
        <c:axId val="1644860655"/>
        <c:axId val="1469955631"/>
      </c:scatterChart>
      <c:valAx>
        <c:axId val="1644860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5631"/>
        <c:crosses val="autoZero"/>
        <c:crossBetween val="midCat"/>
      </c:valAx>
      <c:valAx>
        <c:axId val="146995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912726914263045E-2"/>
                  <c:y val="-0.3557844737816491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(R1)'!$D$34:$D$38</c:f>
              <c:numCache>
                <c:formatCode>0.00</c:formatCode>
                <c:ptCount val="5"/>
                <c:pt idx="0">
                  <c:v>-1.494850021680094</c:v>
                </c:pt>
                <c:pt idx="1">
                  <c:v>-0.79588001734407521</c:v>
                </c:pt>
                <c:pt idx="2">
                  <c:v>-9.6910013008056392E-2</c:v>
                </c:pt>
                <c:pt idx="3">
                  <c:v>0.6020599913279624</c:v>
                </c:pt>
                <c:pt idx="4">
                  <c:v>1.3010299956639813</c:v>
                </c:pt>
              </c:numCache>
            </c:numRef>
          </c:xVal>
          <c:yVal>
            <c:numRef>
              <c:f>'M468 (R1)'!$E$34:$E$38</c:f>
              <c:numCache>
                <c:formatCode>0.00</c:formatCode>
                <c:ptCount val="5"/>
                <c:pt idx="0">
                  <c:v>26.520848534567548</c:v>
                </c:pt>
                <c:pt idx="1">
                  <c:v>23.981530021092201</c:v>
                </c:pt>
                <c:pt idx="2">
                  <c:v>21.708282040806651</c:v>
                </c:pt>
                <c:pt idx="3">
                  <c:v>19.535563571214652</c:v>
                </c:pt>
                <c:pt idx="4">
                  <c:v>17.312834929464</c:v>
                </c:pt>
              </c:numCache>
            </c:numRef>
          </c:yVal>
          <c:smooth val="0"/>
          <c:extLst>
            <c:ext xmlns:c16="http://schemas.microsoft.com/office/drawing/2014/chart" uri="{C3380CC4-5D6E-409C-BE32-E72D297353CC}">
              <c16:uniqueId val="{00000001-DF24-41C1-973E-19B8ABDEE45E}"/>
            </c:ext>
          </c:extLst>
        </c:ser>
        <c:dLbls>
          <c:showLegendKey val="0"/>
          <c:showVal val="0"/>
          <c:showCatName val="0"/>
          <c:showSerName val="0"/>
          <c:showPercent val="0"/>
          <c:showBubbleSize val="0"/>
        </c:dLbls>
        <c:axId val="1465325375"/>
        <c:axId val="1470613631"/>
      </c:scatterChart>
      <c:valAx>
        <c:axId val="146532537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3631"/>
        <c:crosses val="autoZero"/>
        <c:crossBetween val="midCat"/>
      </c:valAx>
      <c:valAx>
        <c:axId val="1470613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2537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374234470691169E-2"/>
                  <c:y val="-0.3823596529600466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(R1)'!$K$34:$K$38</c:f>
              <c:numCache>
                <c:formatCode>0.00</c:formatCode>
                <c:ptCount val="5"/>
                <c:pt idx="0">
                  <c:v>-1.494850021680094</c:v>
                </c:pt>
                <c:pt idx="1">
                  <c:v>-0.79588001734407521</c:v>
                </c:pt>
                <c:pt idx="2">
                  <c:v>-9.6910013008056392E-2</c:v>
                </c:pt>
                <c:pt idx="3">
                  <c:v>0.6020599913279624</c:v>
                </c:pt>
                <c:pt idx="4">
                  <c:v>1.3010299956639813</c:v>
                </c:pt>
              </c:numCache>
            </c:numRef>
          </c:xVal>
          <c:yVal>
            <c:numRef>
              <c:f>'M468 (R1)'!$L$34:$L$38</c:f>
              <c:numCache>
                <c:formatCode>0.00</c:formatCode>
                <c:ptCount val="5"/>
                <c:pt idx="0">
                  <c:v>26.555156051787002</c:v>
                </c:pt>
                <c:pt idx="1">
                  <c:v>24.053447345932398</c:v>
                </c:pt>
                <c:pt idx="2">
                  <c:v>21.592328644564247</c:v>
                </c:pt>
                <c:pt idx="3">
                  <c:v>19.233451119311098</c:v>
                </c:pt>
                <c:pt idx="4">
                  <c:v>17.018503786986798</c:v>
                </c:pt>
              </c:numCache>
            </c:numRef>
          </c:yVal>
          <c:smooth val="0"/>
          <c:extLst>
            <c:ext xmlns:c16="http://schemas.microsoft.com/office/drawing/2014/chart" uri="{C3380CC4-5D6E-409C-BE32-E72D297353CC}">
              <c16:uniqueId val="{00000001-7E5B-4621-B2DC-963191E17248}"/>
            </c:ext>
          </c:extLst>
        </c:ser>
        <c:dLbls>
          <c:showLegendKey val="0"/>
          <c:showVal val="0"/>
          <c:showCatName val="0"/>
          <c:showSerName val="0"/>
          <c:showPercent val="0"/>
          <c:showBubbleSize val="0"/>
        </c:dLbls>
        <c:axId val="1474388399"/>
        <c:axId val="1470631391"/>
      </c:scatterChart>
      <c:valAx>
        <c:axId val="1474388399"/>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1391"/>
        <c:crosses val="autoZero"/>
        <c:crossBetween val="midCat"/>
      </c:valAx>
      <c:valAx>
        <c:axId val="147063139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4388399"/>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534776902887128E-2"/>
          <c:y val="0.17171296296296298"/>
          <c:w val="0.89075699912510942"/>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41264836687080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(R1)'!$R$34:$R$38</c:f>
              <c:numCache>
                <c:formatCode>0.00</c:formatCode>
                <c:ptCount val="5"/>
                <c:pt idx="0">
                  <c:v>-1.494850021680094</c:v>
                </c:pt>
                <c:pt idx="1">
                  <c:v>-0.79588001734407521</c:v>
                </c:pt>
                <c:pt idx="2">
                  <c:v>-9.6910013008056392E-2</c:v>
                </c:pt>
                <c:pt idx="3">
                  <c:v>0.6020599913279624</c:v>
                </c:pt>
                <c:pt idx="4">
                  <c:v>1.3010299956639813</c:v>
                </c:pt>
              </c:numCache>
            </c:numRef>
          </c:xVal>
          <c:yVal>
            <c:numRef>
              <c:f>'M468 (R1)'!$S$34:$S$38</c:f>
              <c:numCache>
                <c:formatCode>0.00</c:formatCode>
                <c:ptCount val="5"/>
                <c:pt idx="0">
                  <c:v>29.9164548037784</c:v>
                </c:pt>
                <c:pt idx="1">
                  <c:v>27.8482365403089</c:v>
                </c:pt>
                <c:pt idx="2">
                  <c:v>26.589564300650302</c:v>
                </c:pt>
                <c:pt idx="3">
                  <c:v>24.665009294117048</c:v>
                </c:pt>
                <c:pt idx="4">
                  <c:v>22.37222075172275</c:v>
                </c:pt>
              </c:numCache>
            </c:numRef>
          </c:yVal>
          <c:smooth val="0"/>
          <c:extLst>
            <c:ext xmlns:c16="http://schemas.microsoft.com/office/drawing/2014/chart" uri="{C3380CC4-5D6E-409C-BE32-E72D297353CC}">
              <c16:uniqueId val="{00000001-7472-4363-B342-413A21D97EF3}"/>
            </c:ext>
          </c:extLst>
        </c:ser>
        <c:dLbls>
          <c:showLegendKey val="0"/>
          <c:showVal val="0"/>
          <c:showCatName val="0"/>
          <c:showSerName val="0"/>
          <c:showPercent val="0"/>
          <c:showBubbleSize val="0"/>
        </c:dLbls>
        <c:axId val="1921742255"/>
        <c:axId val="1470612671"/>
      </c:scatterChart>
      <c:valAx>
        <c:axId val="19217422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2671"/>
        <c:crosses val="autoZero"/>
        <c:crossBetween val="midCat"/>
      </c:valAx>
      <c:valAx>
        <c:axId val="147061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2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237267789442986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(R1)'!$Y$34:$Y$38</c:f>
              <c:numCache>
                <c:formatCode>0.00</c:formatCode>
                <c:ptCount val="5"/>
                <c:pt idx="0">
                  <c:v>-1.494850021680094</c:v>
                </c:pt>
                <c:pt idx="1">
                  <c:v>-0.79588001734407521</c:v>
                </c:pt>
                <c:pt idx="2">
                  <c:v>-9.6910013008056392E-2</c:v>
                </c:pt>
                <c:pt idx="3">
                  <c:v>0.6020599913279624</c:v>
                </c:pt>
                <c:pt idx="4">
                  <c:v>1.3010299956639813</c:v>
                </c:pt>
              </c:numCache>
            </c:numRef>
          </c:xVal>
          <c:yVal>
            <c:numRef>
              <c:f>'M468 (R1)'!$Z$34:$Z$38</c:f>
              <c:numCache>
                <c:formatCode>0.00</c:formatCode>
                <c:ptCount val="5"/>
                <c:pt idx="0">
                  <c:v>26.947003627636349</c:v>
                </c:pt>
                <c:pt idx="1">
                  <c:v>24.386304758562702</c:v>
                </c:pt>
                <c:pt idx="2">
                  <c:v>22.343225338579849</c:v>
                </c:pt>
                <c:pt idx="3">
                  <c:v>19.98074290094775</c:v>
                </c:pt>
                <c:pt idx="4">
                  <c:v>17.6860119325722</c:v>
                </c:pt>
              </c:numCache>
            </c:numRef>
          </c:yVal>
          <c:smooth val="0"/>
          <c:extLst>
            <c:ext xmlns:c16="http://schemas.microsoft.com/office/drawing/2014/chart" uri="{C3380CC4-5D6E-409C-BE32-E72D297353CC}">
              <c16:uniqueId val="{00000001-29B7-44CC-8066-436603D5506F}"/>
            </c:ext>
          </c:extLst>
        </c:ser>
        <c:dLbls>
          <c:showLegendKey val="0"/>
          <c:showVal val="0"/>
          <c:showCatName val="0"/>
          <c:showSerName val="0"/>
          <c:showPercent val="0"/>
          <c:showBubbleSize val="0"/>
        </c:dLbls>
        <c:axId val="1459446271"/>
        <c:axId val="1470616031"/>
      </c:scatterChart>
      <c:valAx>
        <c:axId val="14594462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6031"/>
        <c:crosses val="autoZero"/>
        <c:crossBetween val="midCat"/>
      </c:valAx>
      <c:valAx>
        <c:axId val="14706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4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040901137357827E-2"/>
                  <c:y val="-0.44065616797900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(R1)'!$AF$34:$AF$38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(R1)'!$AG$34:$AG$38</c:f>
              <c:numCache>
                <c:formatCode>0.00</c:formatCode>
                <c:ptCount val="5"/>
                <c:pt idx="0">
                  <c:v>27.27789369493965</c:v>
                </c:pt>
                <c:pt idx="1">
                  <c:v>25.018639474684051</c:v>
                </c:pt>
                <c:pt idx="2">
                  <c:v>22.9191573917699</c:v>
                </c:pt>
                <c:pt idx="3">
                  <c:v>20.545466753808348</c:v>
                </c:pt>
                <c:pt idx="4">
                  <c:v>18.367189193730699</c:v>
                </c:pt>
              </c:numCache>
            </c:numRef>
          </c:yVal>
          <c:smooth val="0"/>
          <c:extLst>
            <c:ext xmlns:c16="http://schemas.microsoft.com/office/drawing/2014/chart" uri="{C3380CC4-5D6E-409C-BE32-E72D297353CC}">
              <c16:uniqueId val="{00000001-5BB0-4F21-8FEF-D99F6A628053}"/>
            </c:ext>
          </c:extLst>
        </c:ser>
        <c:dLbls>
          <c:showLegendKey val="0"/>
          <c:showVal val="0"/>
          <c:showCatName val="0"/>
          <c:showSerName val="0"/>
          <c:showPercent val="0"/>
          <c:showBubbleSize val="0"/>
        </c:dLbls>
        <c:axId val="1465310063"/>
        <c:axId val="1470633311"/>
      </c:scatterChart>
      <c:valAx>
        <c:axId val="1465310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311"/>
        <c:crosses val="autoZero"/>
        <c:crossBetween val="midCat"/>
      </c:valAx>
      <c:valAx>
        <c:axId val="147063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10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93966535433070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(R1)'!$AM$34:$AM$38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(R1)'!$AN$34:$AN$38</c:f>
              <c:numCache>
                <c:formatCode>0.00</c:formatCode>
                <c:ptCount val="5"/>
                <c:pt idx="0">
                  <c:v>27.39946635601865</c:v>
                </c:pt>
                <c:pt idx="1">
                  <c:v>25.064974374217499</c:v>
                </c:pt>
                <c:pt idx="2">
                  <c:v>22.570979729379353</c:v>
                </c:pt>
                <c:pt idx="3">
                  <c:v>20.276434740645151</c:v>
                </c:pt>
                <c:pt idx="4">
                  <c:v>18.049649154897551</c:v>
                </c:pt>
              </c:numCache>
            </c:numRef>
          </c:yVal>
          <c:smooth val="0"/>
          <c:extLst>
            <c:ext xmlns:c16="http://schemas.microsoft.com/office/drawing/2014/chart" uri="{C3380CC4-5D6E-409C-BE32-E72D297353CC}">
              <c16:uniqueId val="{00000001-42CC-485E-B7B2-C8CDF66E96E0}"/>
            </c:ext>
          </c:extLst>
        </c:ser>
        <c:dLbls>
          <c:showLegendKey val="0"/>
          <c:showVal val="0"/>
          <c:showCatName val="0"/>
          <c:showSerName val="0"/>
          <c:showPercent val="0"/>
          <c:showBubbleSize val="0"/>
        </c:dLbls>
        <c:axId val="1913353583"/>
        <c:axId val="1470617951"/>
      </c:scatterChart>
      <c:valAx>
        <c:axId val="19133535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7951"/>
        <c:crosses val="autoZero"/>
        <c:crossBetween val="midCat"/>
      </c:valAx>
      <c:valAx>
        <c:axId val="1470617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5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2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6456692913391E-2"/>
                  <c:y val="-0.336487314085739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(R1)'!$D$62:$D$66</c:f>
              <c:numCache>
                <c:formatCode>0.00</c:formatCode>
                <c:ptCount val="5"/>
                <c:pt idx="0">
                  <c:v>-1.494850021680094</c:v>
                </c:pt>
                <c:pt idx="1">
                  <c:v>-0.79588001734407521</c:v>
                </c:pt>
                <c:pt idx="2">
                  <c:v>-9.6910013008056392E-2</c:v>
                </c:pt>
                <c:pt idx="3">
                  <c:v>0.6020599913279624</c:v>
                </c:pt>
                <c:pt idx="4">
                  <c:v>1.3010299956639813</c:v>
                </c:pt>
              </c:numCache>
            </c:numRef>
          </c:xVal>
          <c:yVal>
            <c:numRef>
              <c:f>'M468 (R1)'!$E$62:$E$66</c:f>
              <c:numCache>
                <c:formatCode>0.00</c:formatCode>
                <c:ptCount val="5"/>
                <c:pt idx="0">
                  <c:v>29.553930263558151</c:v>
                </c:pt>
                <c:pt idx="1">
                  <c:v>27.668948596473797</c:v>
                </c:pt>
                <c:pt idx="2">
                  <c:v>25.606091828036398</c:v>
                </c:pt>
                <c:pt idx="3">
                  <c:v>23.30235315452115</c:v>
                </c:pt>
                <c:pt idx="4">
                  <c:v>20.763854462926499</c:v>
                </c:pt>
              </c:numCache>
            </c:numRef>
          </c:yVal>
          <c:smooth val="0"/>
          <c:extLst>
            <c:ext xmlns:c16="http://schemas.microsoft.com/office/drawing/2014/chart" uri="{C3380CC4-5D6E-409C-BE32-E72D297353CC}">
              <c16:uniqueId val="{00000001-4980-4C75-84D3-267B8E4E7035}"/>
            </c:ext>
          </c:extLst>
        </c:ser>
        <c:dLbls>
          <c:showLegendKey val="0"/>
          <c:showVal val="0"/>
          <c:showCatName val="0"/>
          <c:showSerName val="0"/>
          <c:showPercent val="0"/>
          <c:showBubbleSize val="0"/>
        </c:dLbls>
        <c:axId val="1921752463"/>
        <c:axId val="1923563215"/>
      </c:scatterChart>
      <c:valAx>
        <c:axId val="1921752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63215"/>
        <c:crosses val="autoZero"/>
        <c:crossBetween val="midCat"/>
      </c:valAx>
      <c:valAx>
        <c:axId val="192356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5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manualLayout>
          <c:layoutTarget val="inner"/>
          <c:xMode val="edge"/>
          <c:yMode val="edge"/>
          <c:x val="5.6534776902887128E-2"/>
          <c:y val="0.17171296296296298"/>
          <c:w val="0.89075699912510942"/>
          <c:h val="0.72088764946048411"/>
        </c:manualLayout>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41264836687080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(R1)'!$R$34:$R$38</c:f>
              <c:numCache>
                <c:formatCode>0.00</c:formatCode>
                <c:ptCount val="5"/>
                <c:pt idx="0">
                  <c:v>-1.494850021680094</c:v>
                </c:pt>
                <c:pt idx="1">
                  <c:v>-0.79588001734407521</c:v>
                </c:pt>
                <c:pt idx="2">
                  <c:v>-9.6910013008056392E-2</c:v>
                </c:pt>
                <c:pt idx="3">
                  <c:v>0.6020599913279624</c:v>
                </c:pt>
                <c:pt idx="4">
                  <c:v>1.3010299956639813</c:v>
                </c:pt>
              </c:numCache>
            </c:numRef>
          </c:xVal>
          <c:yVal>
            <c:numRef>
              <c:f>'M468 (R1)'!$S$34:$S$38</c:f>
              <c:numCache>
                <c:formatCode>0.00</c:formatCode>
                <c:ptCount val="5"/>
                <c:pt idx="0">
                  <c:v>29.9164548037784</c:v>
                </c:pt>
                <c:pt idx="1">
                  <c:v>27.8482365403089</c:v>
                </c:pt>
                <c:pt idx="2">
                  <c:v>26.589564300650302</c:v>
                </c:pt>
                <c:pt idx="3">
                  <c:v>24.665009294117048</c:v>
                </c:pt>
                <c:pt idx="4">
                  <c:v>22.37222075172275</c:v>
                </c:pt>
              </c:numCache>
            </c:numRef>
          </c:yVal>
          <c:smooth val="0"/>
          <c:extLst>
            <c:ext xmlns:c16="http://schemas.microsoft.com/office/drawing/2014/chart" uri="{C3380CC4-5D6E-409C-BE32-E72D297353CC}">
              <c16:uniqueId val="{00000000-4EA1-48D9-8E95-B7B1FF7D4302}"/>
            </c:ext>
          </c:extLst>
        </c:ser>
        <c:dLbls>
          <c:showLegendKey val="0"/>
          <c:showVal val="0"/>
          <c:showCatName val="0"/>
          <c:showSerName val="0"/>
          <c:showPercent val="0"/>
          <c:showBubbleSize val="0"/>
        </c:dLbls>
        <c:axId val="1921742255"/>
        <c:axId val="1470612671"/>
      </c:scatterChart>
      <c:valAx>
        <c:axId val="19217422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2671"/>
        <c:crosses val="autoZero"/>
        <c:crossBetween val="midCat"/>
      </c:valAx>
      <c:valAx>
        <c:axId val="14706126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422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4847805482648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(R1)'!$K$62:$K$66</c:f>
              <c:numCache>
                <c:formatCode>0.00</c:formatCode>
                <c:ptCount val="5"/>
                <c:pt idx="0">
                  <c:v>-1.494850021680094</c:v>
                </c:pt>
                <c:pt idx="1">
                  <c:v>-0.79588001734407521</c:v>
                </c:pt>
                <c:pt idx="2">
                  <c:v>-9.6910013008056392E-2</c:v>
                </c:pt>
                <c:pt idx="3">
                  <c:v>0.6020599913279624</c:v>
                </c:pt>
                <c:pt idx="4">
                  <c:v>1.3010299956639813</c:v>
                </c:pt>
              </c:numCache>
            </c:numRef>
          </c:xVal>
          <c:yVal>
            <c:numRef>
              <c:f>'M468 (R1)'!$L$62:$L$66</c:f>
              <c:numCache>
                <c:formatCode>0.00</c:formatCode>
                <c:ptCount val="5"/>
                <c:pt idx="0">
                  <c:v>31.498895276837899</c:v>
                </c:pt>
                <c:pt idx="1">
                  <c:v>29.268902743098749</c:v>
                </c:pt>
                <c:pt idx="2">
                  <c:v>27.194057889297149</c:v>
                </c:pt>
                <c:pt idx="3">
                  <c:v>24.819419702238548</c:v>
                </c:pt>
                <c:pt idx="4">
                  <c:v>22.367882551155851</c:v>
                </c:pt>
              </c:numCache>
            </c:numRef>
          </c:yVal>
          <c:smooth val="0"/>
          <c:extLst>
            <c:ext xmlns:c16="http://schemas.microsoft.com/office/drawing/2014/chart" uri="{C3380CC4-5D6E-409C-BE32-E72D297353CC}">
              <c16:uniqueId val="{00000001-89AE-46DB-AA6D-BF1CB751F20E}"/>
            </c:ext>
          </c:extLst>
        </c:ser>
        <c:dLbls>
          <c:showLegendKey val="0"/>
          <c:showVal val="0"/>
          <c:showCatName val="0"/>
          <c:showSerName val="0"/>
          <c:showPercent val="0"/>
          <c:showBubbleSize val="0"/>
        </c:dLbls>
        <c:axId val="1635334655"/>
        <c:axId val="1470627071"/>
      </c:scatterChart>
      <c:valAx>
        <c:axId val="1635334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27071"/>
        <c:crosses val="autoZero"/>
        <c:crossBetween val="midCat"/>
      </c:valAx>
      <c:valAx>
        <c:axId val="147062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34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359911781860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(R1)'!$R$62:$R$66</c:f>
              <c:numCache>
                <c:formatCode>0.00</c:formatCode>
                <c:ptCount val="5"/>
                <c:pt idx="0">
                  <c:v>-1.494850021680094</c:v>
                </c:pt>
                <c:pt idx="1">
                  <c:v>-0.79588001734407521</c:v>
                </c:pt>
                <c:pt idx="2">
                  <c:v>-9.6910013008056392E-2</c:v>
                </c:pt>
                <c:pt idx="3">
                  <c:v>0.6020599913279624</c:v>
                </c:pt>
                <c:pt idx="4">
                  <c:v>1.3010299956639813</c:v>
                </c:pt>
              </c:numCache>
            </c:numRef>
          </c:xVal>
          <c:yVal>
            <c:numRef>
              <c:f>'M468 (R1)'!$S$62:$S$66</c:f>
              <c:numCache>
                <c:formatCode>0.00</c:formatCode>
                <c:ptCount val="5"/>
                <c:pt idx="0">
                  <c:v>28.735817189265553</c:v>
                </c:pt>
                <c:pt idx="1">
                  <c:v>26.412854220175952</c:v>
                </c:pt>
                <c:pt idx="2">
                  <c:v>24.3068656492486</c:v>
                </c:pt>
                <c:pt idx="3">
                  <c:v>21.821430615969799</c:v>
                </c:pt>
                <c:pt idx="4">
                  <c:v>19.4996538748326</c:v>
                </c:pt>
              </c:numCache>
            </c:numRef>
          </c:yVal>
          <c:smooth val="0"/>
          <c:extLst>
            <c:ext xmlns:c16="http://schemas.microsoft.com/office/drawing/2014/chart" uri="{C3380CC4-5D6E-409C-BE32-E72D297353CC}">
              <c16:uniqueId val="{00000001-0D57-43D6-8C6B-91E98926741D}"/>
            </c:ext>
          </c:extLst>
        </c:ser>
        <c:dLbls>
          <c:showLegendKey val="0"/>
          <c:showVal val="0"/>
          <c:showCatName val="0"/>
          <c:showSerName val="0"/>
          <c:showPercent val="0"/>
          <c:showBubbleSize val="0"/>
        </c:dLbls>
        <c:axId val="1633649823"/>
        <c:axId val="1923549295"/>
      </c:scatterChart>
      <c:valAx>
        <c:axId val="1633649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49295"/>
        <c:crosses val="autoZero"/>
        <c:crossBetween val="midCat"/>
      </c:valAx>
      <c:valAx>
        <c:axId val="1923549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8119750656167978"/>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(R1)'!$Y$62:$Y$66</c:f>
              <c:numCache>
                <c:formatCode>0.00</c:formatCode>
                <c:ptCount val="5"/>
                <c:pt idx="0">
                  <c:v>-1.494850021680094</c:v>
                </c:pt>
                <c:pt idx="1">
                  <c:v>-0.79588001734407521</c:v>
                </c:pt>
                <c:pt idx="2">
                  <c:v>-9.6910013008056392E-2</c:v>
                </c:pt>
                <c:pt idx="3">
                  <c:v>0.6020599913279624</c:v>
                </c:pt>
                <c:pt idx="4">
                  <c:v>1.3010299956639813</c:v>
                </c:pt>
              </c:numCache>
            </c:numRef>
          </c:xVal>
          <c:yVal>
            <c:numRef>
              <c:f>'M468 (R1)'!$Z$62:$Z$66</c:f>
              <c:numCache>
                <c:formatCode>0.00</c:formatCode>
                <c:ptCount val="5"/>
                <c:pt idx="0">
                  <c:v>26.936417750194249</c:v>
                </c:pt>
                <c:pt idx="1">
                  <c:v>24.693834395919851</c:v>
                </c:pt>
                <c:pt idx="2">
                  <c:v>22.34008230320865</c:v>
                </c:pt>
                <c:pt idx="3">
                  <c:v>19.953025257523599</c:v>
                </c:pt>
                <c:pt idx="4">
                  <c:v>17.515736500373901</c:v>
                </c:pt>
              </c:numCache>
            </c:numRef>
          </c:yVal>
          <c:smooth val="0"/>
          <c:extLst>
            <c:ext xmlns:c16="http://schemas.microsoft.com/office/drawing/2014/chart" uri="{C3380CC4-5D6E-409C-BE32-E72D297353CC}">
              <c16:uniqueId val="{00000001-6A10-4229-BE99-814BC01FAE71}"/>
            </c:ext>
          </c:extLst>
        </c:ser>
        <c:dLbls>
          <c:showLegendKey val="0"/>
          <c:showVal val="0"/>
          <c:showCatName val="0"/>
          <c:showSerName val="0"/>
          <c:showPercent val="0"/>
          <c:showBubbleSize val="0"/>
        </c:dLbls>
        <c:axId val="1644857871"/>
        <c:axId val="1469950831"/>
      </c:scatterChart>
      <c:valAx>
        <c:axId val="16448578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0831"/>
        <c:crosses val="autoZero"/>
        <c:crossBetween val="midCat"/>
      </c:valAx>
      <c:valAx>
        <c:axId val="14699508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578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9929790026246719E-2"/>
                  <c:y val="-0.322046879556722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(R1)'!$AF$62:$AF$66</c:f>
              <c:numCache>
                <c:formatCode>0.00</c:formatCode>
                <c:ptCount val="5"/>
                <c:pt idx="0">
                  <c:v>-1.494850021680094</c:v>
                </c:pt>
                <c:pt idx="1">
                  <c:v>-0.79588001734407521</c:v>
                </c:pt>
                <c:pt idx="2">
                  <c:v>-9.6910013008056392E-2</c:v>
                </c:pt>
                <c:pt idx="3">
                  <c:v>0.6020599913279624</c:v>
                </c:pt>
                <c:pt idx="4">
                  <c:v>1.3010299956639813</c:v>
                </c:pt>
              </c:numCache>
            </c:numRef>
          </c:xVal>
          <c:yVal>
            <c:numRef>
              <c:f>'M468 (R1)'!$AG$62:$AG$66</c:f>
              <c:numCache>
                <c:formatCode>0.00</c:formatCode>
                <c:ptCount val="5"/>
                <c:pt idx="0">
                  <c:v>31.971645222554997</c:v>
                </c:pt>
                <c:pt idx="1">
                  <c:v>29.428380786654351</c:v>
                </c:pt>
                <c:pt idx="2">
                  <c:v>27.215625299104552</c:v>
                </c:pt>
                <c:pt idx="3">
                  <c:v>24.935397974527298</c:v>
                </c:pt>
                <c:pt idx="4">
                  <c:v>22.789825578003899</c:v>
                </c:pt>
              </c:numCache>
            </c:numRef>
          </c:yVal>
          <c:smooth val="0"/>
          <c:extLst>
            <c:ext xmlns:c16="http://schemas.microsoft.com/office/drawing/2014/chart" uri="{C3380CC4-5D6E-409C-BE32-E72D297353CC}">
              <c16:uniqueId val="{00000001-6D61-414E-AD17-BEA2032D4850}"/>
            </c:ext>
          </c:extLst>
        </c:ser>
        <c:dLbls>
          <c:showLegendKey val="0"/>
          <c:showVal val="0"/>
          <c:showCatName val="0"/>
          <c:showSerName val="0"/>
          <c:showPercent val="0"/>
          <c:showBubbleSize val="0"/>
        </c:dLbls>
        <c:axId val="1644860655"/>
        <c:axId val="1469955631"/>
      </c:scatterChart>
      <c:valAx>
        <c:axId val="1644860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9955631"/>
        <c:crosses val="autoZero"/>
        <c:crossBetween val="midCat"/>
      </c:valAx>
      <c:valAx>
        <c:axId val="14699556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44860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3405969141824212E-2"/>
                  <c:y val="-0.3143442319167845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(R2)'!$D$34:$D$38</c:f>
              <c:numCache>
                <c:formatCode>0.00</c:formatCode>
                <c:ptCount val="5"/>
                <c:pt idx="0">
                  <c:v>-1.494850021680094</c:v>
                </c:pt>
                <c:pt idx="1">
                  <c:v>-0.79588001734407521</c:v>
                </c:pt>
                <c:pt idx="2">
                  <c:v>-9.6910013008056392E-2</c:v>
                </c:pt>
                <c:pt idx="3">
                  <c:v>0.6020599913279624</c:v>
                </c:pt>
                <c:pt idx="4">
                  <c:v>1.3010299956639813</c:v>
                </c:pt>
              </c:numCache>
            </c:numRef>
          </c:xVal>
          <c:yVal>
            <c:numRef>
              <c:f>'M468 (R2)'!$E$34:$E$38</c:f>
              <c:numCache>
                <c:formatCode>0.00</c:formatCode>
                <c:ptCount val="5"/>
                <c:pt idx="0">
                  <c:v>32.6808122158468</c:v>
                </c:pt>
                <c:pt idx="1">
                  <c:v>30.304008469535098</c:v>
                </c:pt>
                <c:pt idx="2">
                  <c:v>28.146142610926198</c:v>
                </c:pt>
                <c:pt idx="3">
                  <c:v>25.737112690939249</c:v>
                </c:pt>
                <c:pt idx="4">
                  <c:v>23.437925298322099</c:v>
                </c:pt>
              </c:numCache>
            </c:numRef>
          </c:yVal>
          <c:smooth val="0"/>
          <c:extLst>
            <c:ext xmlns:c16="http://schemas.microsoft.com/office/drawing/2014/chart" uri="{C3380CC4-5D6E-409C-BE32-E72D297353CC}">
              <c16:uniqueId val="{00000000-75D4-4C2D-ACB7-4CB09C8B73E4}"/>
            </c:ext>
          </c:extLst>
        </c:ser>
        <c:dLbls>
          <c:showLegendKey val="0"/>
          <c:showVal val="0"/>
          <c:showCatName val="0"/>
          <c:showSerName val="0"/>
          <c:showPercent val="0"/>
          <c:showBubbleSize val="0"/>
        </c:dLbls>
        <c:axId val="1334560480"/>
        <c:axId val="1511875264"/>
      </c:scatterChart>
      <c:valAx>
        <c:axId val="133456048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75264"/>
        <c:crosses val="autoZero"/>
        <c:crossBetween val="midCat"/>
      </c:valAx>
      <c:valAx>
        <c:axId val="15118752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6048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3405969141824212E-2"/>
                  <c:y val="-0.338706602887123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(R2)'!$K$34:$K$38</c:f>
              <c:numCache>
                <c:formatCode>0.00</c:formatCode>
                <c:ptCount val="5"/>
                <c:pt idx="0">
                  <c:v>-1.494850021680094</c:v>
                </c:pt>
                <c:pt idx="1">
                  <c:v>-0.79588001734407521</c:v>
                </c:pt>
                <c:pt idx="2">
                  <c:v>-9.6910013008056392E-2</c:v>
                </c:pt>
                <c:pt idx="3">
                  <c:v>0.6020599913279624</c:v>
                </c:pt>
                <c:pt idx="4">
                  <c:v>1.3010299956639813</c:v>
                </c:pt>
              </c:numCache>
            </c:numRef>
          </c:xVal>
          <c:yVal>
            <c:numRef>
              <c:f>'M468 (R2)'!$L$34:$L$38</c:f>
              <c:numCache>
                <c:formatCode>0.00</c:formatCode>
                <c:ptCount val="5"/>
                <c:pt idx="0">
                  <c:v>35.980982972116905</c:v>
                </c:pt>
                <c:pt idx="1">
                  <c:v>34.675000867331704</c:v>
                </c:pt>
                <c:pt idx="2">
                  <c:v>31.891509413486446</c:v>
                </c:pt>
                <c:pt idx="3">
                  <c:v>27.619119534978701</c:v>
                </c:pt>
                <c:pt idx="4">
                  <c:v>24.902007082866248</c:v>
                </c:pt>
              </c:numCache>
            </c:numRef>
          </c:yVal>
          <c:smooth val="0"/>
          <c:extLst>
            <c:ext xmlns:c16="http://schemas.microsoft.com/office/drawing/2014/chart" uri="{C3380CC4-5D6E-409C-BE32-E72D297353CC}">
              <c16:uniqueId val="{00000000-7BD8-4316-8D2D-38574CDAC560}"/>
            </c:ext>
          </c:extLst>
        </c:ser>
        <c:dLbls>
          <c:showLegendKey val="0"/>
          <c:showVal val="0"/>
          <c:showCatName val="0"/>
          <c:showSerName val="0"/>
          <c:showPercent val="0"/>
          <c:showBubbleSize val="0"/>
        </c:dLbls>
        <c:axId val="1334568640"/>
        <c:axId val="1502089312"/>
      </c:scatterChart>
      <c:valAx>
        <c:axId val="133456864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089312"/>
        <c:crosses val="autoZero"/>
        <c:crossBetween val="midCat"/>
      </c:valAx>
      <c:valAx>
        <c:axId val="150208931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6864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380210460069284E-2"/>
                  <c:y val="-0.6414209682123067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(R2)'!$R$34:$R$38</c:f>
              <c:numCache>
                <c:formatCode>0.00</c:formatCode>
                <c:ptCount val="5"/>
                <c:pt idx="0">
                  <c:v>-1.494850021680094</c:v>
                </c:pt>
                <c:pt idx="1">
                  <c:v>-0.79588001734407521</c:v>
                </c:pt>
                <c:pt idx="2">
                  <c:v>-9.6910013008056392E-2</c:v>
                </c:pt>
                <c:pt idx="3">
                  <c:v>0.6020599913279624</c:v>
                </c:pt>
                <c:pt idx="4">
                  <c:v>1.3010299956639813</c:v>
                </c:pt>
              </c:numCache>
            </c:numRef>
          </c:xVal>
          <c:yVal>
            <c:numRef>
              <c:f>'M468 (R2)'!$S$34:$S$38</c:f>
              <c:numCache>
                <c:formatCode>0.00</c:formatCode>
                <c:ptCount val="5"/>
                <c:pt idx="0">
                  <c:v>30.968938241449301</c:v>
                </c:pt>
                <c:pt idx="1">
                  <c:v>30.657097132670252</c:v>
                </c:pt>
                <c:pt idx="2">
                  <c:v>30.5179372587871</c:v>
                </c:pt>
                <c:pt idx="3">
                  <c:v>28.756776091246699</c:v>
                </c:pt>
                <c:pt idx="4">
                  <c:v>26.5454441198371</c:v>
                </c:pt>
              </c:numCache>
            </c:numRef>
          </c:yVal>
          <c:smooth val="0"/>
          <c:extLst>
            <c:ext xmlns:c16="http://schemas.microsoft.com/office/drawing/2014/chart" uri="{C3380CC4-5D6E-409C-BE32-E72D297353CC}">
              <c16:uniqueId val="{00000000-BD7E-47FA-99F3-0B63841328E2}"/>
            </c:ext>
          </c:extLst>
        </c:ser>
        <c:dLbls>
          <c:showLegendKey val="0"/>
          <c:showVal val="0"/>
          <c:showCatName val="0"/>
          <c:showSerName val="0"/>
          <c:showPercent val="0"/>
          <c:showBubbleSize val="0"/>
        </c:dLbls>
        <c:axId val="1212829152"/>
        <c:axId val="1502111136"/>
      </c:scatterChart>
      <c:valAx>
        <c:axId val="121282915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11136"/>
        <c:crosses val="autoZero"/>
        <c:crossBetween val="midCat"/>
      </c:valAx>
      <c:valAx>
        <c:axId val="150211113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2915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380210460069284E-2"/>
                  <c:y val="-0.368415354330708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(R2)'!$Y$34:$Y$38</c:f>
              <c:numCache>
                <c:formatCode>0.00</c:formatCode>
                <c:ptCount val="5"/>
                <c:pt idx="0">
                  <c:v>-1.494850021680094</c:v>
                </c:pt>
                <c:pt idx="1">
                  <c:v>-0.79588001734407521</c:v>
                </c:pt>
                <c:pt idx="2">
                  <c:v>-9.6910013008056392E-2</c:v>
                </c:pt>
                <c:pt idx="3">
                  <c:v>0.6020599913279624</c:v>
                </c:pt>
                <c:pt idx="4">
                  <c:v>1.3010299956639813</c:v>
                </c:pt>
              </c:numCache>
            </c:numRef>
          </c:xVal>
          <c:yVal>
            <c:numRef>
              <c:f>'M468 (R2)'!$Z$34:$Z$38</c:f>
              <c:numCache>
                <c:formatCode>0.00</c:formatCode>
                <c:ptCount val="5"/>
                <c:pt idx="0">
                  <c:v>29.9177673730569</c:v>
                </c:pt>
                <c:pt idx="1">
                  <c:v>27.502647498088049</c:v>
                </c:pt>
                <c:pt idx="2">
                  <c:v>25.447653694332999</c:v>
                </c:pt>
                <c:pt idx="3">
                  <c:v>23.255620523414947</c:v>
                </c:pt>
                <c:pt idx="4">
                  <c:v>20.728556947040151</c:v>
                </c:pt>
              </c:numCache>
            </c:numRef>
          </c:yVal>
          <c:smooth val="0"/>
          <c:extLst>
            <c:ext xmlns:c16="http://schemas.microsoft.com/office/drawing/2014/chart" uri="{C3380CC4-5D6E-409C-BE32-E72D297353CC}">
              <c16:uniqueId val="{00000000-720A-4EE4-909D-40800F984FF6}"/>
            </c:ext>
          </c:extLst>
        </c:ser>
        <c:dLbls>
          <c:showLegendKey val="0"/>
          <c:showVal val="0"/>
          <c:showCatName val="0"/>
          <c:showSerName val="0"/>
          <c:showPercent val="0"/>
          <c:showBubbleSize val="0"/>
        </c:dLbls>
        <c:axId val="1212829632"/>
        <c:axId val="1502114608"/>
      </c:scatterChart>
      <c:valAx>
        <c:axId val="121282963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14608"/>
        <c:crosses val="autoZero"/>
        <c:crossBetween val="midCat"/>
      </c:valAx>
      <c:valAx>
        <c:axId val="150211460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2963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140100264406133E-2"/>
                  <c:y val="-0.38674358413531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(R2)'!$AF$34:$AF$38</c:f>
              <c:numCache>
                <c:formatCode>0.00</c:formatCode>
                <c:ptCount val="5"/>
                <c:pt idx="0">
                  <c:v>-1.494850021680094</c:v>
                </c:pt>
                <c:pt idx="1">
                  <c:v>-0.79588001734407521</c:v>
                </c:pt>
                <c:pt idx="2">
                  <c:v>-9.6910013008056392E-2</c:v>
                </c:pt>
                <c:pt idx="3">
                  <c:v>0.6020599913279624</c:v>
                </c:pt>
                <c:pt idx="4">
                  <c:v>1.3010299956639813</c:v>
                </c:pt>
              </c:numCache>
            </c:numRef>
          </c:xVal>
          <c:yVal>
            <c:numRef>
              <c:f>'M468 (R2)'!$AG$34:$AG$38</c:f>
              <c:numCache>
                <c:formatCode>0.00</c:formatCode>
                <c:ptCount val="5"/>
                <c:pt idx="0">
                  <c:v>28.797900372471901</c:v>
                </c:pt>
                <c:pt idx="1">
                  <c:v>26.663410931774798</c:v>
                </c:pt>
                <c:pt idx="2">
                  <c:v>24.369783917141149</c:v>
                </c:pt>
                <c:pt idx="3">
                  <c:v>21.996604497226798</c:v>
                </c:pt>
                <c:pt idx="4">
                  <c:v>19.696183793442202</c:v>
                </c:pt>
              </c:numCache>
            </c:numRef>
          </c:yVal>
          <c:smooth val="0"/>
          <c:extLst>
            <c:ext xmlns:c16="http://schemas.microsoft.com/office/drawing/2014/chart" uri="{C3380CC4-5D6E-409C-BE32-E72D297353CC}">
              <c16:uniqueId val="{00000000-FAFA-4B60-94B0-DEC300F6B083}"/>
            </c:ext>
          </c:extLst>
        </c:ser>
        <c:dLbls>
          <c:showLegendKey val="0"/>
          <c:showVal val="0"/>
          <c:showCatName val="0"/>
          <c:showSerName val="0"/>
          <c:showPercent val="0"/>
          <c:showBubbleSize val="0"/>
        </c:dLbls>
        <c:axId val="1334588320"/>
        <c:axId val="1511896096"/>
      </c:scatterChart>
      <c:valAx>
        <c:axId val="13345883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96096"/>
        <c:crosses val="autoZero"/>
        <c:crossBetween val="midCat"/>
      </c:valAx>
      <c:valAx>
        <c:axId val="1511896096"/>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883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3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444552835917162E-2"/>
                  <c:y val="-0.3480604183986152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(R2)'!$AM$34:$AM$38</c:f>
              <c:numCache>
                <c:formatCode>0.00</c:formatCode>
                <c:ptCount val="5"/>
                <c:pt idx="0">
                  <c:v>-1.494850021680094</c:v>
                </c:pt>
                <c:pt idx="1">
                  <c:v>-0.79588001734407521</c:v>
                </c:pt>
                <c:pt idx="2">
                  <c:v>-9.6910013008056392E-2</c:v>
                </c:pt>
                <c:pt idx="3">
                  <c:v>0.6020599913279624</c:v>
                </c:pt>
                <c:pt idx="4">
                  <c:v>1.3010299956639813</c:v>
                </c:pt>
              </c:numCache>
            </c:numRef>
          </c:xVal>
          <c:yVal>
            <c:numRef>
              <c:f>'M468 (R2)'!$AN$34:$AN$38</c:f>
              <c:numCache>
                <c:formatCode>0.00</c:formatCode>
                <c:ptCount val="5"/>
                <c:pt idx="0">
                  <c:v>31.906749610576547</c:v>
                </c:pt>
                <c:pt idx="1">
                  <c:v>29.241632884420753</c:v>
                </c:pt>
                <c:pt idx="2">
                  <c:v>27.168792567193748</c:v>
                </c:pt>
                <c:pt idx="3">
                  <c:v>24.744560356505701</c:v>
                </c:pt>
                <c:pt idx="4">
                  <c:v>22.219651474665149</c:v>
                </c:pt>
              </c:numCache>
            </c:numRef>
          </c:yVal>
          <c:smooth val="0"/>
          <c:extLst>
            <c:ext xmlns:c16="http://schemas.microsoft.com/office/drawing/2014/chart" uri="{C3380CC4-5D6E-409C-BE32-E72D297353CC}">
              <c16:uniqueId val="{00000000-674C-40B5-B874-96A80B17A918}"/>
            </c:ext>
          </c:extLst>
        </c:ser>
        <c:dLbls>
          <c:showLegendKey val="0"/>
          <c:showVal val="0"/>
          <c:showCatName val="0"/>
          <c:showSerName val="0"/>
          <c:showPercent val="0"/>
          <c:showBubbleSize val="0"/>
        </c:dLbls>
        <c:axId val="1334561920"/>
        <c:axId val="1511892624"/>
      </c:scatterChart>
      <c:valAx>
        <c:axId val="133456192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92624"/>
        <c:crosses val="autoZero"/>
        <c:crossBetween val="midCat"/>
      </c:valAx>
      <c:valAx>
        <c:axId val="1511892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6192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237267789442986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(R1)'!$Y$34:$Y$38</c:f>
              <c:numCache>
                <c:formatCode>0.00</c:formatCode>
                <c:ptCount val="5"/>
                <c:pt idx="0">
                  <c:v>-1.494850021680094</c:v>
                </c:pt>
                <c:pt idx="1">
                  <c:v>-0.79588001734407521</c:v>
                </c:pt>
                <c:pt idx="2">
                  <c:v>-9.6910013008056392E-2</c:v>
                </c:pt>
                <c:pt idx="3">
                  <c:v>0.6020599913279624</c:v>
                </c:pt>
                <c:pt idx="4">
                  <c:v>1.3010299956639813</c:v>
                </c:pt>
              </c:numCache>
            </c:numRef>
          </c:xVal>
          <c:yVal>
            <c:numRef>
              <c:f>'M468 (R1)'!$Z$34:$Z$38</c:f>
              <c:numCache>
                <c:formatCode>0.00</c:formatCode>
                <c:ptCount val="5"/>
                <c:pt idx="0">
                  <c:v>26.947003627636349</c:v>
                </c:pt>
                <c:pt idx="1">
                  <c:v>24.386304758562702</c:v>
                </c:pt>
                <c:pt idx="2">
                  <c:v>22.343225338579849</c:v>
                </c:pt>
                <c:pt idx="3">
                  <c:v>19.98074290094775</c:v>
                </c:pt>
                <c:pt idx="4">
                  <c:v>17.6860119325722</c:v>
                </c:pt>
              </c:numCache>
            </c:numRef>
          </c:yVal>
          <c:smooth val="0"/>
          <c:extLst>
            <c:ext xmlns:c16="http://schemas.microsoft.com/office/drawing/2014/chart" uri="{C3380CC4-5D6E-409C-BE32-E72D297353CC}">
              <c16:uniqueId val="{00000000-F03C-4361-9068-1372CD4D8FD9}"/>
            </c:ext>
          </c:extLst>
        </c:ser>
        <c:dLbls>
          <c:showLegendKey val="0"/>
          <c:showVal val="0"/>
          <c:showCatName val="0"/>
          <c:showSerName val="0"/>
          <c:showPercent val="0"/>
          <c:showBubbleSize val="0"/>
        </c:dLbls>
        <c:axId val="1459446271"/>
        <c:axId val="1470616031"/>
      </c:scatterChart>
      <c:valAx>
        <c:axId val="1459446271"/>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6031"/>
        <c:crosses val="autoZero"/>
        <c:crossBetween val="midCat"/>
      </c:valAx>
      <c:valAx>
        <c:axId val="147061603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59446271"/>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480527553227222E-2"/>
                  <c:y val="-0.2605511160759409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(R2)'!$D$62:$D$66</c:f>
              <c:numCache>
                <c:formatCode>0.00</c:formatCode>
                <c:ptCount val="5"/>
                <c:pt idx="0">
                  <c:v>-1.494850021680094</c:v>
                </c:pt>
                <c:pt idx="1">
                  <c:v>-0.79588001734407521</c:v>
                </c:pt>
                <c:pt idx="2">
                  <c:v>-9.6910013008056392E-2</c:v>
                </c:pt>
                <c:pt idx="3">
                  <c:v>0.6020599913279624</c:v>
                </c:pt>
                <c:pt idx="4">
                  <c:v>1.3010299956639813</c:v>
                </c:pt>
              </c:numCache>
            </c:numRef>
          </c:xVal>
          <c:yVal>
            <c:numRef>
              <c:f>'M468 (R2)'!$E$62:$E$66</c:f>
              <c:numCache>
                <c:formatCode>0.00</c:formatCode>
                <c:ptCount val="5"/>
                <c:pt idx="0">
                  <c:v>30.628644802647401</c:v>
                </c:pt>
                <c:pt idx="1">
                  <c:v>30.232141974612802</c:v>
                </c:pt>
                <c:pt idx="2">
                  <c:v>29.2675088084547</c:v>
                </c:pt>
                <c:pt idx="3">
                  <c:v>27.686809265068248</c:v>
                </c:pt>
                <c:pt idx="4">
                  <c:v>25.090275720964598</c:v>
                </c:pt>
              </c:numCache>
            </c:numRef>
          </c:yVal>
          <c:smooth val="0"/>
          <c:extLst>
            <c:ext xmlns:c16="http://schemas.microsoft.com/office/drawing/2014/chart" uri="{C3380CC4-5D6E-409C-BE32-E72D297353CC}">
              <c16:uniqueId val="{00000000-D88D-44F8-8587-8C0E3A46B0BB}"/>
            </c:ext>
          </c:extLst>
        </c:ser>
        <c:dLbls>
          <c:showLegendKey val="0"/>
          <c:showVal val="0"/>
          <c:showCatName val="0"/>
          <c:showSerName val="0"/>
          <c:showPercent val="0"/>
          <c:showBubbleSize val="0"/>
        </c:dLbls>
        <c:axId val="1212827712"/>
        <c:axId val="1502110144"/>
      </c:scatterChart>
      <c:valAx>
        <c:axId val="1212827712"/>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10144"/>
        <c:crosses val="autoZero"/>
        <c:crossBetween val="midCat"/>
      </c:valAx>
      <c:valAx>
        <c:axId val="150211014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2827712"/>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995233036472827E-2"/>
                  <c:y val="-0.317627658135068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(R2)'!$K$62:$K$66</c:f>
              <c:numCache>
                <c:formatCode>0.00</c:formatCode>
                <c:ptCount val="5"/>
                <c:pt idx="0">
                  <c:v>-1.494850021680094</c:v>
                </c:pt>
                <c:pt idx="1">
                  <c:v>-0.79588001734407521</c:v>
                </c:pt>
                <c:pt idx="2">
                  <c:v>-9.6910013008056392E-2</c:v>
                </c:pt>
                <c:pt idx="3">
                  <c:v>0.6020599913279624</c:v>
                </c:pt>
                <c:pt idx="4">
                  <c:v>1.3010299956639813</c:v>
                </c:pt>
              </c:numCache>
            </c:numRef>
          </c:xVal>
          <c:yVal>
            <c:numRef>
              <c:f>'M468 (R2)'!$L$62:$L$66</c:f>
              <c:numCache>
                <c:formatCode>0.00</c:formatCode>
                <c:ptCount val="5"/>
                <c:pt idx="0">
                  <c:v>33.014561969269096</c:v>
                </c:pt>
                <c:pt idx="1">
                  <c:v>32.248171518306002</c:v>
                </c:pt>
                <c:pt idx="2">
                  <c:v>30.375758260759198</c:v>
                </c:pt>
                <c:pt idx="3">
                  <c:v>28.132143346928849</c:v>
                </c:pt>
                <c:pt idx="4">
                  <c:v>26.045103505011802</c:v>
                </c:pt>
              </c:numCache>
            </c:numRef>
          </c:yVal>
          <c:smooth val="0"/>
          <c:extLst>
            <c:ext xmlns:c16="http://schemas.microsoft.com/office/drawing/2014/chart" uri="{C3380CC4-5D6E-409C-BE32-E72D297353CC}">
              <c16:uniqueId val="{00000000-A7E5-42A4-91F4-B2E4DFD787F3}"/>
            </c:ext>
          </c:extLst>
        </c:ser>
        <c:dLbls>
          <c:showLegendKey val="0"/>
          <c:showVal val="0"/>
          <c:showCatName val="0"/>
          <c:showSerName val="0"/>
          <c:showPercent val="0"/>
          <c:showBubbleSize val="0"/>
        </c:dLbls>
        <c:axId val="1210947744"/>
        <c:axId val="1373351904"/>
      </c:scatterChart>
      <c:valAx>
        <c:axId val="121094774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73351904"/>
        <c:crosses val="autoZero"/>
        <c:crossBetween val="midCat"/>
      </c:valAx>
      <c:valAx>
        <c:axId val="137335190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4774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237880294850031E-2"/>
                  <c:y val="-0.3459219160104987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(R2)'!$R$62:$R$66</c:f>
              <c:numCache>
                <c:formatCode>0.00</c:formatCode>
                <c:ptCount val="5"/>
                <c:pt idx="0">
                  <c:v>-1.494850021680094</c:v>
                </c:pt>
                <c:pt idx="1">
                  <c:v>-0.79588001734407521</c:v>
                </c:pt>
                <c:pt idx="2">
                  <c:v>-9.6910013008056392E-2</c:v>
                </c:pt>
                <c:pt idx="3">
                  <c:v>0.6020599913279624</c:v>
                </c:pt>
                <c:pt idx="4">
                  <c:v>1.3010299956639813</c:v>
                </c:pt>
              </c:numCache>
            </c:numRef>
          </c:xVal>
          <c:yVal>
            <c:numRef>
              <c:f>'M468 (R2)'!$S$62:$S$66</c:f>
              <c:numCache>
                <c:formatCode>0.00</c:formatCode>
                <c:ptCount val="5"/>
                <c:pt idx="0">
                  <c:v>31.028634890992748</c:v>
                </c:pt>
                <c:pt idx="1">
                  <c:v>28.677710410007499</c:v>
                </c:pt>
                <c:pt idx="2">
                  <c:v>26.8735111399814</c:v>
                </c:pt>
                <c:pt idx="3">
                  <c:v>24.465103486640302</c:v>
                </c:pt>
                <c:pt idx="4">
                  <c:v>22.011993134832402</c:v>
                </c:pt>
              </c:numCache>
            </c:numRef>
          </c:yVal>
          <c:smooth val="0"/>
          <c:extLst>
            <c:ext xmlns:c16="http://schemas.microsoft.com/office/drawing/2014/chart" uri="{C3380CC4-5D6E-409C-BE32-E72D297353CC}">
              <c16:uniqueId val="{00000000-5770-41D7-A41F-79C66C77D683}"/>
            </c:ext>
          </c:extLst>
        </c:ser>
        <c:dLbls>
          <c:showLegendKey val="0"/>
          <c:showVal val="0"/>
          <c:showCatName val="0"/>
          <c:showSerName val="0"/>
          <c:showPercent val="0"/>
          <c:showBubbleSize val="0"/>
        </c:dLbls>
        <c:axId val="1334562400"/>
        <c:axId val="1502119568"/>
      </c:scatterChart>
      <c:valAx>
        <c:axId val="1334562400"/>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19568"/>
        <c:crosses val="autoZero"/>
        <c:crossBetween val="midCat"/>
      </c:valAx>
      <c:valAx>
        <c:axId val="150211956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334562400"/>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237880294850031E-2"/>
                  <c:y val="-0.356089967920676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(R2)'!$Y$62:$Y$66</c:f>
              <c:numCache>
                <c:formatCode>0.00</c:formatCode>
                <c:ptCount val="5"/>
                <c:pt idx="0">
                  <c:v>-1.494850021680094</c:v>
                </c:pt>
                <c:pt idx="1">
                  <c:v>-0.79588001734407521</c:v>
                </c:pt>
                <c:pt idx="2">
                  <c:v>-9.6910013008056392E-2</c:v>
                </c:pt>
                <c:pt idx="3">
                  <c:v>0.6020599913279624</c:v>
                </c:pt>
                <c:pt idx="4">
                  <c:v>1.3010299956639813</c:v>
                </c:pt>
              </c:numCache>
            </c:numRef>
          </c:xVal>
          <c:yVal>
            <c:numRef>
              <c:f>'M468 (R2)'!$Z$62:$Z$66</c:f>
              <c:numCache>
                <c:formatCode>0.00</c:formatCode>
                <c:ptCount val="5"/>
                <c:pt idx="0">
                  <c:v>30.436257135925551</c:v>
                </c:pt>
                <c:pt idx="1">
                  <c:v>28.274136014150002</c:v>
                </c:pt>
                <c:pt idx="2">
                  <c:v>26.017650719730749</c:v>
                </c:pt>
                <c:pt idx="3">
                  <c:v>23.685149933413499</c:v>
                </c:pt>
                <c:pt idx="4">
                  <c:v>21.047771424949097</c:v>
                </c:pt>
              </c:numCache>
            </c:numRef>
          </c:yVal>
          <c:smooth val="0"/>
          <c:extLst>
            <c:ext xmlns:c16="http://schemas.microsoft.com/office/drawing/2014/chart" uri="{C3380CC4-5D6E-409C-BE32-E72D297353CC}">
              <c16:uniqueId val="{00000000-E0D4-494F-9C16-4C2EF3915E93}"/>
            </c:ext>
          </c:extLst>
        </c:ser>
        <c:dLbls>
          <c:showLegendKey val="0"/>
          <c:showVal val="0"/>
          <c:showCatName val="0"/>
          <c:showSerName val="0"/>
          <c:showPercent val="0"/>
          <c:showBubbleSize val="0"/>
        </c:dLbls>
        <c:axId val="1210941504"/>
        <c:axId val="1511896592"/>
      </c:scatterChart>
      <c:valAx>
        <c:axId val="1210941504"/>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11896592"/>
        <c:crosses val="autoZero"/>
        <c:crossBetween val="midCat"/>
      </c:valAx>
      <c:valAx>
        <c:axId val="15118965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210941504"/>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379978503288182E-2"/>
                  <c:y val="-0.673403878177429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(R2)'!$AF$62:$AF$66</c:f>
              <c:numCache>
                <c:formatCode>0.00</c:formatCode>
                <c:ptCount val="5"/>
                <c:pt idx="0">
                  <c:v>-1.494850021680094</c:v>
                </c:pt>
                <c:pt idx="1">
                  <c:v>-0.79588001734407521</c:v>
                </c:pt>
                <c:pt idx="2">
                  <c:v>-9.6910013008056392E-2</c:v>
                </c:pt>
                <c:pt idx="3">
                  <c:v>0.6020599913279624</c:v>
                </c:pt>
                <c:pt idx="4">
                  <c:v>1.3010299956639813</c:v>
                </c:pt>
              </c:numCache>
            </c:numRef>
          </c:xVal>
          <c:yVal>
            <c:numRef>
              <c:f>'M468 (R2)'!$AG$62:$AG$66</c:f>
              <c:numCache>
                <c:formatCode>0.00</c:formatCode>
                <c:ptCount val="5"/>
                <c:pt idx="0">
                  <c:v>33.525357059222998</c:v>
                </c:pt>
                <c:pt idx="1">
                  <c:v>33.60575823725155</c:v>
                </c:pt>
                <c:pt idx="2">
                  <c:v>33.040403095228598</c:v>
                </c:pt>
                <c:pt idx="3">
                  <c:v>32.274445158888</c:v>
                </c:pt>
                <c:pt idx="4">
                  <c:v>31.241304439548749</c:v>
                </c:pt>
              </c:numCache>
            </c:numRef>
          </c:yVal>
          <c:smooth val="0"/>
          <c:extLst>
            <c:ext xmlns:c16="http://schemas.microsoft.com/office/drawing/2014/chart" uri="{C3380CC4-5D6E-409C-BE32-E72D297353CC}">
              <c16:uniqueId val="{00000000-7C17-4108-B1E7-FBFE4BF0F52A}"/>
            </c:ext>
          </c:extLst>
        </c:ser>
        <c:dLbls>
          <c:showLegendKey val="0"/>
          <c:showVal val="0"/>
          <c:showCatName val="0"/>
          <c:showSerName val="0"/>
          <c:showPercent val="0"/>
          <c:showBubbleSize val="0"/>
        </c:dLbls>
        <c:axId val="1804362816"/>
        <c:axId val="1804319872"/>
      </c:scatterChart>
      <c:valAx>
        <c:axId val="180436281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19872"/>
        <c:crosses val="autoZero"/>
        <c:crossBetween val="midCat"/>
      </c:valAx>
      <c:valAx>
        <c:axId val="18043198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6281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OAZ1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272959248634341E-2"/>
                  <c:y val="-0.4069463203220594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(R3)'!$D$34:$D$38</c:f>
              <c:numCache>
                <c:formatCode>0.00</c:formatCode>
                <c:ptCount val="5"/>
                <c:pt idx="0">
                  <c:v>-1.494850021680094</c:v>
                </c:pt>
                <c:pt idx="1">
                  <c:v>-0.79588001734407521</c:v>
                </c:pt>
                <c:pt idx="2">
                  <c:v>-9.6910013008056392E-2</c:v>
                </c:pt>
                <c:pt idx="3">
                  <c:v>0.6020599913279624</c:v>
                </c:pt>
                <c:pt idx="4">
                  <c:v>1.3010299956639813</c:v>
                </c:pt>
              </c:numCache>
            </c:numRef>
          </c:xVal>
          <c:yVal>
            <c:numRef>
              <c:f>'M468 (R3)'!$E$34:$E$38</c:f>
              <c:numCache>
                <c:formatCode>0.00</c:formatCode>
                <c:ptCount val="5"/>
                <c:pt idx="0">
                  <c:v>28.724096929567303</c:v>
                </c:pt>
                <c:pt idx="1">
                  <c:v>26.437321127642349</c:v>
                </c:pt>
                <c:pt idx="2">
                  <c:v>23.97650026913615</c:v>
                </c:pt>
                <c:pt idx="3">
                  <c:v>21.532871220074998</c:v>
                </c:pt>
                <c:pt idx="4">
                  <c:v>19.52341698395395</c:v>
                </c:pt>
              </c:numCache>
            </c:numRef>
          </c:yVal>
          <c:smooth val="0"/>
          <c:extLst>
            <c:ext xmlns:c16="http://schemas.microsoft.com/office/drawing/2014/chart" uri="{C3380CC4-5D6E-409C-BE32-E72D297353CC}">
              <c16:uniqueId val="{00000000-70D1-433C-A7F0-8602AE153262}"/>
            </c:ext>
          </c:extLst>
        </c:ser>
        <c:dLbls>
          <c:showLegendKey val="0"/>
          <c:showVal val="0"/>
          <c:showCatName val="0"/>
          <c:showSerName val="0"/>
          <c:showPercent val="0"/>
          <c:showBubbleSize val="0"/>
        </c:dLbls>
        <c:axId val="1804373856"/>
        <c:axId val="1804313920"/>
      </c:scatterChart>
      <c:valAx>
        <c:axId val="1804373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13920"/>
        <c:crosses val="autoZero"/>
        <c:crossBetween val="midCat"/>
      </c:valAx>
      <c:valAx>
        <c:axId val="18043139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7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ACTB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272959248634341E-2"/>
                  <c:y val="-0.4469171370701323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(R3)'!$K$34:$K$38</c:f>
              <c:numCache>
                <c:formatCode>0.00</c:formatCode>
                <c:ptCount val="5"/>
                <c:pt idx="0">
                  <c:v>-1.494850021680094</c:v>
                </c:pt>
                <c:pt idx="1">
                  <c:v>-0.79588001734407521</c:v>
                </c:pt>
                <c:pt idx="2">
                  <c:v>-9.6910013008056392E-2</c:v>
                </c:pt>
                <c:pt idx="3">
                  <c:v>0.6020599913279624</c:v>
                </c:pt>
                <c:pt idx="4">
                  <c:v>1.3010299956639813</c:v>
                </c:pt>
              </c:numCache>
            </c:numRef>
          </c:xVal>
          <c:yVal>
            <c:numRef>
              <c:f>'M468 (R3)'!$L$34:$L$38</c:f>
              <c:numCache>
                <c:formatCode>0.00</c:formatCode>
                <c:ptCount val="5"/>
                <c:pt idx="0">
                  <c:v>32.78619148348465</c:v>
                </c:pt>
                <c:pt idx="1">
                  <c:v>28.009237760066551</c:v>
                </c:pt>
                <c:pt idx="2">
                  <c:v>23.582852058700901</c:v>
                </c:pt>
                <c:pt idx="3">
                  <c:v>19.8196285076347</c:v>
                </c:pt>
                <c:pt idx="4">
                  <c:v>17.340097862032351</c:v>
                </c:pt>
              </c:numCache>
            </c:numRef>
          </c:yVal>
          <c:smooth val="0"/>
          <c:extLst>
            <c:ext xmlns:c16="http://schemas.microsoft.com/office/drawing/2014/chart" uri="{C3380CC4-5D6E-409C-BE32-E72D297353CC}">
              <c16:uniqueId val="{00000000-55D4-4F20-A5C6-1F3925D28C0F}"/>
            </c:ext>
          </c:extLst>
        </c:ser>
        <c:dLbls>
          <c:showLegendKey val="0"/>
          <c:showVal val="0"/>
          <c:showCatName val="0"/>
          <c:showSerName val="0"/>
          <c:showPercent val="0"/>
          <c:showBubbleSize val="0"/>
        </c:dLbls>
        <c:axId val="1804369056"/>
        <c:axId val="1804307472"/>
      </c:scatterChart>
      <c:valAx>
        <c:axId val="18043690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07472"/>
        <c:crosses val="autoZero"/>
        <c:crossBetween val="midCat"/>
      </c:valAx>
      <c:valAx>
        <c:axId val="180430747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690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TBP</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0848842631009115E-2"/>
                  <c:y val="-0.6922867454068241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(R3)'!$R$34:$R$38</c:f>
              <c:numCache>
                <c:formatCode>0.00</c:formatCode>
                <c:ptCount val="5"/>
                <c:pt idx="0">
                  <c:v>-1.494850021680094</c:v>
                </c:pt>
                <c:pt idx="1">
                  <c:v>-0.79588001734407521</c:v>
                </c:pt>
                <c:pt idx="2">
                  <c:v>-9.6910013008056392E-2</c:v>
                </c:pt>
                <c:pt idx="3">
                  <c:v>0.6020599913279624</c:v>
                </c:pt>
                <c:pt idx="4">
                  <c:v>1.3010299956639813</c:v>
                </c:pt>
              </c:numCache>
            </c:numRef>
          </c:xVal>
          <c:yVal>
            <c:numRef>
              <c:f>'M468 (R3)'!$S$34:$S$38</c:f>
              <c:numCache>
                <c:formatCode>0.00</c:formatCode>
                <c:ptCount val="5"/>
                <c:pt idx="0">
                  <c:v>24.61850431842085</c:v>
                </c:pt>
                <c:pt idx="1">
                  <c:v>23.073372206533598</c:v>
                </c:pt>
                <c:pt idx="2">
                  <c:v>23.0864857962417</c:v>
                </c:pt>
                <c:pt idx="3">
                  <c:v>23.775709556539951</c:v>
                </c:pt>
                <c:pt idx="4">
                  <c:v>23.126506907523201</c:v>
                </c:pt>
              </c:numCache>
            </c:numRef>
          </c:yVal>
          <c:smooth val="0"/>
          <c:extLst>
            <c:ext xmlns:c16="http://schemas.microsoft.com/office/drawing/2014/chart" uri="{C3380CC4-5D6E-409C-BE32-E72D297353CC}">
              <c16:uniqueId val="{00000000-CA50-4CA6-B034-2407D3B561D5}"/>
            </c:ext>
          </c:extLst>
        </c:ser>
        <c:dLbls>
          <c:showLegendKey val="0"/>
          <c:showVal val="0"/>
          <c:showCatName val="0"/>
          <c:showSerName val="0"/>
          <c:showPercent val="0"/>
          <c:showBubbleSize val="0"/>
        </c:dLbls>
        <c:axId val="1804383936"/>
        <c:axId val="1804317392"/>
      </c:scatterChart>
      <c:valAx>
        <c:axId val="1804383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17392"/>
        <c:crosses val="autoZero"/>
        <c:crossBetween val="midCat"/>
      </c:valAx>
      <c:valAx>
        <c:axId val="1804317392"/>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83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RPL27</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7.3636784322196489E-2"/>
                  <c:y val="-0.4025113006707494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(R3)'!$Y$34:$Y$38</c:f>
              <c:numCache>
                <c:formatCode>0.00</c:formatCode>
                <c:ptCount val="5"/>
                <c:pt idx="0">
                  <c:v>-1.494850021680094</c:v>
                </c:pt>
                <c:pt idx="1">
                  <c:v>-0.79588001734407521</c:v>
                </c:pt>
                <c:pt idx="2">
                  <c:v>-9.6910013008056392E-2</c:v>
                </c:pt>
                <c:pt idx="3">
                  <c:v>0.6020599913279624</c:v>
                </c:pt>
                <c:pt idx="4">
                  <c:v>1.3010299956639813</c:v>
                </c:pt>
              </c:numCache>
            </c:numRef>
          </c:xVal>
          <c:yVal>
            <c:numRef>
              <c:f>'M468 (R3)'!$Z$34:$Z$38</c:f>
              <c:numCache>
                <c:formatCode>0.00</c:formatCode>
                <c:ptCount val="5"/>
                <c:pt idx="0">
                  <c:v>26.128854243737699</c:v>
                </c:pt>
                <c:pt idx="1">
                  <c:v>23.5519647455132</c:v>
                </c:pt>
                <c:pt idx="2">
                  <c:v>21.174774796192601</c:v>
                </c:pt>
                <c:pt idx="3">
                  <c:v>18.933012919384602</c:v>
                </c:pt>
                <c:pt idx="4">
                  <c:v>16.7646839644724</c:v>
                </c:pt>
              </c:numCache>
            </c:numRef>
          </c:yVal>
          <c:smooth val="0"/>
          <c:extLst>
            <c:ext xmlns:c16="http://schemas.microsoft.com/office/drawing/2014/chart" uri="{C3380CC4-5D6E-409C-BE32-E72D297353CC}">
              <c16:uniqueId val="{00000000-90AF-4C61-B5C2-72C02CCD06AF}"/>
            </c:ext>
          </c:extLst>
        </c:ser>
        <c:dLbls>
          <c:showLegendKey val="0"/>
          <c:showVal val="0"/>
          <c:showCatName val="0"/>
          <c:showSerName val="0"/>
          <c:showPercent val="0"/>
          <c:showBubbleSize val="0"/>
        </c:dLbls>
        <c:axId val="1804380576"/>
        <c:axId val="1804305984"/>
      </c:scatterChart>
      <c:valAx>
        <c:axId val="180438057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05984"/>
        <c:crosses val="autoZero"/>
        <c:crossBetween val="midCat"/>
      </c:valAx>
      <c:valAx>
        <c:axId val="180430598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8057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4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969707586625958E-2"/>
                  <c:y val="-0.3668642461358996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(R3)'!$AF$34:$AF$38</c:f>
              <c:numCache>
                <c:formatCode>0.00</c:formatCode>
                <c:ptCount val="5"/>
                <c:pt idx="0">
                  <c:v>-1.494850021680094</c:v>
                </c:pt>
                <c:pt idx="1">
                  <c:v>-0.79588001734407521</c:v>
                </c:pt>
                <c:pt idx="2">
                  <c:v>-9.6910013008056392E-2</c:v>
                </c:pt>
                <c:pt idx="3">
                  <c:v>0.6020599913279624</c:v>
                </c:pt>
                <c:pt idx="4">
                  <c:v>1.3010299956639813</c:v>
                </c:pt>
              </c:numCache>
            </c:numRef>
          </c:xVal>
          <c:yVal>
            <c:numRef>
              <c:f>'M468 (R3)'!$AG$34:$AG$38</c:f>
              <c:numCache>
                <c:formatCode>0.00</c:formatCode>
                <c:ptCount val="5"/>
                <c:pt idx="0">
                  <c:v>27.066061946732447</c:v>
                </c:pt>
                <c:pt idx="1">
                  <c:v>24.59634123790385</c:v>
                </c:pt>
                <c:pt idx="2">
                  <c:v>22.463918459217048</c:v>
                </c:pt>
                <c:pt idx="3">
                  <c:v>20.11308776950295</c:v>
                </c:pt>
                <c:pt idx="4">
                  <c:v>18.011997041192998</c:v>
                </c:pt>
              </c:numCache>
            </c:numRef>
          </c:yVal>
          <c:smooth val="0"/>
          <c:extLst>
            <c:ext xmlns:c16="http://schemas.microsoft.com/office/drawing/2014/chart" uri="{C3380CC4-5D6E-409C-BE32-E72D297353CC}">
              <c16:uniqueId val="{00000000-8C21-4AF1-914A-9D454BB6260B}"/>
            </c:ext>
          </c:extLst>
        </c:ser>
        <c:dLbls>
          <c:showLegendKey val="0"/>
          <c:showVal val="0"/>
          <c:showCatName val="0"/>
          <c:showSerName val="0"/>
          <c:showPercent val="0"/>
          <c:showBubbleSize val="0"/>
        </c:dLbls>
        <c:axId val="1804373856"/>
        <c:axId val="1804296560"/>
      </c:scatterChart>
      <c:valAx>
        <c:axId val="18043738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96560"/>
        <c:crosses val="autoZero"/>
        <c:crossBetween val="midCat"/>
      </c:valAx>
      <c:valAx>
        <c:axId val="180429656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738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RPL30</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040901137357827E-2"/>
                  <c:y val="-0.44065616797900264"/>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(R1)'!$AF$34:$AF$38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(R1)'!$AG$34:$AG$38</c:f>
              <c:numCache>
                <c:formatCode>0.00</c:formatCode>
                <c:ptCount val="5"/>
                <c:pt idx="0">
                  <c:v>27.27789369493965</c:v>
                </c:pt>
                <c:pt idx="1">
                  <c:v>25.018639474684051</c:v>
                </c:pt>
                <c:pt idx="2">
                  <c:v>22.9191573917699</c:v>
                </c:pt>
                <c:pt idx="3">
                  <c:v>20.545466753808348</c:v>
                </c:pt>
                <c:pt idx="4">
                  <c:v>18.367189193730699</c:v>
                </c:pt>
              </c:numCache>
            </c:numRef>
          </c:yVal>
          <c:smooth val="0"/>
          <c:extLst>
            <c:ext xmlns:c16="http://schemas.microsoft.com/office/drawing/2014/chart" uri="{C3380CC4-5D6E-409C-BE32-E72D297353CC}">
              <c16:uniqueId val="{00000000-16A3-4612-90EE-DFD6E62AFAFB}"/>
            </c:ext>
          </c:extLst>
        </c:ser>
        <c:dLbls>
          <c:showLegendKey val="0"/>
          <c:showVal val="0"/>
          <c:showCatName val="0"/>
          <c:showSerName val="0"/>
          <c:showPercent val="0"/>
          <c:showBubbleSize val="0"/>
        </c:dLbls>
        <c:axId val="1465310063"/>
        <c:axId val="1470633311"/>
      </c:scatterChart>
      <c:valAx>
        <c:axId val="14653100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33311"/>
        <c:crosses val="autoZero"/>
        <c:crossBetween val="midCat"/>
      </c:valAx>
      <c:valAx>
        <c:axId val="147063331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653100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0.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15046455450448E-2"/>
                  <c:y val="-0.3906737267597648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(R3)'!$AM$34:$AM$38</c:f>
              <c:numCache>
                <c:formatCode>0.00</c:formatCode>
                <c:ptCount val="5"/>
                <c:pt idx="0">
                  <c:v>-1.494850021680094</c:v>
                </c:pt>
                <c:pt idx="1">
                  <c:v>-0.79588001734407521</c:v>
                </c:pt>
                <c:pt idx="2">
                  <c:v>-9.6910013008056392E-2</c:v>
                </c:pt>
                <c:pt idx="3">
                  <c:v>0.6020599913279624</c:v>
                </c:pt>
                <c:pt idx="4">
                  <c:v>1.3010299956639813</c:v>
                </c:pt>
              </c:numCache>
            </c:numRef>
          </c:xVal>
          <c:yVal>
            <c:numRef>
              <c:f>'M468 (R3)'!$AN$34:$AN$38</c:f>
              <c:numCache>
                <c:formatCode>0.00</c:formatCode>
                <c:ptCount val="5"/>
                <c:pt idx="0">
                  <c:v>27.045521592080199</c:v>
                </c:pt>
                <c:pt idx="1">
                  <c:v>24.478827821913953</c:v>
                </c:pt>
                <c:pt idx="2">
                  <c:v>21.774270716017551</c:v>
                </c:pt>
                <c:pt idx="3">
                  <c:v>19.377866740461648</c:v>
                </c:pt>
                <c:pt idx="4">
                  <c:v>17.062986936260252</c:v>
                </c:pt>
              </c:numCache>
            </c:numRef>
          </c:yVal>
          <c:smooth val="0"/>
          <c:extLst>
            <c:ext xmlns:c16="http://schemas.microsoft.com/office/drawing/2014/chart" uri="{C3380CC4-5D6E-409C-BE32-E72D297353CC}">
              <c16:uniqueId val="{00000000-EA29-44B5-B594-79CB00F010C9}"/>
            </c:ext>
          </c:extLst>
        </c:ser>
        <c:dLbls>
          <c:showLegendKey val="0"/>
          <c:showVal val="0"/>
          <c:showCatName val="0"/>
          <c:showSerName val="0"/>
          <c:showPercent val="0"/>
          <c:showBubbleSize val="0"/>
        </c:dLbls>
        <c:axId val="1804370496"/>
        <c:axId val="1804294080"/>
      </c:scatterChart>
      <c:valAx>
        <c:axId val="18043704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94080"/>
        <c:crosses val="autoZero"/>
        <c:crossBetween val="midCat"/>
      </c:valAx>
      <c:valAx>
        <c:axId val="18042940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704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448950680328136E-2"/>
                  <c:y val="-0.34834458859902301"/>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(R3)'!$D$62:$D$66</c:f>
              <c:numCache>
                <c:formatCode>0.00</c:formatCode>
                <c:ptCount val="5"/>
                <c:pt idx="0">
                  <c:v>-1.494850021680094</c:v>
                </c:pt>
                <c:pt idx="1">
                  <c:v>-0.79588001734407521</c:v>
                </c:pt>
                <c:pt idx="2">
                  <c:v>-9.6910013008056392E-2</c:v>
                </c:pt>
                <c:pt idx="3">
                  <c:v>0.6020599913279624</c:v>
                </c:pt>
                <c:pt idx="4">
                  <c:v>1.3010299956639813</c:v>
                </c:pt>
              </c:numCache>
            </c:numRef>
          </c:xVal>
          <c:yVal>
            <c:numRef>
              <c:f>'M468 (R3)'!$E$62:$E$66</c:f>
              <c:numCache>
                <c:formatCode>0.00</c:formatCode>
                <c:ptCount val="5"/>
                <c:pt idx="0">
                  <c:v>29.595208255040248</c:v>
                </c:pt>
                <c:pt idx="1">
                  <c:v>28.1650282927897</c:v>
                </c:pt>
                <c:pt idx="2">
                  <c:v>26.52076482619065</c:v>
                </c:pt>
                <c:pt idx="3">
                  <c:v>24.4399617293052</c:v>
                </c:pt>
                <c:pt idx="4">
                  <c:v>22.203491990907199</c:v>
                </c:pt>
              </c:numCache>
            </c:numRef>
          </c:yVal>
          <c:smooth val="0"/>
          <c:extLst>
            <c:ext xmlns:c16="http://schemas.microsoft.com/office/drawing/2014/chart" uri="{C3380CC4-5D6E-409C-BE32-E72D297353CC}">
              <c16:uniqueId val="{00000000-9AC6-4928-8A97-72E84F7C064F}"/>
            </c:ext>
          </c:extLst>
        </c:ser>
        <c:dLbls>
          <c:showLegendKey val="0"/>
          <c:showVal val="0"/>
          <c:showCatName val="0"/>
          <c:showSerName val="0"/>
          <c:showPercent val="0"/>
          <c:showBubbleSize val="0"/>
        </c:dLbls>
        <c:axId val="1804371936"/>
        <c:axId val="1502100720"/>
      </c:scatterChart>
      <c:valAx>
        <c:axId val="18043719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00720"/>
        <c:crosses val="autoZero"/>
        <c:crossBetween val="midCat"/>
      </c:valAx>
      <c:valAx>
        <c:axId val="150210072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719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448950680328136E-2"/>
                  <c:y val="-0.30778384907869105"/>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(R3)'!$K$62:$K$66</c:f>
              <c:numCache>
                <c:formatCode>0.00</c:formatCode>
                <c:ptCount val="5"/>
                <c:pt idx="0">
                  <c:v>-1.494850021680094</c:v>
                </c:pt>
                <c:pt idx="1">
                  <c:v>-0.79588001734407521</c:v>
                </c:pt>
                <c:pt idx="2">
                  <c:v>-9.6910013008056392E-2</c:v>
                </c:pt>
                <c:pt idx="3">
                  <c:v>0.6020599913279624</c:v>
                </c:pt>
                <c:pt idx="4">
                  <c:v>1.3010299956639813</c:v>
                </c:pt>
              </c:numCache>
            </c:numRef>
          </c:xVal>
          <c:yVal>
            <c:numRef>
              <c:f>'M468 (R3)'!$L$62:$L$66</c:f>
              <c:numCache>
                <c:formatCode>0.00</c:formatCode>
                <c:ptCount val="5"/>
                <c:pt idx="0">
                  <c:v>30.550144706628501</c:v>
                </c:pt>
                <c:pt idx="1">
                  <c:v>28.052281480249398</c:v>
                </c:pt>
                <c:pt idx="2">
                  <c:v>27.074641670509251</c:v>
                </c:pt>
                <c:pt idx="3">
                  <c:v>25.292452105684351</c:v>
                </c:pt>
                <c:pt idx="4">
                  <c:v>23.146360048224651</c:v>
                </c:pt>
              </c:numCache>
            </c:numRef>
          </c:yVal>
          <c:smooth val="0"/>
          <c:extLst>
            <c:ext xmlns:c16="http://schemas.microsoft.com/office/drawing/2014/chart" uri="{C3380CC4-5D6E-409C-BE32-E72D297353CC}">
              <c16:uniqueId val="{00000000-834D-4A31-995C-B1D40A4DF834}"/>
            </c:ext>
          </c:extLst>
        </c:ser>
        <c:dLbls>
          <c:showLegendKey val="0"/>
          <c:showVal val="0"/>
          <c:showCatName val="0"/>
          <c:showSerName val="0"/>
          <c:showPercent val="0"/>
          <c:showBubbleSize val="0"/>
        </c:dLbls>
        <c:axId val="1804369536"/>
        <c:axId val="1804288624"/>
      </c:scatterChart>
      <c:valAx>
        <c:axId val="18043695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288624"/>
        <c:crosses val="autoZero"/>
        <c:crossBetween val="midCat"/>
      </c:valAx>
      <c:valAx>
        <c:axId val="180428862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695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5.587015012244808E-2"/>
                  <c:y val="-0.3364876786235053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(R3)'!$R$62:$R$66</c:f>
              <c:numCache>
                <c:formatCode>0.00</c:formatCode>
                <c:ptCount val="5"/>
                <c:pt idx="0">
                  <c:v>-1.494850021680094</c:v>
                </c:pt>
                <c:pt idx="1">
                  <c:v>-0.79588001734407521</c:v>
                </c:pt>
                <c:pt idx="2">
                  <c:v>-9.6910013008056392E-2</c:v>
                </c:pt>
                <c:pt idx="3">
                  <c:v>0.6020599913279624</c:v>
                </c:pt>
                <c:pt idx="4">
                  <c:v>1.3010299956639813</c:v>
                </c:pt>
              </c:numCache>
            </c:numRef>
          </c:xVal>
          <c:yVal>
            <c:numRef>
              <c:f>'M468 (R3)'!$S$62:$S$66</c:f>
              <c:numCache>
                <c:formatCode>0.00</c:formatCode>
                <c:ptCount val="5"/>
                <c:pt idx="0">
                  <c:v>27.061548346036147</c:v>
                </c:pt>
                <c:pt idx="1">
                  <c:v>25.508554256181199</c:v>
                </c:pt>
                <c:pt idx="2">
                  <c:v>23.470903462207048</c:v>
                </c:pt>
                <c:pt idx="3">
                  <c:v>21.2329016049747</c:v>
                </c:pt>
                <c:pt idx="4">
                  <c:v>19.03516969163455</c:v>
                </c:pt>
              </c:numCache>
            </c:numRef>
          </c:yVal>
          <c:smooth val="0"/>
          <c:extLst>
            <c:ext xmlns:c16="http://schemas.microsoft.com/office/drawing/2014/chart" uri="{C3380CC4-5D6E-409C-BE32-E72D297353CC}">
              <c16:uniqueId val="{00000000-45C0-4AE4-AE12-D42490CD8E25}"/>
            </c:ext>
          </c:extLst>
        </c:ser>
        <c:dLbls>
          <c:showLegendKey val="0"/>
          <c:showVal val="0"/>
          <c:showCatName val="0"/>
          <c:showSerName val="0"/>
          <c:showPercent val="0"/>
          <c:showBubbleSize val="0"/>
        </c:dLbls>
        <c:axId val="1804367136"/>
        <c:axId val="1502120064"/>
      </c:scatterChart>
      <c:valAx>
        <c:axId val="180436713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20064"/>
        <c:crosses val="autoZero"/>
        <c:crossBetween val="midCat"/>
      </c:valAx>
      <c:valAx>
        <c:axId val="1502120064"/>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6713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PGK1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0221614557594526E-2"/>
                  <c:y val="-0.36895742198891807"/>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(R3)'!$Y$62:$Y$66</c:f>
              <c:numCache>
                <c:formatCode>0.00</c:formatCode>
                <c:ptCount val="5"/>
                <c:pt idx="0">
                  <c:v>-1.494850021680094</c:v>
                </c:pt>
                <c:pt idx="1">
                  <c:v>-0.79588001734407521</c:v>
                </c:pt>
                <c:pt idx="2">
                  <c:v>-9.6910013008056392E-2</c:v>
                </c:pt>
                <c:pt idx="3">
                  <c:v>0.6020599913279624</c:v>
                </c:pt>
                <c:pt idx="4">
                  <c:v>1.3010299956639813</c:v>
                </c:pt>
              </c:numCache>
            </c:numRef>
          </c:xVal>
          <c:yVal>
            <c:numRef>
              <c:f>'M468 (R3)'!$Z$62:$Z$66</c:f>
              <c:numCache>
                <c:formatCode>0.00</c:formatCode>
                <c:ptCount val="5"/>
                <c:pt idx="0">
                  <c:v>27.284618050441601</c:v>
                </c:pt>
                <c:pt idx="1">
                  <c:v>24.830457301471149</c:v>
                </c:pt>
                <c:pt idx="2">
                  <c:v>22.2680144973822</c:v>
                </c:pt>
                <c:pt idx="3">
                  <c:v>20.01152425234455</c:v>
                </c:pt>
                <c:pt idx="4">
                  <c:v>17.751573329889251</c:v>
                </c:pt>
              </c:numCache>
            </c:numRef>
          </c:yVal>
          <c:smooth val="0"/>
          <c:extLst>
            <c:ext xmlns:c16="http://schemas.microsoft.com/office/drawing/2014/chart" uri="{C3380CC4-5D6E-409C-BE32-E72D297353CC}">
              <c16:uniqueId val="{00000000-6F55-4E4D-BB85-D6ECF7D69D0A}"/>
            </c:ext>
          </c:extLst>
        </c:ser>
        <c:dLbls>
          <c:showLegendKey val="0"/>
          <c:showVal val="0"/>
          <c:showCatName val="0"/>
          <c:showSerName val="0"/>
          <c:showPercent val="0"/>
          <c:showBubbleSize val="0"/>
        </c:dLbls>
        <c:axId val="1804377696"/>
        <c:axId val="1804318880"/>
      </c:scatterChart>
      <c:valAx>
        <c:axId val="180437769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18880"/>
        <c:crosses val="autoZero"/>
        <c:crossBetween val="midCat"/>
      </c:valAx>
      <c:valAx>
        <c:axId val="1804318880"/>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7769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5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EPAS1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4238350959268165E-2"/>
                  <c:y val="-0.69089924735017882"/>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(R3)'!$AF$62:$AF$66</c:f>
              <c:numCache>
                <c:formatCode>0.00</c:formatCode>
                <c:ptCount val="5"/>
                <c:pt idx="0">
                  <c:v>-1.494850021680094</c:v>
                </c:pt>
                <c:pt idx="1">
                  <c:v>-0.79588001734407521</c:v>
                </c:pt>
                <c:pt idx="2">
                  <c:v>-9.6910013008056392E-2</c:v>
                </c:pt>
                <c:pt idx="3">
                  <c:v>0.6020599913279624</c:v>
                </c:pt>
                <c:pt idx="4">
                  <c:v>1.3010299956639813</c:v>
                </c:pt>
              </c:numCache>
            </c:numRef>
          </c:xVal>
          <c:yVal>
            <c:numRef>
              <c:f>'M468 (R3)'!$AG$62:$AG$66</c:f>
              <c:numCache>
                <c:formatCode>0.00</c:formatCode>
                <c:ptCount val="5"/>
                <c:pt idx="0">
                  <c:v>30.27493615784125</c:v>
                </c:pt>
                <c:pt idx="1">
                  <c:v>28.553166460355399</c:v>
                </c:pt>
                <c:pt idx="2">
                  <c:v>28.647849442101602</c:v>
                </c:pt>
                <c:pt idx="3">
                  <c:v>27.281368984163301</c:v>
                </c:pt>
                <c:pt idx="4">
                  <c:v>25.689650895470599</c:v>
                </c:pt>
              </c:numCache>
            </c:numRef>
          </c:yVal>
          <c:smooth val="0"/>
          <c:extLst>
            <c:ext xmlns:c16="http://schemas.microsoft.com/office/drawing/2014/chart" uri="{C3380CC4-5D6E-409C-BE32-E72D297353CC}">
              <c16:uniqueId val="{00000000-E1BE-41A6-9C97-9311DF1A1D4D}"/>
            </c:ext>
          </c:extLst>
        </c:ser>
        <c:dLbls>
          <c:showLegendKey val="0"/>
          <c:showVal val="0"/>
          <c:showCatName val="0"/>
          <c:showSerName val="0"/>
          <c:showPercent val="0"/>
          <c:showBubbleSize val="0"/>
        </c:dLbls>
        <c:axId val="1804354656"/>
        <c:axId val="1502104688"/>
      </c:scatterChart>
      <c:valAx>
        <c:axId val="1804354656"/>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502104688"/>
        <c:crosses val="autoZero"/>
        <c:crossBetween val="midCat"/>
      </c:valAx>
      <c:valAx>
        <c:axId val="1502104688"/>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804354656"/>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RPLP1</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2818678915135609E-2"/>
                  <c:y val="-0.3939665354330708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(R1)'!$AM$34:$AM$38</c:f>
              <c:numCache>
                <c:formatCode>0.00</c:formatCode>
                <c:ptCount val="5"/>
                <c:pt idx="0">
                  <c:v>-1.494850021680094</c:v>
                </c:pt>
                <c:pt idx="1">
                  <c:v>-0.79588001734407521</c:v>
                </c:pt>
                <c:pt idx="2">
                  <c:v>-9.6910013008056392E-2</c:v>
                </c:pt>
                <c:pt idx="3">
                  <c:v>0.6020599913279624</c:v>
                </c:pt>
                <c:pt idx="4">
                  <c:v>1.3010299956639813</c:v>
                </c:pt>
              </c:numCache>
            </c:numRef>
          </c:xVal>
          <c:yVal>
            <c:numRef>
              <c:f>'M468 (R1)'!$AN$34:$AN$38</c:f>
              <c:numCache>
                <c:formatCode>0.00</c:formatCode>
                <c:ptCount val="5"/>
                <c:pt idx="0">
                  <c:v>27.39946635601865</c:v>
                </c:pt>
                <c:pt idx="1">
                  <c:v>25.064974374217499</c:v>
                </c:pt>
                <c:pt idx="2">
                  <c:v>22.570979729379353</c:v>
                </c:pt>
                <c:pt idx="3">
                  <c:v>20.276434740645151</c:v>
                </c:pt>
                <c:pt idx="4">
                  <c:v>18.049649154897551</c:v>
                </c:pt>
              </c:numCache>
            </c:numRef>
          </c:yVal>
          <c:smooth val="0"/>
          <c:extLst>
            <c:ext xmlns:c16="http://schemas.microsoft.com/office/drawing/2014/chart" uri="{C3380CC4-5D6E-409C-BE32-E72D297353CC}">
              <c16:uniqueId val="{00000000-EE2D-43C2-919A-82382F58BE7E}"/>
            </c:ext>
          </c:extLst>
        </c:ser>
        <c:dLbls>
          <c:showLegendKey val="0"/>
          <c:showVal val="0"/>
          <c:showCatName val="0"/>
          <c:showSerName val="0"/>
          <c:showPercent val="0"/>
          <c:showBubbleSize val="0"/>
        </c:dLbls>
        <c:axId val="1913353583"/>
        <c:axId val="1470617951"/>
      </c:scatterChart>
      <c:valAx>
        <c:axId val="191335358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17951"/>
        <c:crosses val="autoZero"/>
        <c:crossBetween val="midCat"/>
      </c:valAx>
      <c:valAx>
        <c:axId val="147061795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1335358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7.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CCSER2</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5596456692913391E-2"/>
                  <c:y val="-0.33648731408573929"/>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(R1)'!$D$62:$D$66</c:f>
              <c:numCache>
                <c:formatCode>0.00</c:formatCode>
                <c:ptCount val="5"/>
                <c:pt idx="0">
                  <c:v>-1.494850021680094</c:v>
                </c:pt>
                <c:pt idx="1">
                  <c:v>-0.79588001734407521</c:v>
                </c:pt>
                <c:pt idx="2">
                  <c:v>-9.6910013008056392E-2</c:v>
                </c:pt>
                <c:pt idx="3">
                  <c:v>0.6020599913279624</c:v>
                </c:pt>
                <c:pt idx="4">
                  <c:v>1.3010299956639813</c:v>
                </c:pt>
              </c:numCache>
            </c:numRef>
          </c:xVal>
          <c:yVal>
            <c:numRef>
              <c:f>'M468 (R1)'!$E$62:$E$66</c:f>
              <c:numCache>
                <c:formatCode>0.00</c:formatCode>
                <c:ptCount val="5"/>
                <c:pt idx="0">
                  <c:v>29.553930263558151</c:v>
                </c:pt>
                <c:pt idx="1">
                  <c:v>27.668948596473797</c:v>
                </c:pt>
                <c:pt idx="2">
                  <c:v>25.606091828036398</c:v>
                </c:pt>
                <c:pt idx="3">
                  <c:v>23.30235315452115</c:v>
                </c:pt>
                <c:pt idx="4">
                  <c:v>20.763854462926499</c:v>
                </c:pt>
              </c:numCache>
            </c:numRef>
          </c:yVal>
          <c:smooth val="0"/>
          <c:extLst>
            <c:ext xmlns:c16="http://schemas.microsoft.com/office/drawing/2014/chart" uri="{C3380CC4-5D6E-409C-BE32-E72D297353CC}">
              <c16:uniqueId val="{00000000-C454-4131-B58D-5818B7E39AC9}"/>
            </c:ext>
          </c:extLst>
        </c:ser>
        <c:dLbls>
          <c:showLegendKey val="0"/>
          <c:showVal val="0"/>
          <c:showCatName val="0"/>
          <c:showSerName val="0"/>
          <c:showPercent val="0"/>
          <c:showBubbleSize val="0"/>
        </c:dLbls>
        <c:axId val="1921752463"/>
        <c:axId val="1923563215"/>
      </c:scatterChart>
      <c:valAx>
        <c:axId val="192175246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63215"/>
        <c:crosses val="autoZero"/>
        <c:crossBetween val="midCat"/>
      </c:valAx>
      <c:valAx>
        <c:axId val="192356321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175246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8.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GUSB</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1596456692913387E-2"/>
                  <c:y val="-0.34847805482648003"/>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(R1)'!$K$62:$K$66</c:f>
              <c:numCache>
                <c:formatCode>0.00</c:formatCode>
                <c:ptCount val="5"/>
                <c:pt idx="0">
                  <c:v>-1.494850021680094</c:v>
                </c:pt>
                <c:pt idx="1">
                  <c:v>-0.79588001734407521</c:v>
                </c:pt>
                <c:pt idx="2">
                  <c:v>-9.6910013008056392E-2</c:v>
                </c:pt>
                <c:pt idx="3">
                  <c:v>0.6020599913279624</c:v>
                </c:pt>
                <c:pt idx="4">
                  <c:v>1.3010299956639813</c:v>
                </c:pt>
              </c:numCache>
            </c:numRef>
          </c:xVal>
          <c:yVal>
            <c:numRef>
              <c:f>'M468 (R1)'!$L$62:$L$66</c:f>
              <c:numCache>
                <c:formatCode>0.00</c:formatCode>
                <c:ptCount val="5"/>
                <c:pt idx="0">
                  <c:v>31.498895276837899</c:v>
                </c:pt>
                <c:pt idx="1">
                  <c:v>29.268902743098749</c:v>
                </c:pt>
                <c:pt idx="2">
                  <c:v>27.194057889297149</c:v>
                </c:pt>
                <c:pt idx="3">
                  <c:v>24.819419702238548</c:v>
                </c:pt>
                <c:pt idx="4">
                  <c:v>22.367882551155851</c:v>
                </c:pt>
              </c:numCache>
            </c:numRef>
          </c:yVal>
          <c:smooth val="0"/>
          <c:extLst>
            <c:ext xmlns:c16="http://schemas.microsoft.com/office/drawing/2014/chart" uri="{C3380CC4-5D6E-409C-BE32-E72D297353CC}">
              <c16:uniqueId val="{00000000-A98B-469B-BBA4-F6E5BF4B691F}"/>
            </c:ext>
          </c:extLst>
        </c:ser>
        <c:dLbls>
          <c:showLegendKey val="0"/>
          <c:showVal val="0"/>
          <c:showCatName val="0"/>
          <c:showSerName val="0"/>
          <c:showPercent val="0"/>
          <c:showBubbleSize val="0"/>
        </c:dLbls>
        <c:axId val="1635334655"/>
        <c:axId val="1470627071"/>
      </c:scatterChart>
      <c:valAx>
        <c:axId val="1635334655"/>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470627071"/>
        <c:crosses val="autoZero"/>
        <c:crossBetween val="midCat"/>
      </c:valAx>
      <c:valAx>
        <c:axId val="1470627071"/>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5334655"/>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hart9.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GB"/>
  <c:roundedCorners val="0"/>
  <mc:AlternateContent xmlns:mc="http://schemas.openxmlformats.org/markup-compatibility/2006">
    <mc:Choice xmlns:c14="http://schemas.microsoft.com/office/drawing/2007/8/2/chart" Requires="c14">
      <c14:style val="102"/>
    </mc:Choice>
    <mc:Fallback>
      <c:style val="2"/>
    </mc:Fallback>
  </mc:AlternateContent>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GB"/>
              <a:t>TFRC</a:t>
            </a:r>
          </a:p>
        </c:rich>
      </c:tx>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lotArea>
      <c:layout/>
      <c:scatterChart>
        <c:scatterStyle val="lineMarker"/>
        <c:varyColors val="0"/>
        <c:ser>
          <c:idx val="0"/>
          <c:order val="0"/>
          <c:spPr>
            <a:ln w="19050" cap="rnd">
              <a:noFill/>
              <a:round/>
            </a:ln>
            <a:effectLst/>
          </c:spPr>
          <c:marker>
            <c:symbol val="circle"/>
            <c:size val="5"/>
            <c:spPr>
              <a:solidFill>
                <a:schemeClr val="accent1"/>
              </a:solidFill>
              <a:ln w="9525">
                <a:solidFill>
                  <a:schemeClr val="accent1"/>
                </a:solidFill>
              </a:ln>
              <a:effectLst/>
            </c:spPr>
          </c:marker>
          <c:trendline>
            <c:spPr>
              <a:ln w="19050" cap="rnd">
                <a:solidFill>
                  <a:schemeClr val="accent1"/>
                </a:solidFill>
                <a:prstDash val="sysDot"/>
              </a:ln>
              <a:effectLst/>
            </c:spPr>
            <c:trendlineType val="linear"/>
            <c:dispRSqr val="1"/>
            <c:dispEq val="1"/>
            <c:trendlineLbl>
              <c:layout>
                <c:manualLayout>
                  <c:x val="6.7152012248468937E-2"/>
                  <c:y val="-0.33599117818606006"/>
                </c:manualLayout>
              </c:layout>
              <c:numFmt formatCode="General" sourceLinked="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trendlineLbl>
          </c:trendline>
          <c:xVal>
            <c:numRef>
              <c:f>'M468 (R1)'!$R$62:$R$66</c:f>
              <c:numCache>
                <c:formatCode>0.00</c:formatCode>
                <c:ptCount val="5"/>
                <c:pt idx="0">
                  <c:v>-1.494850021680094</c:v>
                </c:pt>
                <c:pt idx="1">
                  <c:v>-0.79588001734407521</c:v>
                </c:pt>
                <c:pt idx="2">
                  <c:v>-9.6910013008056392E-2</c:v>
                </c:pt>
                <c:pt idx="3">
                  <c:v>0.6020599913279624</c:v>
                </c:pt>
                <c:pt idx="4">
                  <c:v>1.3010299956639813</c:v>
                </c:pt>
              </c:numCache>
            </c:numRef>
          </c:xVal>
          <c:yVal>
            <c:numRef>
              <c:f>'M468 (R1)'!$S$62:$S$66</c:f>
              <c:numCache>
                <c:formatCode>0.00</c:formatCode>
                <c:ptCount val="5"/>
                <c:pt idx="0">
                  <c:v>28.735817189265553</c:v>
                </c:pt>
                <c:pt idx="1">
                  <c:v>26.412854220175952</c:v>
                </c:pt>
                <c:pt idx="2">
                  <c:v>24.3068656492486</c:v>
                </c:pt>
                <c:pt idx="3">
                  <c:v>21.821430615969799</c:v>
                </c:pt>
                <c:pt idx="4">
                  <c:v>19.4996538748326</c:v>
                </c:pt>
              </c:numCache>
            </c:numRef>
          </c:yVal>
          <c:smooth val="0"/>
          <c:extLst>
            <c:ext xmlns:c16="http://schemas.microsoft.com/office/drawing/2014/chart" uri="{C3380CC4-5D6E-409C-BE32-E72D297353CC}">
              <c16:uniqueId val="{00000000-A894-4D36-A381-154F719CBDBE}"/>
            </c:ext>
          </c:extLst>
        </c:ser>
        <c:dLbls>
          <c:showLegendKey val="0"/>
          <c:showVal val="0"/>
          <c:showCatName val="0"/>
          <c:showSerName val="0"/>
          <c:showPercent val="0"/>
          <c:showBubbleSize val="0"/>
        </c:dLbls>
        <c:axId val="1633649823"/>
        <c:axId val="1923549295"/>
      </c:scatterChart>
      <c:valAx>
        <c:axId val="1633649823"/>
        <c:scaling>
          <c:orientation val="minMax"/>
        </c:scaling>
        <c:delete val="0"/>
        <c:axPos val="b"/>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923549295"/>
        <c:crosses val="autoZero"/>
        <c:crossBetween val="midCat"/>
      </c:valAx>
      <c:valAx>
        <c:axId val="1923549295"/>
        <c:scaling>
          <c:orientation val="minMax"/>
        </c:scaling>
        <c:delete val="0"/>
        <c:axPos val="l"/>
        <c:majorGridlines>
          <c:spPr>
            <a:ln w="9525" cap="flat" cmpd="sng" algn="ctr">
              <a:solidFill>
                <a:schemeClr val="tx1">
                  <a:lumMod val="15000"/>
                  <a:lumOff val="85000"/>
                </a:schemeClr>
              </a:solidFill>
              <a:round/>
            </a:ln>
            <a:effectLst/>
          </c:spPr>
        </c:majorGridlines>
        <c:numFmt formatCode="0.00" sourceLinked="1"/>
        <c:majorTickMark val="none"/>
        <c:minorTickMark val="none"/>
        <c:tickLblPos val="nextTo"/>
        <c:spPr>
          <a:noFill/>
          <a:ln w="9525" cap="flat" cmpd="sng" algn="ctr">
            <a:solidFill>
              <a:schemeClr val="tx1">
                <a:lumMod val="25000"/>
                <a:lumOff val="7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633649823"/>
        <c:crosses val="autoZero"/>
        <c:crossBetween val="midCat"/>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1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0.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7.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8.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9.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1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2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3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4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0.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1.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2.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3.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4.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55.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7.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8.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charts/style9.xml><?xml version="1.0" encoding="utf-8"?>
<cs:chartStyle xmlns:cs="http://schemas.microsoft.com/office/drawing/2012/chartStyle" xmlns:a="http://schemas.openxmlformats.org/drawingml/2006/main" id="240">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19050"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dk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spPr>
      <a:ln w="9525" cap="flat" cmpd="sng" algn="ctr">
        <a:solidFill>
          <a:schemeClr val="tx1">
            <a:lumMod val="25000"/>
            <a:lumOff val="75000"/>
          </a:schemeClr>
        </a:solidFill>
        <a:round/>
      </a:ln>
    </cs:spPr>
    <cs:defRPr sz="900" kern="1200"/>
  </cs:valueAxis>
  <cs:wall>
    <cs:lnRef idx="0"/>
    <cs:fillRef idx="0"/>
    <cs:effectRef idx="0"/>
    <cs:fontRef idx="minor">
      <a:schemeClr val="tx1"/>
    </cs:fontRef>
    <cs:spPr>
      <a:noFill/>
      <a:ln>
        <a:noFill/>
      </a:ln>
    </cs:spPr>
  </cs:wall>
</cs:chartStyle>
</file>

<file path=xl/drawings/_rels/drawing1.xml.rels><?xml version="1.0" encoding="UTF-8" standalone="yes"?>
<Relationships xmlns="http://schemas.openxmlformats.org/package/2006/relationships"><Relationship Id="rId13" Type="http://schemas.openxmlformats.org/officeDocument/2006/relationships/chart" Target="../charts/chart13.xml"/><Relationship Id="rId18" Type="http://schemas.openxmlformats.org/officeDocument/2006/relationships/chart" Target="../charts/chart18.xml"/><Relationship Id="rId26" Type="http://schemas.openxmlformats.org/officeDocument/2006/relationships/chart" Target="../charts/chart26.xml"/><Relationship Id="rId3" Type="http://schemas.openxmlformats.org/officeDocument/2006/relationships/chart" Target="../charts/chart3.xml"/><Relationship Id="rId21" Type="http://schemas.openxmlformats.org/officeDocument/2006/relationships/chart" Target="../charts/chart21.xml"/><Relationship Id="rId7" Type="http://schemas.openxmlformats.org/officeDocument/2006/relationships/chart" Target="../charts/chart7.xml"/><Relationship Id="rId12" Type="http://schemas.openxmlformats.org/officeDocument/2006/relationships/chart" Target="../charts/chart12.xml"/><Relationship Id="rId17" Type="http://schemas.openxmlformats.org/officeDocument/2006/relationships/chart" Target="../charts/chart17.xml"/><Relationship Id="rId25" Type="http://schemas.openxmlformats.org/officeDocument/2006/relationships/chart" Target="../charts/chart25.xml"/><Relationship Id="rId33" Type="http://schemas.openxmlformats.org/officeDocument/2006/relationships/chart" Target="../charts/chart33.xml"/><Relationship Id="rId2" Type="http://schemas.openxmlformats.org/officeDocument/2006/relationships/chart" Target="../charts/chart2.xml"/><Relationship Id="rId16" Type="http://schemas.openxmlformats.org/officeDocument/2006/relationships/chart" Target="../charts/chart16.xml"/><Relationship Id="rId20" Type="http://schemas.openxmlformats.org/officeDocument/2006/relationships/chart" Target="../charts/chart20.xml"/><Relationship Id="rId29" Type="http://schemas.openxmlformats.org/officeDocument/2006/relationships/chart" Target="../charts/chart29.xml"/><Relationship Id="rId1" Type="http://schemas.openxmlformats.org/officeDocument/2006/relationships/chart" Target="../charts/chart1.xml"/><Relationship Id="rId6" Type="http://schemas.openxmlformats.org/officeDocument/2006/relationships/chart" Target="../charts/chart6.xml"/><Relationship Id="rId11" Type="http://schemas.openxmlformats.org/officeDocument/2006/relationships/chart" Target="../charts/chart11.xml"/><Relationship Id="rId24" Type="http://schemas.openxmlformats.org/officeDocument/2006/relationships/chart" Target="../charts/chart24.xml"/><Relationship Id="rId32" Type="http://schemas.openxmlformats.org/officeDocument/2006/relationships/chart" Target="../charts/chart32.xml"/><Relationship Id="rId5" Type="http://schemas.openxmlformats.org/officeDocument/2006/relationships/chart" Target="../charts/chart5.xml"/><Relationship Id="rId15" Type="http://schemas.openxmlformats.org/officeDocument/2006/relationships/chart" Target="../charts/chart15.xml"/><Relationship Id="rId23" Type="http://schemas.openxmlformats.org/officeDocument/2006/relationships/chart" Target="../charts/chart23.xml"/><Relationship Id="rId28" Type="http://schemas.openxmlformats.org/officeDocument/2006/relationships/chart" Target="../charts/chart28.xml"/><Relationship Id="rId10" Type="http://schemas.openxmlformats.org/officeDocument/2006/relationships/chart" Target="../charts/chart10.xml"/><Relationship Id="rId19" Type="http://schemas.openxmlformats.org/officeDocument/2006/relationships/chart" Target="../charts/chart19.xml"/><Relationship Id="rId31" Type="http://schemas.openxmlformats.org/officeDocument/2006/relationships/chart" Target="../charts/chart31.xml"/><Relationship Id="rId4" Type="http://schemas.openxmlformats.org/officeDocument/2006/relationships/chart" Target="../charts/chart4.xml"/><Relationship Id="rId9" Type="http://schemas.openxmlformats.org/officeDocument/2006/relationships/chart" Target="../charts/chart9.xml"/><Relationship Id="rId14" Type="http://schemas.openxmlformats.org/officeDocument/2006/relationships/chart" Target="../charts/chart14.xml"/><Relationship Id="rId22" Type="http://schemas.openxmlformats.org/officeDocument/2006/relationships/chart" Target="../charts/chart22.xml"/><Relationship Id="rId27" Type="http://schemas.openxmlformats.org/officeDocument/2006/relationships/chart" Target="../charts/chart27.xml"/><Relationship Id="rId30" Type="http://schemas.openxmlformats.org/officeDocument/2006/relationships/chart" Target="../charts/chart30.xml"/><Relationship Id="rId8" Type="http://schemas.openxmlformats.org/officeDocument/2006/relationships/chart" Target="../charts/chart8.xml"/></Relationships>
</file>

<file path=xl/drawings/_rels/drawing2.xml.rels><?xml version="1.0" encoding="UTF-8" standalone="yes"?>
<Relationships xmlns="http://schemas.openxmlformats.org/package/2006/relationships"><Relationship Id="rId8" Type="http://schemas.openxmlformats.org/officeDocument/2006/relationships/chart" Target="../charts/chart41.xml"/><Relationship Id="rId3" Type="http://schemas.openxmlformats.org/officeDocument/2006/relationships/chart" Target="../charts/chart36.xml"/><Relationship Id="rId7" Type="http://schemas.openxmlformats.org/officeDocument/2006/relationships/chart" Target="../charts/chart40.xml"/><Relationship Id="rId2" Type="http://schemas.openxmlformats.org/officeDocument/2006/relationships/chart" Target="../charts/chart35.xml"/><Relationship Id="rId1" Type="http://schemas.openxmlformats.org/officeDocument/2006/relationships/chart" Target="../charts/chart34.xml"/><Relationship Id="rId6" Type="http://schemas.openxmlformats.org/officeDocument/2006/relationships/chart" Target="../charts/chart39.xml"/><Relationship Id="rId11" Type="http://schemas.openxmlformats.org/officeDocument/2006/relationships/chart" Target="../charts/chart44.xml"/><Relationship Id="rId5" Type="http://schemas.openxmlformats.org/officeDocument/2006/relationships/chart" Target="../charts/chart38.xml"/><Relationship Id="rId10" Type="http://schemas.openxmlformats.org/officeDocument/2006/relationships/chart" Target="../charts/chart43.xml"/><Relationship Id="rId4" Type="http://schemas.openxmlformats.org/officeDocument/2006/relationships/chart" Target="../charts/chart37.xml"/><Relationship Id="rId9" Type="http://schemas.openxmlformats.org/officeDocument/2006/relationships/chart" Target="../charts/chart42.xml"/></Relationships>
</file>

<file path=xl/drawings/_rels/drawing3.xml.rels><?xml version="1.0" encoding="UTF-8" standalone="yes"?>
<Relationships xmlns="http://schemas.openxmlformats.org/package/2006/relationships"><Relationship Id="rId8" Type="http://schemas.openxmlformats.org/officeDocument/2006/relationships/chart" Target="../charts/chart52.xml"/><Relationship Id="rId3" Type="http://schemas.openxmlformats.org/officeDocument/2006/relationships/chart" Target="../charts/chart47.xml"/><Relationship Id="rId7" Type="http://schemas.openxmlformats.org/officeDocument/2006/relationships/chart" Target="../charts/chart51.xml"/><Relationship Id="rId2" Type="http://schemas.openxmlformats.org/officeDocument/2006/relationships/chart" Target="../charts/chart46.xml"/><Relationship Id="rId1" Type="http://schemas.openxmlformats.org/officeDocument/2006/relationships/chart" Target="../charts/chart45.xml"/><Relationship Id="rId6" Type="http://schemas.openxmlformats.org/officeDocument/2006/relationships/chart" Target="../charts/chart50.xml"/><Relationship Id="rId11" Type="http://schemas.openxmlformats.org/officeDocument/2006/relationships/chart" Target="../charts/chart55.xml"/><Relationship Id="rId5" Type="http://schemas.openxmlformats.org/officeDocument/2006/relationships/chart" Target="../charts/chart49.xml"/><Relationship Id="rId10" Type="http://schemas.openxmlformats.org/officeDocument/2006/relationships/chart" Target="../charts/chart54.xml"/><Relationship Id="rId4" Type="http://schemas.openxmlformats.org/officeDocument/2006/relationships/chart" Target="../charts/chart48.xml"/><Relationship Id="rId9" Type="http://schemas.openxmlformats.org/officeDocument/2006/relationships/chart" Target="../charts/chart53.xml"/></Relationships>
</file>

<file path=xl/drawings/drawing1.xml><?xml version="1.0" encoding="utf-8"?>
<xdr:wsDr xmlns:xdr="http://schemas.openxmlformats.org/drawingml/2006/spreadsheetDrawing" xmlns:a="http://schemas.openxmlformats.org/drawingml/2006/main">
  <xdr:twoCellAnchor>
    <xdr:from>
      <xdr:col>44</xdr:col>
      <xdr:colOff>15875</xdr:colOff>
      <xdr:row>3</xdr:row>
      <xdr:rowOff>17462</xdr:rowOff>
    </xdr:from>
    <xdr:to>
      <xdr:col>51</xdr:col>
      <xdr:colOff>365125</xdr:colOff>
      <xdr:row>16</xdr:row>
      <xdr:rowOff>109537</xdr:rowOff>
    </xdr:to>
    <xdr:graphicFrame macro="">
      <xdr:nvGraphicFramePr>
        <xdr:cNvPr id="14" name="Chart 13">
          <a:extLst>
            <a:ext uri="{FF2B5EF4-FFF2-40B4-BE49-F238E27FC236}">
              <a16:creationId xmlns:a16="http://schemas.microsoft.com/office/drawing/2014/main" id="{C16E3489-4E3C-2767-56DA-C0CC6DA504A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31750</xdr:colOff>
      <xdr:row>16</xdr:row>
      <xdr:rowOff>173568</xdr:rowOff>
    </xdr:from>
    <xdr:to>
      <xdr:col>51</xdr:col>
      <xdr:colOff>306917</xdr:colOff>
      <xdr:row>30</xdr:row>
      <xdr:rowOff>154518</xdr:rowOff>
    </xdr:to>
    <xdr:graphicFrame macro="">
      <xdr:nvGraphicFramePr>
        <xdr:cNvPr id="15" name="Chart 14">
          <a:extLst>
            <a:ext uri="{FF2B5EF4-FFF2-40B4-BE49-F238E27FC236}">
              <a16:creationId xmlns:a16="http://schemas.microsoft.com/office/drawing/2014/main" id="{32BBA884-8E07-47C6-E6A8-574B4588FE9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31750</xdr:colOff>
      <xdr:row>31</xdr:row>
      <xdr:rowOff>57150</xdr:rowOff>
    </xdr:from>
    <xdr:to>
      <xdr:col>51</xdr:col>
      <xdr:colOff>306917</xdr:colOff>
      <xdr:row>45</xdr:row>
      <xdr:rowOff>133350</xdr:rowOff>
    </xdr:to>
    <xdr:graphicFrame macro="">
      <xdr:nvGraphicFramePr>
        <xdr:cNvPr id="16" name="Chart 15">
          <a:extLst>
            <a:ext uri="{FF2B5EF4-FFF2-40B4-BE49-F238E27FC236}">
              <a16:creationId xmlns:a16="http://schemas.microsoft.com/office/drawing/2014/main" id="{A52F4833-0E58-2413-F457-9712CD3E60C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26457</xdr:colOff>
      <xdr:row>46</xdr:row>
      <xdr:rowOff>25401</xdr:rowOff>
    </xdr:from>
    <xdr:to>
      <xdr:col>51</xdr:col>
      <xdr:colOff>301624</xdr:colOff>
      <xdr:row>60</xdr:row>
      <xdr:rowOff>101601</xdr:rowOff>
    </xdr:to>
    <xdr:graphicFrame macro="">
      <xdr:nvGraphicFramePr>
        <xdr:cNvPr id="17" name="Chart 16">
          <a:extLst>
            <a:ext uri="{FF2B5EF4-FFF2-40B4-BE49-F238E27FC236}">
              <a16:creationId xmlns:a16="http://schemas.microsoft.com/office/drawing/2014/main" id="{3B6182CA-3D46-1450-1558-919BEE7E6F0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37040</xdr:colOff>
      <xdr:row>60</xdr:row>
      <xdr:rowOff>184150</xdr:rowOff>
    </xdr:from>
    <xdr:to>
      <xdr:col>51</xdr:col>
      <xdr:colOff>312207</xdr:colOff>
      <xdr:row>75</xdr:row>
      <xdr:rowOff>69850</xdr:rowOff>
    </xdr:to>
    <xdr:graphicFrame macro="">
      <xdr:nvGraphicFramePr>
        <xdr:cNvPr id="18" name="Chart 17">
          <a:extLst>
            <a:ext uri="{FF2B5EF4-FFF2-40B4-BE49-F238E27FC236}">
              <a16:creationId xmlns:a16="http://schemas.microsoft.com/office/drawing/2014/main" id="{4B3196C0-ECC0-31AE-9E77-2822CCA789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47624</xdr:colOff>
      <xdr:row>75</xdr:row>
      <xdr:rowOff>131234</xdr:rowOff>
    </xdr:from>
    <xdr:to>
      <xdr:col>51</xdr:col>
      <xdr:colOff>322791</xdr:colOff>
      <xdr:row>86</xdr:row>
      <xdr:rowOff>0</xdr:rowOff>
    </xdr:to>
    <xdr:graphicFrame macro="">
      <xdr:nvGraphicFramePr>
        <xdr:cNvPr id="19" name="Chart 18">
          <a:extLst>
            <a:ext uri="{FF2B5EF4-FFF2-40B4-BE49-F238E27FC236}">
              <a16:creationId xmlns:a16="http://schemas.microsoft.com/office/drawing/2014/main" id="{5270E0FD-5069-3CAA-3A7A-2475F9B1AB4C}"/>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517071</xdr:colOff>
      <xdr:row>3</xdr:row>
      <xdr:rowOff>0</xdr:rowOff>
    </xdr:from>
    <xdr:to>
      <xdr:col>59</xdr:col>
      <xdr:colOff>190499</xdr:colOff>
      <xdr:row>16</xdr:row>
      <xdr:rowOff>103414</xdr:rowOff>
    </xdr:to>
    <xdr:graphicFrame macro="">
      <xdr:nvGraphicFramePr>
        <xdr:cNvPr id="20" name="Chart 19">
          <a:extLst>
            <a:ext uri="{FF2B5EF4-FFF2-40B4-BE49-F238E27FC236}">
              <a16:creationId xmlns:a16="http://schemas.microsoft.com/office/drawing/2014/main" id="{5E9D2BB9-9B76-EE29-57A2-EDC89DF0213D}"/>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530679</xdr:colOff>
      <xdr:row>16</xdr:row>
      <xdr:rowOff>193220</xdr:rowOff>
    </xdr:from>
    <xdr:to>
      <xdr:col>59</xdr:col>
      <xdr:colOff>204107</xdr:colOff>
      <xdr:row>30</xdr:row>
      <xdr:rowOff>146956</xdr:rowOff>
    </xdr:to>
    <xdr:graphicFrame macro="">
      <xdr:nvGraphicFramePr>
        <xdr:cNvPr id="21" name="Chart 20">
          <a:extLst>
            <a:ext uri="{FF2B5EF4-FFF2-40B4-BE49-F238E27FC236}">
              <a16:creationId xmlns:a16="http://schemas.microsoft.com/office/drawing/2014/main" id="{B9AA760E-C4D9-BBF8-8B03-DE2DAFC3CF50}"/>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557893</xdr:colOff>
      <xdr:row>31</xdr:row>
      <xdr:rowOff>43542</xdr:rowOff>
    </xdr:from>
    <xdr:to>
      <xdr:col>59</xdr:col>
      <xdr:colOff>231321</xdr:colOff>
      <xdr:row>45</xdr:row>
      <xdr:rowOff>119742</xdr:rowOff>
    </xdr:to>
    <xdr:graphicFrame macro="">
      <xdr:nvGraphicFramePr>
        <xdr:cNvPr id="22" name="Chart 21">
          <a:extLst>
            <a:ext uri="{FF2B5EF4-FFF2-40B4-BE49-F238E27FC236}">
              <a16:creationId xmlns:a16="http://schemas.microsoft.com/office/drawing/2014/main" id="{599E12CB-3712-9432-CF65-CFC40A2DAE9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585108</xdr:colOff>
      <xdr:row>46</xdr:row>
      <xdr:rowOff>43542</xdr:rowOff>
    </xdr:from>
    <xdr:to>
      <xdr:col>59</xdr:col>
      <xdr:colOff>258536</xdr:colOff>
      <xdr:row>60</xdr:row>
      <xdr:rowOff>119742</xdr:rowOff>
    </xdr:to>
    <xdr:graphicFrame macro="">
      <xdr:nvGraphicFramePr>
        <xdr:cNvPr id="23" name="Chart 22">
          <a:extLst>
            <a:ext uri="{FF2B5EF4-FFF2-40B4-BE49-F238E27FC236}">
              <a16:creationId xmlns:a16="http://schemas.microsoft.com/office/drawing/2014/main" id="{861AC561-E357-B364-F0CA-87253E141C4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598715</xdr:colOff>
      <xdr:row>75</xdr:row>
      <xdr:rowOff>179614</xdr:rowOff>
    </xdr:from>
    <xdr:to>
      <xdr:col>59</xdr:col>
      <xdr:colOff>272143</xdr:colOff>
      <xdr:row>86</xdr:row>
      <xdr:rowOff>0</xdr:rowOff>
    </xdr:to>
    <xdr:graphicFrame macro="">
      <xdr:nvGraphicFramePr>
        <xdr:cNvPr id="25" name="Chart 24">
          <a:extLst>
            <a:ext uri="{FF2B5EF4-FFF2-40B4-BE49-F238E27FC236}">
              <a16:creationId xmlns:a16="http://schemas.microsoft.com/office/drawing/2014/main" id="{A644D53F-D58E-CE1F-181B-44BF7F8CF3B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twoCellAnchor>
    <xdr:from>
      <xdr:col>44</xdr:col>
      <xdr:colOff>15875</xdr:colOff>
      <xdr:row>3</xdr:row>
      <xdr:rowOff>17462</xdr:rowOff>
    </xdr:from>
    <xdr:to>
      <xdr:col>51</xdr:col>
      <xdr:colOff>365125</xdr:colOff>
      <xdr:row>16</xdr:row>
      <xdr:rowOff>109537</xdr:rowOff>
    </xdr:to>
    <xdr:graphicFrame macro="">
      <xdr:nvGraphicFramePr>
        <xdr:cNvPr id="2" name="Chart 1">
          <a:extLst>
            <a:ext uri="{FF2B5EF4-FFF2-40B4-BE49-F238E27FC236}">
              <a16:creationId xmlns:a16="http://schemas.microsoft.com/office/drawing/2014/main" id="{FB160EF4-4721-46EE-B04A-C97306BAD1C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2"/>
        </a:graphicData>
      </a:graphic>
    </xdr:graphicFrame>
    <xdr:clientData/>
  </xdr:twoCellAnchor>
  <xdr:twoCellAnchor>
    <xdr:from>
      <xdr:col>44</xdr:col>
      <xdr:colOff>31750</xdr:colOff>
      <xdr:row>16</xdr:row>
      <xdr:rowOff>173568</xdr:rowOff>
    </xdr:from>
    <xdr:to>
      <xdr:col>51</xdr:col>
      <xdr:colOff>306917</xdr:colOff>
      <xdr:row>30</xdr:row>
      <xdr:rowOff>154518</xdr:rowOff>
    </xdr:to>
    <xdr:graphicFrame macro="">
      <xdr:nvGraphicFramePr>
        <xdr:cNvPr id="3" name="Chart 2">
          <a:extLst>
            <a:ext uri="{FF2B5EF4-FFF2-40B4-BE49-F238E27FC236}">
              <a16:creationId xmlns:a16="http://schemas.microsoft.com/office/drawing/2014/main" id="{9A24A627-2201-4626-9C23-043AB5CB19F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3"/>
        </a:graphicData>
      </a:graphic>
    </xdr:graphicFrame>
    <xdr:clientData/>
  </xdr:twoCellAnchor>
  <xdr:twoCellAnchor>
    <xdr:from>
      <xdr:col>44</xdr:col>
      <xdr:colOff>31750</xdr:colOff>
      <xdr:row>31</xdr:row>
      <xdr:rowOff>57150</xdr:rowOff>
    </xdr:from>
    <xdr:to>
      <xdr:col>51</xdr:col>
      <xdr:colOff>306917</xdr:colOff>
      <xdr:row>45</xdr:row>
      <xdr:rowOff>133350</xdr:rowOff>
    </xdr:to>
    <xdr:graphicFrame macro="">
      <xdr:nvGraphicFramePr>
        <xdr:cNvPr id="4" name="Chart 3">
          <a:extLst>
            <a:ext uri="{FF2B5EF4-FFF2-40B4-BE49-F238E27FC236}">
              <a16:creationId xmlns:a16="http://schemas.microsoft.com/office/drawing/2014/main" id="{B109BB0E-0715-4E02-BC93-BF9B918CB68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4"/>
        </a:graphicData>
      </a:graphic>
    </xdr:graphicFrame>
    <xdr:clientData/>
  </xdr:twoCellAnchor>
  <xdr:twoCellAnchor>
    <xdr:from>
      <xdr:col>44</xdr:col>
      <xdr:colOff>26457</xdr:colOff>
      <xdr:row>46</xdr:row>
      <xdr:rowOff>25401</xdr:rowOff>
    </xdr:from>
    <xdr:to>
      <xdr:col>51</xdr:col>
      <xdr:colOff>301624</xdr:colOff>
      <xdr:row>60</xdr:row>
      <xdr:rowOff>101601</xdr:rowOff>
    </xdr:to>
    <xdr:graphicFrame macro="">
      <xdr:nvGraphicFramePr>
        <xdr:cNvPr id="5" name="Chart 4">
          <a:extLst>
            <a:ext uri="{FF2B5EF4-FFF2-40B4-BE49-F238E27FC236}">
              <a16:creationId xmlns:a16="http://schemas.microsoft.com/office/drawing/2014/main" id="{1EC3850F-3381-42DC-9D0A-BD7400CC3A2B}"/>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5"/>
        </a:graphicData>
      </a:graphic>
    </xdr:graphicFrame>
    <xdr:clientData/>
  </xdr:twoCellAnchor>
  <xdr:twoCellAnchor>
    <xdr:from>
      <xdr:col>44</xdr:col>
      <xdr:colOff>37040</xdr:colOff>
      <xdr:row>60</xdr:row>
      <xdr:rowOff>184150</xdr:rowOff>
    </xdr:from>
    <xdr:to>
      <xdr:col>51</xdr:col>
      <xdr:colOff>312207</xdr:colOff>
      <xdr:row>75</xdr:row>
      <xdr:rowOff>69850</xdr:rowOff>
    </xdr:to>
    <xdr:graphicFrame macro="">
      <xdr:nvGraphicFramePr>
        <xdr:cNvPr id="6" name="Chart 5">
          <a:extLst>
            <a:ext uri="{FF2B5EF4-FFF2-40B4-BE49-F238E27FC236}">
              <a16:creationId xmlns:a16="http://schemas.microsoft.com/office/drawing/2014/main" id="{7024A80A-04E1-4938-8431-359A0C41A258}"/>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6"/>
        </a:graphicData>
      </a:graphic>
    </xdr:graphicFrame>
    <xdr:clientData/>
  </xdr:twoCellAnchor>
  <xdr:twoCellAnchor>
    <xdr:from>
      <xdr:col>44</xdr:col>
      <xdr:colOff>47624</xdr:colOff>
      <xdr:row>75</xdr:row>
      <xdr:rowOff>131234</xdr:rowOff>
    </xdr:from>
    <xdr:to>
      <xdr:col>51</xdr:col>
      <xdr:colOff>322791</xdr:colOff>
      <xdr:row>86</xdr:row>
      <xdr:rowOff>0</xdr:rowOff>
    </xdr:to>
    <xdr:graphicFrame macro="">
      <xdr:nvGraphicFramePr>
        <xdr:cNvPr id="7" name="Chart 6">
          <a:extLst>
            <a:ext uri="{FF2B5EF4-FFF2-40B4-BE49-F238E27FC236}">
              <a16:creationId xmlns:a16="http://schemas.microsoft.com/office/drawing/2014/main" id="{D8AB06B0-60BE-4C31-A502-5E067232CFB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7"/>
        </a:graphicData>
      </a:graphic>
    </xdr:graphicFrame>
    <xdr:clientData/>
  </xdr:twoCellAnchor>
  <xdr:twoCellAnchor>
    <xdr:from>
      <xdr:col>51</xdr:col>
      <xdr:colOff>517071</xdr:colOff>
      <xdr:row>3</xdr:row>
      <xdr:rowOff>0</xdr:rowOff>
    </xdr:from>
    <xdr:to>
      <xdr:col>59</xdr:col>
      <xdr:colOff>190499</xdr:colOff>
      <xdr:row>16</xdr:row>
      <xdr:rowOff>103414</xdr:rowOff>
    </xdr:to>
    <xdr:graphicFrame macro="">
      <xdr:nvGraphicFramePr>
        <xdr:cNvPr id="8" name="Chart 7">
          <a:extLst>
            <a:ext uri="{FF2B5EF4-FFF2-40B4-BE49-F238E27FC236}">
              <a16:creationId xmlns:a16="http://schemas.microsoft.com/office/drawing/2014/main" id="{AF87423E-1581-44A0-9708-1D7A63295F7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8"/>
        </a:graphicData>
      </a:graphic>
    </xdr:graphicFrame>
    <xdr:clientData/>
  </xdr:twoCellAnchor>
  <xdr:twoCellAnchor>
    <xdr:from>
      <xdr:col>51</xdr:col>
      <xdr:colOff>530679</xdr:colOff>
      <xdr:row>16</xdr:row>
      <xdr:rowOff>193220</xdr:rowOff>
    </xdr:from>
    <xdr:to>
      <xdr:col>59</xdr:col>
      <xdr:colOff>204107</xdr:colOff>
      <xdr:row>30</xdr:row>
      <xdr:rowOff>146956</xdr:rowOff>
    </xdr:to>
    <xdr:graphicFrame macro="">
      <xdr:nvGraphicFramePr>
        <xdr:cNvPr id="9" name="Chart 8">
          <a:extLst>
            <a:ext uri="{FF2B5EF4-FFF2-40B4-BE49-F238E27FC236}">
              <a16:creationId xmlns:a16="http://schemas.microsoft.com/office/drawing/2014/main" id="{4DD1A39E-7CA8-454C-8F09-57DDC1CBD28E}"/>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9"/>
        </a:graphicData>
      </a:graphic>
    </xdr:graphicFrame>
    <xdr:clientData/>
  </xdr:twoCellAnchor>
  <xdr:twoCellAnchor>
    <xdr:from>
      <xdr:col>51</xdr:col>
      <xdr:colOff>557893</xdr:colOff>
      <xdr:row>31</xdr:row>
      <xdr:rowOff>43542</xdr:rowOff>
    </xdr:from>
    <xdr:to>
      <xdr:col>59</xdr:col>
      <xdr:colOff>231321</xdr:colOff>
      <xdr:row>45</xdr:row>
      <xdr:rowOff>119742</xdr:rowOff>
    </xdr:to>
    <xdr:graphicFrame macro="">
      <xdr:nvGraphicFramePr>
        <xdr:cNvPr id="10" name="Chart 9">
          <a:extLst>
            <a:ext uri="{FF2B5EF4-FFF2-40B4-BE49-F238E27FC236}">
              <a16:creationId xmlns:a16="http://schemas.microsoft.com/office/drawing/2014/main" id="{7EC88053-23DD-4336-A2A4-C58E4B0656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0"/>
        </a:graphicData>
      </a:graphic>
    </xdr:graphicFrame>
    <xdr:clientData/>
  </xdr:twoCellAnchor>
  <xdr:twoCellAnchor>
    <xdr:from>
      <xdr:col>51</xdr:col>
      <xdr:colOff>585108</xdr:colOff>
      <xdr:row>46</xdr:row>
      <xdr:rowOff>43542</xdr:rowOff>
    </xdr:from>
    <xdr:to>
      <xdr:col>59</xdr:col>
      <xdr:colOff>258536</xdr:colOff>
      <xdr:row>60</xdr:row>
      <xdr:rowOff>119742</xdr:rowOff>
    </xdr:to>
    <xdr:graphicFrame macro="">
      <xdr:nvGraphicFramePr>
        <xdr:cNvPr id="11" name="Chart 10">
          <a:extLst>
            <a:ext uri="{FF2B5EF4-FFF2-40B4-BE49-F238E27FC236}">
              <a16:creationId xmlns:a16="http://schemas.microsoft.com/office/drawing/2014/main" id="{DC9679C2-148A-4820-B589-A056CEC797E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1"/>
        </a:graphicData>
      </a:graphic>
    </xdr:graphicFrame>
    <xdr:clientData/>
  </xdr:twoCellAnchor>
  <xdr:twoCellAnchor>
    <xdr:from>
      <xdr:col>51</xdr:col>
      <xdr:colOff>598715</xdr:colOff>
      <xdr:row>75</xdr:row>
      <xdr:rowOff>179614</xdr:rowOff>
    </xdr:from>
    <xdr:to>
      <xdr:col>59</xdr:col>
      <xdr:colOff>272143</xdr:colOff>
      <xdr:row>86</xdr:row>
      <xdr:rowOff>0</xdr:rowOff>
    </xdr:to>
    <xdr:graphicFrame macro="">
      <xdr:nvGraphicFramePr>
        <xdr:cNvPr id="13" name="Chart 12">
          <a:extLst>
            <a:ext uri="{FF2B5EF4-FFF2-40B4-BE49-F238E27FC236}">
              <a16:creationId xmlns:a16="http://schemas.microsoft.com/office/drawing/2014/main" id="{80EBEC95-084F-4AAE-BF6A-1995622B8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2"/>
        </a:graphicData>
      </a:graphic>
    </xdr:graphicFrame>
    <xdr:clientData/>
  </xdr:twoCellAnchor>
  <xdr:twoCellAnchor>
    <xdr:from>
      <xdr:col>44</xdr:col>
      <xdr:colOff>15875</xdr:colOff>
      <xdr:row>3</xdr:row>
      <xdr:rowOff>17462</xdr:rowOff>
    </xdr:from>
    <xdr:to>
      <xdr:col>51</xdr:col>
      <xdr:colOff>365125</xdr:colOff>
      <xdr:row>16</xdr:row>
      <xdr:rowOff>109537</xdr:rowOff>
    </xdr:to>
    <xdr:graphicFrame macro="">
      <xdr:nvGraphicFramePr>
        <xdr:cNvPr id="26" name="Chart 25">
          <a:extLst>
            <a:ext uri="{FF2B5EF4-FFF2-40B4-BE49-F238E27FC236}">
              <a16:creationId xmlns:a16="http://schemas.microsoft.com/office/drawing/2014/main" id="{7E0CC1AC-5ACE-4FB6-967A-D36EB11C00CF}"/>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3"/>
        </a:graphicData>
      </a:graphic>
    </xdr:graphicFrame>
    <xdr:clientData/>
  </xdr:twoCellAnchor>
  <xdr:twoCellAnchor>
    <xdr:from>
      <xdr:col>44</xdr:col>
      <xdr:colOff>31750</xdr:colOff>
      <xdr:row>16</xdr:row>
      <xdr:rowOff>173568</xdr:rowOff>
    </xdr:from>
    <xdr:to>
      <xdr:col>51</xdr:col>
      <xdr:colOff>306917</xdr:colOff>
      <xdr:row>30</xdr:row>
      <xdr:rowOff>154518</xdr:rowOff>
    </xdr:to>
    <xdr:graphicFrame macro="">
      <xdr:nvGraphicFramePr>
        <xdr:cNvPr id="27" name="Chart 26">
          <a:extLst>
            <a:ext uri="{FF2B5EF4-FFF2-40B4-BE49-F238E27FC236}">
              <a16:creationId xmlns:a16="http://schemas.microsoft.com/office/drawing/2014/main" id="{6DA32394-3C1F-4763-A978-58F756E48DB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4"/>
        </a:graphicData>
      </a:graphic>
    </xdr:graphicFrame>
    <xdr:clientData/>
  </xdr:twoCellAnchor>
  <xdr:twoCellAnchor>
    <xdr:from>
      <xdr:col>44</xdr:col>
      <xdr:colOff>31750</xdr:colOff>
      <xdr:row>31</xdr:row>
      <xdr:rowOff>57150</xdr:rowOff>
    </xdr:from>
    <xdr:to>
      <xdr:col>51</xdr:col>
      <xdr:colOff>306917</xdr:colOff>
      <xdr:row>45</xdr:row>
      <xdr:rowOff>133350</xdr:rowOff>
    </xdr:to>
    <xdr:graphicFrame macro="">
      <xdr:nvGraphicFramePr>
        <xdr:cNvPr id="28" name="Chart 27">
          <a:extLst>
            <a:ext uri="{FF2B5EF4-FFF2-40B4-BE49-F238E27FC236}">
              <a16:creationId xmlns:a16="http://schemas.microsoft.com/office/drawing/2014/main" id="{38FB3E10-A726-4475-9AD5-EEB5477095A9}"/>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5"/>
        </a:graphicData>
      </a:graphic>
    </xdr:graphicFrame>
    <xdr:clientData/>
  </xdr:twoCellAnchor>
  <xdr:twoCellAnchor>
    <xdr:from>
      <xdr:col>44</xdr:col>
      <xdr:colOff>26457</xdr:colOff>
      <xdr:row>46</xdr:row>
      <xdr:rowOff>25401</xdr:rowOff>
    </xdr:from>
    <xdr:to>
      <xdr:col>51</xdr:col>
      <xdr:colOff>301624</xdr:colOff>
      <xdr:row>60</xdr:row>
      <xdr:rowOff>101601</xdr:rowOff>
    </xdr:to>
    <xdr:graphicFrame macro="">
      <xdr:nvGraphicFramePr>
        <xdr:cNvPr id="29" name="Chart 28">
          <a:extLst>
            <a:ext uri="{FF2B5EF4-FFF2-40B4-BE49-F238E27FC236}">
              <a16:creationId xmlns:a16="http://schemas.microsoft.com/office/drawing/2014/main" id="{3414FC33-653D-4FC9-8CF0-D826C2850D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6"/>
        </a:graphicData>
      </a:graphic>
    </xdr:graphicFrame>
    <xdr:clientData/>
  </xdr:twoCellAnchor>
  <xdr:twoCellAnchor>
    <xdr:from>
      <xdr:col>44</xdr:col>
      <xdr:colOff>37040</xdr:colOff>
      <xdr:row>60</xdr:row>
      <xdr:rowOff>184150</xdr:rowOff>
    </xdr:from>
    <xdr:to>
      <xdr:col>51</xdr:col>
      <xdr:colOff>312207</xdr:colOff>
      <xdr:row>75</xdr:row>
      <xdr:rowOff>69850</xdr:rowOff>
    </xdr:to>
    <xdr:graphicFrame macro="">
      <xdr:nvGraphicFramePr>
        <xdr:cNvPr id="30" name="Chart 29">
          <a:extLst>
            <a:ext uri="{FF2B5EF4-FFF2-40B4-BE49-F238E27FC236}">
              <a16:creationId xmlns:a16="http://schemas.microsoft.com/office/drawing/2014/main" id="{FD1E4D1D-980F-43ED-B4C2-9AA19CD5870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7"/>
        </a:graphicData>
      </a:graphic>
    </xdr:graphicFrame>
    <xdr:clientData/>
  </xdr:twoCellAnchor>
  <xdr:twoCellAnchor>
    <xdr:from>
      <xdr:col>44</xdr:col>
      <xdr:colOff>47624</xdr:colOff>
      <xdr:row>75</xdr:row>
      <xdr:rowOff>131233</xdr:rowOff>
    </xdr:from>
    <xdr:to>
      <xdr:col>51</xdr:col>
      <xdr:colOff>322791</xdr:colOff>
      <xdr:row>90</xdr:row>
      <xdr:rowOff>136070</xdr:rowOff>
    </xdr:to>
    <xdr:graphicFrame macro="">
      <xdr:nvGraphicFramePr>
        <xdr:cNvPr id="31" name="Chart 30">
          <a:extLst>
            <a:ext uri="{FF2B5EF4-FFF2-40B4-BE49-F238E27FC236}">
              <a16:creationId xmlns:a16="http://schemas.microsoft.com/office/drawing/2014/main" id="{03804A15-0E59-4E16-93C8-B9927B2D4C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8"/>
        </a:graphicData>
      </a:graphic>
    </xdr:graphicFrame>
    <xdr:clientData/>
  </xdr:twoCellAnchor>
  <xdr:twoCellAnchor>
    <xdr:from>
      <xdr:col>51</xdr:col>
      <xdr:colOff>517071</xdr:colOff>
      <xdr:row>3</xdr:row>
      <xdr:rowOff>0</xdr:rowOff>
    </xdr:from>
    <xdr:to>
      <xdr:col>59</xdr:col>
      <xdr:colOff>190499</xdr:colOff>
      <xdr:row>16</xdr:row>
      <xdr:rowOff>103414</xdr:rowOff>
    </xdr:to>
    <xdr:graphicFrame macro="">
      <xdr:nvGraphicFramePr>
        <xdr:cNvPr id="32" name="Chart 31">
          <a:extLst>
            <a:ext uri="{FF2B5EF4-FFF2-40B4-BE49-F238E27FC236}">
              <a16:creationId xmlns:a16="http://schemas.microsoft.com/office/drawing/2014/main" id="{21E3B838-30E6-4956-96F4-32A150A3DBC0}"/>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9"/>
        </a:graphicData>
      </a:graphic>
    </xdr:graphicFrame>
    <xdr:clientData/>
  </xdr:twoCellAnchor>
  <xdr:twoCellAnchor>
    <xdr:from>
      <xdr:col>51</xdr:col>
      <xdr:colOff>530679</xdr:colOff>
      <xdr:row>16</xdr:row>
      <xdr:rowOff>193220</xdr:rowOff>
    </xdr:from>
    <xdr:to>
      <xdr:col>59</xdr:col>
      <xdr:colOff>204107</xdr:colOff>
      <xdr:row>30</xdr:row>
      <xdr:rowOff>146956</xdr:rowOff>
    </xdr:to>
    <xdr:graphicFrame macro="">
      <xdr:nvGraphicFramePr>
        <xdr:cNvPr id="33" name="Chart 32">
          <a:extLst>
            <a:ext uri="{FF2B5EF4-FFF2-40B4-BE49-F238E27FC236}">
              <a16:creationId xmlns:a16="http://schemas.microsoft.com/office/drawing/2014/main" id="{75415948-0344-4C4D-9C62-48ED0FB93C0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0"/>
        </a:graphicData>
      </a:graphic>
    </xdr:graphicFrame>
    <xdr:clientData/>
  </xdr:twoCellAnchor>
  <xdr:twoCellAnchor>
    <xdr:from>
      <xdr:col>51</xdr:col>
      <xdr:colOff>557893</xdr:colOff>
      <xdr:row>31</xdr:row>
      <xdr:rowOff>43542</xdr:rowOff>
    </xdr:from>
    <xdr:to>
      <xdr:col>59</xdr:col>
      <xdr:colOff>231321</xdr:colOff>
      <xdr:row>45</xdr:row>
      <xdr:rowOff>119742</xdr:rowOff>
    </xdr:to>
    <xdr:graphicFrame macro="">
      <xdr:nvGraphicFramePr>
        <xdr:cNvPr id="34" name="Chart 33">
          <a:extLst>
            <a:ext uri="{FF2B5EF4-FFF2-40B4-BE49-F238E27FC236}">
              <a16:creationId xmlns:a16="http://schemas.microsoft.com/office/drawing/2014/main" id="{C5F5E83E-0E54-435C-8468-61947B40DA77}"/>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1"/>
        </a:graphicData>
      </a:graphic>
    </xdr:graphicFrame>
    <xdr:clientData/>
  </xdr:twoCellAnchor>
  <xdr:twoCellAnchor>
    <xdr:from>
      <xdr:col>51</xdr:col>
      <xdr:colOff>585108</xdr:colOff>
      <xdr:row>46</xdr:row>
      <xdr:rowOff>43542</xdr:rowOff>
    </xdr:from>
    <xdr:to>
      <xdr:col>59</xdr:col>
      <xdr:colOff>258536</xdr:colOff>
      <xdr:row>60</xdr:row>
      <xdr:rowOff>119742</xdr:rowOff>
    </xdr:to>
    <xdr:graphicFrame macro="">
      <xdr:nvGraphicFramePr>
        <xdr:cNvPr id="35" name="Chart 34">
          <a:extLst>
            <a:ext uri="{FF2B5EF4-FFF2-40B4-BE49-F238E27FC236}">
              <a16:creationId xmlns:a16="http://schemas.microsoft.com/office/drawing/2014/main" id="{231C690C-A738-4E9D-9813-015D5A11C20D}"/>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2"/>
        </a:graphicData>
      </a:graphic>
    </xdr:graphicFrame>
    <xdr:clientData/>
  </xdr:twoCellAnchor>
  <xdr:twoCellAnchor>
    <xdr:from>
      <xdr:col>51</xdr:col>
      <xdr:colOff>598715</xdr:colOff>
      <xdr:row>75</xdr:row>
      <xdr:rowOff>179613</xdr:rowOff>
    </xdr:from>
    <xdr:to>
      <xdr:col>59</xdr:col>
      <xdr:colOff>272143</xdr:colOff>
      <xdr:row>90</xdr:row>
      <xdr:rowOff>108856</xdr:rowOff>
    </xdr:to>
    <xdr:graphicFrame macro="">
      <xdr:nvGraphicFramePr>
        <xdr:cNvPr id="37" name="Chart 36">
          <a:extLst>
            <a:ext uri="{FF2B5EF4-FFF2-40B4-BE49-F238E27FC236}">
              <a16:creationId xmlns:a16="http://schemas.microsoft.com/office/drawing/2014/main" id="{4C783450-84C5-4015-9A24-94533F8D1B9C}"/>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3"/>
        </a:graphicData>
      </a:graphic>
    </xdr:graphicFrame>
    <xdr:clientData/>
  </xdr:twoCellAnchor>
</xdr:wsDr>
</file>

<file path=xl/drawings/drawing2.xml><?xml version="1.0" encoding="utf-8"?>
<xdr:wsDr xmlns:xdr="http://schemas.openxmlformats.org/drawingml/2006/spreadsheetDrawing" xmlns:a="http://schemas.openxmlformats.org/drawingml/2006/main">
  <xdr:twoCellAnchor>
    <xdr:from>
      <xdr:col>44</xdr:col>
      <xdr:colOff>28574</xdr:colOff>
      <xdr:row>4</xdr:row>
      <xdr:rowOff>114300</xdr:rowOff>
    </xdr:from>
    <xdr:to>
      <xdr:col>51</xdr:col>
      <xdr:colOff>333374</xdr:colOff>
      <xdr:row>17</xdr:row>
      <xdr:rowOff>171450</xdr:rowOff>
    </xdr:to>
    <xdr:graphicFrame macro="">
      <xdr:nvGraphicFramePr>
        <xdr:cNvPr id="15" name="Chart 14">
          <a:extLst>
            <a:ext uri="{FF2B5EF4-FFF2-40B4-BE49-F238E27FC236}">
              <a16:creationId xmlns:a16="http://schemas.microsoft.com/office/drawing/2014/main" id="{C8CB63DC-C4FE-4967-A276-4BFC04AA6B4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47624</xdr:colOff>
      <xdr:row>17</xdr:row>
      <xdr:rowOff>190500</xdr:rowOff>
    </xdr:from>
    <xdr:to>
      <xdr:col>51</xdr:col>
      <xdr:colOff>352424</xdr:colOff>
      <xdr:row>31</xdr:row>
      <xdr:rowOff>114300</xdr:rowOff>
    </xdr:to>
    <xdr:graphicFrame macro="">
      <xdr:nvGraphicFramePr>
        <xdr:cNvPr id="16" name="Chart 15">
          <a:extLst>
            <a:ext uri="{FF2B5EF4-FFF2-40B4-BE49-F238E27FC236}">
              <a16:creationId xmlns:a16="http://schemas.microsoft.com/office/drawing/2014/main" id="{E2B38ECF-BF19-73FF-9E0D-2EDB47A7263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66674</xdr:colOff>
      <xdr:row>31</xdr:row>
      <xdr:rowOff>133350</xdr:rowOff>
    </xdr:from>
    <xdr:to>
      <xdr:col>51</xdr:col>
      <xdr:colOff>371474</xdr:colOff>
      <xdr:row>46</xdr:row>
      <xdr:rowOff>19050</xdr:rowOff>
    </xdr:to>
    <xdr:graphicFrame macro="">
      <xdr:nvGraphicFramePr>
        <xdr:cNvPr id="17" name="Chart 16">
          <a:extLst>
            <a:ext uri="{FF2B5EF4-FFF2-40B4-BE49-F238E27FC236}">
              <a16:creationId xmlns:a16="http://schemas.microsoft.com/office/drawing/2014/main" id="{FEFF44BF-1ACD-3386-33E8-79DF3F2A9D3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85724</xdr:colOff>
      <xdr:row>46</xdr:row>
      <xdr:rowOff>57150</xdr:rowOff>
    </xdr:from>
    <xdr:to>
      <xdr:col>51</xdr:col>
      <xdr:colOff>390524</xdr:colOff>
      <xdr:row>60</xdr:row>
      <xdr:rowOff>133350</xdr:rowOff>
    </xdr:to>
    <xdr:graphicFrame macro="">
      <xdr:nvGraphicFramePr>
        <xdr:cNvPr id="18" name="Chart 17">
          <a:extLst>
            <a:ext uri="{FF2B5EF4-FFF2-40B4-BE49-F238E27FC236}">
              <a16:creationId xmlns:a16="http://schemas.microsoft.com/office/drawing/2014/main" id="{BFB4D0B6-2ED3-4618-4346-DFBE4A17193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85724</xdr:colOff>
      <xdr:row>60</xdr:row>
      <xdr:rowOff>152400</xdr:rowOff>
    </xdr:from>
    <xdr:to>
      <xdr:col>51</xdr:col>
      <xdr:colOff>390524</xdr:colOff>
      <xdr:row>75</xdr:row>
      <xdr:rowOff>38100</xdr:rowOff>
    </xdr:to>
    <xdr:graphicFrame macro="">
      <xdr:nvGraphicFramePr>
        <xdr:cNvPr id="19" name="Chart 18">
          <a:extLst>
            <a:ext uri="{FF2B5EF4-FFF2-40B4-BE49-F238E27FC236}">
              <a16:creationId xmlns:a16="http://schemas.microsoft.com/office/drawing/2014/main" id="{D53F0E72-F35B-EC47-7EC7-690E46ABBE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85724</xdr:colOff>
      <xdr:row>75</xdr:row>
      <xdr:rowOff>57150</xdr:rowOff>
    </xdr:from>
    <xdr:to>
      <xdr:col>51</xdr:col>
      <xdr:colOff>390524</xdr:colOff>
      <xdr:row>89</xdr:row>
      <xdr:rowOff>11906</xdr:rowOff>
    </xdr:to>
    <xdr:graphicFrame macro="">
      <xdr:nvGraphicFramePr>
        <xdr:cNvPr id="20" name="Chart 19">
          <a:extLst>
            <a:ext uri="{FF2B5EF4-FFF2-40B4-BE49-F238E27FC236}">
              <a16:creationId xmlns:a16="http://schemas.microsoft.com/office/drawing/2014/main" id="{2C773DFB-A7C6-7317-C7C2-E8D0727E3487}"/>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523874</xdr:colOff>
      <xdr:row>4</xdr:row>
      <xdr:rowOff>95250</xdr:rowOff>
    </xdr:from>
    <xdr:to>
      <xdr:col>59</xdr:col>
      <xdr:colOff>219074</xdr:colOff>
      <xdr:row>17</xdr:row>
      <xdr:rowOff>152400</xdr:rowOff>
    </xdr:to>
    <xdr:graphicFrame macro="">
      <xdr:nvGraphicFramePr>
        <xdr:cNvPr id="21" name="Chart 20">
          <a:extLst>
            <a:ext uri="{FF2B5EF4-FFF2-40B4-BE49-F238E27FC236}">
              <a16:creationId xmlns:a16="http://schemas.microsoft.com/office/drawing/2014/main" id="{F453AD02-5567-89CF-0086-E9A2380760D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542924</xdr:colOff>
      <xdr:row>17</xdr:row>
      <xdr:rowOff>171450</xdr:rowOff>
    </xdr:from>
    <xdr:to>
      <xdr:col>59</xdr:col>
      <xdr:colOff>238124</xdr:colOff>
      <xdr:row>31</xdr:row>
      <xdr:rowOff>95250</xdr:rowOff>
    </xdr:to>
    <xdr:graphicFrame macro="">
      <xdr:nvGraphicFramePr>
        <xdr:cNvPr id="22" name="Chart 21">
          <a:extLst>
            <a:ext uri="{FF2B5EF4-FFF2-40B4-BE49-F238E27FC236}">
              <a16:creationId xmlns:a16="http://schemas.microsoft.com/office/drawing/2014/main" id="{CBA6A1FD-7652-A58A-61E9-8956D757F55F}"/>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542924</xdr:colOff>
      <xdr:row>31</xdr:row>
      <xdr:rowOff>95250</xdr:rowOff>
    </xdr:from>
    <xdr:to>
      <xdr:col>59</xdr:col>
      <xdr:colOff>238124</xdr:colOff>
      <xdr:row>45</xdr:row>
      <xdr:rowOff>171450</xdr:rowOff>
    </xdr:to>
    <xdr:graphicFrame macro="">
      <xdr:nvGraphicFramePr>
        <xdr:cNvPr id="23" name="Chart 22">
          <a:extLst>
            <a:ext uri="{FF2B5EF4-FFF2-40B4-BE49-F238E27FC236}">
              <a16:creationId xmlns:a16="http://schemas.microsoft.com/office/drawing/2014/main" id="{56E25EAE-6641-15FD-DFB8-8637D711E95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542924</xdr:colOff>
      <xdr:row>45</xdr:row>
      <xdr:rowOff>152400</xdr:rowOff>
    </xdr:from>
    <xdr:to>
      <xdr:col>59</xdr:col>
      <xdr:colOff>238124</xdr:colOff>
      <xdr:row>60</xdr:row>
      <xdr:rowOff>38100</xdr:rowOff>
    </xdr:to>
    <xdr:graphicFrame macro="">
      <xdr:nvGraphicFramePr>
        <xdr:cNvPr id="24" name="Chart 23">
          <a:extLst>
            <a:ext uri="{FF2B5EF4-FFF2-40B4-BE49-F238E27FC236}">
              <a16:creationId xmlns:a16="http://schemas.microsoft.com/office/drawing/2014/main" id="{501939E3-6B90-4C08-B9D2-3340A2B08CE1}"/>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52</xdr:col>
      <xdr:colOff>9524</xdr:colOff>
      <xdr:row>74</xdr:row>
      <xdr:rowOff>152399</xdr:rowOff>
    </xdr:from>
    <xdr:to>
      <xdr:col>59</xdr:col>
      <xdr:colOff>314324</xdr:colOff>
      <xdr:row>89</xdr:row>
      <xdr:rowOff>23812</xdr:rowOff>
    </xdr:to>
    <xdr:graphicFrame macro="">
      <xdr:nvGraphicFramePr>
        <xdr:cNvPr id="26" name="Chart 25">
          <a:extLst>
            <a:ext uri="{FF2B5EF4-FFF2-40B4-BE49-F238E27FC236}">
              <a16:creationId xmlns:a16="http://schemas.microsoft.com/office/drawing/2014/main" id="{E8C23C1A-66A5-C3B6-F5DE-BD5B8F5CE4F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drawings/drawing3.xml><?xml version="1.0" encoding="utf-8"?>
<xdr:wsDr xmlns:xdr="http://schemas.openxmlformats.org/drawingml/2006/spreadsheetDrawing" xmlns:a="http://schemas.openxmlformats.org/drawingml/2006/main">
  <xdr:twoCellAnchor>
    <xdr:from>
      <xdr:col>44</xdr:col>
      <xdr:colOff>28574</xdr:colOff>
      <xdr:row>3</xdr:row>
      <xdr:rowOff>0</xdr:rowOff>
    </xdr:from>
    <xdr:to>
      <xdr:col>51</xdr:col>
      <xdr:colOff>333374</xdr:colOff>
      <xdr:row>16</xdr:row>
      <xdr:rowOff>57150</xdr:rowOff>
    </xdr:to>
    <xdr:graphicFrame macro="">
      <xdr:nvGraphicFramePr>
        <xdr:cNvPr id="26" name="Chart 25">
          <a:extLst>
            <a:ext uri="{FF2B5EF4-FFF2-40B4-BE49-F238E27FC236}">
              <a16:creationId xmlns:a16="http://schemas.microsoft.com/office/drawing/2014/main" id="{0D6FE216-8404-4574-23B0-999A9A610B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44</xdr:col>
      <xdr:colOff>28574</xdr:colOff>
      <xdr:row>16</xdr:row>
      <xdr:rowOff>133350</xdr:rowOff>
    </xdr:from>
    <xdr:to>
      <xdr:col>51</xdr:col>
      <xdr:colOff>333374</xdr:colOff>
      <xdr:row>30</xdr:row>
      <xdr:rowOff>38100</xdr:rowOff>
    </xdr:to>
    <xdr:graphicFrame macro="">
      <xdr:nvGraphicFramePr>
        <xdr:cNvPr id="27" name="Chart 26">
          <a:extLst>
            <a:ext uri="{FF2B5EF4-FFF2-40B4-BE49-F238E27FC236}">
              <a16:creationId xmlns:a16="http://schemas.microsoft.com/office/drawing/2014/main" id="{A35F2FFE-0FD8-C9E0-92F8-7ED1C8E0B3D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44</xdr:col>
      <xdr:colOff>47624</xdr:colOff>
      <xdr:row>30</xdr:row>
      <xdr:rowOff>76200</xdr:rowOff>
    </xdr:from>
    <xdr:to>
      <xdr:col>51</xdr:col>
      <xdr:colOff>352424</xdr:colOff>
      <xdr:row>44</xdr:row>
      <xdr:rowOff>152400</xdr:rowOff>
    </xdr:to>
    <xdr:graphicFrame macro="">
      <xdr:nvGraphicFramePr>
        <xdr:cNvPr id="28" name="Chart 27">
          <a:extLst>
            <a:ext uri="{FF2B5EF4-FFF2-40B4-BE49-F238E27FC236}">
              <a16:creationId xmlns:a16="http://schemas.microsoft.com/office/drawing/2014/main" id="{74F6AE2D-4308-1E4D-B1CF-C916D109491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44</xdr:col>
      <xdr:colOff>47624</xdr:colOff>
      <xdr:row>44</xdr:row>
      <xdr:rowOff>152400</xdr:rowOff>
    </xdr:from>
    <xdr:to>
      <xdr:col>51</xdr:col>
      <xdr:colOff>352424</xdr:colOff>
      <xdr:row>59</xdr:row>
      <xdr:rowOff>38100</xdr:rowOff>
    </xdr:to>
    <xdr:graphicFrame macro="">
      <xdr:nvGraphicFramePr>
        <xdr:cNvPr id="29" name="Chart 28">
          <a:extLst>
            <a:ext uri="{FF2B5EF4-FFF2-40B4-BE49-F238E27FC236}">
              <a16:creationId xmlns:a16="http://schemas.microsoft.com/office/drawing/2014/main" id="{945381D3-9E51-B377-6435-709EBB88D819}"/>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44</xdr:col>
      <xdr:colOff>66674</xdr:colOff>
      <xdr:row>59</xdr:row>
      <xdr:rowOff>95250</xdr:rowOff>
    </xdr:from>
    <xdr:to>
      <xdr:col>51</xdr:col>
      <xdr:colOff>371474</xdr:colOff>
      <xdr:row>73</xdr:row>
      <xdr:rowOff>171450</xdr:rowOff>
    </xdr:to>
    <xdr:graphicFrame macro="">
      <xdr:nvGraphicFramePr>
        <xdr:cNvPr id="30" name="Chart 29">
          <a:extLst>
            <a:ext uri="{FF2B5EF4-FFF2-40B4-BE49-F238E27FC236}">
              <a16:creationId xmlns:a16="http://schemas.microsoft.com/office/drawing/2014/main" id="{0D3E96E2-61D8-EE40-6395-254A3093489B}"/>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44</xdr:col>
      <xdr:colOff>104774</xdr:colOff>
      <xdr:row>74</xdr:row>
      <xdr:rowOff>38100</xdr:rowOff>
    </xdr:from>
    <xdr:to>
      <xdr:col>51</xdr:col>
      <xdr:colOff>409574</xdr:colOff>
      <xdr:row>87</xdr:row>
      <xdr:rowOff>95250</xdr:rowOff>
    </xdr:to>
    <xdr:graphicFrame macro="">
      <xdr:nvGraphicFramePr>
        <xdr:cNvPr id="31" name="Chart 30">
          <a:extLst>
            <a:ext uri="{FF2B5EF4-FFF2-40B4-BE49-F238E27FC236}">
              <a16:creationId xmlns:a16="http://schemas.microsoft.com/office/drawing/2014/main" id="{9C01FEB4-A997-361A-2B1D-73E28D103978}"/>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51</xdr:col>
      <xdr:colOff>447674</xdr:colOff>
      <xdr:row>3</xdr:row>
      <xdr:rowOff>0</xdr:rowOff>
    </xdr:from>
    <xdr:to>
      <xdr:col>59</xdr:col>
      <xdr:colOff>142874</xdr:colOff>
      <xdr:row>16</xdr:row>
      <xdr:rowOff>57150</xdr:rowOff>
    </xdr:to>
    <xdr:graphicFrame macro="">
      <xdr:nvGraphicFramePr>
        <xdr:cNvPr id="32" name="Chart 31">
          <a:extLst>
            <a:ext uri="{FF2B5EF4-FFF2-40B4-BE49-F238E27FC236}">
              <a16:creationId xmlns:a16="http://schemas.microsoft.com/office/drawing/2014/main" id="{31E3457C-0640-E6FB-2C3E-58742D11AB4E}"/>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7"/>
        </a:graphicData>
      </a:graphic>
    </xdr:graphicFrame>
    <xdr:clientData/>
  </xdr:twoCellAnchor>
  <xdr:twoCellAnchor>
    <xdr:from>
      <xdr:col>51</xdr:col>
      <xdr:colOff>466724</xdr:colOff>
      <xdr:row>16</xdr:row>
      <xdr:rowOff>114300</xdr:rowOff>
    </xdr:from>
    <xdr:to>
      <xdr:col>59</xdr:col>
      <xdr:colOff>161924</xdr:colOff>
      <xdr:row>30</xdr:row>
      <xdr:rowOff>19050</xdr:rowOff>
    </xdr:to>
    <xdr:graphicFrame macro="">
      <xdr:nvGraphicFramePr>
        <xdr:cNvPr id="33" name="Chart 32">
          <a:extLst>
            <a:ext uri="{FF2B5EF4-FFF2-40B4-BE49-F238E27FC236}">
              <a16:creationId xmlns:a16="http://schemas.microsoft.com/office/drawing/2014/main" id="{47997B1C-1F1F-459D-65D3-B17B915A280A}"/>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8"/>
        </a:graphicData>
      </a:graphic>
    </xdr:graphicFrame>
    <xdr:clientData/>
  </xdr:twoCellAnchor>
  <xdr:twoCellAnchor>
    <xdr:from>
      <xdr:col>51</xdr:col>
      <xdr:colOff>485774</xdr:colOff>
      <xdr:row>30</xdr:row>
      <xdr:rowOff>76200</xdr:rowOff>
    </xdr:from>
    <xdr:to>
      <xdr:col>59</xdr:col>
      <xdr:colOff>180974</xdr:colOff>
      <xdr:row>44</xdr:row>
      <xdr:rowOff>152400</xdr:rowOff>
    </xdr:to>
    <xdr:graphicFrame macro="">
      <xdr:nvGraphicFramePr>
        <xdr:cNvPr id="34" name="Chart 33">
          <a:extLst>
            <a:ext uri="{FF2B5EF4-FFF2-40B4-BE49-F238E27FC236}">
              <a16:creationId xmlns:a16="http://schemas.microsoft.com/office/drawing/2014/main" id="{F89F1011-D897-1866-89EE-898B48D668D2}"/>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9"/>
        </a:graphicData>
      </a:graphic>
    </xdr:graphicFrame>
    <xdr:clientData/>
  </xdr:twoCellAnchor>
  <xdr:twoCellAnchor>
    <xdr:from>
      <xdr:col>51</xdr:col>
      <xdr:colOff>485774</xdr:colOff>
      <xdr:row>44</xdr:row>
      <xdr:rowOff>171450</xdr:rowOff>
    </xdr:from>
    <xdr:to>
      <xdr:col>59</xdr:col>
      <xdr:colOff>180974</xdr:colOff>
      <xdr:row>59</xdr:row>
      <xdr:rowOff>57150</xdr:rowOff>
    </xdr:to>
    <xdr:graphicFrame macro="">
      <xdr:nvGraphicFramePr>
        <xdr:cNvPr id="35" name="Chart 34">
          <a:extLst>
            <a:ext uri="{FF2B5EF4-FFF2-40B4-BE49-F238E27FC236}">
              <a16:creationId xmlns:a16="http://schemas.microsoft.com/office/drawing/2014/main" id="{E737FFB1-8787-553B-738B-05D87D5B7783}"/>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0"/>
        </a:graphicData>
      </a:graphic>
    </xdr:graphicFrame>
    <xdr:clientData/>
  </xdr:twoCellAnchor>
  <xdr:twoCellAnchor>
    <xdr:from>
      <xdr:col>51</xdr:col>
      <xdr:colOff>504824</xdr:colOff>
      <xdr:row>74</xdr:row>
      <xdr:rowOff>19050</xdr:rowOff>
    </xdr:from>
    <xdr:to>
      <xdr:col>59</xdr:col>
      <xdr:colOff>200024</xdr:colOff>
      <xdr:row>87</xdr:row>
      <xdr:rowOff>95250</xdr:rowOff>
    </xdr:to>
    <xdr:graphicFrame macro="">
      <xdr:nvGraphicFramePr>
        <xdr:cNvPr id="37" name="Chart 36">
          <a:extLst>
            <a:ext uri="{FF2B5EF4-FFF2-40B4-BE49-F238E27FC236}">
              <a16:creationId xmlns:a16="http://schemas.microsoft.com/office/drawing/2014/main" id="{AD884381-D430-928C-0C8B-D9C83B66CCF4}"/>
            </a:ext>
          </a:extLst>
        </xdr:cNvPr>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1"/>
        </a:graphicData>
      </a:graphic>
    </xdr:graphicFrame>
    <xdr:clientData/>
  </xdr:twoCellAnchor>
</xdr:wsDr>
</file>

<file path=xl/theme/theme1.xml><?xml version="1.0" encoding="utf-8"?>
<a:theme xmlns:a="http://schemas.openxmlformats.org/drawingml/2006/main" name="Office 2013 - 2022 Theme">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2.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3.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9225639C-3495-4986-B33D-778B115A1984}">
  <dimension ref="A1:CJ118"/>
  <sheetViews>
    <sheetView zoomScale="50" zoomScaleNormal="50" workbookViewId="0">
      <selection activeCell="B1" sqref="B1:Z4"/>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s>
  <sheetData>
    <row r="1" spans="1:76" s="6" customFormat="1" x14ac:dyDescent="0.25">
      <c r="B1" s="160" t="s">
        <v>116</v>
      </c>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76" s="6" customFormat="1" x14ac:dyDescent="0.25">
      <c r="B2" s="160"/>
      <c r="C2" s="160"/>
      <c r="D2" s="160"/>
      <c r="E2" s="160"/>
      <c r="F2" s="160"/>
      <c r="G2" s="160"/>
      <c r="H2" s="160"/>
      <c r="I2" s="160"/>
      <c r="J2" s="160"/>
      <c r="K2" s="160"/>
      <c r="L2" s="160"/>
      <c r="M2" s="160"/>
      <c r="N2" s="160"/>
      <c r="O2" s="160"/>
      <c r="P2" s="160"/>
      <c r="Q2" s="160"/>
      <c r="R2" s="160"/>
      <c r="S2" s="160"/>
      <c r="T2" s="160"/>
      <c r="U2" s="160"/>
      <c r="V2" s="160"/>
      <c r="W2" s="160"/>
      <c r="X2" s="160"/>
      <c r="Y2" s="160"/>
      <c r="Z2" s="160"/>
    </row>
    <row r="3" spans="1:76" s="6" customFormat="1" x14ac:dyDescent="0.25">
      <c r="B3" s="160"/>
      <c r="C3" s="160"/>
      <c r="D3" s="160"/>
      <c r="E3" s="160"/>
      <c r="F3" s="160"/>
      <c r="G3" s="160"/>
      <c r="H3" s="160"/>
      <c r="I3" s="160"/>
      <c r="J3" s="160"/>
      <c r="K3" s="160"/>
      <c r="L3" s="160"/>
      <c r="M3" s="160"/>
      <c r="N3" s="160"/>
      <c r="O3" s="160"/>
      <c r="P3" s="160"/>
      <c r="Q3" s="160"/>
      <c r="R3" s="160"/>
      <c r="S3" s="160"/>
      <c r="T3" s="160"/>
      <c r="U3" s="160"/>
      <c r="V3" s="160"/>
      <c r="W3" s="160"/>
      <c r="X3" s="160"/>
      <c r="Y3" s="160"/>
      <c r="Z3" s="160"/>
    </row>
    <row r="4" spans="1:76" s="6" customFormat="1" ht="15.75" thickBot="1" x14ac:dyDescent="0.3">
      <c r="B4" s="161"/>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8" t="s">
        <v>77</v>
      </c>
      <c r="AI5" s="99"/>
      <c r="AJ5" s="99"/>
      <c r="AK5" s="99"/>
      <c r="AL5" s="100"/>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2" t="s">
        <v>17</v>
      </c>
      <c r="D6" s="133"/>
      <c r="E6" s="133"/>
      <c r="F6" s="133"/>
      <c r="G6" s="133"/>
      <c r="H6" s="133"/>
      <c r="I6" s="133"/>
      <c r="J6" s="133"/>
      <c r="K6" s="133"/>
      <c r="L6" s="133"/>
      <c r="M6" s="133"/>
      <c r="N6" s="133"/>
      <c r="O6" s="133"/>
      <c r="P6" s="133"/>
      <c r="Q6" s="134"/>
      <c r="R6" s="132" t="s">
        <v>18</v>
      </c>
      <c r="S6" s="133"/>
      <c r="T6" s="133"/>
      <c r="U6" s="133"/>
      <c r="V6" s="133"/>
      <c r="W6" s="133"/>
      <c r="X6" s="133"/>
      <c r="Y6" s="133"/>
      <c r="Z6" s="134"/>
      <c r="AA6" s="6"/>
      <c r="AB6" s="6"/>
      <c r="AC6" s="6"/>
      <c r="AD6" s="6"/>
      <c r="AE6" s="6"/>
      <c r="AF6" s="6"/>
      <c r="AG6" s="6"/>
      <c r="AH6" s="101"/>
      <c r="AI6" s="102"/>
      <c r="AJ6" s="102"/>
      <c r="AK6" s="102"/>
      <c r="AL6" s="103"/>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89">
        <v>26.6758215126676</v>
      </c>
      <c r="D7" s="90">
        <v>23.981530021092201</v>
      </c>
      <c r="E7" s="90">
        <v>21.817223756699502</v>
      </c>
      <c r="F7" s="90">
        <v>19.4909675958123</v>
      </c>
      <c r="G7" s="90">
        <v>17.3327456185968</v>
      </c>
      <c r="H7" s="28">
        <v>18.588710950545199</v>
      </c>
      <c r="I7" s="28">
        <v>19.324363365045201</v>
      </c>
      <c r="J7" s="28">
        <v>17.8489821009255</v>
      </c>
      <c r="K7" s="29">
        <v>17.532808348543099</v>
      </c>
      <c r="L7" s="29">
        <v>18.2778636759483</v>
      </c>
      <c r="M7" s="29">
        <v>19.629734786737298</v>
      </c>
      <c r="N7" s="30">
        <v>18.530271454044701</v>
      </c>
      <c r="O7" s="30">
        <v>18.5260039933816</v>
      </c>
      <c r="P7" s="30">
        <v>18.860840329413001</v>
      </c>
      <c r="Q7" s="31">
        <v>35.601411960286804</v>
      </c>
      <c r="R7" s="89">
        <v>26.321241098007398</v>
      </c>
      <c r="S7" s="90">
        <v>24.0333851527669</v>
      </c>
      <c r="T7" s="90">
        <v>21.6598234833093</v>
      </c>
      <c r="U7" s="90">
        <v>19.0079607681438</v>
      </c>
      <c r="V7" s="90">
        <v>17.0701950777948</v>
      </c>
      <c r="W7" s="28">
        <v>18.0138726717346</v>
      </c>
      <c r="X7" s="28">
        <v>20.8109988186499</v>
      </c>
      <c r="Y7" s="28">
        <v>16.876205138575799</v>
      </c>
      <c r="Z7" s="31" t="s">
        <v>49</v>
      </c>
      <c r="AA7" s="6"/>
      <c r="AB7" s="1"/>
      <c r="AC7" s="6" t="s">
        <v>28</v>
      </c>
      <c r="AD7" s="6"/>
      <c r="AE7" s="6"/>
      <c r="AF7" s="6"/>
      <c r="AG7" s="6"/>
      <c r="AH7" s="85" t="s">
        <v>78</v>
      </c>
      <c r="AI7" s="86"/>
      <c r="AJ7" s="86"/>
      <c r="AK7" s="94">
        <v>45112</v>
      </c>
      <c r="AL7" s="95"/>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91">
        <v>26.3658755564675</v>
      </c>
      <c r="D8" s="92">
        <v>38</v>
      </c>
      <c r="E8" s="93">
        <v>21.599340324913801</v>
      </c>
      <c r="F8" s="93">
        <v>19.580159546617001</v>
      </c>
      <c r="G8" s="93">
        <v>17.2929242403312</v>
      </c>
      <c r="H8" s="10">
        <v>18.256140815988498</v>
      </c>
      <c r="I8" s="10">
        <v>19.175462492819399</v>
      </c>
      <c r="J8" s="10">
        <v>17.945259403187102</v>
      </c>
      <c r="K8" s="11">
        <v>17.4826808697334</v>
      </c>
      <c r="L8" s="11">
        <v>18.099984939137698</v>
      </c>
      <c r="M8" s="11">
        <v>19.728869755670502</v>
      </c>
      <c r="N8" s="12">
        <v>18.7464737711203</v>
      </c>
      <c r="O8" s="12">
        <v>18.254924942701798</v>
      </c>
      <c r="P8" s="12">
        <v>18.494808212804099</v>
      </c>
      <c r="Q8" s="13">
        <v>34.082547902239597</v>
      </c>
      <c r="R8" s="91">
        <v>26.789071005566601</v>
      </c>
      <c r="S8" s="93">
        <v>24.073509539097898</v>
      </c>
      <c r="T8" s="93">
        <v>21.524833805819199</v>
      </c>
      <c r="U8" s="93">
        <v>19.458941470478401</v>
      </c>
      <c r="V8" s="93">
        <v>16.9668124961788</v>
      </c>
      <c r="W8" s="10">
        <v>18.269181275390299</v>
      </c>
      <c r="X8" s="10">
        <v>21.192264974583999</v>
      </c>
      <c r="Y8" s="10">
        <v>17.115049882181999</v>
      </c>
      <c r="Z8" s="13">
        <v>37.458035239209799</v>
      </c>
      <c r="AA8" s="6"/>
      <c r="AB8" s="2"/>
      <c r="AC8" s="6" t="s">
        <v>29</v>
      </c>
      <c r="AD8" s="6"/>
      <c r="AE8" s="6"/>
      <c r="AF8" s="6"/>
      <c r="AG8" s="6"/>
      <c r="AH8" s="85" t="s">
        <v>79</v>
      </c>
      <c r="AI8" s="86"/>
      <c r="AJ8" s="86"/>
      <c r="AK8" s="94">
        <v>45127</v>
      </c>
      <c r="AL8" s="95"/>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53" t="s">
        <v>18</v>
      </c>
      <c r="D9" s="154"/>
      <c r="E9" s="154"/>
      <c r="F9" s="154"/>
      <c r="G9" s="154"/>
      <c r="H9" s="155"/>
      <c r="I9" s="153" t="s">
        <v>26</v>
      </c>
      <c r="J9" s="154"/>
      <c r="K9" s="154"/>
      <c r="L9" s="154"/>
      <c r="M9" s="154"/>
      <c r="N9" s="154"/>
      <c r="O9" s="154"/>
      <c r="P9" s="154"/>
      <c r="Q9" s="154"/>
      <c r="R9" s="154"/>
      <c r="S9" s="154"/>
      <c r="T9" s="154"/>
      <c r="U9" s="154"/>
      <c r="V9" s="154"/>
      <c r="W9" s="155"/>
      <c r="X9" s="135"/>
      <c r="Y9" s="136"/>
      <c r="Z9" s="137"/>
      <c r="AA9" s="6"/>
      <c r="AB9" s="3"/>
      <c r="AC9" s="6" t="s">
        <v>30</v>
      </c>
      <c r="AD9" s="6"/>
      <c r="AE9" s="6"/>
      <c r="AF9" s="6"/>
      <c r="AG9" s="6"/>
      <c r="AH9" s="85" t="s">
        <v>80</v>
      </c>
      <c r="AI9" s="86"/>
      <c r="AJ9" s="86"/>
      <c r="AK9" s="94">
        <v>45157</v>
      </c>
      <c r="AL9" s="95"/>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17.539355011257001</v>
      </c>
      <c r="D10" s="29">
        <v>18.238020407030199</v>
      </c>
      <c r="E10" s="29">
        <v>21.382708481736401</v>
      </c>
      <c r="F10" s="30">
        <v>17.958161142968901</v>
      </c>
      <c r="G10" s="30">
        <v>17.114090121379601</v>
      </c>
      <c r="H10" s="33">
        <v>18.0035040252531</v>
      </c>
      <c r="I10" s="89">
        <v>30.012536050192601</v>
      </c>
      <c r="J10" s="90">
        <v>28.027660744408401</v>
      </c>
      <c r="K10" s="90">
        <v>26.599416188526799</v>
      </c>
      <c r="L10" s="90">
        <v>24.714030993275198</v>
      </c>
      <c r="M10" s="90">
        <v>22.5004029882693</v>
      </c>
      <c r="N10" s="28">
        <v>23.803084423412201</v>
      </c>
      <c r="O10" s="28">
        <v>24.865062501412201</v>
      </c>
      <c r="P10" s="28">
        <v>22.6513857404757</v>
      </c>
      <c r="Q10" s="29">
        <v>22.635066785674098</v>
      </c>
      <c r="R10" s="29">
        <v>23.0736080723212</v>
      </c>
      <c r="S10" s="29">
        <v>25.2275409669632</v>
      </c>
      <c r="T10" s="30">
        <v>23.786241561163099</v>
      </c>
      <c r="U10" s="30">
        <v>23.0841647712145</v>
      </c>
      <c r="V10" s="30">
        <v>23.848087879121799</v>
      </c>
      <c r="W10" s="31">
        <v>34.613213886219498</v>
      </c>
      <c r="X10" s="138"/>
      <c r="Y10" s="139"/>
      <c r="Z10" s="140"/>
      <c r="AA10" s="6"/>
      <c r="AB10" s="4"/>
      <c r="AC10" s="6" t="s">
        <v>31</v>
      </c>
      <c r="AD10" s="6"/>
      <c r="AE10" s="6"/>
      <c r="AF10" s="6"/>
      <c r="AG10" s="6"/>
      <c r="AH10" s="85" t="s">
        <v>81</v>
      </c>
      <c r="AI10" s="86"/>
      <c r="AJ10" s="86"/>
      <c r="AK10" s="94">
        <v>45128</v>
      </c>
      <c r="AL10" s="95"/>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17.565048310473099</v>
      </c>
      <c r="D11" s="11">
        <v>18.1195922971024</v>
      </c>
      <c r="E11" s="11">
        <v>21.367090042123799</v>
      </c>
      <c r="F11" s="12">
        <v>17.990796019370901</v>
      </c>
      <c r="G11" s="12">
        <v>16.974328731590202</v>
      </c>
      <c r="H11" s="15">
        <v>18.094896713128801</v>
      </c>
      <c r="I11" s="91">
        <v>29.820373557364199</v>
      </c>
      <c r="J11" s="93">
        <v>27.668812336209399</v>
      </c>
      <c r="K11" s="93">
        <v>26.579712412773802</v>
      </c>
      <c r="L11" s="93">
        <v>24.615987594958899</v>
      </c>
      <c r="M11" s="93">
        <v>22.2440385151762</v>
      </c>
      <c r="N11" s="10">
        <v>23.534233399516602</v>
      </c>
      <c r="O11" s="10">
        <v>24.7214379261655</v>
      </c>
      <c r="P11" s="10">
        <v>22.628583394791999</v>
      </c>
      <c r="Q11" s="11">
        <v>22.654415703706199</v>
      </c>
      <c r="R11" s="16">
        <v>23.002379669562998</v>
      </c>
      <c r="S11" s="16">
        <v>24.977381887412498</v>
      </c>
      <c r="T11" s="17">
        <v>23.897766417484</v>
      </c>
      <c r="U11" s="17">
        <v>23.083027414194198</v>
      </c>
      <c r="V11" s="17">
        <v>24.056920888560299</v>
      </c>
      <c r="W11" s="18">
        <v>34.238630171860699</v>
      </c>
      <c r="X11" s="141"/>
      <c r="Y11" s="142"/>
      <c r="Z11" s="143"/>
      <c r="AA11" s="6"/>
      <c r="AB11" s="5"/>
      <c r="AC11" s="6" t="s">
        <v>32</v>
      </c>
      <c r="AD11" s="6"/>
      <c r="AE11" s="6"/>
      <c r="AF11" s="6"/>
      <c r="AG11" s="6"/>
      <c r="AH11" s="87" t="s">
        <v>82</v>
      </c>
      <c r="AI11" s="88"/>
      <c r="AJ11" s="88"/>
      <c r="AK11" s="96">
        <v>45129</v>
      </c>
      <c r="AL11" s="97"/>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32" t="s">
        <v>19</v>
      </c>
      <c r="D12" s="133"/>
      <c r="E12" s="133"/>
      <c r="F12" s="133"/>
      <c r="G12" s="133"/>
      <c r="H12" s="133"/>
      <c r="I12" s="133"/>
      <c r="J12" s="133"/>
      <c r="K12" s="133"/>
      <c r="L12" s="133"/>
      <c r="M12" s="133"/>
      <c r="N12" s="133"/>
      <c r="O12" s="133"/>
      <c r="P12" s="133"/>
      <c r="Q12" s="134"/>
      <c r="R12" s="132" t="s">
        <v>20</v>
      </c>
      <c r="S12" s="133"/>
      <c r="T12" s="133"/>
      <c r="U12" s="133"/>
      <c r="V12" s="133"/>
      <c r="W12" s="133"/>
      <c r="X12" s="133"/>
      <c r="Y12" s="133"/>
      <c r="Z12" s="134"/>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89">
        <v>26.989656206546499</v>
      </c>
      <c r="D13" s="90">
        <v>24.372342986856601</v>
      </c>
      <c r="E13" s="90">
        <v>22.3823390252543</v>
      </c>
      <c r="F13" s="90">
        <v>19.983090610644201</v>
      </c>
      <c r="G13" s="90">
        <v>17.676099921581599</v>
      </c>
      <c r="H13" s="28">
        <v>19.6451886133719</v>
      </c>
      <c r="I13" s="28">
        <v>19.970521282945398</v>
      </c>
      <c r="J13" s="28">
        <v>19.877857577873701</v>
      </c>
      <c r="K13" s="29">
        <v>17.7509495542627</v>
      </c>
      <c r="L13" s="29">
        <v>18.978826573244401</v>
      </c>
      <c r="M13" s="29">
        <v>19.9758690158435</v>
      </c>
      <c r="N13" s="30">
        <v>20.635485810874599</v>
      </c>
      <c r="O13" s="30">
        <v>20.594983568529301</v>
      </c>
      <c r="P13" s="30">
        <v>20.553482744822599</v>
      </c>
      <c r="Q13" s="31" t="s">
        <v>49</v>
      </c>
      <c r="R13" s="89">
        <v>27.413975578466601</v>
      </c>
      <c r="S13" s="90">
        <v>25.075294335577201</v>
      </c>
      <c r="T13" s="90">
        <v>22.880852651217801</v>
      </c>
      <c r="U13" s="90">
        <v>20.5633840298763</v>
      </c>
      <c r="V13" s="90">
        <v>18.315745199182299</v>
      </c>
      <c r="W13" s="28">
        <v>19.8673545987632</v>
      </c>
      <c r="X13" s="28">
        <v>20.298362615754002</v>
      </c>
      <c r="Y13" s="28">
        <v>19.040235504087502</v>
      </c>
      <c r="Z13" s="31" t="s">
        <v>49</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91">
        <v>26.904351048726198</v>
      </c>
      <c r="D14" s="93">
        <v>24.400266530268802</v>
      </c>
      <c r="E14" s="93">
        <v>22.304111651905401</v>
      </c>
      <c r="F14" s="93">
        <v>19.978395191251298</v>
      </c>
      <c r="G14" s="93">
        <v>17.6959239435628</v>
      </c>
      <c r="H14" s="10">
        <v>19.7128479286737</v>
      </c>
      <c r="I14" s="10">
        <v>19.8910839001482</v>
      </c>
      <c r="J14" s="10">
        <v>19.650587805030799</v>
      </c>
      <c r="K14" s="11">
        <v>17.6200279554586</v>
      </c>
      <c r="L14" s="11">
        <v>18.9533397829846</v>
      </c>
      <c r="M14" s="11">
        <v>20.048727862121002</v>
      </c>
      <c r="N14" s="12">
        <v>20.726340221384799</v>
      </c>
      <c r="O14" s="12">
        <v>20.702693307934702</v>
      </c>
      <c r="P14" s="12">
        <v>20.511454265904501</v>
      </c>
      <c r="Q14" s="13" t="s">
        <v>49</v>
      </c>
      <c r="R14" s="91">
        <v>27.141811811412701</v>
      </c>
      <c r="S14" s="93">
        <v>24.9619846137909</v>
      </c>
      <c r="T14" s="93">
        <v>22.957462132322</v>
      </c>
      <c r="U14" s="93">
        <v>20.527549477740401</v>
      </c>
      <c r="V14" s="93">
        <v>18.418633188279099</v>
      </c>
      <c r="W14" s="10">
        <v>19.9823345032374</v>
      </c>
      <c r="X14" s="10">
        <v>20.277712482656099</v>
      </c>
      <c r="Y14" s="10">
        <v>19.004163310654199</v>
      </c>
      <c r="Z14" s="13" t="s">
        <v>49</v>
      </c>
      <c r="AA14" s="6"/>
      <c r="AB14" s="6" t="s">
        <v>51</v>
      </c>
      <c r="AC14" s="6" t="s">
        <v>52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2" t="s">
        <v>20</v>
      </c>
      <c r="D15" s="133"/>
      <c r="E15" s="133"/>
      <c r="F15" s="133"/>
      <c r="G15" s="133"/>
      <c r="H15" s="134"/>
      <c r="I15" s="132" t="s">
        <v>21</v>
      </c>
      <c r="J15" s="133"/>
      <c r="K15" s="133"/>
      <c r="L15" s="133"/>
      <c r="M15" s="133"/>
      <c r="N15" s="133"/>
      <c r="O15" s="133"/>
      <c r="P15" s="133"/>
      <c r="Q15" s="133"/>
      <c r="R15" s="133"/>
      <c r="S15" s="133"/>
      <c r="T15" s="133"/>
      <c r="U15" s="133"/>
      <c r="V15" s="133"/>
      <c r="W15" s="134"/>
      <c r="X15" s="135"/>
      <c r="Y15" s="136"/>
      <c r="Z15" s="137"/>
      <c r="AA15" s="6"/>
      <c r="AB15" s="6" t="s">
        <v>53</v>
      </c>
      <c r="AC15" s="6" t="s">
        <v>54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18.360025374673299</v>
      </c>
      <c r="D16" s="29">
        <v>19.054206646619999</v>
      </c>
      <c r="E16" s="29">
        <v>20.2517598797162</v>
      </c>
      <c r="F16" s="30">
        <v>19.950999789442399</v>
      </c>
      <c r="G16" s="30">
        <v>19.483999776411501</v>
      </c>
      <c r="H16" s="33">
        <v>20.271951968106102</v>
      </c>
      <c r="I16" s="89">
        <v>27.607412324856199</v>
      </c>
      <c r="J16" s="90">
        <v>25.128573936951199</v>
      </c>
      <c r="K16" s="90">
        <v>22.707150363025701</v>
      </c>
      <c r="L16" s="90">
        <v>20.2421715855453</v>
      </c>
      <c r="M16" s="90">
        <v>18.112527816791602</v>
      </c>
      <c r="N16" s="28">
        <v>19.54541408391</v>
      </c>
      <c r="O16" s="28">
        <v>19.975657381809</v>
      </c>
      <c r="P16" s="28">
        <v>19.422708994157301</v>
      </c>
      <c r="Q16" s="29">
        <v>17.700009744157398</v>
      </c>
      <c r="R16" s="29">
        <v>19.0124384642927</v>
      </c>
      <c r="S16" s="29">
        <v>20.304528747474102</v>
      </c>
      <c r="T16" s="30">
        <v>20.9871157207048</v>
      </c>
      <c r="U16" s="30">
        <v>20.704620204113098</v>
      </c>
      <c r="V16" s="30">
        <v>20.978356204076501</v>
      </c>
      <c r="W16" s="31">
        <v>36.991617715934403</v>
      </c>
      <c r="X16" s="138"/>
      <c r="Y16" s="139"/>
      <c r="Z16" s="140"/>
      <c r="AA16" s="6"/>
      <c r="AB16" s="6" t="s">
        <v>55</v>
      </c>
      <c r="AC16" s="6" t="s">
        <v>56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18.415411662472302</v>
      </c>
      <c r="D17" s="11">
        <v>19.109622526683498</v>
      </c>
      <c r="E17" s="11">
        <v>20.22260058645</v>
      </c>
      <c r="F17" s="12">
        <v>19.9541541377999</v>
      </c>
      <c r="G17" s="12">
        <v>19.5197950443042</v>
      </c>
      <c r="H17" s="15">
        <v>19.912782156379301</v>
      </c>
      <c r="I17" s="91">
        <v>27.1915203871811</v>
      </c>
      <c r="J17" s="93">
        <v>25.001374811483799</v>
      </c>
      <c r="K17" s="93">
        <v>22.434809095733002</v>
      </c>
      <c r="L17" s="93">
        <v>20.310697895745001</v>
      </c>
      <c r="M17" s="93">
        <v>17.986770493003501</v>
      </c>
      <c r="N17" s="10">
        <v>19.4871064406389</v>
      </c>
      <c r="O17" s="10">
        <v>20.181787703672601</v>
      </c>
      <c r="P17" s="10">
        <v>19.516764093254601</v>
      </c>
      <c r="Q17" s="11">
        <v>17.5814900003285</v>
      </c>
      <c r="R17" s="16">
        <v>19.078089056571802</v>
      </c>
      <c r="S17" s="16">
        <v>20.3029477286427</v>
      </c>
      <c r="T17" s="17">
        <v>20.938166197708401</v>
      </c>
      <c r="U17" s="17">
        <v>20.7350541764397</v>
      </c>
      <c r="V17" s="17">
        <v>20.8782366770651</v>
      </c>
      <c r="W17" s="18" t="s">
        <v>49</v>
      </c>
      <c r="X17" s="141"/>
      <c r="Y17" s="142"/>
      <c r="Z17" s="143"/>
      <c r="AA17" s="6"/>
      <c r="AB17" s="6" t="s">
        <v>57</v>
      </c>
      <c r="AC17" s="6" t="s">
        <v>58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2" t="s">
        <v>22</v>
      </c>
      <c r="D18" s="133"/>
      <c r="E18" s="133"/>
      <c r="F18" s="133"/>
      <c r="G18" s="133"/>
      <c r="H18" s="133"/>
      <c r="I18" s="133"/>
      <c r="J18" s="133"/>
      <c r="K18" s="133"/>
      <c r="L18" s="133"/>
      <c r="M18" s="133"/>
      <c r="N18" s="133"/>
      <c r="O18" s="133"/>
      <c r="P18" s="133"/>
      <c r="Q18" s="134"/>
      <c r="R18" s="132" t="s">
        <v>23</v>
      </c>
      <c r="S18" s="133"/>
      <c r="T18" s="133"/>
      <c r="U18" s="133"/>
      <c r="V18" s="133"/>
      <c r="W18" s="133"/>
      <c r="X18" s="133"/>
      <c r="Y18" s="133"/>
      <c r="Z18" s="134"/>
      <c r="AA18" s="6"/>
      <c r="AB18" s="6" t="s">
        <v>59</v>
      </c>
      <c r="AC18" s="6" t="s">
        <v>60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89">
        <v>29.326265439719698</v>
      </c>
      <c r="D19" s="90">
        <v>27.782020529771199</v>
      </c>
      <c r="E19" s="90">
        <v>25.698145982918899</v>
      </c>
      <c r="F19" s="90">
        <v>23.293379633619899</v>
      </c>
      <c r="G19" s="90">
        <v>20.776656569928999</v>
      </c>
      <c r="H19" s="28">
        <v>22.018808294406</v>
      </c>
      <c r="I19" s="28">
        <v>23.526492369047499</v>
      </c>
      <c r="J19" s="28">
        <v>20.989280983209198</v>
      </c>
      <c r="K19" s="29">
        <v>21.288476733863</v>
      </c>
      <c r="L19" s="29">
        <v>21.702366448400401</v>
      </c>
      <c r="M19" s="29">
        <v>23.8658111923063</v>
      </c>
      <c r="N19" s="30">
        <v>22.217409406874602</v>
      </c>
      <c r="O19" s="30">
        <v>21.445961911799401</v>
      </c>
      <c r="P19" s="30">
        <v>22.3015108134793</v>
      </c>
      <c r="Q19" s="31">
        <v>31.366960676695602</v>
      </c>
      <c r="R19" s="89">
        <v>31.498895276837899</v>
      </c>
      <c r="S19" s="90">
        <v>29.281733621818201</v>
      </c>
      <c r="T19" s="90">
        <v>27.2602917443315</v>
      </c>
      <c r="U19" s="90">
        <v>24.816617755960401</v>
      </c>
      <c r="V19" s="90">
        <v>22.36956550667</v>
      </c>
      <c r="W19" s="28">
        <v>23.7008950295902</v>
      </c>
      <c r="X19" s="28">
        <v>25.010000482830399</v>
      </c>
      <c r="Y19" s="28">
        <v>22.804847124578298</v>
      </c>
      <c r="Z19" s="31">
        <v>37.910735752888399</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91">
        <v>29.7815950873966</v>
      </c>
      <c r="D20" s="93">
        <v>27.555876663176399</v>
      </c>
      <c r="E20" s="93">
        <v>25.514037673153901</v>
      </c>
      <c r="F20" s="93">
        <v>23.3113266754224</v>
      </c>
      <c r="G20" s="93">
        <v>20.751052355923999</v>
      </c>
      <c r="H20" s="10">
        <v>21.989318196560902</v>
      </c>
      <c r="I20" s="10">
        <v>23.5254992608462</v>
      </c>
      <c r="J20" s="10">
        <v>21.087737401575701</v>
      </c>
      <c r="K20" s="11">
        <v>21.179755773092499</v>
      </c>
      <c r="L20" s="11">
        <v>21.611502087562101</v>
      </c>
      <c r="M20" s="11">
        <v>23.893671128100198</v>
      </c>
      <c r="N20" s="12">
        <v>22.155463844015902</v>
      </c>
      <c r="O20" s="12">
        <v>21.425173854249</v>
      </c>
      <c r="P20" s="12">
        <v>22.1614298769532</v>
      </c>
      <c r="Q20" s="13">
        <v>28.943061333030599</v>
      </c>
      <c r="R20" s="91" t="s">
        <v>49</v>
      </c>
      <c r="S20" s="93">
        <v>29.256071864379301</v>
      </c>
      <c r="T20" s="93">
        <v>27.127824034262801</v>
      </c>
      <c r="U20" s="93">
        <v>24.822221648516699</v>
      </c>
      <c r="V20" s="93">
        <v>22.366199595641699</v>
      </c>
      <c r="W20" s="10">
        <v>23.6266540749189</v>
      </c>
      <c r="X20" s="10">
        <v>24.994039117442298</v>
      </c>
      <c r="Y20" s="10">
        <v>22.9655852322906</v>
      </c>
      <c r="Z20" s="13">
        <v>37.384003692566701</v>
      </c>
      <c r="AA20" s="6"/>
      <c r="AB20" s="6" t="s">
        <v>61</v>
      </c>
      <c r="AC20" s="6" t="s">
        <v>62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2" t="s">
        <v>23</v>
      </c>
      <c r="D21" s="133"/>
      <c r="E21" s="133"/>
      <c r="F21" s="133"/>
      <c r="G21" s="133"/>
      <c r="H21" s="134"/>
      <c r="I21" s="132" t="s">
        <v>27</v>
      </c>
      <c r="J21" s="133"/>
      <c r="K21" s="133"/>
      <c r="L21" s="133"/>
      <c r="M21" s="133"/>
      <c r="N21" s="133"/>
      <c r="O21" s="133"/>
      <c r="P21" s="133"/>
      <c r="Q21" s="133"/>
      <c r="R21" s="133"/>
      <c r="S21" s="133"/>
      <c r="T21" s="133"/>
      <c r="U21" s="133"/>
      <c r="V21" s="133"/>
      <c r="W21" s="134"/>
      <c r="X21" s="135"/>
      <c r="Y21" s="136"/>
      <c r="Z21" s="137"/>
      <c r="AA21" s="6"/>
      <c r="AB21" s="6" t="s">
        <v>63</v>
      </c>
      <c r="AC21" s="6" t="s">
        <v>64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22.582613036335299</v>
      </c>
      <c r="D22" s="29">
        <v>23.401931445603001</v>
      </c>
      <c r="E22" s="29">
        <v>25.275886409955699</v>
      </c>
      <c r="F22" s="30">
        <v>24.1197472829129</v>
      </c>
      <c r="G22" s="30">
        <v>23.522122647096801</v>
      </c>
      <c r="H22" s="33">
        <v>24.291991619533</v>
      </c>
      <c r="I22" s="89">
        <v>28.926015172548102</v>
      </c>
      <c r="J22" s="90">
        <v>26.4389425794418</v>
      </c>
      <c r="K22" s="90">
        <v>24.2564208915073</v>
      </c>
      <c r="L22" s="90">
        <v>21.8290625974184</v>
      </c>
      <c r="M22" s="90">
        <v>19.529744992642598</v>
      </c>
      <c r="N22" s="28">
        <v>20.819000231157101</v>
      </c>
      <c r="O22" s="28">
        <v>21.6509490597176</v>
      </c>
      <c r="P22" s="28">
        <v>19.7098981044503</v>
      </c>
      <c r="Q22" s="29">
        <v>19.413080994109102</v>
      </c>
      <c r="R22" s="29">
        <v>20.271938980339399</v>
      </c>
      <c r="S22" s="29">
        <v>21.8919422390073</v>
      </c>
      <c r="T22" s="30">
        <v>20.904233563384199</v>
      </c>
      <c r="U22" s="30">
        <v>19.976596434203302</v>
      </c>
      <c r="V22" s="30">
        <v>21.081961948928502</v>
      </c>
      <c r="W22" s="31">
        <v>35.916005133405299</v>
      </c>
      <c r="X22" s="138"/>
      <c r="Y22" s="139"/>
      <c r="Z22" s="140"/>
      <c r="AA22" s="6"/>
      <c r="AB22" s="6" t="s">
        <v>65</v>
      </c>
      <c r="AC22" s="6" t="s">
        <v>66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22.480422605292201</v>
      </c>
      <c r="D23" s="11">
        <v>23.387328928348499</v>
      </c>
      <c r="E23" s="11">
        <v>25.3085677284203</v>
      </c>
      <c r="F23" s="12">
        <v>24.166412345529</v>
      </c>
      <c r="G23" s="12">
        <v>23.496999523186101</v>
      </c>
      <c r="H23" s="15">
        <v>24.309220164719299</v>
      </c>
      <c r="I23" s="91">
        <v>28.545619205983002</v>
      </c>
      <c r="J23" s="93">
        <v>26.386765860910099</v>
      </c>
      <c r="K23" s="93">
        <v>24.3573104069899</v>
      </c>
      <c r="L23" s="93">
        <v>21.813798634521198</v>
      </c>
      <c r="M23" s="93">
        <v>19.469562757022601</v>
      </c>
      <c r="N23" s="10">
        <v>20.461234667593299</v>
      </c>
      <c r="O23" s="10">
        <v>21.708237054579602</v>
      </c>
      <c r="P23" s="10">
        <v>19.643198888097999</v>
      </c>
      <c r="Q23" s="11">
        <v>19.326964913552001</v>
      </c>
      <c r="R23" s="16">
        <v>20.257421951208901</v>
      </c>
      <c r="S23" s="16">
        <v>21.881387376378701</v>
      </c>
      <c r="T23" s="17">
        <v>20.756092283852599</v>
      </c>
      <c r="U23" s="17">
        <v>20.109895628912</v>
      </c>
      <c r="V23" s="17">
        <v>21.257131090778401</v>
      </c>
      <c r="W23" s="18">
        <v>35.252073731209997</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2" t="s">
        <v>24</v>
      </c>
      <c r="D24" s="133"/>
      <c r="E24" s="133"/>
      <c r="F24" s="133"/>
      <c r="G24" s="133"/>
      <c r="H24" s="133"/>
      <c r="I24" s="133"/>
      <c r="J24" s="133"/>
      <c r="K24" s="133"/>
      <c r="L24" s="133"/>
      <c r="M24" s="133"/>
      <c r="N24" s="133"/>
      <c r="O24" s="133"/>
      <c r="P24" s="133"/>
      <c r="Q24" s="134"/>
      <c r="R24" s="144"/>
      <c r="S24" s="145"/>
      <c r="T24" s="145"/>
      <c r="U24" s="145"/>
      <c r="V24" s="145"/>
      <c r="W24" s="145"/>
      <c r="X24" s="145"/>
      <c r="Y24" s="145"/>
      <c r="Z24" s="146"/>
      <c r="AA24" s="6"/>
      <c r="AB24" s="69" t="s">
        <v>67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89">
        <v>26.954649694027498</v>
      </c>
      <c r="D25" s="90">
        <v>24.713421620151401</v>
      </c>
      <c r="E25" s="90">
        <v>22.410196019016102</v>
      </c>
      <c r="F25" s="90">
        <v>19.923243382011499</v>
      </c>
      <c r="G25" s="90">
        <v>17.462749559258501</v>
      </c>
      <c r="H25" s="28">
        <v>20.1592742247574</v>
      </c>
      <c r="I25" s="28">
        <v>21.2762271509824</v>
      </c>
      <c r="J25" s="28">
        <v>19.772323258834302</v>
      </c>
      <c r="K25" s="29">
        <v>17.077154148450202</v>
      </c>
      <c r="L25" s="29">
        <v>18.033513240859602</v>
      </c>
      <c r="M25" s="29">
        <v>19.863076088314401</v>
      </c>
      <c r="N25" s="30">
        <v>18.290057344856901</v>
      </c>
      <c r="O25" s="30">
        <v>17.730236461423999</v>
      </c>
      <c r="P25" s="30">
        <v>18.361593631981201</v>
      </c>
      <c r="Q25" s="31">
        <v>36.5657694223178</v>
      </c>
      <c r="R25" s="147"/>
      <c r="S25" s="148"/>
      <c r="T25" s="148"/>
      <c r="U25" s="148"/>
      <c r="V25" s="148"/>
      <c r="W25" s="148"/>
      <c r="X25" s="148"/>
      <c r="Y25" s="148"/>
      <c r="Z25" s="149"/>
      <c r="AA25" s="6"/>
      <c r="AB25" s="6" t="s">
        <v>59</v>
      </c>
      <c r="AC25" s="6" t="s">
        <v>68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91">
        <v>26.918185806360999</v>
      </c>
      <c r="D26" s="93">
        <v>24.6742471716883</v>
      </c>
      <c r="E26" s="93">
        <v>22.269968587401198</v>
      </c>
      <c r="F26" s="93">
        <v>19.982807133035699</v>
      </c>
      <c r="G26" s="93">
        <v>17.568723441489301</v>
      </c>
      <c r="H26" s="10">
        <v>20.419732511567201</v>
      </c>
      <c r="I26" s="10">
        <v>21.0805270249292</v>
      </c>
      <c r="J26" s="10">
        <v>19.760836439582501</v>
      </c>
      <c r="K26" s="11">
        <v>17.011516502127801</v>
      </c>
      <c r="L26" s="11">
        <v>18.048136195547201</v>
      </c>
      <c r="M26" s="11">
        <v>19.883497230266698</v>
      </c>
      <c r="N26" s="12">
        <v>18.179944516272801</v>
      </c>
      <c r="O26" s="12">
        <v>17.510119650745199</v>
      </c>
      <c r="P26" s="12">
        <v>18.366559019116199</v>
      </c>
      <c r="Q26" s="13">
        <v>35.545912360460399</v>
      </c>
      <c r="R26" s="150"/>
      <c r="S26" s="151"/>
      <c r="T26" s="151"/>
      <c r="U26" s="151"/>
      <c r="V26" s="151"/>
      <c r="W26" s="151"/>
      <c r="X26" s="151"/>
      <c r="Y26" s="151"/>
      <c r="Z26" s="152"/>
      <c r="AA26" s="6"/>
      <c r="AB26" s="70" t="s">
        <v>61</v>
      </c>
      <c r="AC26" s="71" t="s">
        <v>69</v>
      </c>
      <c r="AD26" s="71"/>
      <c r="AE26" s="71"/>
      <c r="AF26" s="71"/>
      <c r="AG26" s="129" t="s">
        <v>70</v>
      </c>
      <c r="AH26" s="129"/>
      <c r="AI26" s="129"/>
      <c r="AJ26" s="129"/>
      <c r="AK26" s="129"/>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4"/>
      <c r="D27" s="145"/>
      <c r="E27" s="145"/>
      <c r="F27" s="145"/>
      <c r="G27" s="145"/>
      <c r="H27" s="146"/>
      <c r="I27" s="132" t="s">
        <v>25</v>
      </c>
      <c r="J27" s="133"/>
      <c r="K27" s="133"/>
      <c r="L27" s="133"/>
      <c r="M27" s="133"/>
      <c r="N27" s="133"/>
      <c r="O27" s="133"/>
      <c r="P27" s="133"/>
      <c r="Q27" s="133"/>
      <c r="R27" s="133"/>
      <c r="S27" s="133"/>
      <c r="T27" s="133"/>
      <c r="U27" s="133"/>
      <c r="V27" s="133"/>
      <c r="W27" s="134"/>
      <c r="X27" s="135"/>
      <c r="Y27" s="136"/>
      <c r="Z27" s="137"/>
      <c r="AA27" s="6"/>
      <c r="AB27" s="73" t="s">
        <v>63</v>
      </c>
      <c r="AC27" s="6" t="s">
        <v>71</v>
      </c>
      <c r="AD27" s="6"/>
      <c r="AE27" s="6"/>
      <c r="AF27" s="7"/>
      <c r="AG27" s="130"/>
      <c r="AH27" s="130"/>
      <c r="AI27" s="130"/>
      <c r="AJ27" s="130"/>
      <c r="AK27" s="130"/>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7"/>
      <c r="D28" s="148"/>
      <c r="E28" s="148"/>
      <c r="F28" s="148"/>
      <c r="G28" s="148"/>
      <c r="H28" s="149"/>
      <c r="I28" s="89">
        <v>31.806600858562501</v>
      </c>
      <c r="J28" s="90">
        <v>29.474287334847901</v>
      </c>
      <c r="K28" s="90">
        <v>27.325761436573899</v>
      </c>
      <c r="L28" s="90">
        <v>24.944939561745901</v>
      </c>
      <c r="M28" s="90">
        <v>22.7713218438642</v>
      </c>
      <c r="N28" s="28">
        <v>24.275688578156501</v>
      </c>
      <c r="O28" s="28">
        <v>25.919957412607602</v>
      </c>
      <c r="P28" s="28">
        <v>22.830424584970501</v>
      </c>
      <c r="Q28" s="29">
        <v>23.315000349252699</v>
      </c>
      <c r="R28" s="29">
        <v>23.961550167607601</v>
      </c>
      <c r="S28" s="29">
        <v>26.7786812879854</v>
      </c>
      <c r="T28" s="30">
        <v>24.249532113405301</v>
      </c>
      <c r="U28" s="30">
        <v>23.0658752737355</v>
      </c>
      <c r="V28" s="30">
        <v>24.1159794830048</v>
      </c>
      <c r="W28" s="31">
        <v>39.997535712061797</v>
      </c>
      <c r="X28" s="138"/>
      <c r="Y28" s="139"/>
      <c r="Z28" s="140"/>
      <c r="AA28" s="6"/>
      <c r="AB28" s="75" t="s">
        <v>65</v>
      </c>
      <c r="AC28" s="76" t="s">
        <v>72</v>
      </c>
      <c r="AD28" s="76"/>
      <c r="AE28" s="76"/>
      <c r="AF28" s="77"/>
      <c r="AG28" s="131"/>
      <c r="AH28" s="131"/>
      <c r="AI28" s="131"/>
      <c r="AJ28" s="131"/>
      <c r="AK28" s="131"/>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0"/>
      <c r="D29" s="151"/>
      <c r="E29" s="151"/>
      <c r="F29" s="151"/>
      <c r="G29" s="151"/>
      <c r="H29" s="152"/>
      <c r="I29" s="91">
        <v>32.136689586547497</v>
      </c>
      <c r="J29" s="93">
        <v>29.382474238460802</v>
      </c>
      <c r="K29" s="93">
        <v>27.105489161635202</v>
      </c>
      <c r="L29" s="93">
        <v>24.925856387308698</v>
      </c>
      <c r="M29" s="93">
        <v>22.808329312143599</v>
      </c>
      <c r="N29" s="10">
        <v>24.216955176200699</v>
      </c>
      <c r="O29" s="10">
        <v>26.0950525278874</v>
      </c>
      <c r="P29" s="10">
        <v>22.7817813708904</v>
      </c>
      <c r="Q29" s="11">
        <v>23.320743740893999</v>
      </c>
      <c r="R29" s="11">
        <v>23.9709902702158</v>
      </c>
      <c r="S29" s="11">
        <v>26.544036774317799</v>
      </c>
      <c r="T29" s="12">
        <v>24.270460973524401</v>
      </c>
      <c r="U29" s="12">
        <v>23.203361127245799</v>
      </c>
      <c r="V29" s="12">
        <v>24.253367841845801</v>
      </c>
      <c r="W29" s="13">
        <v>38.461076663524402</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4" t="s">
        <v>17</v>
      </c>
      <c r="D31" s="124"/>
      <c r="E31" s="124"/>
      <c r="F31" s="6"/>
      <c r="G31" s="6"/>
      <c r="H31" s="6"/>
      <c r="I31" s="6"/>
      <c r="J31" s="124" t="s">
        <v>18</v>
      </c>
      <c r="K31" s="124"/>
      <c r="L31" s="124"/>
      <c r="M31" s="6"/>
      <c r="N31" s="6"/>
      <c r="O31" s="6"/>
      <c r="P31" s="6"/>
      <c r="Q31" s="124" t="s">
        <v>26</v>
      </c>
      <c r="R31" s="124"/>
      <c r="S31" s="124"/>
      <c r="T31" s="6"/>
      <c r="U31" s="6"/>
      <c r="V31" s="6"/>
      <c r="W31" s="6"/>
      <c r="X31" s="124" t="s">
        <v>19</v>
      </c>
      <c r="Y31" s="124"/>
      <c r="Z31" s="124"/>
      <c r="AA31" s="6"/>
      <c r="AB31" s="6"/>
      <c r="AC31" s="6"/>
      <c r="AD31" s="6"/>
      <c r="AE31" s="124" t="s">
        <v>20</v>
      </c>
      <c r="AF31" s="124"/>
      <c r="AG31" s="124"/>
      <c r="AH31" s="6"/>
      <c r="AI31" s="6"/>
      <c r="AJ31" s="6"/>
      <c r="AK31" s="6"/>
      <c r="AL31" s="124" t="s">
        <v>21</v>
      </c>
      <c r="AM31" s="124"/>
      <c r="AN31" s="124"/>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6" t="s">
        <v>47</v>
      </c>
      <c r="D32" s="117"/>
      <c r="E32" s="118"/>
      <c r="F32" s="6"/>
      <c r="G32" s="6"/>
      <c r="H32" s="6"/>
      <c r="I32" s="6"/>
      <c r="J32" s="119" t="s">
        <v>47</v>
      </c>
      <c r="K32" s="120"/>
      <c r="L32" s="121"/>
      <c r="M32" s="6"/>
      <c r="N32" s="6"/>
      <c r="O32" s="6"/>
      <c r="P32" s="6"/>
      <c r="Q32" s="119" t="s">
        <v>47</v>
      </c>
      <c r="R32" s="120"/>
      <c r="S32" s="121"/>
      <c r="T32" s="6"/>
      <c r="U32" s="6"/>
      <c r="V32" s="6"/>
      <c r="W32" s="6"/>
      <c r="X32" s="119" t="s">
        <v>47</v>
      </c>
      <c r="Y32" s="122"/>
      <c r="Z32" s="123"/>
      <c r="AA32" s="6"/>
      <c r="AB32" s="6"/>
      <c r="AC32" s="6"/>
      <c r="AD32" s="6"/>
      <c r="AE32" s="119" t="s">
        <v>47</v>
      </c>
      <c r="AF32" s="120"/>
      <c r="AG32" s="121"/>
      <c r="AH32" s="6"/>
      <c r="AI32" s="6"/>
      <c r="AJ32" s="6"/>
      <c r="AK32" s="6"/>
      <c r="AL32" s="119" t="s">
        <v>47</v>
      </c>
      <c r="AM32" s="120"/>
      <c r="AN32" s="121"/>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26.520848534567548</v>
      </c>
      <c r="F34" s="6"/>
      <c r="G34" s="6"/>
      <c r="H34" s="6"/>
      <c r="I34" s="6"/>
      <c r="J34" s="62">
        <v>3.2000000000000001E-2</v>
      </c>
      <c r="K34" s="63">
        <f>LOG(J34)</f>
        <v>-1.494850021680094</v>
      </c>
      <c r="L34" s="64">
        <f>AVERAGE(R7:R8)</f>
        <v>26.555156051787002</v>
      </c>
      <c r="M34" s="6"/>
      <c r="N34" s="6"/>
      <c r="O34" s="6"/>
      <c r="P34" s="6"/>
      <c r="Q34" s="62">
        <v>3.2000000000000001E-2</v>
      </c>
      <c r="R34" s="63">
        <f>LOG(Q34)</f>
        <v>-1.494850021680094</v>
      </c>
      <c r="S34" s="64">
        <f>AVERAGE(I10:I11)</f>
        <v>29.9164548037784</v>
      </c>
      <c r="T34" s="6"/>
      <c r="U34" s="6"/>
      <c r="V34" s="6"/>
      <c r="W34" s="6"/>
      <c r="X34" s="62">
        <v>3.2000000000000001E-2</v>
      </c>
      <c r="Y34" s="63">
        <f>LOG(X34)</f>
        <v>-1.494850021680094</v>
      </c>
      <c r="Z34" s="64">
        <f>AVERAGE(C13:C14)</f>
        <v>26.947003627636349</v>
      </c>
      <c r="AA34" s="6"/>
      <c r="AB34" s="6"/>
      <c r="AC34" s="6"/>
      <c r="AD34" s="6"/>
      <c r="AE34" s="62">
        <v>3.2000000000000001E-2</v>
      </c>
      <c r="AF34" s="63">
        <f>LOG(AE34)</f>
        <v>-1.494850021680094</v>
      </c>
      <c r="AG34" s="64">
        <f>AVERAGE(R13:R14)</f>
        <v>27.27789369493965</v>
      </c>
      <c r="AH34" s="6"/>
      <c r="AI34" s="6"/>
      <c r="AJ34" s="6"/>
      <c r="AK34" s="6"/>
      <c r="AL34" s="62">
        <v>3.2000000000000001E-2</v>
      </c>
      <c r="AM34" s="63">
        <f>LOG(AL34)</f>
        <v>-1.494850021680094</v>
      </c>
      <c r="AN34" s="64">
        <f>AVERAGE(I16:I17)</f>
        <v>27.39946635601865</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f>
        <v>23.981530021092201</v>
      </c>
      <c r="F35" s="6"/>
      <c r="G35" s="6"/>
      <c r="H35" s="6"/>
      <c r="I35" s="6"/>
      <c r="J35" s="62">
        <v>0.16</v>
      </c>
      <c r="K35" s="63">
        <f>LOG(J35)</f>
        <v>-0.79588001734407521</v>
      </c>
      <c r="L35" s="64">
        <f>AVERAGE(S7:S8)</f>
        <v>24.053447345932398</v>
      </c>
      <c r="M35" s="6"/>
      <c r="N35" s="6"/>
      <c r="O35" s="6"/>
      <c r="P35" s="6"/>
      <c r="Q35" s="62">
        <v>0.16</v>
      </c>
      <c r="R35" s="63">
        <f>LOG(Q35)</f>
        <v>-0.79588001734407521</v>
      </c>
      <c r="S35" s="64">
        <f>AVERAGE(J10:J11)</f>
        <v>27.8482365403089</v>
      </c>
      <c r="T35" s="6"/>
      <c r="U35" s="6"/>
      <c r="V35" s="6"/>
      <c r="W35" s="6"/>
      <c r="X35" s="62">
        <v>0.16</v>
      </c>
      <c r="Y35" s="63">
        <f>LOG(X35)</f>
        <v>-0.79588001734407521</v>
      </c>
      <c r="Z35" s="64">
        <f>AVERAGE(D13:D14)</f>
        <v>24.386304758562702</v>
      </c>
      <c r="AA35" s="6"/>
      <c r="AB35" s="6"/>
      <c r="AC35" s="6"/>
      <c r="AD35" s="6"/>
      <c r="AE35" s="62">
        <v>0.16</v>
      </c>
      <c r="AF35" s="63">
        <f>LOG(AE35)</f>
        <v>-0.79588001734407521</v>
      </c>
      <c r="AG35" s="64">
        <f>AVERAGE(S13:S14)</f>
        <v>25.018639474684051</v>
      </c>
      <c r="AH35" s="6"/>
      <c r="AI35" s="6"/>
      <c r="AJ35" s="6"/>
      <c r="AK35" s="6"/>
      <c r="AL35" s="62">
        <v>0.16</v>
      </c>
      <c r="AM35" s="63">
        <f>LOG(AL35)</f>
        <v>-0.79588001734407521</v>
      </c>
      <c r="AN35" s="64">
        <f>AVERAGE(J16:J17)</f>
        <v>25.064974374217499</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21.708282040806651</v>
      </c>
      <c r="F36" s="6"/>
      <c r="G36" s="6"/>
      <c r="H36" s="6"/>
      <c r="I36" s="6"/>
      <c r="J36" s="62">
        <v>0.8</v>
      </c>
      <c r="K36" s="63">
        <f>LOG(J36)</f>
        <v>-9.6910013008056392E-2</v>
      </c>
      <c r="L36" s="64">
        <f>AVERAGE(T7:T8)</f>
        <v>21.592328644564247</v>
      </c>
      <c r="M36" s="6"/>
      <c r="N36" s="6"/>
      <c r="O36" s="6"/>
      <c r="P36" s="6"/>
      <c r="Q36" s="62">
        <v>0.8</v>
      </c>
      <c r="R36" s="63">
        <f>LOG(Q36)</f>
        <v>-9.6910013008056392E-2</v>
      </c>
      <c r="S36" s="64">
        <f>AVERAGE(K10:K11)</f>
        <v>26.589564300650302</v>
      </c>
      <c r="T36" s="6"/>
      <c r="U36" s="6"/>
      <c r="V36" s="6"/>
      <c r="W36" s="6"/>
      <c r="X36" s="62">
        <v>0.8</v>
      </c>
      <c r="Y36" s="63">
        <f>LOG(X36)</f>
        <v>-9.6910013008056392E-2</v>
      </c>
      <c r="Z36" s="64">
        <f>AVERAGE(E13:E14)</f>
        <v>22.343225338579849</v>
      </c>
      <c r="AA36" s="6"/>
      <c r="AB36" s="6"/>
      <c r="AC36" s="6"/>
      <c r="AD36" s="6"/>
      <c r="AE36" s="62">
        <v>0.8</v>
      </c>
      <c r="AF36" s="63">
        <f>LOG(AE36)</f>
        <v>-9.6910013008056392E-2</v>
      </c>
      <c r="AG36" s="64">
        <f>AVERAGE(T13:T14)</f>
        <v>22.9191573917699</v>
      </c>
      <c r="AH36" s="6"/>
      <c r="AI36" s="6"/>
      <c r="AJ36" s="6"/>
      <c r="AK36" s="6"/>
      <c r="AL36" s="62">
        <v>0.8</v>
      </c>
      <c r="AM36" s="63">
        <f>LOG(AL36)</f>
        <v>-9.6910013008056392E-2</v>
      </c>
      <c r="AN36" s="64">
        <f>AVERAGE(K16:K17)</f>
        <v>22.570979729379353</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19.535563571214652</v>
      </c>
      <c r="F37" s="6"/>
      <c r="G37" s="6"/>
      <c r="H37" s="6"/>
      <c r="I37" s="6"/>
      <c r="J37" s="62">
        <v>4</v>
      </c>
      <c r="K37" s="63">
        <f>LOG(J37)</f>
        <v>0.6020599913279624</v>
      </c>
      <c r="L37" s="64">
        <f>AVERAGE(U7:U8)</f>
        <v>19.233451119311098</v>
      </c>
      <c r="M37" s="6"/>
      <c r="N37" s="6"/>
      <c r="O37" s="6"/>
      <c r="P37" s="6"/>
      <c r="Q37" s="62">
        <v>4</v>
      </c>
      <c r="R37" s="63">
        <f>LOG(Q37)</f>
        <v>0.6020599913279624</v>
      </c>
      <c r="S37" s="64">
        <f>AVERAGE(L10:L11)</f>
        <v>24.665009294117048</v>
      </c>
      <c r="T37" s="6"/>
      <c r="U37" s="6"/>
      <c r="V37" s="6"/>
      <c r="W37" s="6"/>
      <c r="X37" s="62">
        <v>4</v>
      </c>
      <c r="Y37" s="63">
        <f>LOG(X37)</f>
        <v>0.6020599913279624</v>
      </c>
      <c r="Z37" s="64">
        <f>AVERAGE(F13:F14)</f>
        <v>19.98074290094775</v>
      </c>
      <c r="AA37" s="6"/>
      <c r="AB37" s="6"/>
      <c r="AC37" s="6"/>
      <c r="AD37" s="6"/>
      <c r="AE37" s="62">
        <v>4</v>
      </c>
      <c r="AF37" s="63">
        <f>LOG(AE37)</f>
        <v>0.6020599913279624</v>
      </c>
      <c r="AG37" s="64">
        <f>AVERAGE(U13:U14)</f>
        <v>20.545466753808348</v>
      </c>
      <c r="AH37" s="6"/>
      <c r="AI37" s="6"/>
      <c r="AJ37" s="6"/>
      <c r="AK37" s="6"/>
      <c r="AL37" s="62">
        <v>4</v>
      </c>
      <c r="AM37" s="63">
        <f>LOG(AL37)</f>
        <v>0.6020599913279624</v>
      </c>
      <c r="AN37" s="64">
        <f>AVERAGE(L16:L17)</f>
        <v>20.276434740645151</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17.312834929464</v>
      </c>
      <c r="F38" s="6"/>
      <c r="G38" s="6"/>
      <c r="H38" s="6"/>
      <c r="I38" s="6"/>
      <c r="J38" s="65">
        <v>20</v>
      </c>
      <c r="K38" s="66">
        <f>LOG(J38)</f>
        <v>1.3010299956639813</v>
      </c>
      <c r="L38" s="67">
        <f>AVERAGE(V7:V8)</f>
        <v>17.018503786986798</v>
      </c>
      <c r="M38" s="6"/>
      <c r="N38" s="6"/>
      <c r="O38" s="6"/>
      <c r="P38" s="6"/>
      <c r="Q38" s="65">
        <v>20</v>
      </c>
      <c r="R38" s="66">
        <f>LOG(Q38)</f>
        <v>1.3010299956639813</v>
      </c>
      <c r="S38" s="67">
        <f>AVERAGE(M10:M11)</f>
        <v>22.37222075172275</v>
      </c>
      <c r="T38" s="6"/>
      <c r="U38" s="6"/>
      <c r="V38" s="6"/>
      <c r="W38" s="6"/>
      <c r="X38" s="65">
        <v>20</v>
      </c>
      <c r="Y38" s="66">
        <f>LOG(X38)</f>
        <v>1.3010299956639813</v>
      </c>
      <c r="Z38" s="67">
        <f>AVERAGE(G13:G14)</f>
        <v>17.6860119325722</v>
      </c>
      <c r="AA38" s="6"/>
      <c r="AB38" s="6"/>
      <c r="AC38" s="6"/>
      <c r="AD38" s="6"/>
      <c r="AE38" s="65">
        <v>20</v>
      </c>
      <c r="AF38" s="66">
        <f>LOG(AE38)</f>
        <v>1.3010299956639813</v>
      </c>
      <c r="AG38" s="67">
        <f>AVERAGE(V13:V14)</f>
        <v>18.367189193730699</v>
      </c>
      <c r="AH38" s="6"/>
      <c r="AI38" s="6"/>
      <c r="AJ38" s="6"/>
      <c r="AK38" s="6"/>
      <c r="AL38" s="65">
        <v>20</v>
      </c>
      <c r="AM38" s="66">
        <f>LOG(AL38)</f>
        <v>1.3010299956639813</v>
      </c>
      <c r="AN38" s="67">
        <f>AVERAGE(M16:M17)</f>
        <v>18.049649154897551</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7" t="s">
        <v>46</v>
      </c>
      <c r="D39" s="108"/>
      <c r="E39" s="37">
        <f>(10^(-1/-3.2708)-1)*100</f>
        <v>102.17879316729608</v>
      </c>
      <c r="F39" s="6"/>
      <c r="G39" s="6"/>
      <c r="H39" s="6"/>
      <c r="I39" s="6"/>
      <c r="J39" s="107" t="s">
        <v>46</v>
      </c>
      <c r="K39" s="108"/>
      <c r="L39" s="37">
        <f>(10^(-1/-3.4184)-1)*100</f>
        <v>96.125705607858919</v>
      </c>
      <c r="M39" s="6"/>
      <c r="N39" s="6"/>
      <c r="O39" s="6"/>
      <c r="P39" s="6"/>
      <c r="Q39" s="107" t="s">
        <v>46</v>
      </c>
      <c r="R39" s="108"/>
      <c r="S39" s="37">
        <f>(10^(-1/-2.6141)-1)*100</f>
        <v>141.29084050586363</v>
      </c>
      <c r="T39" s="6"/>
      <c r="U39" s="6"/>
      <c r="V39" s="6"/>
      <c r="W39" s="6"/>
      <c r="X39" s="107" t="s">
        <v>46</v>
      </c>
      <c r="Y39" s="108"/>
      <c r="Z39" s="37">
        <f>(10^(-1/-3.2802)-1)*100</f>
        <v>101.77133143013685</v>
      </c>
      <c r="AA39" s="6"/>
      <c r="AB39" s="6"/>
      <c r="AC39" s="6"/>
      <c r="AD39" s="6"/>
      <c r="AE39" s="107" t="s">
        <v>46</v>
      </c>
      <c r="AF39" s="108"/>
      <c r="AG39" s="37">
        <f>(10^(-1/-3.1896)-1)*100</f>
        <v>105.83486387680713</v>
      </c>
      <c r="AH39" s="6"/>
      <c r="AI39" s="6"/>
      <c r="AJ39" s="6"/>
      <c r="AK39" s="6"/>
      <c r="AL39" s="107" t="s">
        <v>46</v>
      </c>
      <c r="AM39" s="108"/>
      <c r="AN39" s="37">
        <f>(10^(-1/-3.3604)-1)*100</f>
        <v>98.419166517581289</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7" t="s">
        <v>50</v>
      </c>
      <c r="D40" s="108"/>
      <c r="E40" s="37">
        <f>SUM(E39/100)+1</f>
        <v>2.0217879316729608</v>
      </c>
      <c r="F40" s="6"/>
      <c r="G40" s="6"/>
      <c r="H40" s="6"/>
      <c r="I40" s="6"/>
      <c r="J40" s="107" t="s">
        <v>50</v>
      </c>
      <c r="K40" s="108"/>
      <c r="L40" s="37">
        <f>SUM(L39/100)+1</f>
        <v>1.9612570560785891</v>
      </c>
      <c r="M40" s="6"/>
      <c r="N40" s="6"/>
      <c r="O40" s="6"/>
      <c r="P40" s="6"/>
      <c r="Q40" s="107" t="s">
        <v>50</v>
      </c>
      <c r="R40" s="108"/>
      <c r="S40" s="37">
        <f>SUM(S39/100)+1</f>
        <v>2.4129084050586362</v>
      </c>
      <c r="T40" s="6"/>
      <c r="U40" s="6"/>
      <c r="V40" s="6"/>
      <c r="W40" s="6"/>
      <c r="X40" s="107" t="s">
        <v>50</v>
      </c>
      <c r="Y40" s="108"/>
      <c r="Z40" s="37">
        <f>SUM(Z39/100)+1</f>
        <v>2.0177133143013686</v>
      </c>
      <c r="AA40" s="6"/>
      <c r="AB40" s="6"/>
      <c r="AC40" s="6"/>
      <c r="AD40" s="6"/>
      <c r="AE40" s="107" t="s">
        <v>50</v>
      </c>
      <c r="AF40" s="108"/>
      <c r="AG40" s="37">
        <f>SUM(AG39/100)+1</f>
        <v>2.0583486387680714</v>
      </c>
      <c r="AH40" s="6"/>
      <c r="AI40" s="6"/>
      <c r="AJ40" s="6"/>
      <c r="AK40" s="6"/>
      <c r="AL40" s="107" t="s">
        <v>50</v>
      </c>
      <c r="AM40" s="108"/>
      <c r="AN40" s="37">
        <f>SUM(AN39/100)+1</f>
        <v>1.9841916651758129</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4" t="s">
        <v>83</v>
      </c>
      <c r="D42" s="105"/>
      <c r="E42" s="105"/>
      <c r="F42" s="105"/>
      <c r="G42" s="105"/>
      <c r="H42" s="106"/>
      <c r="J42" s="104" t="s">
        <v>84</v>
      </c>
      <c r="K42" s="105"/>
      <c r="L42" s="105"/>
      <c r="M42" s="105"/>
      <c r="N42" s="105"/>
      <c r="O42" s="106"/>
      <c r="Q42" s="104" t="s">
        <v>85</v>
      </c>
      <c r="R42" s="105"/>
      <c r="S42" s="105"/>
      <c r="T42" s="105"/>
      <c r="U42" s="105"/>
      <c r="V42" s="106"/>
      <c r="X42" s="104" t="s">
        <v>86</v>
      </c>
      <c r="Y42" s="105"/>
      <c r="Z42" s="105"/>
      <c r="AA42" s="105"/>
      <c r="AB42" s="105"/>
      <c r="AC42" s="106"/>
      <c r="AE42" s="104" t="s">
        <v>87</v>
      </c>
      <c r="AF42" s="105"/>
      <c r="AG42" s="105"/>
      <c r="AH42" s="105"/>
      <c r="AI42" s="105"/>
      <c r="AJ42" s="106"/>
      <c r="AL42" s="104" t="s">
        <v>88</v>
      </c>
      <c r="AM42" s="105"/>
      <c r="AN42" s="105"/>
      <c r="AO42" s="105"/>
      <c r="AP42" s="105"/>
      <c r="AQ42" s="106"/>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7" t="s">
        <v>17</v>
      </c>
      <c r="D43" s="80" t="s">
        <v>51</v>
      </c>
      <c r="E43" s="80" t="s">
        <v>53</v>
      </c>
      <c r="F43" s="80" t="s">
        <v>55</v>
      </c>
      <c r="G43" s="81" t="s">
        <v>57</v>
      </c>
      <c r="H43" s="79" t="s">
        <v>59</v>
      </c>
      <c r="I43" s="6"/>
      <c r="J43" s="114" t="s">
        <v>18</v>
      </c>
      <c r="K43" s="80" t="s">
        <v>51</v>
      </c>
      <c r="L43" s="80" t="s">
        <v>53</v>
      </c>
      <c r="M43" s="80" t="s">
        <v>55</v>
      </c>
      <c r="N43" s="80" t="s">
        <v>57</v>
      </c>
      <c r="O43" s="82" t="s">
        <v>59</v>
      </c>
      <c r="P43" s="39"/>
      <c r="Q43" s="114" t="s">
        <v>26</v>
      </c>
      <c r="R43" s="80" t="s">
        <v>51</v>
      </c>
      <c r="S43" s="80" t="s">
        <v>53</v>
      </c>
      <c r="T43" s="80" t="s">
        <v>55</v>
      </c>
      <c r="U43" s="80" t="s">
        <v>57</v>
      </c>
      <c r="V43" s="82" t="s">
        <v>59</v>
      </c>
      <c r="W43" s="83"/>
      <c r="X43" s="114" t="s">
        <v>19</v>
      </c>
      <c r="Y43" s="80" t="s">
        <v>51</v>
      </c>
      <c r="Z43" s="80" t="s">
        <v>53</v>
      </c>
      <c r="AA43" s="80" t="s">
        <v>55</v>
      </c>
      <c r="AB43" s="80" t="s">
        <v>57</v>
      </c>
      <c r="AC43" s="82" t="s">
        <v>59</v>
      </c>
      <c r="AD43" s="83"/>
      <c r="AE43" s="113" t="s">
        <v>20</v>
      </c>
      <c r="AF43" s="80" t="s">
        <v>51</v>
      </c>
      <c r="AG43" s="80" t="s">
        <v>53</v>
      </c>
      <c r="AH43" s="80" t="s">
        <v>55</v>
      </c>
      <c r="AI43" s="80" t="s">
        <v>57</v>
      </c>
      <c r="AJ43" s="82" t="s">
        <v>59</v>
      </c>
      <c r="AK43" s="83"/>
      <c r="AL43" s="113" t="s">
        <v>21</v>
      </c>
      <c r="AM43" s="80" t="s">
        <v>51</v>
      </c>
      <c r="AN43" s="80" t="s">
        <v>53</v>
      </c>
      <c r="AO43" s="80" t="s">
        <v>55</v>
      </c>
      <c r="AP43" s="80" t="s">
        <v>57</v>
      </c>
      <c r="AQ43" s="82" t="s">
        <v>59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7"/>
      <c r="D44" s="46" t="s">
        <v>35</v>
      </c>
      <c r="E44" s="46">
        <f>AVERAGE(H7:H8)</f>
        <v>18.422425883266847</v>
      </c>
      <c r="F44" s="53">
        <f>10^((E44-21.495)/-3.2708)</f>
        <v>8.6975170878944237</v>
      </c>
      <c r="G44" s="54">
        <f>SUM(E44*(LOG(E40)/LOG(2)))</f>
        <v>18.71039932664922</v>
      </c>
      <c r="H44" s="53">
        <f>10^((G44-21.495)/-3.2708)</f>
        <v>7.1015239690935523</v>
      </c>
      <c r="I44" s="6"/>
      <c r="J44" s="114"/>
      <c r="K44" s="46" t="s">
        <v>35</v>
      </c>
      <c r="L44" s="46">
        <f>AVERAGE(W7:W8)</f>
        <v>18.141526973562449</v>
      </c>
      <c r="M44" s="53">
        <f t="shared" ref="M44:M53" si="0">10^((L44 - 21.359)/-3.4184)</f>
        <v>8.7341757063130991</v>
      </c>
      <c r="N44" s="53">
        <f>SUM(L44*(LOG($L$40)/LOG(2)))</f>
        <v>17.629548366965249</v>
      </c>
      <c r="O44" s="53">
        <f t="shared" ref="O44:O53" si="1">10^((N44 - 21.359)/-3.4184)</f>
        <v>12.330859230941638</v>
      </c>
      <c r="P44" s="6"/>
      <c r="Q44" s="114"/>
      <c r="R44" s="46" t="s">
        <v>35</v>
      </c>
      <c r="S44" s="46">
        <f>AVERAGE(N10:N11)</f>
        <v>23.668658911464401</v>
      </c>
      <c r="T44" s="53">
        <f t="shared" ref="T44:T53" si="2">10^((S44- 26.025)/-2.6141)</f>
        <v>7.9688690537934823</v>
      </c>
      <c r="U44" s="53">
        <f>SUM(S44*(LOG($S$40)/LOG(2)))</f>
        <v>30.077496272636747</v>
      </c>
      <c r="V44" s="53">
        <f t="shared" ref="V44:V53" si="3">10^((U44- 26.025)/-2.6141)</f>
        <v>2.8167914059538481E-2</v>
      </c>
      <c r="W44" s="6"/>
      <c r="X44" s="114" t="s">
        <v>19</v>
      </c>
      <c r="Y44" s="46" t="s">
        <v>35</v>
      </c>
      <c r="Z44" s="46">
        <f>AVERAGE(H13:H14)</f>
        <v>19.679018271022798</v>
      </c>
      <c r="AA44" s="53">
        <f t="shared" ref="AA44:AA53" si="4">10^((Z44- 21.951)/-3.2802)</f>
        <v>4.9275963237856661</v>
      </c>
      <c r="AB44" s="53">
        <f>SUM(Z44*(LOG($Z$40)/LOG(2)))</f>
        <v>19.929359086126571</v>
      </c>
      <c r="AC44" s="53">
        <f t="shared" ref="AC44:AC53" si="5">10^((AB44- 21.951)/-3.2802)</f>
        <v>4.1334849137227501</v>
      </c>
      <c r="AD44" s="6"/>
      <c r="AE44" s="114"/>
      <c r="AF44" s="46" t="s">
        <v>35</v>
      </c>
      <c r="AG44" s="46">
        <f>AVERAGE(W13:W14)</f>
        <v>19.924844551000298</v>
      </c>
      <c r="AH44" s="53">
        <f t="shared" ref="AH44:AH53" si="6">10^((AG44 - 22.517)/-3.1896)</f>
        <v>6.4966552278589091</v>
      </c>
      <c r="AI44" s="53">
        <f>SUM(AG44*(LOG($AG$40)/LOG(2)))</f>
        <v>20.751473821241309</v>
      </c>
      <c r="AJ44" s="53">
        <f t="shared" ref="AJ44:AJ53" si="7">10^((AI44 - 22.517)/-3.1896)</f>
        <v>3.5770572418797797</v>
      </c>
      <c r="AK44" s="6"/>
      <c r="AL44" s="114" t="s">
        <v>21</v>
      </c>
      <c r="AM44" s="46" t="s">
        <v>35</v>
      </c>
      <c r="AN44" s="46">
        <f>AVERAGE(N16:N17)</f>
        <v>19.51626026227445</v>
      </c>
      <c r="AO44" s="53">
        <f t="shared" ref="AO44:AO53" si="8">10^((AN44- 22.347)/-3.3604)</f>
        <v>6.9563557085572576</v>
      </c>
      <c r="AP44" s="46">
        <f>SUM(AN44*(LOG($AN$40)/LOG(2)))</f>
        <v>19.292826232705426</v>
      </c>
      <c r="AQ44" s="53">
        <f t="shared" ref="AQ44:AQ53" si="9">10^((AP44- 22.347)/-3.3604)</f>
        <v>8.107222436156766</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7"/>
      <c r="D45" s="47" t="s">
        <v>36</v>
      </c>
      <c r="E45" s="47">
        <f>AVERAGE(I7:I8)</f>
        <v>19.2499129289323</v>
      </c>
      <c r="F45" s="54">
        <f t="shared" ref="F45:F53" si="10">10^((E45- 21.495)/-3.2708)</f>
        <v>4.8573907606025539</v>
      </c>
      <c r="G45" s="54">
        <f>SUM(E45*(LOG(E40)/LOG(2)))</f>
        <v>19.550821383990364</v>
      </c>
      <c r="H45" s="54">
        <f t="shared" ref="H45:H53" si="11">10^((G45- 21.495)/-3.2708)</f>
        <v>3.930109179734699</v>
      </c>
      <c r="I45" s="6"/>
      <c r="J45" s="114"/>
      <c r="K45" s="47" t="s">
        <v>36</v>
      </c>
      <c r="L45" s="47">
        <f>AVERAGE(X7:X8)</f>
        <v>21.001631896616949</v>
      </c>
      <c r="M45" s="54">
        <f t="shared" si="0"/>
        <v>1.2721622559444594</v>
      </c>
      <c r="N45" s="54">
        <f>SUM(L45*(LOG($L$40)/LOG(2)))</f>
        <v>20.408937232580861</v>
      </c>
      <c r="O45" s="54">
        <f t="shared" si="1"/>
        <v>1.8963834423181427</v>
      </c>
      <c r="P45" s="6"/>
      <c r="Q45" s="114"/>
      <c r="R45" s="47" t="s">
        <v>36</v>
      </c>
      <c r="S45" s="47">
        <f>AVERAGE(O10:O11)</f>
        <v>24.793250213788852</v>
      </c>
      <c r="T45" s="54">
        <f t="shared" si="2"/>
        <v>2.9593381528183569</v>
      </c>
      <c r="U45" s="54">
        <f>SUM(S45*(LOG($S$40)/LOG(2)))</f>
        <v>31.506596705848008</v>
      </c>
      <c r="V45" s="54">
        <f t="shared" si="3"/>
        <v>7.9995473292560539E-3</v>
      </c>
      <c r="W45" s="6"/>
      <c r="X45" s="114"/>
      <c r="Y45" s="47" t="s">
        <v>36</v>
      </c>
      <c r="Z45" s="47">
        <f>AVERAGE(I13:I14)</f>
        <v>19.930802591546801</v>
      </c>
      <c r="AA45" s="54">
        <f t="shared" si="4"/>
        <v>4.1292986158623091</v>
      </c>
      <c r="AB45" s="54">
        <f>SUM(Z45*(LOG($Z$40)/LOG(2)))</f>
        <v>20.184346406473139</v>
      </c>
      <c r="AC45" s="54">
        <f t="shared" si="5"/>
        <v>3.4560583016376807</v>
      </c>
      <c r="AD45" s="6"/>
      <c r="AE45" s="114"/>
      <c r="AF45" s="47" t="s">
        <v>36</v>
      </c>
      <c r="AG45" s="47">
        <f>AVERAGE(X13:X14)</f>
        <v>20.28803754920505</v>
      </c>
      <c r="AH45" s="54">
        <f t="shared" si="6"/>
        <v>4.9982956043073559</v>
      </c>
      <c r="AI45" s="54">
        <f>SUM(AG45*(LOG($AG$40)/LOG(2)))</f>
        <v>21.129734739413724</v>
      </c>
      <c r="AJ45" s="54">
        <f t="shared" si="7"/>
        <v>2.722287125145507</v>
      </c>
      <c r="AK45" s="6"/>
      <c r="AL45" s="114"/>
      <c r="AM45" s="47" t="s">
        <v>36</v>
      </c>
      <c r="AN45" s="47">
        <f>AVERAGE(O16:O17)</f>
        <v>20.078722542740799</v>
      </c>
      <c r="AO45" s="54">
        <f t="shared" si="8"/>
        <v>4.7315367667623578</v>
      </c>
      <c r="AP45" s="47">
        <f>SUM(AN45*(LOG($AN$40)/LOG(2)))</f>
        <v>19.848849102541035</v>
      </c>
      <c r="AQ45" s="54">
        <f t="shared" si="9"/>
        <v>5.5387120819027604</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7"/>
      <c r="D46" s="48" t="s">
        <v>37</v>
      </c>
      <c r="E46" s="48">
        <f>AVERAGE(J7:J8)</f>
        <v>17.897120752056303</v>
      </c>
      <c r="F46" s="55">
        <f t="shared" si="10"/>
        <v>12.589247452760805</v>
      </c>
      <c r="G46" s="55">
        <f>SUM(E46*(LOG(E40)/LOG(2)))</f>
        <v>18.176882794376748</v>
      </c>
      <c r="H46" s="55">
        <f t="shared" si="11"/>
        <v>10.33871477718646</v>
      </c>
      <c r="I46" s="6"/>
      <c r="J46" s="114"/>
      <c r="K46" s="48" t="s">
        <v>37</v>
      </c>
      <c r="L46" s="48">
        <f>AVERAGE(Y7:Y8)</f>
        <v>16.995627510378899</v>
      </c>
      <c r="M46" s="55">
        <f t="shared" si="0"/>
        <v>18.898923749028636</v>
      </c>
      <c r="N46" s="55">
        <f>SUM(L46*(LOG($L$40)/LOG(2)))</f>
        <v>16.515987747767443</v>
      </c>
      <c r="O46" s="55">
        <f t="shared" si="1"/>
        <v>26.10647647022957</v>
      </c>
      <c r="P46" s="6"/>
      <c r="Q46" s="114"/>
      <c r="R46" s="48" t="s">
        <v>37</v>
      </c>
      <c r="S46" s="48">
        <f>AVERAGE(P10:P11)</f>
        <v>22.639984567633849</v>
      </c>
      <c r="T46" s="55">
        <f t="shared" si="2"/>
        <v>19.719987447610748</v>
      </c>
      <c r="U46" s="55">
        <f>SUM(S46*(LOG($S$40)/LOG(2)))</f>
        <v>28.770284535036605</v>
      </c>
      <c r="V46" s="55">
        <f t="shared" si="3"/>
        <v>8.9087456196441789E-2</v>
      </c>
      <c r="W46" s="6"/>
      <c r="X46" s="114"/>
      <c r="Y46" s="48" t="s">
        <v>37</v>
      </c>
      <c r="Z46" s="48">
        <f>AVERAGE(J13:J14)</f>
        <v>19.76422269145225</v>
      </c>
      <c r="AA46" s="55">
        <f t="shared" si="4"/>
        <v>4.641514900181269</v>
      </c>
      <c r="AB46" s="55">
        <f>SUM(Z46*(LOG($Z$40)/LOG(2)))</f>
        <v>20.015647409409659</v>
      </c>
      <c r="AC46" s="55">
        <f t="shared" si="5"/>
        <v>3.8905459166137923</v>
      </c>
      <c r="AD46" s="6"/>
      <c r="AE46" s="114"/>
      <c r="AF46" s="48" t="s">
        <v>37</v>
      </c>
      <c r="AG46" s="48">
        <f>AVERAGE(Y13:Y14)</f>
        <v>19.022199407370849</v>
      </c>
      <c r="AH46" s="55">
        <f t="shared" si="6"/>
        <v>12.464824415397739</v>
      </c>
      <c r="AI46" s="55">
        <f>SUM(AG46*(LOG($AG$40)/LOG(2)))</f>
        <v>19.811380310350817</v>
      </c>
      <c r="AJ46" s="55">
        <f t="shared" si="7"/>
        <v>7.051199588009311</v>
      </c>
      <c r="AK46" s="6"/>
      <c r="AL46" s="114"/>
      <c r="AM46" s="48" t="s">
        <v>37</v>
      </c>
      <c r="AN46" s="48">
        <f>AVERAGE(P16:P17)</f>
        <v>19.469736543705949</v>
      </c>
      <c r="AO46" s="55">
        <f t="shared" si="8"/>
        <v>7.1816870756384219</v>
      </c>
      <c r="AP46" s="48">
        <f>SUM(AN46*(LOG($AN$40)/LOG(2)))</f>
        <v>19.246835145992137</v>
      </c>
      <c r="AQ46" s="55">
        <f t="shared" si="9"/>
        <v>8.3667787159702058</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7"/>
      <c r="D47" s="49" t="s">
        <v>38</v>
      </c>
      <c r="E47" s="49">
        <f>AVERAGE(K7:K8)</f>
        <v>17.50774460913825</v>
      </c>
      <c r="F47" s="56">
        <f t="shared" si="10"/>
        <v>16.559450400954621</v>
      </c>
      <c r="G47" s="56">
        <f>SUM(E47*(LOG(E40)/LOG(2)))</f>
        <v>17.781420048675894</v>
      </c>
      <c r="H47" s="56">
        <f t="shared" si="11"/>
        <v>13.657574997420525</v>
      </c>
      <c r="I47" s="6"/>
      <c r="J47" s="114"/>
      <c r="K47" s="49" t="s">
        <v>38</v>
      </c>
      <c r="L47" s="49">
        <f>AVERAGE(C10:C11)</f>
        <v>17.552201660865052</v>
      </c>
      <c r="M47" s="56">
        <f t="shared" si="0"/>
        <v>12.990322149160365</v>
      </c>
      <c r="N47" s="56">
        <f>SUM(L47*(LOG($L$40)/LOG(2)))</f>
        <v>17.056854617469064</v>
      </c>
      <c r="O47" s="56">
        <f t="shared" si="1"/>
        <v>18.135353711239787</v>
      </c>
      <c r="P47" s="6"/>
      <c r="Q47" s="114"/>
      <c r="R47" s="49" t="s">
        <v>38</v>
      </c>
      <c r="S47" s="49">
        <f>AVERAGE(Q10:Q11)</f>
        <v>22.644741244690149</v>
      </c>
      <c r="T47" s="56">
        <f t="shared" si="2"/>
        <v>19.637536756783202</v>
      </c>
      <c r="U47" s="56">
        <f>SUM(S47*(LOG($S$40)/LOG(2)))</f>
        <v>28.776329192529289</v>
      </c>
      <c r="V47" s="56">
        <f t="shared" si="3"/>
        <v>8.8614385446648125E-2</v>
      </c>
      <c r="W47" s="6"/>
      <c r="X47" s="114"/>
      <c r="Y47" s="49" t="s">
        <v>38</v>
      </c>
      <c r="Z47" s="49">
        <f>AVERAGE(K13:K14)</f>
        <v>17.68548875486065</v>
      </c>
      <c r="AA47" s="56">
        <f t="shared" si="4"/>
        <v>19.970155837862031</v>
      </c>
      <c r="AB47" s="56">
        <f>SUM(Z47*(LOG($Z$40)/LOG(2)))</f>
        <v>17.910469473381539</v>
      </c>
      <c r="AC47" s="56">
        <f t="shared" si="5"/>
        <v>17.052731483574711</v>
      </c>
      <c r="AD47" s="6"/>
      <c r="AE47" s="114"/>
      <c r="AF47" s="49" t="s">
        <v>38</v>
      </c>
      <c r="AG47" s="49">
        <f>AVERAGE(C16:C17)</f>
        <v>18.3877185185728</v>
      </c>
      <c r="AH47" s="56">
        <f t="shared" si="6"/>
        <v>19.70642926303789</v>
      </c>
      <c r="AI47" s="56">
        <f>SUM(AG47*(LOG($AG$40)/LOG(2)))</f>
        <v>19.15057648223214</v>
      </c>
      <c r="AJ47" s="56">
        <f t="shared" si="7"/>
        <v>11.361548356681512</v>
      </c>
      <c r="AK47" s="6"/>
      <c r="AL47" s="114"/>
      <c r="AM47" s="49" t="s">
        <v>38</v>
      </c>
      <c r="AN47" s="49">
        <f>AVERAGE(Q16:Q17)</f>
        <v>17.640749872242949</v>
      </c>
      <c r="AO47" s="56">
        <f t="shared" si="8"/>
        <v>25.147971201324992</v>
      </c>
      <c r="AP47" s="49">
        <f>SUM(AN47*(LOG($AN$40)/LOG(2)))</f>
        <v>17.438787827486166</v>
      </c>
      <c r="AQ47" s="56">
        <f t="shared" si="9"/>
        <v>28.88042306909206</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7"/>
      <c r="D48" s="49" t="s">
        <v>39</v>
      </c>
      <c r="E48" s="49">
        <f>AVERAGE(L7:L8)</f>
        <v>18.188924307542997</v>
      </c>
      <c r="F48" s="56">
        <f t="shared" si="10"/>
        <v>10.251443795861631</v>
      </c>
      <c r="G48" s="56">
        <f>SUM(E48*(LOG(E40)/LOG(2)))</f>
        <v>18.473247729303761</v>
      </c>
      <c r="H48" s="56">
        <f t="shared" si="11"/>
        <v>8.3918409302902024</v>
      </c>
      <c r="I48" s="6"/>
      <c r="J48" s="114"/>
      <c r="K48" s="49" t="s">
        <v>39</v>
      </c>
      <c r="L48" s="49">
        <f>AVERAGE(D10:D11)</f>
        <v>18.178806352066299</v>
      </c>
      <c r="M48" s="56">
        <f t="shared" si="0"/>
        <v>8.5175838844032903</v>
      </c>
      <c r="N48" s="56">
        <f>SUM(L48*(LOG($L$40)/LOG(2)))</f>
        <v>17.665775670619556</v>
      </c>
      <c r="O48" s="56">
        <f t="shared" si="1"/>
        <v>12.033600878110253</v>
      </c>
      <c r="P48" s="6"/>
      <c r="Q48" s="114"/>
      <c r="R48" s="49" t="s">
        <v>39</v>
      </c>
      <c r="S48" s="49">
        <f>AVERAGE(R10:R11)</f>
        <v>23.037993870942099</v>
      </c>
      <c r="T48" s="56">
        <f t="shared" si="2"/>
        <v>13.888387410194532</v>
      </c>
      <c r="U48" s="56">
        <f>SUM(S48*(LOG($S$40)/LOG(2)))</f>
        <v>29.276064071659619</v>
      </c>
      <c r="V48" s="56">
        <f t="shared" si="3"/>
        <v>5.7060455128443502E-2</v>
      </c>
      <c r="W48" s="6"/>
      <c r="X48" s="114"/>
      <c r="Y48" s="49" t="s">
        <v>39</v>
      </c>
      <c r="Z48" s="49">
        <f>AVERAGE(L13:L14)</f>
        <v>18.966083178114502</v>
      </c>
      <c r="AA48" s="56">
        <f t="shared" si="4"/>
        <v>8.1279332778733551</v>
      </c>
      <c r="AB48" s="56">
        <f>SUM(Z48*(LOG($Z$40)/LOG(2)))</f>
        <v>19.207354600130838</v>
      </c>
      <c r="AC48" s="56">
        <f t="shared" si="5"/>
        <v>6.8616135462319487</v>
      </c>
      <c r="AD48" s="6"/>
      <c r="AE48" s="114"/>
      <c r="AF48" s="49" t="s">
        <v>39</v>
      </c>
      <c r="AG48" s="49">
        <f>AVERAGE(D16:D17)</f>
        <v>19.081914586651749</v>
      </c>
      <c r="AH48" s="56">
        <f t="shared" si="6"/>
        <v>11.93890030676855</v>
      </c>
      <c r="AI48" s="56">
        <f>SUM(AG48*(LOG($AG$40)/LOG(2)))</f>
        <v>19.873572914986024</v>
      </c>
      <c r="AJ48" s="56">
        <f t="shared" si="7"/>
        <v>6.7416227819280783</v>
      </c>
      <c r="AK48" s="6"/>
      <c r="AL48" s="114"/>
      <c r="AM48" s="49" t="s">
        <v>39</v>
      </c>
      <c r="AN48" s="49">
        <f>AVERAGE(R16:R17)</f>
        <v>19.045263760432249</v>
      </c>
      <c r="AO48" s="56">
        <f t="shared" si="8"/>
        <v>9.6060009609727555</v>
      </c>
      <c r="AP48" s="49">
        <f>SUM(AN48*(LOG($AN$40)/LOG(2)))</f>
        <v>18.827221985573157</v>
      </c>
      <c r="AQ48" s="56">
        <f t="shared" si="9"/>
        <v>11.153939554757462</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7"/>
      <c r="D49" s="49" t="s">
        <v>40</v>
      </c>
      <c r="E49" s="49">
        <f>AVERAGE(M7:M8)</f>
        <v>19.679302271203902</v>
      </c>
      <c r="F49" s="56">
        <f t="shared" si="10"/>
        <v>3.5902396118175206</v>
      </c>
      <c r="G49" s="56">
        <f>SUM(E49*(LOG(E40)/LOG(2)))</f>
        <v>19.98692280252321</v>
      </c>
      <c r="H49" s="56">
        <f t="shared" si="11"/>
        <v>2.8911650589109481</v>
      </c>
      <c r="I49" s="6"/>
      <c r="J49" s="114"/>
      <c r="K49" s="49" t="s">
        <v>40</v>
      </c>
      <c r="L49" s="49">
        <f>AVERAGE(E10:E11)</f>
        <v>21.3748992619301</v>
      </c>
      <c r="M49" s="56">
        <f t="shared" si="0"/>
        <v>0.98934762842639234</v>
      </c>
      <c r="N49" s="56">
        <f>SUM(L49*(LOG($L$40)/LOG(2)))</f>
        <v>20.77167048431803</v>
      </c>
      <c r="O49" s="56">
        <f t="shared" si="1"/>
        <v>1.4852999191382048</v>
      </c>
      <c r="P49" s="6"/>
      <c r="Q49" s="114"/>
      <c r="R49" s="49" t="s">
        <v>40</v>
      </c>
      <c r="S49" s="49">
        <f>AVERAGE(S10:S11)</f>
        <v>25.102461427187848</v>
      </c>
      <c r="T49" s="56">
        <f t="shared" si="2"/>
        <v>2.2537652433973125</v>
      </c>
      <c r="U49" s="56">
        <f>SUM(S49*(LOG($S$40)/LOG(2)))</f>
        <v>31.899534013925106</v>
      </c>
      <c r="V49" s="56">
        <f t="shared" si="3"/>
        <v>5.6591453146762971E-3</v>
      </c>
      <c r="W49" s="6"/>
      <c r="X49" s="114"/>
      <c r="Y49" s="49" t="s">
        <v>40</v>
      </c>
      <c r="Z49" s="49">
        <f>AVERAGE(M13:M14)</f>
        <v>20.012298438982249</v>
      </c>
      <c r="AA49" s="56">
        <f t="shared" si="4"/>
        <v>3.8997028025617704</v>
      </c>
      <c r="AB49" s="56">
        <f>SUM(Z49*(LOG($Z$40)/LOG(2)))</f>
        <v>20.266878979246894</v>
      </c>
      <c r="AC49" s="56">
        <f t="shared" si="5"/>
        <v>3.2615213412572865</v>
      </c>
      <c r="AD49" s="6"/>
      <c r="AE49" s="114"/>
      <c r="AF49" s="49" t="s">
        <v>40</v>
      </c>
      <c r="AG49" s="49">
        <f>AVERAGE(E16:E17)</f>
        <v>20.237180233083102</v>
      </c>
      <c r="AH49" s="56">
        <f t="shared" si="6"/>
        <v>5.1852138076112233</v>
      </c>
      <c r="AI49" s="56">
        <f>SUM(AG49*(LOG($AG$40)/LOG(2)))</f>
        <v>21.076767487326922</v>
      </c>
      <c r="AJ49" s="56">
        <f t="shared" si="7"/>
        <v>2.8283956832816997</v>
      </c>
      <c r="AK49" s="6"/>
      <c r="AL49" s="114"/>
      <c r="AM49" s="49" t="s">
        <v>40</v>
      </c>
      <c r="AN49" s="49">
        <f>AVERAGE(S16:S17)</f>
        <v>20.303738238058401</v>
      </c>
      <c r="AO49" s="56">
        <f t="shared" si="8"/>
        <v>4.0554703798033938</v>
      </c>
      <c r="AP49" s="49">
        <f>SUM(AN49*(LOG($AN$40)/LOG(2)))</f>
        <v>20.071288681182313</v>
      </c>
      <c r="AQ49" s="56">
        <f t="shared" si="9"/>
        <v>4.7556996061984407</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7"/>
      <c r="D50" s="50" t="s">
        <v>41</v>
      </c>
      <c r="E50" s="50">
        <f>AVERAGE(N7:N8)</f>
        <v>18.638372612582501</v>
      </c>
      <c r="F50" s="57">
        <f t="shared" si="10"/>
        <v>7.4708959496890834</v>
      </c>
      <c r="G50" s="57">
        <f>SUM(E50*(LOG(E40)/LOG(2)))</f>
        <v>18.929721665866754</v>
      </c>
      <c r="H50" s="57">
        <f t="shared" si="11"/>
        <v>6.0855090172090591</v>
      </c>
      <c r="I50" s="6"/>
      <c r="J50" s="114"/>
      <c r="K50" s="50" t="s">
        <v>41</v>
      </c>
      <c r="L50" s="50">
        <f>AVERAGE(F10:F11)</f>
        <v>17.974478581169901</v>
      </c>
      <c r="M50" s="57">
        <f t="shared" si="0"/>
        <v>9.7743828448056007</v>
      </c>
      <c r="N50" s="57">
        <f>SUM(L50*(LOG($L$40)/LOG(2)))</f>
        <v>17.467214307787103</v>
      </c>
      <c r="O50" s="57">
        <f t="shared" si="1"/>
        <v>13.75566706398277</v>
      </c>
      <c r="P50" s="6"/>
      <c r="Q50" s="114"/>
      <c r="R50" s="50" t="s">
        <v>41</v>
      </c>
      <c r="S50" s="50">
        <f>AVERAGE(T10:T11)</f>
        <v>23.842003989323551</v>
      </c>
      <c r="T50" s="57">
        <f t="shared" si="2"/>
        <v>6.8404570348187432</v>
      </c>
      <c r="U50" s="57">
        <f>SUM(S50*(LOG($S$40)/LOG(2)))</f>
        <v>30.29777854349507</v>
      </c>
      <c r="V50" s="57">
        <f t="shared" si="3"/>
        <v>2.3199986005929259E-2</v>
      </c>
      <c r="W50" s="6"/>
      <c r="X50" s="114"/>
      <c r="Y50" s="50" t="s">
        <v>41</v>
      </c>
      <c r="Z50" s="50">
        <f>AVERAGE(N13:N14)</f>
        <v>20.680913016129701</v>
      </c>
      <c r="AA50" s="57">
        <f t="shared" si="4"/>
        <v>2.4389226771145824</v>
      </c>
      <c r="AB50" s="57">
        <f>SUM(Z50*(LOG($Z$40)/LOG(2)))</f>
        <v>20.943999139138775</v>
      </c>
      <c r="AC50" s="57">
        <f t="shared" si="5"/>
        <v>2.0276534851025683</v>
      </c>
      <c r="AD50" s="6"/>
      <c r="AE50" s="114"/>
      <c r="AF50" s="50" t="s">
        <v>41</v>
      </c>
      <c r="AG50" s="50">
        <f>AVERAGE(F16:F17)</f>
        <v>19.952576963621148</v>
      </c>
      <c r="AH50" s="57">
        <f t="shared" si="6"/>
        <v>6.367884582097413</v>
      </c>
      <c r="AI50" s="57">
        <f>SUM(AG50*(LOG($AG$40)/LOG(2)))</f>
        <v>20.78035677854762</v>
      </c>
      <c r="AJ50" s="57">
        <f t="shared" si="7"/>
        <v>3.5032452025645897</v>
      </c>
      <c r="AK50" s="6"/>
      <c r="AL50" s="114"/>
      <c r="AM50" s="50" t="s">
        <v>41</v>
      </c>
      <c r="AN50" s="50">
        <f>AVERAGE(T16:T17)</f>
        <v>20.962640959206603</v>
      </c>
      <c r="AO50" s="57">
        <f t="shared" si="8"/>
        <v>2.5820376825528606</v>
      </c>
      <c r="AP50" s="50">
        <f>SUM(AN50*(LOG($AN$40)/LOG(2)))</f>
        <v>20.722647882819007</v>
      </c>
      <c r="AQ50" s="57">
        <f t="shared" si="9"/>
        <v>3.0435510090749105</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7"/>
      <c r="D51" s="51" t="s">
        <v>42</v>
      </c>
      <c r="E51" s="51">
        <f>AVERAGE(O7:O8)</f>
        <v>18.390464468041699</v>
      </c>
      <c r="F51" s="58">
        <f t="shared" si="10"/>
        <v>8.8954317749034537</v>
      </c>
      <c r="G51" s="58">
        <f>SUM(E51*(LOG(E40)/LOG(2)))</f>
        <v>18.677938300848567</v>
      </c>
      <c r="H51" s="58">
        <f t="shared" si="11"/>
        <v>7.2656763521836645</v>
      </c>
      <c r="I51" s="6"/>
      <c r="J51" s="114"/>
      <c r="K51" s="51" t="s">
        <v>42</v>
      </c>
      <c r="L51" s="51">
        <f>AVERAGE(G10:G11)</f>
        <v>17.044209426484901</v>
      </c>
      <c r="M51" s="58">
        <f t="shared" si="0"/>
        <v>18.290483471964446</v>
      </c>
      <c r="N51" s="58">
        <f>SUM(L51*(LOG($L$40)/LOG(2)))</f>
        <v>16.563198616014574</v>
      </c>
      <c r="O51" s="58">
        <f t="shared" si="1"/>
        <v>25.289337445969483</v>
      </c>
      <c r="P51" s="6"/>
      <c r="Q51" s="114"/>
      <c r="R51" s="51" t="s">
        <v>42</v>
      </c>
      <c r="S51" s="51">
        <f>AVERAGE(U10:U11)</f>
        <v>23.083596092704347</v>
      </c>
      <c r="T51" s="58">
        <f t="shared" si="2"/>
        <v>13.341575259517892</v>
      </c>
      <c r="U51" s="58">
        <f>SUM(S51*(LOG($S$40)/LOG(2)))</f>
        <v>29.334014150716005</v>
      </c>
      <c r="V51" s="58">
        <f t="shared" si="3"/>
        <v>5.4220929666139915E-2</v>
      </c>
      <c r="W51" s="6"/>
      <c r="X51" s="114"/>
      <c r="Y51" s="51" t="s">
        <v>42</v>
      </c>
      <c r="Z51" s="51">
        <f>AVERAGE(O13:O14)</f>
        <v>20.648838438232001</v>
      </c>
      <c r="AA51" s="58">
        <f t="shared" si="4"/>
        <v>2.4944584267525487</v>
      </c>
      <c r="AB51" s="58">
        <f>SUM(Z51*(LOG($Z$40)/LOG(2)))</f>
        <v>20.911516533977498</v>
      </c>
      <c r="AC51" s="58">
        <f t="shared" si="5"/>
        <v>2.0744184571268445</v>
      </c>
      <c r="AD51" s="6"/>
      <c r="AE51" s="114"/>
      <c r="AF51" s="51" t="s">
        <v>42</v>
      </c>
      <c r="AG51" s="51">
        <f>AVERAGE(G16:G17)</f>
        <v>19.501897410357849</v>
      </c>
      <c r="AH51" s="58">
        <f t="shared" si="6"/>
        <v>8.8164095733804562</v>
      </c>
      <c r="AI51" s="58">
        <f>SUM(AG51*(LOG($AG$40)/LOG(2)))</f>
        <v>20.310979718798233</v>
      </c>
      <c r="AJ51" s="58">
        <f t="shared" si="7"/>
        <v>4.9161953598268298</v>
      </c>
      <c r="AK51" s="6"/>
      <c r="AL51" s="114"/>
      <c r="AM51" s="51" t="s">
        <v>42</v>
      </c>
      <c r="AN51" s="51">
        <f>AVERAGE(U16:U17)</f>
        <v>20.719837190276401</v>
      </c>
      <c r="AO51" s="58">
        <f t="shared" si="8"/>
        <v>3.0494182904228757</v>
      </c>
      <c r="AP51" s="51">
        <f>SUM(AN51*(LOG($AN$40)/LOG(2)))</f>
        <v>20.482623879261759</v>
      </c>
      <c r="AQ51" s="58">
        <f t="shared" si="9"/>
        <v>3.5876312387375511</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8"/>
      <c r="D52" s="52" t="s">
        <v>43</v>
      </c>
      <c r="E52" s="52">
        <f>AVERAGE(P7:P8)</f>
        <v>18.677824271108548</v>
      </c>
      <c r="F52" s="59">
        <f t="shared" si="10"/>
        <v>7.2662596271184388</v>
      </c>
      <c r="G52" s="59">
        <f>SUM(E52*(LOG(E40)/LOG(2)))</f>
        <v>18.969790020045419</v>
      </c>
      <c r="H52" s="59">
        <f t="shared" si="11"/>
        <v>5.9162509604087266</v>
      </c>
      <c r="I52" s="6"/>
      <c r="J52" s="115"/>
      <c r="K52" s="52" t="s">
        <v>43</v>
      </c>
      <c r="L52" s="52">
        <f>AVERAGE(H10:H11)</f>
        <v>18.049200369190949</v>
      </c>
      <c r="M52" s="59">
        <f t="shared" si="0"/>
        <v>9.2945986924130395</v>
      </c>
      <c r="N52" s="59">
        <f>SUM(L52*(LOG($L$40)/LOG(2)))</f>
        <v>17.539827345151757</v>
      </c>
      <c r="O52" s="59">
        <f t="shared" si="1"/>
        <v>13.099051084855674</v>
      </c>
      <c r="P52" s="6"/>
      <c r="Q52" s="115"/>
      <c r="R52" s="52" t="s">
        <v>43</v>
      </c>
      <c r="S52" s="52">
        <f>AVERAGE(V10:V11)</f>
        <v>23.952504383841049</v>
      </c>
      <c r="T52" s="59">
        <f t="shared" si="2"/>
        <v>6.2060347937098612</v>
      </c>
      <c r="U52" s="59">
        <f>SUM(S52*(LOG($S$40)/LOG(2)))</f>
        <v>30.438199478059097</v>
      </c>
      <c r="V52" s="59">
        <f t="shared" si="3"/>
        <v>2.0500808137748454E-2</v>
      </c>
      <c r="W52" s="6"/>
      <c r="X52" s="115"/>
      <c r="Y52" s="52" t="s">
        <v>43</v>
      </c>
      <c r="Z52" s="52">
        <f>AVERAGE(P13:P14)</f>
        <v>20.53246850536355</v>
      </c>
      <c r="AA52" s="59">
        <f t="shared" si="4"/>
        <v>2.7067786678679542</v>
      </c>
      <c r="AB52" s="59">
        <f>SUM(Z52*(LOG($Z$40)/LOG(2)))</f>
        <v>20.793666235399403</v>
      </c>
      <c r="AC52" s="59">
        <f t="shared" si="5"/>
        <v>2.2533266145048136</v>
      </c>
      <c r="AD52" s="6"/>
      <c r="AE52" s="115"/>
      <c r="AF52" s="52" t="s">
        <v>43</v>
      </c>
      <c r="AG52" s="52">
        <f>AVERAGE(H16:H17)</f>
        <v>20.092367062242701</v>
      </c>
      <c r="AH52" s="59">
        <f t="shared" si="6"/>
        <v>5.7566303117946465</v>
      </c>
      <c r="AI52" s="59">
        <f>SUM(AG52*(LOG($AG$40)/LOG(2)))</f>
        <v>20.925946399816119</v>
      </c>
      <c r="AJ52" s="59">
        <f t="shared" si="7"/>
        <v>3.1537367050792993</v>
      </c>
      <c r="AK52" s="6"/>
      <c r="AL52" s="115"/>
      <c r="AM52" s="52" t="s">
        <v>43</v>
      </c>
      <c r="AN52" s="52">
        <f>AVERAGE(V16:V17)</f>
        <v>20.928296440570801</v>
      </c>
      <c r="AO52" s="59">
        <f t="shared" si="8"/>
        <v>2.6435220808462665</v>
      </c>
      <c r="AP52" s="52">
        <f>SUM(AN52*(LOG($AN$40)/LOG(2)))</f>
        <v>20.688696561142525</v>
      </c>
      <c r="AQ52" s="59">
        <f t="shared" si="9"/>
        <v>3.115185710471553</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5" t="s">
        <v>34</v>
      </c>
      <c r="D53" s="126"/>
      <c r="E53" s="61">
        <f>AVERAGE(Q7:Q8)</f>
        <v>34.841979931263197</v>
      </c>
      <c r="F53" s="60">
        <f t="shared" si="10"/>
        <v>8.3052571639072643E-5</v>
      </c>
      <c r="G53" s="60">
        <f>SUM(E53*(LOG(E40)/LOG(2)))</f>
        <v>35.386618568902065</v>
      </c>
      <c r="H53" s="60">
        <f t="shared" si="11"/>
        <v>5.6602767249299289E-5</v>
      </c>
      <c r="I53" s="6"/>
      <c r="J53" s="125" t="s">
        <v>34</v>
      </c>
      <c r="K53" s="126"/>
      <c r="L53" s="61">
        <f>AVERAGE(Z7:Z8)</f>
        <v>37.458035239209799</v>
      </c>
      <c r="M53" s="60">
        <f t="shared" si="0"/>
        <v>1.9519849673713906E-5</v>
      </c>
      <c r="N53" s="60">
        <f>SUM(L53*(LOG($L$40)/LOG(2)))</f>
        <v>36.40091845319796</v>
      </c>
      <c r="O53" s="60">
        <f t="shared" si="1"/>
        <v>3.9785023539466593E-5</v>
      </c>
      <c r="P53" s="6"/>
      <c r="Q53" s="125" t="s">
        <v>34</v>
      </c>
      <c r="R53" s="126"/>
      <c r="S53" s="61">
        <f>AVERAGE(W10:W11)</f>
        <v>34.425922029040095</v>
      </c>
      <c r="T53" s="60">
        <f t="shared" si="2"/>
        <v>6.1137019404464209E-4</v>
      </c>
      <c r="U53" s="60">
        <f>SUM(S53*(LOG($S$40)/LOG(2)))</f>
        <v>43.747537424226323</v>
      </c>
      <c r="V53" s="60">
        <f t="shared" si="3"/>
        <v>1.6611380012544965E-7</v>
      </c>
      <c r="W53" s="6"/>
      <c r="X53" s="125" t="s">
        <v>34</v>
      </c>
      <c r="Y53" s="126"/>
      <c r="Z53" s="61" t="e">
        <f>AVERAGE(Q13:Q14)</f>
        <v>#DIV/0!</v>
      </c>
      <c r="AA53" s="60" t="e">
        <f t="shared" si="4"/>
        <v>#DIV/0!</v>
      </c>
      <c r="AB53" s="60" t="e">
        <f>SUM(Z53*(LOG($Z$40)/LOG(2)))</f>
        <v>#DIV/0!</v>
      </c>
      <c r="AC53" s="60" t="e">
        <f t="shared" si="5"/>
        <v>#DIV/0!</v>
      </c>
      <c r="AD53" s="6"/>
      <c r="AE53" s="111" t="s">
        <v>34</v>
      </c>
      <c r="AF53" s="112"/>
      <c r="AG53" s="61" t="e">
        <f>AVERAGE(Z13:Z14)</f>
        <v>#DIV/0!</v>
      </c>
      <c r="AH53" s="60" t="e">
        <f t="shared" si="6"/>
        <v>#DIV/0!</v>
      </c>
      <c r="AI53" s="60" t="e">
        <f>SUM(AG53*(LOG($AG$40)/LOG(2)))</f>
        <v>#DIV/0!</v>
      </c>
      <c r="AJ53" s="60" t="e">
        <f t="shared" si="7"/>
        <v>#DIV/0!</v>
      </c>
      <c r="AK53" s="6"/>
      <c r="AL53" s="111" t="s">
        <v>34</v>
      </c>
      <c r="AM53" s="112"/>
      <c r="AN53" s="61">
        <f>AVERAGE(W16:W17)</f>
        <v>36.991617715934403</v>
      </c>
      <c r="AO53" s="60">
        <f t="shared" si="8"/>
        <v>4.3853234566479991E-5</v>
      </c>
      <c r="AP53" s="61">
        <f>SUM(AN53*(LOG($AN$40)/LOG(2)))</f>
        <v>36.568115154712416</v>
      </c>
      <c r="AQ53" s="60">
        <f t="shared" si="9"/>
        <v>5.861773829735113E-5</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9" t="s">
        <v>73</v>
      </c>
      <c r="D54" s="110"/>
      <c r="E54" s="84">
        <f>AVERAGE(E44:E52)</f>
        <v>18.516899122652596</v>
      </c>
      <c r="F54" s="84">
        <f>AVERAGE(F44:F52)</f>
        <v>8.9086529401780599</v>
      </c>
      <c r="G54" s="84">
        <f>AVERAGE(G44:G52)</f>
        <v>18.806349341364442</v>
      </c>
      <c r="H54" s="84">
        <f>AVERAGE(H44:H52)</f>
        <v>7.2864850269375374</v>
      </c>
      <c r="I54" s="6"/>
      <c r="J54" s="109" t="s">
        <v>73</v>
      </c>
      <c r="K54" s="110"/>
      <c r="L54" s="84">
        <f>AVERAGE(L44:L52)</f>
        <v>18.479175781362834</v>
      </c>
      <c r="M54" s="84">
        <f>AVERAGE(M44:M52)</f>
        <v>9.8624422647177017</v>
      </c>
      <c r="N54" s="84">
        <f>AVERAGE(N44:N52)</f>
        <v>17.957668265408181</v>
      </c>
      <c r="O54" s="84">
        <f>AVERAGE(O44:O52)</f>
        <v>13.792447694087279</v>
      </c>
      <c r="P54" s="6"/>
      <c r="Q54" s="109" t="s">
        <v>73</v>
      </c>
      <c r="R54" s="110"/>
      <c r="S54" s="84">
        <f>AVERAGE(S44:S52)</f>
        <v>23.640577189064018</v>
      </c>
      <c r="T54" s="84">
        <f>AVERAGE(T44:T52)</f>
        <v>10.312883461404903</v>
      </c>
      <c r="U54" s="84">
        <f>AVERAGE(U44:U52)</f>
        <v>30.041810773767288</v>
      </c>
      <c r="V54" s="84">
        <f>AVERAGE(V44:V52)</f>
        <v>4.1612291920535761E-2</v>
      </c>
      <c r="W54" s="6"/>
      <c r="X54" s="109" t="s">
        <v>73</v>
      </c>
      <c r="Y54" s="110"/>
      <c r="Z54" s="84">
        <f>AVERAGE(Z44:Z52)</f>
        <v>19.766681542856052</v>
      </c>
      <c r="AA54" s="84">
        <f>AVERAGE(AA44:AA52)</f>
        <v>5.9262623922068318</v>
      </c>
      <c r="AB54" s="84">
        <f>AVERAGE(AB44:AB52)</f>
        <v>20.018137540364926</v>
      </c>
      <c r="AC54" s="84">
        <f>AVERAGE(AC44:AC52)</f>
        <v>5.0012615621969339</v>
      </c>
      <c r="AD54" s="6"/>
      <c r="AE54" s="109" t="s">
        <v>73</v>
      </c>
      <c r="AF54" s="110"/>
      <c r="AG54" s="84">
        <f>AVERAGE(AG44:AG52)</f>
        <v>19.609859586900615</v>
      </c>
      <c r="AH54" s="84">
        <f>AVERAGE(AH44:AH52)</f>
        <v>9.0812492324726879</v>
      </c>
      <c r="AI54" s="84">
        <f>AVERAGE(AI44:AI52)</f>
        <v>20.423420961412546</v>
      </c>
      <c r="AJ54" s="84">
        <f>AVERAGE(AJ44:AJ52)</f>
        <v>5.0950320049329569</v>
      </c>
      <c r="AK54" s="6"/>
      <c r="AL54" s="109" t="s">
        <v>73</v>
      </c>
      <c r="AM54" s="110"/>
      <c r="AN54" s="84">
        <f>AVERAGE(AN44:AN52)</f>
        <v>19.851693978834287</v>
      </c>
      <c r="AO54" s="84">
        <f>AVERAGE(AO44:AO52)</f>
        <v>7.3282222385423541</v>
      </c>
      <c r="AP54" s="84">
        <f>AVERAGE(AP44:AP52)</f>
        <v>19.624419699855949</v>
      </c>
      <c r="AQ54" s="84">
        <f>AVERAGE(AQ44:AQ52)</f>
        <v>8.5054603802624129</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9" t="s">
        <v>74</v>
      </c>
      <c r="D55" s="110"/>
      <c r="E55" s="84">
        <f>(E56/SQRT(9))</f>
        <v>0.20680221024435944</v>
      </c>
      <c r="F55" s="84">
        <f>(F56/SQRT(9))</f>
        <v>1.2342447319134389</v>
      </c>
      <c r="G55" s="84">
        <f>(G56/SQRT(9))</f>
        <v>0.21003487596170378</v>
      </c>
      <c r="H55" s="84">
        <f>(H56/SQRT(9))</f>
        <v>1.0247994705937835</v>
      </c>
      <c r="I55" s="6"/>
      <c r="J55" s="109" t="s">
        <v>74</v>
      </c>
      <c r="K55" s="110"/>
      <c r="L55" s="84">
        <f>(L56/SQRT(9))</f>
        <v>0.50321375685030367</v>
      </c>
      <c r="M55" s="84">
        <f>(M56/SQRT(9))</f>
        <v>1.982672028270275</v>
      </c>
      <c r="N55" s="84">
        <f>(N56/SQRT(9))</f>
        <v>0.48901237907057155</v>
      </c>
      <c r="O55" s="84">
        <f>(O56/SQRT(9))</f>
        <v>2.7247579505302117</v>
      </c>
      <c r="P55" s="6"/>
      <c r="Q55" s="109" t="s">
        <v>74</v>
      </c>
      <c r="R55" s="110"/>
      <c r="S55" s="84">
        <f>(S56/SQRT(9))</f>
        <v>0.2782358436625782</v>
      </c>
      <c r="T55" s="84">
        <f>(T56/SQRT(9))</f>
        <v>2.0811984227096376</v>
      </c>
      <c r="U55" s="84">
        <f>(U56/SQRT(9))</f>
        <v>0.35357463986358817</v>
      </c>
      <c r="V55" s="84">
        <f>(V56/SQRT(9))</f>
        <v>1.0091321239862406E-2</v>
      </c>
      <c r="W55" s="6"/>
      <c r="X55" s="109" t="s">
        <v>74</v>
      </c>
      <c r="Y55" s="110"/>
      <c r="Z55" s="84">
        <f>(Z56/SQRT(9))</f>
        <v>0.29954131771772124</v>
      </c>
      <c r="AA55" s="84">
        <f>(AA56/SQRT(9))</f>
        <v>1.7440060405133719</v>
      </c>
      <c r="AB55" s="84">
        <f>(AB56/SQRT(9))</f>
        <v>0.30335184406623988</v>
      </c>
      <c r="AC55" s="84">
        <f>(AC56/SQRT(9))</f>
        <v>1.4950940905803851</v>
      </c>
      <c r="AD55" s="6"/>
      <c r="AE55" s="109" t="s">
        <v>74</v>
      </c>
      <c r="AF55" s="110"/>
      <c r="AG55" s="84">
        <f>(AG56/SQRT(9))</f>
        <v>0.20584951250578212</v>
      </c>
      <c r="AH55" s="84">
        <f>(AH56/SQRT(9))</f>
        <v>1.5296433403051271</v>
      </c>
      <c r="AI55" s="84">
        <f>(AI56/SQRT(9))</f>
        <v>0.2143896660746881</v>
      </c>
      <c r="AJ55" s="84">
        <f>(AJ56/SQRT(9))</f>
        <v>0.8972748939352635</v>
      </c>
      <c r="AK55" s="6"/>
      <c r="AL55" s="109" t="s">
        <v>74</v>
      </c>
      <c r="AM55" s="110"/>
      <c r="AN55" s="84">
        <f>(AN56/SQRT(9))</f>
        <v>0.33701385601059136</v>
      </c>
      <c r="AO55" s="84">
        <f>(AO56/SQRT(9))</f>
        <v>2.2308886926451925</v>
      </c>
      <c r="AP55" s="84">
        <f>(AP56/SQRT(9))</f>
        <v>0.33315551620280554</v>
      </c>
      <c r="AQ55" s="84">
        <f>(AQ56/SQRT(9))</f>
        <v>2.5537825549170363</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9" t="s">
        <v>75</v>
      </c>
      <c r="D56" s="110"/>
      <c r="E56" s="84">
        <f>_xlfn.STDEV.P(E44:E52)</f>
        <v>0.62040663073307833</v>
      </c>
      <c r="F56" s="84">
        <f>_xlfn.STDEV.P(F44:F52)</f>
        <v>3.7027341957403168</v>
      </c>
      <c r="G56" s="84">
        <f>_xlfn.STDEV.P(G44:G52)</f>
        <v>0.63010462788511135</v>
      </c>
      <c r="H56" s="84">
        <f>_xlfn.STDEV.P(H44:H52)</f>
        <v>3.0743984117813503</v>
      </c>
      <c r="I56" s="6"/>
      <c r="J56" s="109" t="s">
        <v>75</v>
      </c>
      <c r="K56" s="110"/>
      <c r="L56" s="84">
        <f>_xlfn.STDEV.P(L44:L52)</f>
        <v>1.509641270550911</v>
      </c>
      <c r="M56" s="84">
        <f>_xlfn.STDEV.P(M44:M52)</f>
        <v>5.948016084810825</v>
      </c>
      <c r="N56" s="84">
        <f>_xlfn.STDEV.P(N44:N52)</f>
        <v>1.4670371372117146</v>
      </c>
      <c r="O56" s="84">
        <f>_xlfn.STDEV.P(O44:O52)</f>
        <v>8.1742738515906357</v>
      </c>
      <c r="P56" s="6"/>
      <c r="Q56" s="109" t="s">
        <v>75</v>
      </c>
      <c r="R56" s="110"/>
      <c r="S56" s="84">
        <f>_xlfn.STDEV.P(S44:S52)</f>
        <v>0.83470753098773454</v>
      </c>
      <c r="T56" s="84">
        <f>_xlfn.STDEV.P(T44:T52)</f>
        <v>6.2435952681289129</v>
      </c>
      <c r="U56" s="84">
        <f>_xlfn.STDEV.P(U44:U52)</f>
        <v>1.0607239195907645</v>
      </c>
      <c r="V56" s="84">
        <f>_xlfn.STDEV.P(V44:V52)</f>
        <v>3.0273963719587217E-2</v>
      </c>
      <c r="W56" s="6"/>
      <c r="X56" s="109" t="s">
        <v>75</v>
      </c>
      <c r="Y56" s="110"/>
      <c r="Z56" s="84">
        <f>_xlfn.STDEV.P(Z44:Z52)</f>
        <v>0.89862395315316379</v>
      </c>
      <c r="AA56" s="84">
        <f>_xlfn.STDEV.P(AA44:AA52)</f>
        <v>5.2320181215401158</v>
      </c>
      <c r="AB56" s="84">
        <f>_xlfn.STDEV.P(AB44:AB52)</f>
        <v>0.9100555321987196</v>
      </c>
      <c r="AC56" s="84">
        <f>_xlfn.STDEV.P(AC44:AC52)</f>
        <v>4.4852822717411556</v>
      </c>
      <c r="AD56" s="6"/>
      <c r="AE56" s="109" t="s">
        <v>75</v>
      </c>
      <c r="AF56" s="110"/>
      <c r="AG56" s="84">
        <f>_xlfn.STDEV.P(AG44:AG52)</f>
        <v>0.6175485375173464</v>
      </c>
      <c r="AH56" s="84">
        <f>_xlfn.STDEV.P(AH44:AH52)</f>
        <v>4.5889300209153809</v>
      </c>
      <c r="AI56" s="84">
        <f>_xlfn.STDEV.P(AI44:AI52)</f>
        <v>0.64316899822406426</v>
      </c>
      <c r="AJ56" s="84">
        <f>_xlfn.STDEV.P(AJ44:AJ52)</f>
        <v>2.6918246818057905</v>
      </c>
      <c r="AK56" s="6"/>
      <c r="AL56" s="109" t="s">
        <v>75</v>
      </c>
      <c r="AM56" s="110"/>
      <c r="AN56" s="84">
        <f>_xlfn.STDEV.P(AN44:AN52)</f>
        <v>1.0110415680317741</v>
      </c>
      <c r="AO56" s="84">
        <f>_xlfn.STDEV.P(AO44:AO52)</f>
        <v>6.692666077935578</v>
      </c>
      <c r="AP56" s="84">
        <f>_xlfn.STDEV.P(AP44:AP52)</f>
        <v>0.99946654860841655</v>
      </c>
      <c r="AQ56" s="84">
        <f>_xlfn.STDEV.P(AQ44:AQ52)</f>
        <v>7.6613476647511094</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9" t="s">
        <v>76</v>
      </c>
      <c r="D57" s="110"/>
      <c r="E57" s="84">
        <f>SUM(E56/E54)</f>
        <v>3.3504887974148204E-2</v>
      </c>
      <c r="F57" s="84">
        <f>SUM(F56/F54)</f>
        <v>0.41563345441834099</v>
      </c>
      <c r="G57" s="84">
        <f>SUM(G56/G54)</f>
        <v>3.3504887974148197E-2</v>
      </c>
      <c r="H57" s="84">
        <f>SUM(H56/H54)</f>
        <v>0.42193161729085443</v>
      </c>
      <c r="I57" s="6"/>
      <c r="J57" s="109" t="s">
        <v>76</v>
      </c>
      <c r="K57" s="110"/>
      <c r="L57" s="84">
        <f>SUM(L56/L54)</f>
        <v>8.1694188551064015E-2</v>
      </c>
      <c r="M57" s="84">
        <f>SUM(M56/M54)</f>
        <v>0.60309768363253158</v>
      </c>
      <c r="N57" s="84">
        <f>SUM(N56/N54)</f>
        <v>8.1694188551064015E-2</v>
      </c>
      <c r="O57" s="84">
        <f>SUM(O56/O54)</f>
        <v>0.59266303073202053</v>
      </c>
      <c r="P57" s="6"/>
      <c r="Q57" s="109" t="s">
        <v>76</v>
      </c>
      <c r="R57" s="110"/>
      <c r="S57" s="84">
        <f>SUM(S56/S54)</f>
        <v>3.5308255137436531E-2</v>
      </c>
      <c r="T57" s="84">
        <f>SUM(T56/T54)</f>
        <v>0.60541702924260143</v>
      </c>
      <c r="U57" s="84">
        <f>SUM(U56/U54)</f>
        <v>3.5308255137436517E-2</v>
      </c>
      <c r="V57" s="84">
        <f>SUM(V56/V54)</f>
        <v>0.72752454436778924</v>
      </c>
      <c r="W57" s="6"/>
      <c r="X57" s="109" t="s">
        <v>76</v>
      </c>
      <c r="Y57" s="110"/>
      <c r="Z57" s="84">
        <f>SUM(Z56/Z54)</f>
        <v>4.5461548576318248E-2</v>
      </c>
      <c r="AA57" s="84">
        <f>SUM(AA56/AA54)</f>
        <v>0.88285293078152216</v>
      </c>
      <c r="AB57" s="84">
        <f>SUM(AB56/AB54)</f>
        <v>4.5461548576318227E-2</v>
      </c>
      <c r="AC57" s="84">
        <f>SUM(AC56/AC54)</f>
        <v>0.89683017293958112</v>
      </c>
      <c r="AD57" s="6"/>
      <c r="AE57" s="109" t="s">
        <v>76</v>
      </c>
      <c r="AF57" s="110"/>
      <c r="AG57" s="84">
        <f>SUM(AG56/AG54)</f>
        <v>3.1491736836803702E-2</v>
      </c>
      <c r="AH57" s="84">
        <f>SUM(AH56/AH54)</f>
        <v>0.50531924666336725</v>
      </c>
      <c r="AI57" s="84">
        <f>SUM(AI56/AI54)</f>
        <v>3.1491736836803695E-2</v>
      </c>
      <c r="AJ57" s="84">
        <f>SUM(AJ56/AJ54)</f>
        <v>0.52832340978419645</v>
      </c>
      <c r="AK57" s="6"/>
      <c r="AL57" s="109" t="s">
        <v>76</v>
      </c>
      <c r="AM57" s="110"/>
      <c r="AN57" s="84">
        <f>SUM(AN56/AN54)</f>
        <v>5.0929737739748474E-2</v>
      </c>
      <c r="AO57" s="84">
        <f>SUM(AO56/AO54)</f>
        <v>0.91327280479239481</v>
      </c>
      <c r="AP57" s="84">
        <f>SUM(AP56/AP54)</f>
        <v>5.0929737739748453E-2</v>
      </c>
      <c r="AQ57" s="84">
        <f>SUM(AQ56/AQ54)</f>
        <v>0.90075637557843036</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x14ac:dyDescent="0.25">
      <c r="A59" s="6"/>
      <c r="B59" s="6"/>
      <c r="C59" s="124" t="s">
        <v>48</v>
      </c>
      <c r="D59" s="124"/>
      <c r="E59" s="124"/>
      <c r="F59" s="6"/>
      <c r="G59" s="6"/>
      <c r="H59" s="6"/>
      <c r="I59" s="6"/>
      <c r="J59" s="124" t="s">
        <v>23</v>
      </c>
      <c r="K59" s="124"/>
      <c r="L59" s="124"/>
      <c r="M59" s="6"/>
      <c r="N59" s="6"/>
      <c r="O59" s="6"/>
      <c r="P59" s="6"/>
      <c r="Q59" s="124" t="s">
        <v>27</v>
      </c>
      <c r="R59" s="124"/>
      <c r="S59" s="124"/>
      <c r="T59" s="6"/>
      <c r="U59" s="6"/>
      <c r="V59" s="6"/>
      <c r="W59" s="6"/>
      <c r="X59" s="124" t="s">
        <v>24</v>
      </c>
      <c r="Y59" s="124"/>
      <c r="Z59" s="124"/>
      <c r="AA59" s="6"/>
      <c r="AB59" s="6"/>
      <c r="AC59" s="6"/>
      <c r="AD59" s="6"/>
      <c r="AE59" s="124" t="s">
        <v>25</v>
      </c>
      <c r="AF59" s="124"/>
      <c r="AG59" s="124"/>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row>
    <row r="60" spans="1:88" ht="15" customHeight="1" x14ac:dyDescent="0.25">
      <c r="A60" s="6"/>
      <c r="B60" s="6"/>
      <c r="C60" s="116" t="s">
        <v>47</v>
      </c>
      <c r="D60" s="117"/>
      <c r="E60" s="118"/>
      <c r="F60" s="6"/>
      <c r="G60" s="6"/>
      <c r="H60" s="6"/>
      <c r="I60" s="6"/>
      <c r="J60" s="119" t="s">
        <v>47</v>
      </c>
      <c r="K60" s="120"/>
      <c r="L60" s="121"/>
      <c r="M60" s="6"/>
      <c r="N60" s="6"/>
      <c r="O60" s="6"/>
      <c r="P60" s="6"/>
      <c r="Q60" s="119" t="s">
        <v>47</v>
      </c>
      <c r="R60" s="120"/>
      <c r="S60" s="121"/>
      <c r="T60" s="6"/>
      <c r="U60" s="6"/>
      <c r="V60" s="6"/>
      <c r="W60" s="6"/>
      <c r="X60" s="119" t="s">
        <v>47</v>
      </c>
      <c r="Y60" s="122"/>
      <c r="Z60" s="123"/>
      <c r="AA60" s="6"/>
      <c r="AB60" s="6"/>
      <c r="AC60" s="6"/>
      <c r="AD60" s="6"/>
      <c r="AE60" s="119" t="s">
        <v>47</v>
      </c>
      <c r="AF60" s="120"/>
      <c r="AG60" s="12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row>
    <row r="62" spans="1:88" x14ac:dyDescent="0.25">
      <c r="A62" s="6"/>
      <c r="B62" s="6"/>
      <c r="C62" s="62">
        <v>3.2000000000000001E-2</v>
      </c>
      <c r="D62" s="63">
        <f>LOG(C62)</f>
        <v>-1.494850021680094</v>
      </c>
      <c r="E62" s="64">
        <f>AVERAGE(C19:C20)</f>
        <v>29.553930263558151</v>
      </c>
      <c r="F62" s="6"/>
      <c r="G62" s="6"/>
      <c r="H62" s="6"/>
      <c r="I62" s="6"/>
      <c r="J62" s="62">
        <v>3.2000000000000001E-2</v>
      </c>
      <c r="K62" s="63">
        <f>LOG(J62)</f>
        <v>-1.494850021680094</v>
      </c>
      <c r="L62" s="64">
        <f>AVERAGE(R19:R20)</f>
        <v>31.498895276837899</v>
      </c>
      <c r="M62" s="6"/>
      <c r="N62" s="6"/>
      <c r="O62" s="6"/>
      <c r="P62" s="6"/>
      <c r="Q62" s="62">
        <v>3.2000000000000001E-2</v>
      </c>
      <c r="R62" s="63">
        <f>LOG(Q62)</f>
        <v>-1.494850021680094</v>
      </c>
      <c r="S62" s="64">
        <f>AVERAGE(I22:I23)</f>
        <v>28.735817189265553</v>
      </c>
      <c r="T62" s="6"/>
      <c r="U62" s="6"/>
      <c r="V62" s="6"/>
      <c r="W62" s="6"/>
      <c r="X62" s="62">
        <v>3.2000000000000001E-2</v>
      </c>
      <c r="Y62" s="63">
        <f>LOG(X62)</f>
        <v>-1.494850021680094</v>
      </c>
      <c r="Z62" s="64">
        <f>AVERAGE(C25:C26)</f>
        <v>26.936417750194249</v>
      </c>
      <c r="AA62" s="6"/>
      <c r="AB62" s="6"/>
      <c r="AC62" s="6"/>
      <c r="AD62" s="6"/>
      <c r="AE62" s="62">
        <v>3.2000000000000001E-2</v>
      </c>
      <c r="AF62" s="63">
        <f>LOG(AE62)</f>
        <v>-1.494850021680094</v>
      </c>
      <c r="AG62" s="64">
        <f>AVERAGE(I28:I29)</f>
        <v>31.971645222554997</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row>
    <row r="63" spans="1:88" x14ac:dyDescent="0.25">
      <c r="A63" s="6"/>
      <c r="B63" s="6"/>
      <c r="C63" s="62">
        <v>0.16</v>
      </c>
      <c r="D63" s="63">
        <f>LOG(C63)</f>
        <v>-0.79588001734407521</v>
      </c>
      <c r="E63" s="64">
        <f>AVERAGE(D19:D20)</f>
        <v>27.668948596473797</v>
      </c>
      <c r="F63" s="6"/>
      <c r="G63" s="6"/>
      <c r="H63" s="6"/>
      <c r="I63" s="6"/>
      <c r="J63" s="62">
        <v>0.16</v>
      </c>
      <c r="K63" s="63">
        <f>LOG(J63)</f>
        <v>-0.79588001734407521</v>
      </c>
      <c r="L63" s="64">
        <f>AVERAGE(S19:S20)</f>
        <v>29.268902743098749</v>
      </c>
      <c r="M63" s="6"/>
      <c r="N63" s="6"/>
      <c r="O63" s="6"/>
      <c r="P63" s="6"/>
      <c r="Q63" s="62">
        <v>0.16</v>
      </c>
      <c r="R63" s="63">
        <f>LOG(Q63)</f>
        <v>-0.79588001734407521</v>
      </c>
      <c r="S63" s="64">
        <f>AVERAGE(J22:J23)</f>
        <v>26.412854220175952</v>
      </c>
      <c r="T63" s="6"/>
      <c r="U63" s="6"/>
      <c r="V63" s="6"/>
      <c r="W63" s="6"/>
      <c r="X63" s="62">
        <v>0.16</v>
      </c>
      <c r="Y63" s="63">
        <f>LOG(X63)</f>
        <v>-0.79588001734407521</v>
      </c>
      <c r="Z63" s="64">
        <f>AVERAGE(D25:D26)</f>
        <v>24.693834395919851</v>
      </c>
      <c r="AA63" s="6"/>
      <c r="AB63" s="6"/>
      <c r="AC63" s="6"/>
      <c r="AD63" s="6"/>
      <c r="AE63" s="62">
        <v>0.16</v>
      </c>
      <c r="AF63" s="63">
        <f>LOG(AE63)</f>
        <v>-0.79588001734407521</v>
      </c>
      <c r="AG63" s="64">
        <f>AVERAGE(J28:J29)</f>
        <v>29.428380786654351</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88" x14ac:dyDescent="0.25">
      <c r="A64" s="6"/>
      <c r="B64" s="6"/>
      <c r="C64" s="62">
        <v>0.8</v>
      </c>
      <c r="D64" s="63">
        <f>LOG(C64)</f>
        <v>-9.6910013008056392E-2</v>
      </c>
      <c r="E64" s="64">
        <f>AVERAGE(E19:E20)</f>
        <v>25.606091828036398</v>
      </c>
      <c r="F64" s="6"/>
      <c r="G64" s="6"/>
      <c r="H64" s="6"/>
      <c r="I64" s="6"/>
      <c r="J64" s="62">
        <v>0.8</v>
      </c>
      <c r="K64" s="63">
        <f>LOG(J64)</f>
        <v>-9.6910013008056392E-2</v>
      </c>
      <c r="L64" s="64">
        <f>AVERAGE(T19:T20)</f>
        <v>27.194057889297149</v>
      </c>
      <c r="M64" s="6"/>
      <c r="N64" s="6"/>
      <c r="O64" s="6"/>
      <c r="P64" s="6"/>
      <c r="Q64" s="62">
        <v>0.8</v>
      </c>
      <c r="R64" s="63">
        <f>LOG(Q64)</f>
        <v>-9.6910013008056392E-2</v>
      </c>
      <c r="S64" s="64">
        <f>AVERAGE(K22:K23)</f>
        <v>24.3068656492486</v>
      </c>
      <c r="T64" s="6"/>
      <c r="U64" s="6"/>
      <c r="V64" s="6"/>
      <c r="W64" s="6"/>
      <c r="X64" s="62">
        <v>0.8</v>
      </c>
      <c r="Y64" s="63">
        <f>LOG(X64)</f>
        <v>-9.6910013008056392E-2</v>
      </c>
      <c r="Z64" s="64">
        <f>AVERAGE(E25:E26)</f>
        <v>22.34008230320865</v>
      </c>
      <c r="AA64" s="6"/>
      <c r="AB64" s="6"/>
      <c r="AC64" s="6"/>
      <c r="AD64" s="6"/>
      <c r="AE64" s="62">
        <v>0.8</v>
      </c>
      <c r="AF64" s="63">
        <f>LOG(AE64)</f>
        <v>-9.6910013008056392E-2</v>
      </c>
      <c r="AG64" s="64">
        <f>AVERAGE(K28:K29)</f>
        <v>27.215625299104552</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81" x14ac:dyDescent="0.25">
      <c r="A65" s="6"/>
      <c r="B65" s="6"/>
      <c r="C65" s="62">
        <v>4</v>
      </c>
      <c r="D65" s="63">
        <f>LOG(C65)</f>
        <v>0.6020599913279624</v>
      </c>
      <c r="E65" s="64">
        <f>AVERAGE(F19:F20)</f>
        <v>23.30235315452115</v>
      </c>
      <c r="F65" s="6"/>
      <c r="G65" s="6"/>
      <c r="H65" s="6"/>
      <c r="I65" s="6"/>
      <c r="J65" s="62">
        <v>4</v>
      </c>
      <c r="K65" s="63">
        <f>LOG(J65)</f>
        <v>0.6020599913279624</v>
      </c>
      <c r="L65" s="64">
        <f>AVERAGE(U19:U20)</f>
        <v>24.819419702238548</v>
      </c>
      <c r="M65" s="6"/>
      <c r="N65" s="6"/>
      <c r="O65" s="6"/>
      <c r="P65" s="6"/>
      <c r="Q65" s="62">
        <v>4</v>
      </c>
      <c r="R65" s="63">
        <f>LOG(Q65)</f>
        <v>0.6020599913279624</v>
      </c>
      <c r="S65" s="64">
        <f>AVERAGE(L22:L23)</f>
        <v>21.821430615969799</v>
      </c>
      <c r="T65" s="6"/>
      <c r="U65" s="6"/>
      <c r="V65" s="6"/>
      <c r="W65" s="6"/>
      <c r="X65" s="62">
        <v>4</v>
      </c>
      <c r="Y65" s="63">
        <f>LOG(X65)</f>
        <v>0.6020599913279624</v>
      </c>
      <c r="Z65" s="64">
        <f>AVERAGE(F25:F26)</f>
        <v>19.953025257523599</v>
      </c>
      <c r="AA65" s="6"/>
      <c r="AB65" s="6"/>
      <c r="AC65" s="6"/>
      <c r="AD65" s="6"/>
      <c r="AE65" s="62">
        <v>4</v>
      </c>
      <c r="AF65" s="63">
        <f>LOG(AE65)</f>
        <v>0.6020599913279624</v>
      </c>
      <c r="AG65" s="64">
        <f>AVERAGE(L28:L29)</f>
        <v>24.935397974527298</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81" x14ac:dyDescent="0.25">
      <c r="A66" s="6"/>
      <c r="B66" s="6"/>
      <c r="C66" s="65">
        <v>20</v>
      </c>
      <c r="D66" s="66">
        <f>LOG(C66)</f>
        <v>1.3010299956639813</v>
      </c>
      <c r="E66" s="67">
        <f>AVERAGE(G19:G20)</f>
        <v>20.763854462926499</v>
      </c>
      <c r="F66" s="6"/>
      <c r="G66" s="6"/>
      <c r="H66" s="6"/>
      <c r="I66" s="6"/>
      <c r="J66" s="65">
        <v>20</v>
      </c>
      <c r="K66" s="66">
        <f>LOG(J66)</f>
        <v>1.3010299956639813</v>
      </c>
      <c r="L66" s="67">
        <f>AVERAGE(V19:V20)</f>
        <v>22.367882551155851</v>
      </c>
      <c r="M66" s="6"/>
      <c r="N66" s="6"/>
      <c r="O66" s="6"/>
      <c r="P66" s="6"/>
      <c r="Q66" s="65">
        <v>20</v>
      </c>
      <c r="R66" s="66">
        <f>LOG(Q66)</f>
        <v>1.3010299956639813</v>
      </c>
      <c r="S66" s="67">
        <f>AVERAGE(M22:M23)</f>
        <v>19.4996538748326</v>
      </c>
      <c r="T66" s="6"/>
      <c r="U66" s="6"/>
      <c r="V66" s="6"/>
      <c r="W66" s="6"/>
      <c r="X66" s="65">
        <v>20</v>
      </c>
      <c r="Y66" s="66">
        <f>LOG(X66)</f>
        <v>1.3010299956639813</v>
      </c>
      <c r="Z66" s="67">
        <f>AVERAGE(G25:G26)</f>
        <v>17.515736500373901</v>
      </c>
      <c r="AA66" s="6"/>
      <c r="AB66" s="6"/>
      <c r="AC66" s="6"/>
      <c r="AD66" s="6"/>
      <c r="AE66" s="65">
        <v>20</v>
      </c>
      <c r="AF66" s="66">
        <f>LOG(AE66)</f>
        <v>1.3010299956639813</v>
      </c>
      <c r="AG66" s="67">
        <f>AVERAGE(M28:M29)</f>
        <v>22.789825578003899</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81" x14ac:dyDescent="0.25">
      <c r="A67" s="6"/>
      <c r="B67" s="6"/>
      <c r="C67" s="107" t="s">
        <v>46</v>
      </c>
      <c r="D67" s="108"/>
      <c r="E67" s="37">
        <f>(10^(-1/-3.1399)-1)*100</f>
        <v>108.2003620070449</v>
      </c>
      <c r="F67" s="6"/>
      <c r="G67" s="6"/>
      <c r="H67" s="6"/>
      <c r="I67" s="6"/>
      <c r="J67" s="107" t="s">
        <v>46</v>
      </c>
      <c r="K67" s="108"/>
      <c r="L67" s="37">
        <f>(10^(-1/-3.2493)-1)*100</f>
        <v>103.12276239845856</v>
      </c>
      <c r="M67" s="6"/>
      <c r="N67" s="6"/>
      <c r="O67" s="6"/>
      <c r="P67" s="6"/>
      <c r="Q67" s="107" t="s">
        <v>46</v>
      </c>
      <c r="R67" s="108"/>
      <c r="S67" s="37">
        <f>(10^(-1/-3.299)-1)*100</f>
        <v>100.96580091556331</v>
      </c>
      <c r="T67" s="6"/>
      <c r="U67" s="6"/>
      <c r="V67" s="6"/>
      <c r="W67" s="6"/>
      <c r="X67" s="107" t="s">
        <v>46</v>
      </c>
      <c r="Y67" s="108"/>
      <c r="Z67" s="37">
        <f>(10^(-1/-3.3738)-1)*100</f>
        <v>97.879900611980304</v>
      </c>
      <c r="AA67" s="6"/>
      <c r="AB67" s="6"/>
      <c r="AC67" s="6"/>
      <c r="AD67" s="6"/>
      <c r="AE67" s="107" t="s">
        <v>46</v>
      </c>
      <c r="AF67" s="108"/>
      <c r="AG67" s="37">
        <f>(10^(-1/-3.27)-1)*100</f>
        <v>102.21361702930092</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81" x14ac:dyDescent="0.25">
      <c r="A68" s="6"/>
      <c r="B68" s="6"/>
      <c r="C68" s="107" t="s">
        <v>50</v>
      </c>
      <c r="D68" s="108"/>
      <c r="E68" s="37">
        <f>SUM(E67/100)+1</f>
        <v>2.082003620070449</v>
      </c>
      <c r="F68" s="6"/>
      <c r="G68" s="6"/>
      <c r="H68" s="6"/>
      <c r="I68" s="6"/>
      <c r="J68" s="107" t="s">
        <v>50</v>
      </c>
      <c r="K68" s="108"/>
      <c r="L68" s="37">
        <f>SUM(L67/100)+1</f>
        <v>2.0312276239845857</v>
      </c>
      <c r="M68" s="6"/>
      <c r="N68" s="6"/>
      <c r="O68" s="6"/>
      <c r="P68" s="6"/>
      <c r="Q68" s="107" t="s">
        <v>50</v>
      </c>
      <c r="R68" s="108"/>
      <c r="S68" s="37">
        <f>SUM(S67/100)+1</f>
        <v>2.0096580091556331</v>
      </c>
      <c r="T68" s="6"/>
      <c r="U68" s="6"/>
      <c r="V68" s="6"/>
      <c r="W68" s="6"/>
      <c r="X68" s="107" t="s">
        <v>50</v>
      </c>
      <c r="Y68" s="108"/>
      <c r="Z68" s="37">
        <f>SUM(Z67/100)+1</f>
        <v>1.9787990061198031</v>
      </c>
      <c r="AA68" s="6"/>
      <c r="AB68" s="6"/>
      <c r="AC68" s="6"/>
      <c r="AD68" s="6"/>
      <c r="AE68" s="107" t="s">
        <v>50</v>
      </c>
      <c r="AF68" s="108"/>
      <c r="AG68" s="37">
        <f>SUM(AG67/100)+1</f>
        <v>2.0221361702930092</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x14ac:dyDescent="0.25">
      <c r="A70" s="6"/>
      <c r="B70" s="6"/>
      <c r="C70" s="104" t="s">
        <v>89</v>
      </c>
      <c r="D70" s="105"/>
      <c r="E70" s="105"/>
      <c r="F70" s="105"/>
      <c r="G70" s="105"/>
      <c r="H70" s="106"/>
      <c r="I70" s="6"/>
      <c r="J70" s="104" t="s">
        <v>90</v>
      </c>
      <c r="K70" s="105"/>
      <c r="L70" s="105"/>
      <c r="M70" s="105"/>
      <c r="N70" s="105"/>
      <c r="O70" s="106"/>
      <c r="P70" s="6"/>
      <c r="Q70" s="104" t="s">
        <v>91</v>
      </c>
      <c r="R70" s="105"/>
      <c r="S70" s="105"/>
      <c r="T70" s="105"/>
      <c r="U70" s="105"/>
      <c r="V70" s="106"/>
      <c r="W70" s="6"/>
      <c r="X70" s="104" t="s">
        <v>92</v>
      </c>
      <c r="Y70" s="105"/>
      <c r="Z70" s="105"/>
      <c r="AA70" s="105"/>
      <c r="AB70" s="105"/>
      <c r="AC70" s="106"/>
      <c r="AD70" s="6"/>
      <c r="AE70" s="104" t="s">
        <v>93</v>
      </c>
      <c r="AF70" s="105"/>
      <c r="AG70" s="105"/>
      <c r="AH70" s="105"/>
      <c r="AI70" s="105"/>
      <c r="AJ70" s="10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13" t="s">
        <v>48</v>
      </c>
      <c r="D71" s="80" t="s">
        <v>51</v>
      </c>
      <c r="E71" s="80" t="s">
        <v>53</v>
      </c>
      <c r="F71" s="80" t="s">
        <v>55</v>
      </c>
      <c r="G71" s="81" t="s">
        <v>57</v>
      </c>
      <c r="H71" s="79" t="s">
        <v>59</v>
      </c>
      <c r="I71" s="6"/>
      <c r="J71" s="113" t="s">
        <v>23</v>
      </c>
      <c r="K71" s="80" t="s">
        <v>51</v>
      </c>
      <c r="L71" s="80" t="s">
        <v>53</v>
      </c>
      <c r="M71" s="80" t="s">
        <v>55</v>
      </c>
      <c r="N71" s="81" t="s">
        <v>57</v>
      </c>
      <c r="O71" s="79" t="s">
        <v>59</v>
      </c>
      <c r="P71" s="6"/>
      <c r="Q71" s="113" t="s">
        <v>27</v>
      </c>
      <c r="R71" s="80" t="s">
        <v>51</v>
      </c>
      <c r="S71" s="80" t="s">
        <v>53</v>
      </c>
      <c r="T71" s="80" t="s">
        <v>55</v>
      </c>
      <c r="U71" s="81" t="s">
        <v>57</v>
      </c>
      <c r="V71" s="79" t="s">
        <v>59</v>
      </c>
      <c r="W71" s="6"/>
      <c r="X71" s="113" t="s">
        <v>24</v>
      </c>
      <c r="Y71" s="80" t="s">
        <v>51</v>
      </c>
      <c r="Z71" s="80" t="s">
        <v>53</v>
      </c>
      <c r="AA71" s="80" t="s">
        <v>55</v>
      </c>
      <c r="AB71" s="81" t="s">
        <v>57</v>
      </c>
      <c r="AC71" s="79" t="s">
        <v>59</v>
      </c>
      <c r="AD71" s="6"/>
      <c r="AE71" s="113" t="s">
        <v>25</v>
      </c>
      <c r="AF71" s="80" t="s">
        <v>51</v>
      </c>
      <c r="AG71" s="80" t="s">
        <v>53</v>
      </c>
      <c r="AH71" s="80" t="s">
        <v>55</v>
      </c>
      <c r="AI71" s="81" t="s">
        <v>57</v>
      </c>
      <c r="AJ71" s="79" t="s">
        <v>59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4"/>
      <c r="D72" s="46" t="s">
        <v>35</v>
      </c>
      <c r="E72" s="46">
        <f>AVERAGE(H19:H20)</f>
        <v>22.004063245483451</v>
      </c>
      <c r="F72" s="53">
        <f t="shared" ref="F72:F81" si="12">10^((E72- 25.075)/-3.1399)</f>
        <v>9.5068465384471139</v>
      </c>
      <c r="G72" s="54">
        <f>SUM(E72*(LOG(E68)/LOG(2)))</f>
        <v>23.279695498853425</v>
      </c>
      <c r="H72" s="53">
        <f t="shared" ref="H72:H81" si="13">10^((G72- 25.075)/-3.1399)</f>
        <v>3.7305359982144628</v>
      </c>
      <c r="I72" s="6"/>
      <c r="J72" s="114"/>
      <c r="K72" s="46" t="s">
        <v>35</v>
      </c>
      <c r="L72" s="46">
        <f>AVERAGE(W19:W20)</f>
        <v>23.663774552254552</v>
      </c>
      <c r="M72" s="53">
        <f t="shared" ref="M72:M81" si="14">10^((L72 - 26.715)/-3.2493)</f>
        <v>8.6904217659418652</v>
      </c>
      <c r="N72" s="54">
        <f>SUM(L72*(LOG($L$68)/LOG(2)))</f>
        <v>24.192705356912267</v>
      </c>
      <c r="O72" s="53">
        <f t="shared" ref="O72:O81" si="15">10^((N72 - 26.715)/-3.2493)</f>
        <v>5.973898692508647</v>
      </c>
      <c r="P72" s="6"/>
      <c r="Q72" s="114"/>
      <c r="R72" s="46" t="s">
        <v>35</v>
      </c>
      <c r="S72" s="46">
        <f>AVERAGE(N22:N23)</f>
        <v>20.6401174493752</v>
      </c>
      <c r="T72" s="53">
        <f t="shared" ref="T72:T81" si="16">10^((S72 - 23.836)/-3.2997)</f>
        <v>9.301164098535752</v>
      </c>
      <c r="U72" s="54">
        <f>SUM(S72*(LOG($S$68)/LOG(2)))</f>
        <v>20.783566546485108</v>
      </c>
      <c r="V72" s="53">
        <f t="shared" ref="V72:V81" si="17">10^((U72 - 23.836)/-3.2997)</f>
        <v>8.4151900988432242</v>
      </c>
      <c r="W72" s="6"/>
      <c r="X72" s="114"/>
      <c r="Y72" s="46" t="s">
        <v>35</v>
      </c>
      <c r="Z72" s="46">
        <f>AVERAGE(H25:H26)</f>
        <v>20.2895033681623</v>
      </c>
      <c r="AA72" s="53">
        <f t="shared" ref="AA72:AA81" si="18">10^((Z72- 21.961)/-3.3738)</f>
        <v>3.1292078837788817</v>
      </c>
      <c r="AB72" s="54">
        <f>SUM(Z72*(LOG($Z$68)/LOG(2)))</f>
        <v>19.977553876937019</v>
      </c>
      <c r="AC72" s="53">
        <f t="shared" ref="AC72:AC81" si="19">10^((AB72- 21.961)/-3.3738)</f>
        <v>3.8716560643749154</v>
      </c>
      <c r="AD72" s="6"/>
      <c r="AE72" s="114"/>
      <c r="AF72" s="46" t="s">
        <v>35</v>
      </c>
      <c r="AG72" s="46">
        <f>AVERAGE(N28:N29)</f>
        <v>24.246321877178602</v>
      </c>
      <c r="AH72" s="53">
        <f t="shared" ref="AH72:AH81" si="20">10^((AG72- 26.951)/-3.27)</f>
        <v>6.7161237844589845</v>
      </c>
      <c r="AI72" s="54">
        <f>SUM(AG72*(LOG($AG$68)/LOG(2)))</f>
        <v>24.631357138067791</v>
      </c>
      <c r="AJ72" s="53">
        <f t="shared" ref="AJ72:AJ81" si="21">10^((AI72- 26.951)/-3.27)</f>
        <v>5.1211902005167813</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4"/>
      <c r="D73" s="47" t="s">
        <v>36</v>
      </c>
      <c r="E73" s="47">
        <f>AVERAGE(I19:I20)</f>
        <v>23.52599581494685</v>
      </c>
      <c r="F73" s="54">
        <f t="shared" si="12"/>
        <v>3.1140755582682931</v>
      </c>
      <c r="G73" s="54">
        <f>SUM(E73*(LOG(E68)/LOG(2)))</f>
        <v>24.889858421565798</v>
      </c>
      <c r="H73" s="54">
        <f t="shared" si="13"/>
        <v>1.1454184227496267</v>
      </c>
      <c r="I73" s="6"/>
      <c r="J73" s="114"/>
      <c r="K73" s="47" t="s">
        <v>36</v>
      </c>
      <c r="L73" s="47">
        <f>AVERAGE(X19:X20)</f>
        <v>25.002019800136349</v>
      </c>
      <c r="M73" s="54">
        <f t="shared" si="14"/>
        <v>3.3665446446052658</v>
      </c>
      <c r="N73" s="54">
        <f>SUM(L73*(LOG($L$68)/LOG(2)))</f>
        <v>25.560862956022245</v>
      </c>
      <c r="O73" s="54">
        <f t="shared" si="15"/>
        <v>2.2656644699318504</v>
      </c>
      <c r="P73" s="6"/>
      <c r="Q73" s="114"/>
      <c r="R73" s="47" t="s">
        <v>36</v>
      </c>
      <c r="S73" s="47">
        <f>AVERAGE(O22:O23)</f>
        <v>21.679593057148601</v>
      </c>
      <c r="T73" s="54">
        <f t="shared" si="16"/>
        <v>4.503146332937642</v>
      </c>
      <c r="U73" s="54">
        <f>SUM(S73*(LOG($S$68)/LOG(2)))</f>
        <v>21.830266523876009</v>
      </c>
      <c r="V73" s="54">
        <f t="shared" si="17"/>
        <v>4.0537156578863334</v>
      </c>
      <c r="W73" s="6"/>
      <c r="X73" s="114"/>
      <c r="Y73" s="47" t="s">
        <v>36</v>
      </c>
      <c r="Z73" s="47">
        <f>AVERAGE(I25:I26)</f>
        <v>21.178377087955802</v>
      </c>
      <c r="AA73" s="54">
        <f t="shared" si="18"/>
        <v>1.7059674821628659</v>
      </c>
      <c r="AB73" s="54">
        <f>SUM(Z73*(LOG($Z$68)/LOG(2)))</f>
        <v>20.852761234394212</v>
      </c>
      <c r="AC73" s="54">
        <f t="shared" si="19"/>
        <v>2.1305112701759432</v>
      </c>
      <c r="AD73" s="6"/>
      <c r="AE73" s="114"/>
      <c r="AF73" s="47" t="s">
        <v>36</v>
      </c>
      <c r="AG73" s="47">
        <f>AVERAGE(O28:O29)</f>
        <v>26.007504970247503</v>
      </c>
      <c r="AH73" s="54">
        <f t="shared" si="20"/>
        <v>1.9432585631389017</v>
      </c>
      <c r="AI73" s="54">
        <f>SUM(AG73*(LOG($AG$68)/LOG(2)))</f>
        <v>26.42050808519507</v>
      </c>
      <c r="AJ73" s="54">
        <f t="shared" si="21"/>
        <v>1.4528806622263173</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4"/>
      <c r="D74" s="48" t="s">
        <v>37</v>
      </c>
      <c r="E74" s="48">
        <f>AVERAGE(J19:J20)</f>
        <v>21.03850919239245</v>
      </c>
      <c r="F74" s="55">
        <f t="shared" si="12"/>
        <v>19.299567099162527</v>
      </c>
      <c r="G74" s="55">
        <f>SUM(E74*(LOG(E68)/LOG(2)))</f>
        <v>22.258165788959683</v>
      </c>
      <c r="H74" s="55">
        <f t="shared" si="13"/>
        <v>7.8905909364582714</v>
      </c>
      <c r="I74" s="6"/>
      <c r="J74" s="114"/>
      <c r="K74" s="48" t="s">
        <v>37</v>
      </c>
      <c r="L74" s="48">
        <f>AVERAGE(Y19:Y20)</f>
        <v>22.885216178434447</v>
      </c>
      <c r="M74" s="55">
        <f t="shared" si="14"/>
        <v>15.088597892773505</v>
      </c>
      <c r="N74" s="55">
        <f>SUM(L74*(LOG($L$68)/LOG(2)))</f>
        <v>23.396744708310163</v>
      </c>
      <c r="O74" s="55">
        <f t="shared" si="15"/>
        <v>10.500780577460132</v>
      </c>
      <c r="P74" s="6"/>
      <c r="Q74" s="114"/>
      <c r="R74" s="48" t="s">
        <v>37</v>
      </c>
      <c r="S74" s="48">
        <f>AVERAGE(P22:P23)</f>
        <v>19.676548496274151</v>
      </c>
      <c r="T74" s="55">
        <f t="shared" si="16"/>
        <v>18.220254776062614</v>
      </c>
      <c r="U74" s="55">
        <f>SUM(S74*(LOG($S$68)/LOG(2)))</f>
        <v>19.813300776049346</v>
      </c>
      <c r="V74" s="55">
        <f t="shared" si="17"/>
        <v>16.561916589024527</v>
      </c>
      <c r="W74" s="6"/>
      <c r="X74" s="114"/>
      <c r="Y74" s="48" t="s">
        <v>37</v>
      </c>
      <c r="Z74" s="48">
        <f>AVERAGE(J25:J26)</f>
        <v>19.766579849208401</v>
      </c>
      <c r="AA74" s="55">
        <f t="shared" si="18"/>
        <v>4.4712589980020354</v>
      </c>
      <c r="AB74" s="55">
        <f>SUM(Z74*(LOG($Z$68)/LOG(2)))</f>
        <v>19.462670265255735</v>
      </c>
      <c r="AC74" s="55">
        <f t="shared" si="19"/>
        <v>5.5018549871679756</v>
      </c>
      <c r="AD74" s="6"/>
      <c r="AE74" s="114"/>
      <c r="AF74" s="48" t="s">
        <v>37</v>
      </c>
      <c r="AG74" s="48">
        <f>AVERAGE(P28:P29)</f>
        <v>22.80610297793045</v>
      </c>
      <c r="AH74" s="55">
        <f t="shared" si="20"/>
        <v>18.516231679360711</v>
      </c>
      <c r="AI74" s="55">
        <f>SUM(AG74*(LOG($AG$68)/LOG(2)))</f>
        <v>23.168267344734399</v>
      </c>
      <c r="AJ74" s="55">
        <f t="shared" si="21"/>
        <v>14.34825138914591</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4"/>
      <c r="D75" s="49" t="s">
        <v>38</v>
      </c>
      <c r="E75" s="49">
        <f>AVERAGE(K19:K20)</f>
        <v>21.234116253477751</v>
      </c>
      <c r="F75" s="56">
        <f t="shared" si="12"/>
        <v>16.720541621882241</v>
      </c>
      <c r="G75" s="56">
        <f>SUM(E75*(LOG(E68)/LOG(2)))</f>
        <v>22.46511269547824</v>
      </c>
      <c r="H75" s="56">
        <f t="shared" si="13"/>
        <v>6.7795485031075309</v>
      </c>
      <c r="I75" s="6"/>
      <c r="J75" s="114"/>
      <c r="K75" s="49" t="s">
        <v>38</v>
      </c>
      <c r="L75" s="49">
        <f>AVERAGE(C22:C23)</f>
        <v>22.53151782081375</v>
      </c>
      <c r="M75" s="56">
        <f t="shared" si="14"/>
        <v>19.38664216065953</v>
      </c>
      <c r="N75" s="56">
        <f>SUM(L75*(LOG($L$68)/LOG(2)))</f>
        <v>23.035140513161757</v>
      </c>
      <c r="O75" s="56">
        <f t="shared" si="15"/>
        <v>13.567767173609271</v>
      </c>
      <c r="P75" s="6"/>
      <c r="Q75" s="114"/>
      <c r="R75" s="49" t="s">
        <v>38</v>
      </c>
      <c r="S75" s="49">
        <f>AVERAGE(Q22:Q23)</f>
        <v>19.370022953830549</v>
      </c>
      <c r="T75" s="56">
        <f t="shared" si="16"/>
        <v>22.565731610729593</v>
      </c>
      <c r="U75" s="56">
        <f>SUM(S75*(LOG($S$68)/LOG(2)))</f>
        <v>19.504644876915066</v>
      </c>
      <c r="V75" s="56">
        <f t="shared" si="17"/>
        <v>20.542400278724468</v>
      </c>
      <c r="W75" s="6"/>
      <c r="X75" s="114"/>
      <c r="Y75" s="49" t="s">
        <v>38</v>
      </c>
      <c r="Z75" s="49">
        <f>AVERAGE(K25:K26)</f>
        <v>17.044335325289001</v>
      </c>
      <c r="AA75" s="56">
        <f t="shared" si="18"/>
        <v>28.662078894206743</v>
      </c>
      <c r="AB75" s="56">
        <f>SUM(Z75*(LOG($Z$68)/LOG(2)))</f>
        <v>16.782280033125456</v>
      </c>
      <c r="AC75" s="56">
        <f t="shared" si="19"/>
        <v>34.275304117032057</v>
      </c>
      <c r="AD75" s="6"/>
      <c r="AE75" s="114"/>
      <c r="AF75" s="49" t="s">
        <v>38</v>
      </c>
      <c r="AG75" s="49">
        <f>AVERAGE(Q28:Q29)</f>
        <v>23.317872045073351</v>
      </c>
      <c r="AH75" s="56">
        <f t="shared" si="20"/>
        <v>12.913628970337113</v>
      </c>
      <c r="AI75" s="56">
        <f>SUM(AG75*(LOG($AG$68)/LOG(2)))</f>
        <v>23.68816338211553</v>
      </c>
      <c r="AJ75" s="56">
        <f t="shared" si="21"/>
        <v>9.9496857276357868</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4"/>
      <c r="D76" s="49" t="s">
        <v>39</v>
      </c>
      <c r="E76" s="49">
        <f>AVERAGE(L19:L20)</f>
        <v>21.656934267981249</v>
      </c>
      <c r="F76" s="56">
        <f t="shared" si="12"/>
        <v>12.262827922838845</v>
      </c>
      <c r="G76" s="56">
        <f>SUM(E76*(LOG(E68)/LOG(2)))</f>
        <v>22.912442559933687</v>
      </c>
      <c r="H76" s="56">
        <f t="shared" si="13"/>
        <v>4.8835371378759067</v>
      </c>
      <c r="I76" s="6"/>
      <c r="J76" s="114"/>
      <c r="K76" s="49" t="s">
        <v>39</v>
      </c>
      <c r="L76" s="49">
        <f>AVERAGE(D22:D23)</f>
        <v>23.39463018697575</v>
      </c>
      <c r="M76" s="56">
        <f t="shared" si="14"/>
        <v>10.516527110717709</v>
      </c>
      <c r="N76" s="56">
        <f>SUM(L76*(LOG($L$68)/LOG(2)))</f>
        <v>23.917545098210308</v>
      </c>
      <c r="O76" s="56">
        <f t="shared" si="15"/>
        <v>7.2600696607301103</v>
      </c>
      <c r="P76" s="6"/>
      <c r="Q76" s="114"/>
      <c r="R76" s="49" t="s">
        <v>39</v>
      </c>
      <c r="S76" s="49">
        <f>AVERAGE(R22:R23)</f>
        <v>20.264680465774148</v>
      </c>
      <c r="T76" s="56">
        <f t="shared" si="16"/>
        <v>12.086941859608221</v>
      </c>
      <c r="U76" s="56">
        <f>SUM(S76*(LOG($S$68)/LOG(2)))</f>
        <v>20.4055202707397</v>
      </c>
      <c r="V76" s="56">
        <f t="shared" si="17"/>
        <v>10.955540888127596</v>
      </c>
      <c r="W76" s="6"/>
      <c r="X76" s="114"/>
      <c r="Y76" s="49" t="s">
        <v>39</v>
      </c>
      <c r="Z76" s="49">
        <f>AVERAGE(L25:L26)</f>
        <v>18.040824718203403</v>
      </c>
      <c r="AA76" s="56">
        <f t="shared" si="18"/>
        <v>14.519329239033519</v>
      </c>
      <c r="AB76" s="56">
        <f>SUM(Z76*(LOG($Z$68)/LOG(2)))</f>
        <v>17.763448481338038</v>
      </c>
      <c r="AC76" s="56">
        <f t="shared" si="19"/>
        <v>17.545321756256193</v>
      </c>
      <c r="AD76" s="6"/>
      <c r="AE76" s="114"/>
      <c r="AF76" s="49" t="s">
        <v>39</v>
      </c>
      <c r="AG76" s="49">
        <f>AVERAGE(R28:R29)</f>
        <v>23.966270218911703</v>
      </c>
      <c r="AH76" s="56">
        <f t="shared" si="20"/>
        <v>8.1801525147435203</v>
      </c>
      <c r="AI76" s="56">
        <f>SUM(AG76*(LOG($AG$68)/LOG(2)))</f>
        <v>24.346858217084119</v>
      </c>
      <c r="AJ76" s="56">
        <f t="shared" si="21"/>
        <v>6.2571077520971503</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4"/>
      <c r="D77" s="49" t="s">
        <v>40</v>
      </c>
      <c r="E77" s="49">
        <f>AVERAGE(M19:M20)</f>
        <v>23.879741160203249</v>
      </c>
      <c r="F77" s="56">
        <f t="shared" si="12"/>
        <v>2.4025243866762502</v>
      </c>
      <c r="G77" s="56">
        <f>SUM(E77*(LOG(E68)/LOG(2)))</f>
        <v>25.264111296129592</v>
      </c>
      <c r="H77" s="56">
        <f t="shared" si="13"/>
        <v>0.87050557027334519</v>
      </c>
      <c r="I77" s="6"/>
      <c r="J77" s="114"/>
      <c r="K77" s="49" t="s">
        <v>40</v>
      </c>
      <c r="L77" s="49">
        <f>AVERAGE(E22:E23)</f>
        <v>25.292227069188002</v>
      </c>
      <c r="M77" s="56">
        <f t="shared" si="14"/>
        <v>2.7407574102466308</v>
      </c>
      <c r="N77" s="56">
        <f>SUM(L77*(LOG($L$68)/LOG(2)))</f>
        <v>25.857556914845134</v>
      </c>
      <c r="O77" s="56">
        <f t="shared" si="15"/>
        <v>1.8360541201246026</v>
      </c>
      <c r="P77" s="6"/>
      <c r="Q77" s="114"/>
      <c r="R77" s="49" t="s">
        <v>40</v>
      </c>
      <c r="S77" s="49">
        <f>AVERAGE(S22:S23)</f>
        <v>21.886664807693002</v>
      </c>
      <c r="T77" s="56">
        <f t="shared" si="16"/>
        <v>3.8972775844030592</v>
      </c>
      <c r="U77" s="56">
        <f>SUM(S77*(LOG($S$68)/LOG(2)))</f>
        <v>22.038777425904183</v>
      </c>
      <c r="V77" s="56">
        <f t="shared" si="17"/>
        <v>3.5047933489212615</v>
      </c>
      <c r="W77" s="6"/>
      <c r="X77" s="114"/>
      <c r="Y77" s="49" t="s">
        <v>40</v>
      </c>
      <c r="Z77" s="49">
        <f>AVERAGE(M25:M26)</f>
        <v>19.873286659290549</v>
      </c>
      <c r="AA77" s="56">
        <f t="shared" si="18"/>
        <v>4.1572079485255964</v>
      </c>
      <c r="AB77" s="56">
        <f>SUM(Z77*(LOG($Z$68)/LOG(2)))</f>
        <v>19.567736466668887</v>
      </c>
      <c r="AC77" s="56">
        <f t="shared" si="19"/>
        <v>5.1211481587113798</v>
      </c>
      <c r="AD77" s="6"/>
      <c r="AE77" s="114"/>
      <c r="AF77" s="49" t="s">
        <v>40</v>
      </c>
      <c r="AG77" s="49">
        <f>AVERAGE(S28:S29)</f>
        <v>26.661359031151598</v>
      </c>
      <c r="AH77" s="56">
        <f t="shared" si="20"/>
        <v>1.2262392690042303</v>
      </c>
      <c r="AI77" s="56">
        <f>SUM(AG77*(LOG($AG$68)/LOG(2)))</f>
        <v>27.084745447541707</v>
      </c>
      <c r="AJ77" s="56">
        <f t="shared" si="21"/>
        <v>0.91012124348173229</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4"/>
      <c r="D78" s="50" t="s">
        <v>41</v>
      </c>
      <c r="E78" s="50">
        <f>AVERAGE(N19:N20)</f>
        <v>22.186436625445253</v>
      </c>
      <c r="F78" s="57">
        <f t="shared" si="12"/>
        <v>8.3167556034531653</v>
      </c>
      <c r="G78" s="57">
        <f>SUM(E78*(LOG(E68)/LOG(2)))</f>
        <v>23.472641533649018</v>
      </c>
      <c r="H78" s="57">
        <f t="shared" si="13"/>
        <v>3.238332931587292</v>
      </c>
      <c r="I78" s="6"/>
      <c r="J78" s="114"/>
      <c r="K78" s="50" t="s">
        <v>41</v>
      </c>
      <c r="L78" s="50">
        <f>AVERAGE(F22:F23)</f>
        <v>24.14307981422095</v>
      </c>
      <c r="M78" s="57">
        <f t="shared" si="14"/>
        <v>6.1877183959193074</v>
      </c>
      <c r="N78" s="57">
        <f>SUM(L78*(LOG($L$68)/LOG(2)))</f>
        <v>24.682724011931356</v>
      </c>
      <c r="O78" s="57">
        <f t="shared" si="15"/>
        <v>4.2213406611925244</v>
      </c>
      <c r="P78" s="6"/>
      <c r="Q78" s="114"/>
      <c r="R78" s="50" t="s">
        <v>41</v>
      </c>
      <c r="S78" s="50">
        <f>AVERAGE(T22:T23)</f>
        <v>20.830162923618399</v>
      </c>
      <c r="T78" s="57">
        <f t="shared" si="16"/>
        <v>8.1459648745427771</v>
      </c>
      <c r="U78" s="57">
        <f>SUM(S78*(LOG($S$68)/LOG(2)))</f>
        <v>20.974932839360122</v>
      </c>
      <c r="V78" s="57">
        <f t="shared" si="17"/>
        <v>7.3632385905616724</v>
      </c>
      <c r="W78" s="6"/>
      <c r="X78" s="114"/>
      <c r="Y78" s="50" t="s">
        <v>41</v>
      </c>
      <c r="Z78" s="50">
        <f>AVERAGE(N25:N26)</f>
        <v>18.235000930564851</v>
      </c>
      <c r="AA78" s="57">
        <f t="shared" si="18"/>
        <v>12.717226229907309</v>
      </c>
      <c r="AB78" s="57">
        <f>SUM(Z78*(LOG($Z$68)/LOG(2)))</f>
        <v>17.954639249967567</v>
      </c>
      <c r="AC78" s="57">
        <f t="shared" si="19"/>
        <v>15.398984125120009</v>
      </c>
      <c r="AD78" s="6"/>
      <c r="AE78" s="114"/>
      <c r="AF78" s="50" t="s">
        <v>41</v>
      </c>
      <c r="AG78" s="50">
        <f>AVERAGE(T28:T29)</f>
        <v>24.259996543464851</v>
      </c>
      <c r="AH78" s="57">
        <f t="shared" si="20"/>
        <v>6.6517640690584789</v>
      </c>
      <c r="AI78" s="57">
        <f>SUM(AG78*(LOG($AG$68)/LOG(2)))</f>
        <v>24.645248960124214</v>
      </c>
      <c r="AJ78" s="57">
        <f t="shared" si="21"/>
        <v>5.0713389963527069</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4"/>
      <c r="D79" s="51" t="s">
        <v>42</v>
      </c>
      <c r="E79" s="51">
        <f>AVERAGE(O19:O20)</f>
        <v>21.435567883024198</v>
      </c>
      <c r="F79" s="58">
        <f t="shared" si="12"/>
        <v>14.424199753187597</v>
      </c>
      <c r="G79" s="58">
        <f>SUM(E79*(LOG(E68)/LOG(2)))</f>
        <v>22.678242995153763</v>
      </c>
      <c r="H79" s="58">
        <f t="shared" si="13"/>
        <v>5.7985942269768076</v>
      </c>
      <c r="I79" s="6"/>
      <c r="J79" s="114"/>
      <c r="K79" s="51" t="s">
        <v>42</v>
      </c>
      <c r="L79" s="51">
        <f>AVERAGE(G22:G23)</f>
        <v>23.509561085141449</v>
      </c>
      <c r="M79" s="58">
        <f t="shared" si="14"/>
        <v>9.6939633644498802</v>
      </c>
      <c r="N79" s="58">
        <f>SUM(L79*(LOG($L$68)/LOG(2)))</f>
        <v>24.035044922660887</v>
      </c>
      <c r="O79" s="58">
        <f t="shared" si="15"/>
        <v>6.6800422145617153</v>
      </c>
      <c r="P79" s="6"/>
      <c r="Q79" s="114"/>
      <c r="R79" s="51" t="s">
        <v>42</v>
      </c>
      <c r="S79" s="51">
        <f>AVERAGE(U22:U23)</f>
        <v>20.043246031557651</v>
      </c>
      <c r="T79" s="58">
        <f t="shared" si="16"/>
        <v>14.106649553600599</v>
      </c>
      <c r="U79" s="58">
        <f>SUM(S79*(LOG($S$68)/LOG(2)))</f>
        <v>20.182546864192481</v>
      </c>
      <c r="V79" s="58">
        <f t="shared" si="17"/>
        <v>12.799932107305947</v>
      </c>
      <c r="W79" s="6"/>
      <c r="X79" s="114"/>
      <c r="Y79" s="51" t="s">
        <v>42</v>
      </c>
      <c r="Z79" s="51">
        <f>AVERAGE(O25:O26)</f>
        <v>17.620178056084598</v>
      </c>
      <c r="AA79" s="58">
        <f t="shared" si="18"/>
        <v>19.347592523955672</v>
      </c>
      <c r="AB79" s="58">
        <f>SUM(Z79*(LOG($Z$68)/LOG(2)))</f>
        <v>17.349269227999649</v>
      </c>
      <c r="AC79" s="58">
        <f t="shared" si="19"/>
        <v>23.276879854830529</v>
      </c>
      <c r="AD79" s="6"/>
      <c r="AE79" s="114"/>
      <c r="AF79" s="51" t="s">
        <v>42</v>
      </c>
      <c r="AG79" s="51">
        <f>AVERAGE(U28:U29)</f>
        <v>23.13461820049065</v>
      </c>
      <c r="AH79" s="58">
        <f t="shared" si="20"/>
        <v>14.692281317665563</v>
      </c>
      <c r="AI79" s="58">
        <f>SUM(AG79*(LOG($AG$68)/LOG(2)))</f>
        <v>23.501999438746907</v>
      </c>
      <c r="AJ79" s="58">
        <f t="shared" si="21"/>
        <v>11.343321277413649</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5"/>
      <c r="D80" s="52" t="s">
        <v>43</v>
      </c>
      <c r="E80" s="52">
        <f>AVERAGE(P19:P20)</f>
        <v>22.231470345216252</v>
      </c>
      <c r="F80" s="59">
        <f t="shared" si="12"/>
        <v>8.0465837110075853</v>
      </c>
      <c r="G80" s="59">
        <f>SUM(E80*(LOG(E68)/LOG(2)))</f>
        <v>23.520285974212271</v>
      </c>
      <c r="H80" s="59">
        <f t="shared" si="13"/>
        <v>3.1271421574357152</v>
      </c>
      <c r="I80" s="6"/>
      <c r="J80" s="115"/>
      <c r="K80" s="52" t="s">
        <v>43</v>
      </c>
      <c r="L80" s="52">
        <f>AVERAGE(H22:H23)</f>
        <v>24.30060589212615</v>
      </c>
      <c r="M80" s="59">
        <f t="shared" si="14"/>
        <v>5.534145031744055</v>
      </c>
      <c r="N80" s="59">
        <f>SUM(L80*(LOG($L$68)/LOG(2)))</f>
        <v>24.843771100187503</v>
      </c>
      <c r="O80" s="59">
        <f t="shared" si="15"/>
        <v>3.7660560174505062</v>
      </c>
      <c r="P80" s="6"/>
      <c r="Q80" s="115"/>
      <c r="R80" s="52" t="s">
        <v>43</v>
      </c>
      <c r="S80" s="52">
        <f>AVERAGE(V22:V23)</f>
        <v>21.169546519853451</v>
      </c>
      <c r="T80" s="59">
        <f t="shared" si="16"/>
        <v>6.4282042678014344</v>
      </c>
      <c r="U80" s="59">
        <f>SUM(S80*(LOG($S$68)/LOG(2)))</f>
        <v>21.316675156206784</v>
      </c>
      <c r="V80" s="59">
        <f t="shared" si="17"/>
        <v>5.8009774873498099</v>
      </c>
      <c r="W80" s="6"/>
      <c r="X80" s="115"/>
      <c r="Y80" s="52" t="s">
        <v>43</v>
      </c>
      <c r="Z80" s="52">
        <f>AVERAGE(P25:P26)</f>
        <v>18.364076325548702</v>
      </c>
      <c r="AA80" s="59">
        <f t="shared" si="18"/>
        <v>11.644858958058643</v>
      </c>
      <c r="AB80" s="59">
        <f>SUM(Z80*(LOG($Z$68)/LOG(2)))</f>
        <v>18.081730121078937</v>
      </c>
      <c r="AC80" s="59">
        <f t="shared" si="19"/>
        <v>14.119591206275986</v>
      </c>
      <c r="AD80" s="6"/>
      <c r="AE80" s="115"/>
      <c r="AF80" s="52" t="s">
        <v>43</v>
      </c>
      <c r="AG80" s="52">
        <f>AVERAGE(V28:V29)</f>
        <v>24.1846736624253</v>
      </c>
      <c r="AH80" s="59">
        <f t="shared" si="20"/>
        <v>7.0140903699416377</v>
      </c>
      <c r="AI80" s="59">
        <f>SUM(AG80*(LOG($AG$68)/LOG(2)))</f>
        <v>24.568729940334261</v>
      </c>
      <c r="AJ80" s="59">
        <f t="shared" si="21"/>
        <v>5.3520844071583875</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11" t="s">
        <v>34</v>
      </c>
      <c r="D81" s="112"/>
      <c r="E81" s="61">
        <f>AVERAGE(Q19:Q20)</f>
        <v>30.155011004863098</v>
      </c>
      <c r="F81" s="60">
        <f t="shared" si="12"/>
        <v>2.4105190900690753E-2</v>
      </c>
      <c r="G81" s="60">
        <f>SUM(E81*(LOG(E68)/LOG(2)))</f>
        <v>31.903174705784362</v>
      </c>
      <c r="H81" s="60">
        <f t="shared" si="13"/>
        <v>6.6888708707791922E-3</v>
      </c>
      <c r="I81" s="6"/>
      <c r="J81" s="111" t="s">
        <v>34</v>
      </c>
      <c r="K81" s="112"/>
      <c r="L81" s="61">
        <f>AVERAGE(Z19:Z20)</f>
        <v>37.647369722727547</v>
      </c>
      <c r="M81" s="60">
        <f t="shared" si="14"/>
        <v>4.3198559325492421E-4</v>
      </c>
      <c r="N81" s="60">
        <f>SUM(L81*(LOG($L$68)/LOG(2)))</f>
        <v>38.488860733247321</v>
      </c>
      <c r="O81" s="60">
        <f t="shared" si="15"/>
        <v>2.3795408944123658E-4</v>
      </c>
      <c r="P81" s="6"/>
      <c r="Q81" s="111" t="s">
        <v>34</v>
      </c>
      <c r="R81" s="112"/>
      <c r="S81" s="61">
        <f>AVERAGE(W22:W23)</f>
        <v>35.584039432307648</v>
      </c>
      <c r="T81" s="60">
        <f t="shared" si="16"/>
        <v>2.7521011001915396E-4</v>
      </c>
      <c r="U81" s="60">
        <f>SUM(S81*(LOG($S$68)/LOG(2)))</f>
        <v>35.831348990531232</v>
      </c>
      <c r="V81" s="60">
        <f t="shared" si="17"/>
        <v>2.3158758824965965E-4</v>
      </c>
      <c r="W81" s="6"/>
      <c r="X81" s="111" t="s">
        <v>34</v>
      </c>
      <c r="Y81" s="112"/>
      <c r="Z81" s="61">
        <f>AVERAGE(Q25:Q26)</f>
        <v>36.055840891389096</v>
      </c>
      <c r="AA81" s="60">
        <f t="shared" si="18"/>
        <v>6.6414885806837553E-5</v>
      </c>
      <c r="AB81" s="60">
        <f>SUM(Z81*(LOG($Z$68)/LOG(2)))</f>
        <v>35.501485221973454</v>
      </c>
      <c r="AC81" s="60">
        <f t="shared" si="19"/>
        <v>9.6956601425363394E-5</v>
      </c>
      <c r="AD81" s="6"/>
      <c r="AE81" s="111" t="s">
        <v>34</v>
      </c>
      <c r="AF81" s="112"/>
      <c r="AG81" s="61">
        <f>AVERAGE(W28:W29)</f>
        <v>39.2293061877931</v>
      </c>
      <c r="AH81" s="60">
        <f t="shared" si="20"/>
        <v>1.7585969006691816E-4</v>
      </c>
      <c r="AI81" s="60">
        <f>SUM(AG81*(LOG($AG$68)/LOG(2)))</f>
        <v>39.852273507085172</v>
      </c>
      <c r="AJ81" s="60">
        <f t="shared" si="21"/>
        <v>1.1341132381403582E-4</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9" t="s">
        <v>73</v>
      </c>
      <c r="D82" s="110"/>
      <c r="E82" s="84">
        <f>AVERAGE(E72:E80)</f>
        <v>22.132537198685633</v>
      </c>
      <c r="F82" s="84">
        <f>AVERAGE(F72:F80)</f>
        <v>10.454880243880401</v>
      </c>
      <c r="G82" s="84">
        <f>AVERAGE(G72:G80)</f>
        <v>23.415617418215053</v>
      </c>
      <c r="H82" s="84">
        <f>AVERAGE(H72:H80)</f>
        <v>4.1626895427421058</v>
      </c>
      <c r="I82" s="6"/>
      <c r="J82" s="109" t="s">
        <v>73</v>
      </c>
      <c r="K82" s="110"/>
      <c r="L82" s="84">
        <f>AVERAGE(L72:L80)</f>
        <v>23.858070266587937</v>
      </c>
      <c r="M82" s="84">
        <f>AVERAGE(M72:M80)</f>
        <v>9.0228130863397507</v>
      </c>
      <c r="N82" s="84">
        <f>AVERAGE(N72:N80)</f>
        <v>24.3913439535824</v>
      </c>
      <c r="O82" s="84">
        <f>AVERAGE(O72:O80)</f>
        <v>6.2301859541743729</v>
      </c>
      <c r="P82" s="6"/>
      <c r="Q82" s="109" t="s">
        <v>73</v>
      </c>
      <c r="R82" s="110"/>
      <c r="S82" s="84">
        <f>AVERAGE(S72:S80)</f>
        <v>20.617842522791683</v>
      </c>
      <c r="T82" s="84">
        <f>AVERAGE(T72:T80)</f>
        <v>11.02837055091352</v>
      </c>
      <c r="U82" s="84">
        <f>AVERAGE(U72:U80)</f>
        <v>20.761136808858755</v>
      </c>
      <c r="V82" s="84">
        <f>AVERAGE(V72:V80)</f>
        <v>9.9997450051938728</v>
      </c>
      <c r="W82" s="6"/>
      <c r="X82" s="109" t="s">
        <v>73</v>
      </c>
      <c r="Y82" s="110"/>
      <c r="Z82" s="84">
        <f>AVERAGE(Z72:Z80)</f>
        <v>18.934684702256401</v>
      </c>
      <c r="AA82" s="84">
        <f>AVERAGE(AA72:AA80)</f>
        <v>11.150525350847918</v>
      </c>
      <c r="AB82" s="84">
        <f>AVERAGE(AB72:AB80)</f>
        <v>18.643565439640614</v>
      </c>
      <c r="AC82" s="84">
        <f>AVERAGE(AC72:AC80)</f>
        <v>13.471250171104998</v>
      </c>
      <c r="AD82" s="6"/>
      <c r="AE82" s="109" t="s">
        <v>73</v>
      </c>
      <c r="AF82" s="110"/>
      <c r="AG82" s="84">
        <f>AVERAGE(AG72:AG80)</f>
        <v>24.287191058541556</v>
      </c>
      <c r="AH82" s="84">
        <f>AVERAGE(AH72:AH80)</f>
        <v>8.6504189486343499</v>
      </c>
      <c r="AI82" s="84">
        <f>AVERAGE(AI72:AI80)</f>
        <v>24.672875328215998</v>
      </c>
      <c r="AJ82" s="84">
        <f>AVERAGE(AJ72:AJ80)</f>
        <v>6.6451090728920468</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9" t="s">
        <v>74</v>
      </c>
      <c r="D83" s="110"/>
      <c r="E83" s="84">
        <f>(E84/SQRT(9))</f>
        <v>0.30911400507321246</v>
      </c>
      <c r="F83" s="84">
        <f>(F84/SQRT(9))</f>
        <v>1.8139012441534079</v>
      </c>
      <c r="G83" s="84">
        <f>(G84/SQRT(9))</f>
        <v>0.32703414057003688</v>
      </c>
      <c r="H83" s="84">
        <f>(H84/SQRT(9))</f>
        <v>0.75356728216731883</v>
      </c>
      <c r="I83" s="6"/>
      <c r="J83" s="109" t="s">
        <v>74</v>
      </c>
      <c r="K83" s="110"/>
      <c r="L83" s="84">
        <f>(L84/SQRT(9))</f>
        <v>0.28809007382680712</v>
      </c>
      <c r="M83" s="84">
        <f>(M84/SQRT(9))</f>
        <v>1.7165173238645159</v>
      </c>
      <c r="N83" s="84">
        <f>(N84/SQRT(9))</f>
        <v>0.29452944021895328</v>
      </c>
      <c r="O83" s="84">
        <f>(O84/SQRT(9))</f>
        <v>1.2097342417211079</v>
      </c>
      <c r="P83" s="6"/>
      <c r="Q83" s="109" t="s">
        <v>74</v>
      </c>
      <c r="R83" s="110"/>
      <c r="S83" s="84">
        <f>(S84/SQRT(9))</f>
        <v>0.27182852030391996</v>
      </c>
      <c r="T83" s="84">
        <f>(T84/SQRT(9))</f>
        <v>1.9916936964009606</v>
      </c>
      <c r="U83" s="84">
        <f>(U84/SQRT(9))</f>
        <v>0.27371773221862755</v>
      </c>
      <c r="V83" s="84">
        <f>(V84/SQRT(9))</f>
        <v>1.8175942609744384</v>
      </c>
      <c r="W83" s="6"/>
      <c r="X83" s="109" t="s">
        <v>74</v>
      </c>
      <c r="Y83" s="110"/>
      <c r="Z83" s="84">
        <f>(Z84/SQRT(9))</f>
        <v>0.43543929527253433</v>
      </c>
      <c r="AA83" s="84">
        <f>(AA84/SQRT(9))</f>
        <v>2.799811433869666</v>
      </c>
      <c r="AB83" s="84">
        <f>(AB84/SQRT(9))</f>
        <v>0.42874445094071562</v>
      </c>
      <c r="AC83" s="84">
        <f>(AC84/SQRT(9))</f>
        <v>3.3401663792074987</v>
      </c>
      <c r="AD83" s="6"/>
      <c r="AE83" s="109" t="s">
        <v>74</v>
      </c>
      <c r="AF83" s="110"/>
      <c r="AG83" s="84">
        <f>(AG84/SQRT(9))</f>
        <v>0.40328418427113338</v>
      </c>
      <c r="AH83" s="84">
        <f>(AH84/SQRT(9))</f>
        <v>1.8010717200830371</v>
      </c>
      <c r="AI83" s="84">
        <f>(AI84/SQRT(9))</f>
        <v>0.40968839815107344</v>
      </c>
      <c r="AJ83" s="84">
        <f>(AJ84/SQRT(9))</f>
        <v>1.4001881989764637</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9" t="s">
        <v>75</v>
      </c>
      <c r="D84" s="110"/>
      <c r="E84" s="84">
        <f>_xlfn.STDEV.P(E72:E80)</f>
        <v>0.92734201521963744</v>
      </c>
      <c r="F84" s="84">
        <f>_xlfn.STDEV.P(F72:F80)</f>
        <v>5.4417037324602235</v>
      </c>
      <c r="G84" s="84">
        <f>_xlfn.STDEV.P(G72:G80)</f>
        <v>0.98110242171011064</v>
      </c>
      <c r="H84" s="84">
        <f>_xlfn.STDEV.P(H72:H80)</f>
        <v>2.2607018465019566</v>
      </c>
      <c r="I84" s="6"/>
      <c r="J84" s="109" t="s">
        <v>75</v>
      </c>
      <c r="K84" s="110"/>
      <c r="L84" s="84">
        <f>_xlfn.STDEV.P(L72:L80)</f>
        <v>0.86427022148042132</v>
      </c>
      <c r="M84" s="84">
        <f>_xlfn.STDEV.P(M72:M80)</f>
        <v>5.1495519715935476</v>
      </c>
      <c r="N84" s="84">
        <f>_xlfn.STDEV.P(N72:N80)</f>
        <v>0.88358832065685977</v>
      </c>
      <c r="O84" s="84">
        <f>_xlfn.STDEV.P(O72:O80)</f>
        <v>3.6292027251633239</v>
      </c>
      <c r="P84" s="6"/>
      <c r="Q84" s="109" t="s">
        <v>75</v>
      </c>
      <c r="R84" s="110"/>
      <c r="S84" s="84">
        <f>_xlfn.STDEV.P(S72:S80)</f>
        <v>0.81548556091175994</v>
      </c>
      <c r="T84" s="84">
        <f>_xlfn.STDEV.P(T72:T80)</f>
        <v>5.9750810892028818</v>
      </c>
      <c r="U84" s="84">
        <f>_xlfn.STDEV.P(U72:U80)</f>
        <v>0.8211531966558826</v>
      </c>
      <c r="V84" s="84">
        <f>_xlfn.STDEV.P(V72:V80)</f>
        <v>5.4527827829233155</v>
      </c>
      <c r="W84" s="6"/>
      <c r="X84" s="109" t="s">
        <v>75</v>
      </c>
      <c r="Y84" s="110"/>
      <c r="Z84" s="84">
        <f>_xlfn.STDEV.P(Z72:Z80)</f>
        <v>1.306317885817603</v>
      </c>
      <c r="AA84" s="84">
        <f>_xlfn.STDEV.P(AA72:AA80)</f>
        <v>8.3994343016089985</v>
      </c>
      <c r="AB84" s="84">
        <f>_xlfn.STDEV.P(AB72:AB80)</f>
        <v>1.2862333528221468</v>
      </c>
      <c r="AC84" s="84">
        <f>_xlfn.STDEV.P(AC72:AC80)</f>
        <v>10.020499137622496</v>
      </c>
      <c r="AD84" s="6"/>
      <c r="AE84" s="109" t="s">
        <v>75</v>
      </c>
      <c r="AF84" s="110"/>
      <c r="AG84" s="84">
        <f>_xlfn.STDEV.P(AG72:AG80)</f>
        <v>1.2098525528134001</v>
      </c>
      <c r="AH84" s="84">
        <f>_xlfn.STDEV.P(AH72:AH80)</f>
        <v>5.4032151602491112</v>
      </c>
      <c r="AI84" s="84">
        <f>_xlfn.STDEV.P(AI72:AI80)</f>
        <v>1.2290651944532203</v>
      </c>
      <c r="AJ84" s="84">
        <f>_xlfn.STDEV.P(AJ72:AJ80)</f>
        <v>4.2005645969293912</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9" t="s">
        <v>76</v>
      </c>
      <c r="D85" s="110"/>
      <c r="E85" s="84">
        <f>SUM(E84/E82)</f>
        <v>4.1899489737430955E-2</v>
      </c>
      <c r="F85" s="84">
        <f>SUM(F84/F82)</f>
        <v>0.52049412384665417</v>
      </c>
      <c r="G85" s="84">
        <f>SUM(G84/G82)</f>
        <v>4.1899489737430934E-2</v>
      </c>
      <c r="H85" s="84">
        <f>SUM(H84/H82)</f>
        <v>0.54308682482546011</v>
      </c>
      <c r="I85" s="6"/>
      <c r="J85" s="109" t="s">
        <v>76</v>
      </c>
      <c r="K85" s="110"/>
      <c r="L85" s="84">
        <f>SUM(L84/L82)</f>
        <v>3.6225487301493518E-2</v>
      </c>
      <c r="M85" s="84">
        <f>SUM(M84/M82)</f>
        <v>0.57072577280690917</v>
      </c>
      <c r="N85" s="84">
        <f>SUM(N84/N82)</f>
        <v>3.6225487301493511E-2</v>
      </c>
      <c r="O85" s="84">
        <f>SUM(O84/O82)</f>
        <v>0.58251916585758912</v>
      </c>
      <c r="P85" s="6"/>
      <c r="Q85" s="109" t="s">
        <v>76</v>
      </c>
      <c r="R85" s="110"/>
      <c r="S85" s="84">
        <f>SUM(S84/S82)</f>
        <v>3.9552419706877368E-2</v>
      </c>
      <c r="T85" s="84">
        <f>SUM(T84/T82)</f>
        <v>0.54179183240337747</v>
      </c>
      <c r="U85" s="84">
        <f>SUM(U84/U82)</f>
        <v>3.9552419706877388E-2</v>
      </c>
      <c r="V85" s="84">
        <f>SUM(V84/V82)</f>
        <v>0.54529218295977921</v>
      </c>
      <c r="W85" s="6"/>
      <c r="X85" s="109" t="s">
        <v>76</v>
      </c>
      <c r="Y85" s="110"/>
      <c r="Z85" s="84">
        <f>SUM(Z84/Z82)</f>
        <v>6.899073876112298E-2</v>
      </c>
      <c r="AA85" s="84">
        <f>SUM(AA84/AA82)</f>
        <v>0.75327700151547405</v>
      </c>
      <c r="AB85" s="84">
        <f>SUM(AB84/AB82)</f>
        <v>6.8990738761122994E-2</v>
      </c>
      <c r="AC85" s="84">
        <f>SUM(AC84/AC82)</f>
        <v>0.74384329667604643</v>
      </c>
      <c r="AD85" s="6"/>
      <c r="AE85" s="109" t="s">
        <v>76</v>
      </c>
      <c r="AF85" s="110"/>
      <c r="AG85" s="84">
        <f>SUM(AG84/AG82)</f>
        <v>4.9814428926638156E-2</v>
      </c>
      <c r="AH85" s="84">
        <f>SUM(AH84/AH82)</f>
        <v>0.6246188990768039</v>
      </c>
      <c r="AI85" s="84">
        <f>SUM(AI84/AI82)</f>
        <v>4.981442892663817E-2</v>
      </c>
      <c r="AJ85" s="84">
        <f>SUM(AJ84/AJ82)</f>
        <v>0.63212876581140076</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sheetData>
  <mergeCells count="149">
    <mergeCell ref="B1:Z4"/>
    <mergeCell ref="J59:L59"/>
    <mergeCell ref="J60:L60"/>
    <mergeCell ref="J67:K67"/>
    <mergeCell ref="J68:K68"/>
    <mergeCell ref="J31:L31"/>
    <mergeCell ref="J32:L32"/>
    <mergeCell ref="J39:K39"/>
    <mergeCell ref="J40:K40"/>
    <mergeCell ref="C6:Q6"/>
    <mergeCell ref="R6:Z6"/>
    <mergeCell ref="C9:H9"/>
    <mergeCell ref="I9:W9"/>
    <mergeCell ref="X9:Z11"/>
    <mergeCell ref="C12:Q12"/>
    <mergeCell ref="R12:Z12"/>
    <mergeCell ref="C31:E31"/>
    <mergeCell ref="Q31:S31"/>
    <mergeCell ref="X31:Z31"/>
    <mergeCell ref="AE31:AG31"/>
    <mergeCell ref="C24:Q24"/>
    <mergeCell ref="C15:H15"/>
    <mergeCell ref="I15:W15"/>
    <mergeCell ref="X15:Z17"/>
    <mergeCell ref="C18:Q18"/>
    <mergeCell ref="R18:Z18"/>
    <mergeCell ref="C21:H21"/>
    <mergeCell ref="I21:W21"/>
    <mergeCell ref="X21:Z23"/>
    <mergeCell ref="AL31:AN31"/>
    <mergeCell ref="AG26:AK28"/>
    <mergeCell ref="I27:W27"/>
    <mergeCell ref="X27:Z29"/>
    <mergeCell ref="C39:D39"/>
    <mergeCell ref="Q39:R39"/>
    <mergeCell ref="X39:Y39"/>
    <mergeCell ref="AE39:AF39"/>
    <mergeCell ref="AL39:AM39"/>
    <mergeCell ref="C32:E32"/>
    <mergeCell ref="Q32:S32"/>
    <mergeCell ref="X32:Z32"/>
    <mergeCell ref="AE32:AG32"/>
    <mergeCell ref="AL32:AN32"/>
    <mergeCell ref="C27:H29"/>
    <mergeCell ref="R24:Z26"/>
    <mergeCell ref="C42:H42"/>
    <mergeCell ref="J42:O42"/>
    <mergeCell ref="Q42:V42"/>
    <mergeCell ref="X42:AC42"/>
    <mergeCell ref="AE42:AJ42"/>
    <mergeCell ref="AL42:AQ42"/>
    <mergeCell ref="C40:D40"/>
    <mergeCell ref="Q40:R40"/>
    <mergeCell ref="X40:Y40"/>
    <mergeCell ref="AE40:AF40"/>
    <mergeCell ref="AL40:AM40"/>
    <mergeCell ref="C53:D53"/>
    <mergeCell ref="J53:K53"/>
    <mergeCell ref="Q53:R53"/>
    <mergeCell ref="X53:Y53"/>
    <mergeCell ref="AE53:AF53"/>
    <mergeCell ref="AL53:AM53"/>
    <mergeCell ref="C43:C52"/>
    <mergeCell ref="J43:J52"/>
    <mergeCell ref="Q43:Q52"/>
    <mergeCell ref="X43:X52"/>
    <mergeCell ref="AE43:AE52"/>
    <mergeCell ref="AL43:AL52"/>
    <mergeCell ref="C55:D55"/>
    <mergeCell ref="J55:K55"/>
    <mergeCell ref="Q55:R55"/>
    <mergeCell ref="X55:Y55"/>
    <mergeCell ref="AE55:AF55"/>
    <mergeCell ref="AL55:AM55"/>
    <mergeCell ref="C54:D54"/>
    <mergeCell ref="J54:K54"/>
    <mergeCell ref="Q54:R54"/>
    <mergeCell ref="X54:Y54"/>
    <mergeCell ref="AE54:AF54"/>
    <mergeCell ref="AL54:AM54"/>
    <mergeCell ref="C57:D57"/>
    <mergeCell ref="J57:K57"/>
    <mergeCell ref="Q57:R57"/>
    <mergeCell ref="X57:Y57"/>
    <mergeCell ref="AE57:AF57"/>
    <mergeCell ref="AL57:AM57"/>
    <mergeCell ref="C56:D56"/>
    <mergeCell ref="J56:K56"/>
    <mergeCell ref="Q56:R56"/>
    <mergeCell ref="X56:Y56"/>
    <mergeCell ref="AE56:AF56"/>
    <mergeCell ref="AL56:AM56"/>
    <mergeCell ref="C60:E60"/>
    <mergeCell ref="Q60:S60"/>
    <mergeCell ref="X60:Z60"/>
    <mergeCell ref="AE60:AG60"/>
    <mergeCell ref="C59:E59"/>
    <mergeCell ref="Q59:S59"/>
    <mergeCell ref="X59:Z59"/>
    <mergeCell ref="AE59:AG59"/>
    <mergeCell ref="C81:D81"/>
    <mergeCell ref="J81:K81"/>
    <mergeCell ref="Q81:R81"/>
    <mergeCell ref="X81:Y81"/>
    <mergeCell ref="AE81:AF81"/>
    <mergeCell ref="C71:C80"/>
    <mergeCell ref="J71:J80"/>
    <mergeCell ref="Q71:Q80"/>
    <mergeCell ref="X71:X80"/>
    <mergeCell ref="AE71:AE80"/>
    <mergeCell ref="C83:D83"/>
    <mergeCell ref="J83:K83"/>
    <mergeCell ref="Q83:R83"/>
    <mergeCell ref="X83:Y83"/>
    <mergeCell ref="AE83:AF83"/>
    <mergeCell ref="C82:D82"/>
    <mergeCell ref="J82:K82"/>
    <mergeCell ref="Q82:R82"/>
    <mergeCell ref="X82:Y82"/>
    <mergeCell ref="AE82:AF82"/>
    <mergeCell ref="C85:D85"/>
    <mergeCell ref="J85:K85"/>
    <mergeCell ref="Q85:R85"/>
    <mergeCell ref="X85:Y85"/>
    <mergeCell ref="AE85:AF85"/>
    <mergeCell ref="C84:D84"/>
    <mergeCell ref="J84:K84"/>
    <mergeCell ref="Q84:R84"/>
    <mergeCell ref="X84:Y84"/>
    <mergeCell ref="AE84:AF84"/>
    <mergeCell ref="AK7:AL7"/>
    <mergeCell ref="AK8:AL8"/>
    <mergeCell ref="AK9:AL9"/>
    <mergeCell ref="AK10:AL10"/>
    <mergeCell ref="AK11:AL11"/>
    <mergeCell ref="AH5:AL6"/>
    <mergeCell ref="C70:H70"/>
    <mergeCell ref="J70:O70"/>
    <mergeCell ref="Q70:V70"/>
    <mergeCell ref="X70:AC70"/>
    <mergeCell ref="AE70:AJ70"/>
    <mergeCell ref="C68:D68"/>
    <mergeCell ref="Q68:R68"/>
    <mergeCell ref="X68:Y68"/>
    <mergeCell ref="AE68:AF68"/>
    <mergeCell ref="C67:D67"/>
    <mergeCell ref="Q67:R67"/>
    <mergeCell ref="X67:Y67"/>
    <mergeCell ref="AE67:AF67"/>
  </mergeCells>
  <pageMargins left="0.7" right="0.7" top="0.75" bottom="0.75" header="0.3" footer="0.3"/>
  <drawing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E6C0049-B0C7-47D0-A835-5A2BA58E55FE}">
  <dimension ref="A1:CJ119"/>
  <sheetViews>
    <sheetView zoomScale="50" zoomScaleNormal="50" workbookViewId="0">
      <selection activeCell="V60" sqref="V60"/>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 min="41" max="41" width="9.28515625" customWidth="1"/>
  </cols>
  <sheetData>
    <row r="1" spans="1:76" s="6" customFormat="1" x14ac:dyDescent="0.25">
      <c r="B1" s="160" t="s">
        <v>116</v>
      </c>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76" s="6" customFormat="1" x14ac:dyDescent="0.25">
      <c r="B2" s="160"/>
      <c r="C2" s="160"/>
      <c r="D2" s="160"/>
      <c r="E2" s="160"/>
      <c r="F2" s="160"/>
      <c r="G2" s="160"/>
      <c r="H2" s="160"/>
      <c r="I2" s="160"/>
      <c r="J2" s="160"/>
      <c r="K2" s="160"/>
      <c r="L2" s="160"/>
      <c r="M2" s="160"/>
      <c r="N2" s="160"/>
      <c r="O2" s="160"/>
      <c r="P2" s="160"/>
      <c r="Q2" s="160"/>
      <c r="R2" s="160"/>
      <c r="S2" s="160"/>
      <c r="T2" s="160"/>
      <c r="U2" s="160"/>
      <c r="V2" s="160"/>
      <c r="W2" s="160"/>
      <c r="X2" s="160"/>
      <c r="Y2" s="160"/>
      <c r="Z2" s="160"/>
    </row>
    <row r="3" spans="1:76" s="6" customFormat="1" x14ac:dyDescent="0.25">
      <c r="B3" s="160"/>
      <c r="C3" s="160"/>
      <c r="D3" s="160"/>
      <c r="E3" s="160"/>
      <c r="F3" s="160"/>
      <c r="G3" s="160"/>
      <c r="H3" s="160"/>
      <c r="I3" s="160"/>
      <c r="J3" s="160"/>
      <c r="K3" s="160"/>
      <c r="L3" s="160"/>
      <c r="M3" s="160"/>
      <c r="N3" s="160"/>
      <c r="O3" s="160"/>
      <c r="P3" s="160"/>
      <c r="Q3" s="160"/>
      <c r="R3" s="160"/>
      <c r="S3" s="160"/>
      <c r="T3" s="160"/>
      <c r="U3" s="160"/>
      <c r="V3" s="160"/>
      <c r="W3" s="160"/>
      <c r="X3" s="160"/>
      <c r="Y3" s="160"/>
      <c r="Z3" s="160"/>
    </row>
    <row r="4" spans="1:76" s="6" customFormat="1" ht="15.75" thickBot="1" x14ac:dyDescent="0.3">
      <c r="B4" s="161"/>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8" t="s">
        <v>77</v>
      </c>
      <c r="AI5" s="99"/>
      <c r="AJ5" s="99"/>
      <c r="AK5" s="99"/>
      <c r="AL5" s="100"/>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2" t="s">
        <v>17</v>
      </c>
      <c r="D6" s="133"/>
      <c r="E6" s="133"/>
      <c r="F6" s="133"/>
      <c r="G6" s="133"/>
      <c r="H6" s="133"/>
      <c r="I6" s="133"/>
      <c r="J6" s="133"/>
      <c r="K6" s="133"/>
      <c r="L6" s="133"/>
      <c r="M6" s="133"/>
      <c r="N6" s="133"/>
      <c r="O6" s="133"/>
      <c r="P6" s="133"/>
      <c r="Q6" s="134"/>
      <c r="R6" s="132" t="s">
        <v>18</v>
      </c>
      <c r="S6" s="133"/>
      <c r="T6" s="133"/>
      <c r="U6" s="133"/>
      <c r="V6" s="133"/>
      <c r="W6" s="133"/>
      <c r="X6" s="133"/>
      <c r="Y6" s="133"/>
      <c r="Z6" s="134"/>
      <c r="AA6" s="6"/>
      <c r="AB6" s="6"/>
      <c r="AC6" s="6"/>
      <c r="AD6" s="6"/>
      <c r="AE6" s="6"/>
      <c r="AF6" s="6"/>
      <c r="AG6" s="6"/>
      <c r="AH6" s="101"/>
      <c r="AI6" s="102"/>
      <c r="AJ6" s="102"/>
      <c r="AK6" s="102"/>
      <c r="AL6" s="103"/>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26">
        <v>32.6114499265246</v>
      </c>
      <c r="D7" s="27">
        <v>30.093847141820302</v>
      </c>
      <c r="E7" s="27">
        <v>27.994331027672199</v>
      </c>
      <c r="F7" s="27">
        <v>25.7574210087724</v>
      </c>
      <c r="G7" s="27">
        <v>23.519334581089801</v>
      </c>
      <c r="H7" s="28">
        <v>20.069309520829002</v>
      </c>
      <c r="I7" s="28">
        <v>18.653996821972498</v>
      </c>
      <c r="J7" s="28">
        <v>18.593038115760798</v>
      </c>
      <c r="K7" s="29">
        <v>19.8461936439369</v>
      </c>
      <c r="L7" s="29">
        <v>19.086025828009699</v>
      </c>
      <c r="M7" s="29">
        <v>19.037434204250602</v>
      </c>
      <c r="N7" s="30">
        <v>20.492537913489802</v>
      </c>
      <c r="O7" s="30">
        <v>19.820540846950699</v>
      </c>
      <c r="P7" s="30">
        <v>25.190787457470599</v>
      </c>
      <c r="Q7" s="31">
        <v>38.409138082326599</v>
      </c>
      <c r="R7" s="26">
        <v>35.401505211748301</v>
      </c>
      <c r="S7" s="27">
        <v>34.662911371870898</v>
      </c>
      <c r="T7" s="27">
        <v>32.025392692131597</v>
      </c>
      <c r="U7" s="27">
        <v>27.626656260077599</v>
      </c>
      <c r="V7" s="27">
        <v>24.934878161493302</v>
      </c>
      <c r="W7" s="28">
        <v>16.889326196526</v>
      </c>
      <c r="X7" s="28">
        <v>14.932309952566101</v>
      </c>
      <c r="Y7" s="28">
        <v>14.761438545215601</v>
      </c>
      <c r="Z7" s="31">
        <v>34.855319636917002</v>
      </c>
      <c r="AA7" s="6"/>
      <c r="AB7" s="1"/>
      <c r="AC7" s="6" t="s">
        <v>28</v>
      </c>
      <c r="AD7" s="6"/>
      <c r="AE7" s="6"/>
      <c r="AF7" s="6"/>
      <c r="AG7" s="6"/>
      <c r="AH7" s="85" t="s">
        <v>78</v>
      </c>
      <c r="AI7" s="86"/>
      <c r="AJ7" s="86"/>
      <c r="AK7" s="156">
        <v>45171</v>
      </c>
      <c r="AL7" s="157"/>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19">
        <v>32.750174505168999</v>
      </c>
      <c r="D8" s="20">
        <v>30.514169797249899</v>
      </c>
      <c r="E8" s="20">
        <v>28.2979541941802</v>
      </c>
      <c r="F8" s="20">
        <v>25.7168043731061</v>
      </c>
      <c r="G8" s="20">
        <v>23.356516015554401</v>
      </c>
      <c r="H8" s="10">
        <v>20.052119509149101</v>
      </c>
      <c r="I8" s="10">
        <v>18.867713280672898</v>
      </c>
      <c r="J8" s="10">
        <v>18.635004292293299</v>
      </c>
      <c r="K8" s="11">
        <v>19.982253683110301</v>
      </c>
      <c r="L8" s="11">
        <v>19.366381752175599</v>
      </c>
      <c r="M8" s="11">
        <v>18.974222480948001</v>
      </c>
      <c r="N8" s="12">
        <v>20.424889849280898</v>
      </c>
      <c r="O8" s="12">
        <v>19.674923046303199</v>
      </c>
      <c r="P8" s="12">
        <v>24.5256491815883</v>
      </c>
      <c r="Q8" s="13">
        <v>37.236622377106102</v>
      </c>
      <c r="R8" s="19">
        <v>36.560460732485502</v>
      </c>
      <c r="S8" s="20">
        <v>34.687090362792503</v>
      </c>
      <c r="T8" s="20">
        <v>31.757626134841299</v>
      </c>
      <c r="U8" s="20">
        <v>27.611582809879799</v>
      </c>
      <c r="V8" s="20">
        <v>24.869136004239198</v>
      </c>
      <c r="W8" s="10">
        <v>17.0102421657257</v>
      </c>
      <c r="X8" s="10">
        <v>14.8824796153263</v>
      </c>
      <c r="Y8" s="10">
        <v>15.2512501026471</v>
      </c>
      <c r="Z8" s="13">
        <v>35.501504155635303</v>
      </c>
      <c r="AA8" s="6"/>
      <c r="AB8" s="2"/>
      <c r="AC8" s="6" t="s">
        <v>29</v>
      </c>
      <c r="AD8" s="6"/>
      <c r="AE8" s="6"/>
      <c r="AF8" s="6"/>
      <c r="AG8" s="6"/>
      <c r="AH8" s="85" t="s">
        <v>79</v>
      </c>
      <c r="AI8" s="86"/>
      <c r="AJ8" s="86"/>
      <c r="AK8" s="94">
        <v>45183</v>
      </c>
      <c r="AL8" s="95"/>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53" t="s">
        <v>18</v>
      </c>
      <c r="D9" s="154"/>
      <c r="E9" s="154"/>
      <c r="F9" s="154"/>
      <c r="G9" s="154"/>
      <c r="H9" s="155"/>
      <c r="I9" s="153" t="s">
        <v>26</v>
      </c>
      <c r="J9" s="154"/>
      <c r="K9" s="154"/>
      <c r="L9" s="154"/>
      <c r="M9" s="154"/>
      <c r="N9" s="154"/>
      <c r="O9" s="154"/>
      <c r="P9" s="154"/>
      <c r="Q9" s="154"/>
      <c r="R9" s="154"/>
      <c r="S9" s="154"/>
      <c r="T9" s="154"/>
      <c r="U9" s="154"/>
      <c r="V9" s="154"/>
      <c r="W9" s="155"/>
      <c r="X9" s="135"/>
      <c r="Y9" s="136"/>
      <c r="Z9" s="137"/>
      <c r="AA9" s="6"/>
      <c r="AB9" s="3"/>
      <c r="AC9" s="6" t="s">
        <v>30</v>
      </c>
      <c r="AD9" s="6"/>
      <c r="AE9" s="6"/>
      <c r="AF9" s="6"/>
      <c r="AG9" s="6"/>
      <c r="AH9" s="85" t="s">
        <v>80</v>
      </c>
      <c r="AI9" s="86"/>
      <c r="AJ9" s="86"/>
      <c r="AK9" s="94">
        <v>45190</v>
      </c>
      <c r="AL9" s="95"/>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16.940483944017501</v>
      </c>
      <c r="D10" s="29">
        <v>15.217054113678801</v>
      </c>
      <c r="E10" s="29">
        <v>15.589607714084501</v>
      </c>
      <c r="F10" s="30">
        <v>18.2322039398953</v>
      </c>
      <c r="G10" s="30">
        <v>16.481520404649402</v>
      </c>
      <c r="H10" s="33">
        <v>22.481955802891001</v>
      </c>
      <c r="I10" s="26">
        <v>30.949816037526901</v>
      </c>
      <c r="J10" s="27">
        <v>30.7192714058863</v>
      </c>
      <c r="K10" s="27">
        <v>30.619740870195699</v>
      </c>
      <c r="L10" s="27">
        <v>28.8025370387146</v>
      </c>
      <c r="M10" s="27">
        <v>26.531948954421701</v>
      </c>
      <c r="N10" s="28">
        <v>23.648389502838</v>
      </c>
      <c r="O10" s="28">
        <v>22.177204192298799</v>
      </c>
      <c r="P10" s="28">
        <v>22.171325871473002</v>
      </c>
      <c r="Q10" s="29">
        <v>23.6008375589767</v>
      </c>
      <c r="R10" s="29">
        <v>22.417203139433099</v>
      </c>
      <c r="S10" s="29">
        <v>22.3382448575497</v>
      </c>
      <c r="T10" s="30">
        <v>23.894123671069799</v>
      </c>
      <c r="U10" s="30">
        <v>23.7627961419714</v>
      </c>
      <c r="V10" s="30">
        <v>27.971539043857099</v>
      </c>
      <c r="W10" s="31">
        <v>33.5166819982351</v>
      </c>
      <c r="X10" s="138"/>
      <c r="Y10" s="139"/>
      <c r="Z10" s="140"/>
      <c r="AA10" s="6"/>
      <c r="AB10" s="4"/>
      <c r="AC10" s="6" t="s">
        <v>31</v>
      </c>
      <c r="AD10" s="6"/>
      <c r="AE10" s="6"/>
      <c r="AF10" s="6"/>
      <c r="AG10" s="6"/>
      <c r="AH10" s="85" t="s">
        <v>81</v>
      </c>
      <c r="AI10" s="86"/>
      <c r="AJ10" s="86"/>
      <c r="AK10" s="94">
        <v>45203</v>
      </c>
      <c r="AL10" s="95"/>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16.982698994439701</v>
      </c>
      <c r="D11" s="11">
        <v>15.235728473939901</v>
      </c>
      <c r="E11" s="11">
        <v>15.791267038149</v>
      </c>
      <c r="F11" s="12">
        <v>18.0625271076815</v>
      </c>
      <c r="G11" s="12">
        <v>16.507992127746999</v>
      </c>
      <c r="H11" s="15">
        <v>22.5714052897853</v>
      </c>
      <c r="I11" s="19">
        <v>30.988060445371701</v>
      </c>
      <c r="J11" s="20">
        <v>30.594922859454201</v>
      </c>
      <c r="K11" s="20">
        <v>30.416133647378501</v>
      </c>
      <c r="L11" s="20">
        <v>28.711015143778798</v>
      </c>
      <c r="M11" s="20">
        <v>26.558939285252499</v>
      </c>
      <c r="N11" s="10">
        <v>23.5864521178361</v>
      </c>
      <c r="O11" s="10">
        <v>22.100173175858501</v>
      </c>
      <c r="P11" s="10">
        <v>21.973705115924599</v>
      </c>
      <c r="Q11" s="11">
        <v>23.614752241299701</v>
      </c>
      <c r="R11" s="16">
        <v>22.534109556021399</v>
      </c>
      <c r="S11" s="16">
        <v>22.371099261436299</v>
      </c>
      <c r="T11" s="17">
        <v>24.068446644355699</v>
      </c>
      <c r="U11" s="17">
        <v>23.7378176320268</v>
      </c>
      <c r="V11" s="17">
        <v>28.101228246228199</v>
      </c>
      <c r="W11" s="18">
        <v>33.209547990748298</v>
      </c>
      <c r="X11" s="141"/>
      <c r="Y11" s="142"/>
      <c r="Z11" s="143"/>
      <c r="AA11" s="6"/>
      <c r="AB11" s="5"/>
      <c r="AC11" s="6" t="s">
        <v>32</v>
      </c>
      <c r="AD11" s="6"/>
      <c r="AE11" s="6"/>
      <c r="AF11" s="6"/>
      <c r="AG11" s="6"/>
      <c r="AH11" s="87" t="s">
        <v>82</v>
      </c>
      <c r="AI11" s="88"/>
      <c r="AJ11" s="88"/>
      <c r="AK11" s="96">
        <v>45204</v>
      </c>
      <c r="AL11" s="97"/>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53" t="s">
        <v>19</v>
      </c>
      <c r="D12" s="154"/>
      <c r="E12" s="154"/>
      <c r="F12" s="154"/>
      <c r="G12" s="154"/>
      <c r="H12" s="154"/>
      <c r="I12" s="154"/>
      <c r="J12" s="154"/>
      <c r="K12" s="154"/>
      <c r="L12" s="154"/>
      <c r="M12" s="154"/>
      <c r="N12" s="154"/>
      <c r="O12" s="154"/>
      <c r="P12" s="154"/>
      <c r="Q12" s="155"/>
      <c r="R12" s="132" t="s">
        <v>20</v>
      </c>
      <c r="S12" s="133"/>
      <c r="T12" s="133"/>
      <c r="U12" s="133"/>
      <c r="V12" s="133"/>
      <c r="W12" s="133"/>
      <c r="X12" s="133"/>
      <c r="Y12" s="133"/>
      <c r="Z12" s="134"/>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26">
        <v>29.627133371319701</v>
      </c>
      <c r="D13" s="27">
        <v>27.547295362973799</v>
      </c>
      <c r="E13" s="27">
        <v>25.494555465363899</v>
      </c>
      <c r="F13" s="27">
        <v>23.332202571093699</v>
      </c>
      <c r="G13" s="27">
        <v>20.596424149141001</v>
      </c>
      <c r="H13" s="28">
        <v>18.299784311074198</v>
      </c>
      <c r="I13" s="28">
        <v>19.4272502305679</v>
      </c>
      <c r="J13" s="28">
        <v>19.718457028947</v>
      </c>
      <c r="K13" s="29">
        <v>18.544929818198501</v>
      </c>
      <c r="L13" s="29">
        <v>19.3605876533911</v>
      </c>
      <c r="M13" s="29">
        <v>19.4524372312633</v>
      </c>
      <c r="N13" s="30">
        <v>20.267345636128098</v>
      </c>
      <c r="O13" s="30">
        <v>19.7975891771809</v>
      </c>
      <c r="P13" s="30">
        <v>22.298685365173899</v>
      </c>
      <c r="Q13" s="31" t="s">
        <v>49</v>
      </c>
      <c r="R13" s="26">
        <v>28.6594684024294</v>
      </c>
      <c r="S13" s="27">
        <v>26.607703519704799</v>
      </c>
      <c r="T13" s="27">
        <v>24.3542888800987</v>
      </c>
      <c r="U13" s="27">
        <v>22.1082101905446</v>
      </c>
      <c r="V13" s="27">
        <v>19.690795727780699</v>
      </c>
      <c r="W13" s="28">
        <v>18.106145723316601</v>
      </c>
      <c r="X13" s="28">
        <v>18.536789079970202</v>
      </c>
      <c r="Y13" s="28">
        <v>18.491416207615401</v>
      </c>
      <c r="Z13" s="31">
        <v>38.934672934007402</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19">
        <v>30.2084013747941</v>
      </c>
      <c r="D14" s="20">
        <v>27.457999633202299</v>
      </c>
      <c r="E14" s="20">
        <v>25.400751923302099</v>
      </c>
      <c r="F14" s="20">
        <v>23.179038475736199</v>
      </c>
      <c r="G14" s="20">
        <v>20.8606897449393</v>
      </c>
      <c r="H14" s="10">
        <v>18.326630581487699</v>
      </c>
      <c r="I14" s="10">
        <v>18.994721953235601</v>
      </c>
      <c r="J14" s="10">
        <v>19.0386931294709</v>
      </c>
      <c r="K14" s="11">
        <v>18.639745217654301</v>
      </c>
      <c r="L14" s="11">
        <v>19.3492419005022</v>
      </c>
      <c r="M14" s="11">
        <v>19.728784915375801</v>
      </c>
      <c r="N14" s="12">
        <v>20.1560829003372</v>
      </c>
      <c r="O14" s="12">
        <v>19.5748146924441</v>
      </c>
      <c r="P14" s="12">
        <v>22.1204372855399</v>
      </c>
      <c r="Q14" s="13" t="s">
        <v>49</v>
      </c>
      <c r="R14" s="19">
        <v>28.936332342514401</v>
      </c>
      <c r="S14" s="20">
        <v>26.719118343844801</v>
      </c>
      <c r="T14" s="20">
        <v>24.385278954183601</v>
      </c>
      <c r="U14" s="20">
        <v>21.884998803908999</v>
      </c>
      <c r="V14" s="20">
        <v>19.701571859103701</v>
      </c>
      <c r="W14" s="10">
        <v>18.146027306068301</v>
      </c>
      <c r="X14" s="10">
        <v>18.4766330440609</v>
      </c>
      <c r="Y14" s="10">
        <v>18.5034250787349</v>
      </c>
      <c r="Z14" s="13">
        <v>37.457046940516797</v>
      </c>
      <c r="AA14" s="6"/>
      <c r="AB14" s="6" t="s">
        <v>51</v>
      </c>
      <c r="AC14" s="6" t="s">
        <v>52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2" t="s">
        <v>20</v>
      </c>
      <c r="D15" s="133"/>
      <c r="E15" s="133"/>
      <c r="F15" s="133"/>
      <c r="G15" s="133"/>
      <c r="H15" s="134"/>
      <c r="I15" s="132" t="s">
        <v>21</v>
      </c>
      <c r="J15" s="133"/>
      <c r="K15" s="133"/>
      <c r="L15" s="133"/>
      <c r="M15" s="133"/>
      <c r="N15" s="133"/>
      <c r="O15" s="133"/>
      <c r="P15" s="133"/>
      <c r="Q15" s="133"/>
      <c r="R15" s="133"/>
      <c r="S15" s="133"/>
      <c r="T15" s="133"/>
      <c r="U15" s="133"/>
      <c r="V15" s="133"/>
      <c r="W15" s="134"/>
      <c r="X15" s="135"/>
      <c r="Y15" s="136"/>
      <c r="Z15" s="137"/>
      <c r="AA15" s="6"/>
      <c r="AB15" s="6" t="s">
        <v>53</v>
      </c>
      <c r="AC15" s="6" t="s">
        <v>54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18.232734280095201</v>
      </c>
      <c r="D16" s="29">
        <v>18.191177581579201</v>
      </c>
      <c r="E16" s="29">
        <v>18.354154306407398</v>
      </c>
      <c r="F16" s="30">
        <v>19.119041032282102</v>
      </c>
      <c r="G16" s="30">
        <v>18.602379777711501</v>
      </c>
      <c r="H16" s="33">
        <v>24.186010953074099</v>
      </c>
      <c r="I16" s="26">
        <v>31.834128797656899</v>
      </c>
      <c r="J16" s="27">
        <v>29.281502338588702</v>
      </c>
      <c r="K16" s="27">
        <v>27.194866241311399</v>
      </c>
      <c r="L16" s="27">
        <v>24.493049065386401</v>
      </c>
      <c r="M16" s="27">
        <v>22.186975340843599</v>
      </c>
      <c r="N16" s="28">
        <v>19.132755148694098</v>
      </c>
      <c r="O16" s="28">
        <v>19.1211076840735</v>
      </c>
      <c r="P16" s="28">
        <v>19.356345173617601</v>
      </c>
      <c r="Q16" s="29">
        <v>19.0293164621357</v>
      </c>
      <c r="R16" s="29">
        <v>19.405894140986501</v>
      </c>
      <c r="S16" s="29">
        <v>19.289874120295099</v>
      </c>
      <c r="T16" s="30">
        <v>20.9197583684874</v>
      </c>
      <c r="U16" s="30">
        <v>20.0041033507121</v>
      </c>
      <c r="V16" s="30">
        <v>22.678850861489899</v>
      </c>
      <c r="W16" s="31">
        <v>36.343265947004802</v>
      </c>
      <c r="X16" s="138"/>
      <c r="Y16" s="139"/>
      <c r="Z16" s="140"/>
      <c r="AA16" s="6"/>
      <c r="AB16" s="6" t="s">
        <v>55</v>
      </c>
      <c r="AC16" s="6" t="s">
        <v>56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18.267443440600399</v>
      </c>
      <c r="D17" s="11">
        <v>18.293575001140098</v>
      </c>
      <c r="E17" s="11">
        <v>18.352795662933101</v>
      </c>
      <c r="F17" s="12">
        <v>19.056873222068599</v>
      </c>
      <c r="G17" s="12">
        <v>18.689843224935601</v>
      </c>
      <c r="H17" s="15">
        <v>23.999522520053699</v>
      </c>
      <c r="I17" s="19">
        <v>31.979370423496199</v>
      </c>
      <c r="J17" s="20">
        <v>29.2017634302528</v>
      </c>
      <c r="K17" s="20">
        <v>27.142718893076101</v>
      </c>
      <c r="L17" s="20">
        <v>24.996071647625001</v>
      </c>
      <c r="M17" s="20">
        <v>22.252327608486699</v>
      </c>
      <c r="N17" s="10">
        <v>19.156546455298599</v>
      </c>
      <c r="O17" s="10">
        <v>19.168003428142001</v>
      </c>
      <c r="P17" s="10">
        <v>19.012276806364198</v>
      </c>
      <c r="Q17" s="11">
        <v>18.9947861675669</v>
      </c>
      <c r="R17" s="16">
        <v>19.467793407776199</v>
      </c>
      <c r="S17" s="16">
        <v>19.389283861252199</v>
      </c>
      <c r="T17" s="17">
        <v>20.9416040734896</v>
      </c>
      <c r="U17" s="17">
        <v>20.042230292821699</v>
      </c>
      <c r="V17" s="17">
        <v>23.2912707723825</v>
      </c>
      <c r="W17" s="18">
        <v>38.719025180269902</v>
      </c>
      <c r="X17" s="141"/>
      <c r="Y17" s="142"/>
      <c r="Z17" s="143"/>
      <c r="AA17" s="6"/>
      <c r="AB17" s="6" t="s">
        <v>57</v>
      </c>
      <c r="AC17" s="6" t="s">
        <v>58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2" t="s">
        <v>22</v>
      </c>
      <c r="D18" s="133"/>
      <c r="E18" s="133"/>
      <c r="F18" s="133"/>
      <c r="G18" s="133"/>
      <c r="H18" s="133"/>
      <c r="I18" s="133"/>
      <c r="J18" s="133"/>
      <c r="K18" s="133"/>
      <c r="L18" s="133"/>
      <c r="M18" s="133"/>
      <c r="N18" s="133"/>
      <c r="O18" s="133"/>
      <c r="P18" s="133"/>
      <c r="Q18" s="134"/>
      <c r="R18" s="132" t="s">
        <v>23</v>
      </c>
      <c r="S18" s="133"/>
      <c r="T18" s="133"/>
      <c r="U18" s="133"/>
      <c r="V18" s="133"/>
      <c r="W18" s="133"/>
      <c r="X18" s="133"/>
      <c r="Y18" s="133"/>
      <c r="Z18" s="134"/>
      <c r="AA18" s="6"/>
      <c r="AB18" s="6" t="s">
        <v>59</v>
      </c>
      <c r="AC18" s="6" t="s">
        <v>60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26">
        <v>30.721776254906001</v>
      </c>
      <c r="D19" s="27">
        <v>30.062117937873602</v>
      </c>
      <c r="E19" s="27">
        <v>29.347193494225898</v>
      </c>
      <c r="F19" s="27">
        <v>27.684664534879101</v>
      </c>
      <c r="G19" s="27">
        <v>25.0912434696547</v>
      </c>
      <c r="H19" s="28">
        <v>21.940582475618299</v>
      </c>
      <c r="I19" s="28">
        <v>20.034008011918601</v>
      </c>
      <c r="J19" s="28">
        <v>20.098102606784501</v>
      </c>
      <c r="K19" s="29">
        <v>21.920762929332</v>
      </c>
      <c r="L19" s="29">
        <v>20.737571529577298</v>
      </c>
      <c r="M19" s="29">
        <v>20.726735005859702</v>
      </c>
      <c r="N19" s="30">
        <v>22.086061880565701</v>
      </c>
      <c r="O19" s="30">
        <v>21.565520783333401</v>
      </c>
      <c r="P19" s="30">
        <v>25.661900059336698</v>
      </c>
      <c r="Q19" s="31">
        <v>30.8531881462767</v>
      </c>
      <c r="R19" s="26">
        <v>33.121931567629098</v>
      </c>
      <c r="S19" s="27">
        <v>31.679231182712101</v>
      </c>
      <c r="T19" s="27">
        <v>29.930261437159398</v>
      </c>
      <c r="U19" s="27">
        <v>28.1430709211885</v>
      </c>
      <c r="V19" s="27">
        <v>25.834859633738802</v>
      </c>
      <c r="W19" s="28">
        <v>22.707564953420999</v>
      </c>
      <c r="X19" s="28">
        <v>21.6473373778473</v>
      </c>
      <c r="Y19" s="28">
        <v>21.479751282380199</v>
      </c>
      <c r="Z19" s="31">
        <v>38.757384537505501</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19">
        <v>30.535513350388801</v>
      </c>
      <c r="D20" s="20">
        <v>30.402166011352001</v>
      </c>
      <c r="E20" s="20">
        <v>29.187824122683502</v>
      </c>
      <c r="F20" s="20">
        <v>27.6889539952574</v>
      </c>
      <c r="G20" s="20">
        <v>25.089307972274501</v>
      </c>
      <c r="H20" s="10">
        <v>21.702860572279199</v>
      </c>
      <c r="I20" s="10">
        <v>20.135111826049702</v>
      </c>
      <c r="J20" s="10">
        <v>20.099118086509101</v>
      </c>
      <c r="K20" s="11">
        <v>22.074883944149601</v>
      </c>
      <c r="L20" s="11">
        <v>20.8680059795647</v>
      </c>
      <c r="M20" s="11">
        <v>20.733503659463</v>
      </c>
      <c r="N20" s="12">
        <v>22.036920949594801</v>
      </c>
      <c r="O20" s="12">
        <v>21.559372175762999</v>
      </c>
      <c r="P20" s="12">
        <v>25.965902982714699</v>
      </c>
      <c r="Q20" s="13">
        <v>30.792840580290001</v>
      </c>
      <c r="R20" s="19">
        <v>32.907192370909101</v>
      </c>
      <c r="S20" s="20">
        <v>32.817111853899902</v>
      </c>
      <c r="T20" s="20">
        <v>30.821255084358999</v>
      </c>
      <c r="U20" s="20">
        <v>28.121215772669199</v>
      </c>
      <c r="V20" s="20">
        <v>26.255347376284799</v>
      </c>
      <c r="W20" s="10">
        <v>22.927488051636399</v>
      </c>
      <c r="X20" s="10">
        <v>21.556730338771398</v>
      </c>
      <c r="Y20" s="10">
        <v>21.396292040774799</v>
      </c>
      <c r="Z20" s="13">
        <v>37.543646436789402</v>
      </c>
      <c r="AA20" s="6"/>
      <c r="AB20" s="6" t="s">
        <v>61</v>
      </c>
      <c r="AC20" s="6" t="s">
        <v>62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2" t="s">
        <v>23</v>
      </c>
      <c r="D21" s="133"/>
      <c r="E21" s="133"/>
      <c r="F21" s="133"/>
      <c r="G21" s="133"/>
      <c r="H21" s="134"/>
      <c r="I21" s="132" t="s">
        <v>27</v>
      </c>
      <c r="J21" s="133"/>
      <c r="K21" s="133"/>
      <c r="L21" s="133"/>
      <c r="M21" s="133"/>
      <c r="N21" s="133"/>
      <c r="O21" s="133"/>
      <c r="P21" s="133"/>
      <c r="Q21" s="133"/>
      <c r="R21" s="133"/>
      <c r="S21" s="133"/>
      <c r="T21" s="133"/>
      <c r="U21" s="133"/>
      <c r="V21" s="133"/>
      <c r="W21" s="134"/>
      <c r="X21" s="135"/>
      <c r="Y21" s="136"/>
      <c r="Z21" s="137"/>
      <c r="AA21" s="6"/>
      <c r="AB21" s="6" t="s">
        <v>63</v>
      </c>
      <c r="AC21" s="6" t="s">
        <v>64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22.638893535698301</v>
      </c>
      <c r="D22" s="29">
        <v>21.841359560729199</v>
      </c>
      <c r="E22" s="29">
        <v>21.834652921098101</v>
      </c>
      <c r="F22" s="30">
        <v>23.476630112662001</v>
      </c>
      <c r="G22" s="30">
        <v>22.632855879594501</v>
      </c>
      <c r="H22" s="33">
        <v>27.8980814993316</v>
      </c>
      <c r="I22" s="26">
        <v>30.262090595861601</v>
      </c>
      <c r="J22" s="27">
        <v>28.722893344692402</v>
      </c>
      <c r="K22" s="27">
        <v>26.966830076992998</v>
      </c>
      <c r="L22" s="27">
        <v>24.358210849454501</v>
      </c>
      <c r="M22" s="27">
        <v>22.0310879274817</v>
      </c>
      <c r="N22" s="28">
        <v>19.786835742864699</v>
      </c>
      <c r="O22" s="28">
        <v>18.240518499279698</v>
      </c>
      <c r="P22" s="28">
        <v>18.257490981925798</v>
      </c>
      <c r="Q22" s="29">
        <v>19.2566064823761</v>
      </c>
      <c r="R22" s="29">
        <v>18.533870600393598</v>
      </c>
      <c r="S22" s="29">
        <v>18.401896372483701</v>
      </c>
      <c r="T22" s="30">
        <v>19.871393784293801</v>
      </c>
      <c r="U22" s="30">
        <v>19.121839712042402</v>
      </c>
      <c r="V22" s="30">
        <v>25.796138682862502</v>
      </c>
      <c r="W22" s="31">
        <v>33.867281144438998</v>
      </c>
      <c r="X22" s="138"/>
      <c r="Y22" s="139"/>
      <c r="Z22" s="140"/>
      <c r="AA22" s="6"/>
      <c r="AB22" s="6" t="s">
        <v>65</v>
      </c>
      <c r="AC22" s="6" t="s">
        <v>66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22.751345833403199</v>
      </c>
      <c r="D23" s="11">
        <v>21.421382537639001</v>
      </c>
      <c r="E23" s="11">
        <v>21.596985819094701</v>
      </c>
      <c r="F23" s="12">
        <v>23.305962738788701</v>
      </c>
      <c r="G23" s="12">
        <v>22.560779110365502</v>
      </c>
      <c r="H23" s="15">
        <v>28.008512658475698</v>
      </c>
      <c r="I23" s="19">
        <v>31.795179186123899</v>
      </c>
      <c r="J23" s="20">
        <v>28.6325274753226</v>
      </c>
      <c r="K23" s="20">
        <v>26.780192202969801</v>
      </c>
      <c r="L23" s="20">
        <v>24.5719961238261</v>
      </c>
      <c r="M23" s="20">
        <v>21.9928983421831</v>
      </c>
      <c r="N23" s="10">
        <v>19.7471975587701</v>
      </c>
      <c r="O23" s="10">
        <v>18.268749109756801</v>
      </c>
      <c r="P23" s="10">
        <v>18.311358830165101</v>
      </c>
      <c r="Q23" s="11">
        <v>19.2762792391989</v>
      </c>
      <c r="R23" s="16">
        <v>18.6372752119136</v>
      </c>
      <c r="S23" s="16">
        <v>18.798407155843101</v>
      </c>
      <c r="T23" s="17">
        <v>19.839656980128598</v>
      </c>
      <c r="U23" s="17">
        <v>19.343211978777202</v>
      </c>
      <c r="V23" s="17">
        <v>25.9175108613242</v>
      </c>
      <c r="W23" s="18">
        <v>34.464445037642101</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2" t="s">
        <v>24</v>
      </c>
      <c r="D24" s="133"/>
      <c r="E24" s="133"/>
      <c r="F24" s="133"/>
      <c r="G24" s="133"/>
      <c r="H24" s="133"/>
      <c r="I24" s="133"/>
      <c r="J24" s="133"/>
      <c r="K24" s="133"/>
      <c r="L24" s="133"/>
      <c r="M24" s="133"/>
      <c r="N24" s="133"/>
      <c r="O24" s="133"/>
      <c r="P24" s="133"/>
      <c r="Q24" s="134"/>
      <c r="R24" s="144"/>
      <c r="S24" s="145"/>
      <c r="T24" s="145"/>
      <c r="U24" s="145"/>
      <c r="V24" s="145"/>
      <c r="W24" s="145"/>
      <c r="X24" s="145"/>
      <c r="Y24" s="145"/>
      <c r="Z24" s="146"/>
      <c r="AA24" s="6"/>
      <c r="AB24" s="69" t="s">
        <v>67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26">
        <v>30.5019077584972</v>
      </c>
      <c r="D25" s="27">
        <v>28.295434621527701</v>
      </c>
      <c r="E25" s="27">
        <v>25.9900531000016</v>
      </c>
      <c r="F25" s="27">
        <v>23.640646727560899</v>
      </c>
      <c r="G25" s="27">
        <v>21.029846643324099</v>
      </c>
      <c r="H25" s="28">
        <v>19.4415066096308</v>
      </c>
      <c r="I25" s="28">
        <v>18.850848008270098</v>
      </c>
      <c r="J25" s="28">
        <v>18.871927073039899</v>
      </c>
      <c r="K25" s="29">
        <v>17.749962998485099</v>
      </c>
      <c r="L25" s="29">
        <v>17.156855101476701</v>
      </c>
      <c r="M25" s="29">
        <v>17.377790560863701</v>
      </c>
      <c r="N25" s="30">
        <v>17.8067191286708</v>
      </c>
      <c r="O25" s="30">
        <v>17.177918666981501</v>
      </c>
      <c r="P25" s="30">
        <v>21.373811891771101</v>
      </c>
      <c r="Q25" s="31">
        <v>33.984465132756</v>
      </c>
      <c r="R25" s="147"/>
      <c r="S25" s="148"/>
      <c r="T25" s="148"/>
      <c r="U25" s="148"/>
      <c r="V25" s="148"/>
      <c r="W25" s="148"/>
      <c r="X25" s="148"/>
      <c r="Y25" s="148"/>
      <c r="Z25" s="149"/>
      <c r="AA25" s="6"/>
      <c r="AB25" s="6" t="s">
        <v>59</v>
      </c>
      <c r="AC25" s="6" t="s">
        <v>68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19">
        <v>30.370606513353898</v>
      </c>
      <c r="D26" s="20">
        <v>28.252837406772301</v>
      </c>
      <c r="E26" s="20">
        <v>26.045248339459899</v>
      </c>
      <c r="F26" s="20">
        <v>23.729653139266102</v>
      </c>
      <c r="G26" s="20">
        <v>21.065696206574099</v>
      </c>
      <c r="H26" s="10">
        <v>19.416585278029199</v>
      </c>
      <c r="I26" s="10">
        <v>18.965771225619001</v>
      </c>
      <c r="J26" s="10">
        <v>18.737500970150499</v>
      </c>
      <c r="K26" s="11">
        <v>17.650603059715699</v>
      </c>
      <c r="L26" s="11">
        <v>17.340889444163501</v>
      </c>
      <c r="M26" s="11">
        <v>17.222228922480301</v>
      </c>
      <c r="N26" s="12">
        <v>17.889141472836702</v>
      </c>
      <c r="O26" s="12">
        <v>17.148528662189399</v>
      </c>
      <c r="P26" s="12">
        <v>21.2499576998595</v>
      </c>
      <c r="Q26" s="13">
        <v>34.361420344123601</v>
      </c>
      <c r="R26" s="150"/>
      <c r="S26" s="151"/>
      <c r="T26" s="151"/>
      <c r="U26" s="151"/>
      <c r="V26" s="151"/>
      <c r="W26" s="151"/>
      <c r="X26" s="151"/>
      <c r="Y26" s="151"/>
      <c r="Z26" s="152"/>
      <c r="AA26" s="6"/>
      <c r="AB26" s="70" t="s">
        <v>61</v>
      </c>
      <c r="AC26" s="71" t="s">
        <v>69</v>
      </c>
      <c r="AD26" s="71"/>
      <c r="AE26" s="71"/>
      <c r="AF26" s="71"/>
      <c r="AG26" s="129" t="s">
        <v>70</v>
      </c>
      <c r="AH26" s="129"/>
      <c r="AI26" s="129"/>
      <c r="AJ26" s="129"/>
      <c r="AK26" s="129"/>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4"/>
      <c r="D27" s="145"/>
      <c r="E27" s="145"/>
      <c r="F27" s="145"/>
      <c r="G27" s="145"/>
      <c r="H27" s="146"/>
      <c r="I27" s="132" t="s">
        <v>25</v>
      </c>
      <c r="J27" s="133"/>
      <c r="K27" s="133"/>
      <c r="L27" s="133"/>
      <c r="M27" s="133"/>
      <c r="N27" s="133"/>
      <c r="O27" s="133"/>
      <c r="P27" s="133"/>
      <c r="Q27" s="133"/>
      <c r="R27" s="133"/>
      <c r="S27" s="133"/>
      <c r="T27" s="133"/>
      <c r="U27" s="133"/>
      <c r="V27" s="133"/>
      <c r="W27" s="134"/>
      <c r="X27" s="135"/>
      <c r="Y27" s="136"/>
      <c r="Z27" s="137"/>
      <c r="AA27" s="6"/>
      <c r="AB27" s="73" t="s">
        <v>63</v>
      </c>
      <c r="AC27" s="6" t="s">
        <v>71</v>
      </c>
      <c r="AD27" s="6"/>
      <c r="AE27" s="6"/>
      <c r="AF27" s="7"/>
      <c r="AG27" s="130"/>
      <c r="AH27" s="130"/>
      <c r="AI27" s="130"/>
      <c r="AJ27" s="130"/>
      <c r="AK27" s="130"/>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7"/>
      <c r="D28" s="148"/>
      <c r="E28" s="148"/>
      <c r="F28" s="148"/>
      <c r="G28" s="148"/>
      <c r="H28" s="149"/>
      <c r="I28" s="26">
        <v>33.676591747508603</v>
      </c>
      <c r="J28" s="27">
        <v>33.671768322202503</v>
      </c>
      <c r="K28" s="27">
        <v>32.622147206714402</v>
      </c>
      <c r="L28" s="27">
        <v>32.684765330003401</v>
      </c>
      <c r="M28" s="27">
        <v>31.405771855516601</v>
      </c>
      <c r="N28" s="28">
        <v>26.9549274651418</v>
      </c>
      <c r="O28" s="28">
        <v>21.816393459264201</v>
      </c>
      <c r="P28" s="28">
        <v>21.8490504331313</v>
      </c>
      <c r="Q28" s="29">
        <v>25.829283529572798</v>
      </c>
      <c r="R28" s="29">
        <v>23.716911559368199</v>
      </c>
      <c r="S28" s="29">
        <v>23.4632221832412</v>
      </c>
      <c r="T28" s="30">
        <v>27.4125569784517</v>
      </c>
      <c r="U28" s="30">
        <v>25.1829634795461</v>
      </c>
      <c r="V28" s="30">
        <v>32.790337754204799</v>
      </c>
      <c r="W28" s="31" t="s">
        <v>49</v>
      </c>
      <c r="X28" s="138"/>
      <c r="Y28" s="139"/>
      <c r="Z28" s="140"/>
      <c r="AA28" s="6"/>
      <c r="AB28" s="75" t="s">
        <v>65</v>
      </c>
      <c r="AC28" s="76" t="s">
        <v>72</v>
      </c>
      <c r="AD28" s="76"/>
      <c r="AE28" s="76"/>
      <c r="AF28" s="77"/>
      <c r="AG28" s="131"/>
      <c r="AH28" s="131"/>
      <c r="AI28" s="131"/>
      <c r="AJ28" s="131"/>
      <c r="AK28" s="131"/>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0"/>
      <c r="D29" s="151"/>
      <c r="E29" s="151"/>
      <c r="F29" s="151"/>
      <c r="G29" s="151"/>
      <c r="H29" s="152"/>
      <c r="I29" s="19">
        <v>33.3741223709374</v>
      </c>
      <c r="J29" s="20">
        <v>33.539748152300596</v>
      </c>
      <c r="K29" s="20">
        <v>33.458658983742801</v>
      </c>
      <c r="L29" s="20">
        <v>31.864124987772598</v>
      </c>
      <c r="M29" s="20">
        <v>31.0768370235809</v>
      </c>
      <c r="N29" s="10">
        <v>27.126297152241602</v>
      </c>
      <c r="O29" s="10">
        <v>21.850378520649102</v>
      </c>
      <c r="P29" s="10">
        <v>22.155206169935202</v>
      </c>
      <c r="Q29" s="11">
        <v>25.804932946596299</v>
      </c>
      <c r="R29" s="11">
        <v>23.656251211682001</v>
      </c>
      <c r="S29" s="11">
        <v>23.5046762105532</v>
      </c>
      <c r="T29" s="12">
        <v>27.7105472546363</v>
      </c>
      <c r="U29" s="12">
        <v>25.1070001113874</v>
      </c>
      <c r="V29" s="12">
        <v>32.502953515048503</v>
      </c>
      <c r="W29" s="13">
        <v>38.1523138855176</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4" t="s">
        <v>17</v>
      </c>
      <c r="D31" s="124"/>
      <c r="E31" s="124"/>
      <c r="F31" s="6"/>
      <c r="G31" s="6"/>
      <c r="H31" s="6"/>
      <c r="I31" s="6"/>
      <c r="J31" s="124" t="s">
        <v>18</v>
      </c>
      <c r="K31" s="124"/>
      <c r="L31" s="124"/>
      <c r="M31" s="6"/>
      <c r="N31" s="6"/>
      <c r="O31" s="6"/>
      <c r="P31" s="6"/>
      <c r="Q31" s="124" t="s">
        <v>26</v>
      </c>
      <c r="R31" s="124"/>
      <c r="S31" s="124"/>
      <c r="T31" s="6"/>
      <c r="U31" s="6"/>
      <c r="V31" s="6"/>
      <c r="W31" s="6"/>
      <c r="X31" s="124" t="s">
        <v>19</v>
      </c>
      <c r="Y31" s="124"/>
      <c r="Z31" s="124"/>
      <c r="AA31" s="6"/>
      <c r="AB31" s="6"/>
      <c r="AC31" s="6"/>
      <c r="AD31" s="6"/>
      <c r="AE31" s="124" t="s">
        <v>20</v>
      </c>
      <c r="AF31" s="124"/>
      <c r="AG31" s="124"/>
      <c r="AH31" s="6"/>
      <c r="AI31" s="6"/>
      <c r="AJ31" s="6"/>
      <c r="AK31" s="6"/>
      <c r="AL31" s="124" t="s">
        <v>21</v>
      </c>
      <c r="AM31" s="124"/>
      <c r="AN31" s="124"/>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6" t="s">
        <v>47</v>
      </c>
      <c r="D32" s="117"/>
      <c r="E32" s="118"/>
      <c r="F32" s="6"/>
      <c r="G32" s="6"/>
      <c r="H32" s="6"/>
      <c r="I32" s="6"/>
      <c r="J32" s="119" t="s">
        <v>47</v>
      </c>
      <c r="K32" s="120"/>
      <c r="L32" s="121"/>
      <c r="M32" s="6"/>
      <c r="N32" s="6"/>
      <c r="O32" s="6"/>
      <c r="P32" s="6"/>
      <c r="Q32" s="119" t="s">
        <v>47</v>
      </c>
      <c r="R32" s="120"/>
      <c r="S32" s="121"/>
      <c r="T32" s="6"/>
      <c r="U32" s="6"/>
      <c r="V32" s="6"/>
      <c r="W32" s="6"/>
      <c r="X32" s="119" t="s">
        <v>47</v>
      </c>
      <c r="Y32" s="122"/>
      <c r="Z32" s="123"/>
      <c r="AA32" s="6"/>
      <c r="AB32" s="6"/>
      <c r="AC32" s="6"/>
      <c r="AD32" s="6"/>
      <c r="AE32" s="119" t="s">
        <v>47</v>
      </c>
      <c r="AF32" s="120"/>
      <c r="AG32" s="121"/>
      <c r="AH32" s="6"/>
      <c r="AI32" s="6"/>
      <c r="AJ32" s="6"/>
      <c r="AK32" s="6"/>
      <c r="AL32" s="119" t="s">
        <v>47</v>
      </c>
      <c r="AM32" s="120"/>
      <c r="AN32" s="121"/>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32.6808122158468</v>
      </c>
      <c r="F34" s="6"/>
      <c r="G34" s="6"/>
      <c r="H34" s="6"/>
      <c r="I34" s="6"/>
      <c r="J34" s="62">
        <v>3.2000000000000001E-2</v>
      </c>
      <c r="K34" s="63">
        <f>LOG(J34)</f>
        <v>-1.494850021680094</v>
      </c>
      <c r="L34" s="64">
        <f>AVERAGE(R7:R8)</f>
        <v>35.980982972116905</v>
      </c>
      <c r="M34" s="6"/>
      <c r="N34" s="6"/>
      <c r="O34" s="6"/>
      <c r="P34" s="6"/>
      <c r="Q34" s="62">
        <v>3.2000000000000001E-2</v>
      </c>
      <c r="R34" s="63">
        <f>LOG(Q34)</f>
        <v>-1.494850021680094</v>
      </c>
      <c r="S34" s="64">
        <f>AVERAGE(I10:I11)</f>
        <v>30.968938241449301</v>
      </c>
      <c r="T34" s="6"/>
      <c r="U34" s="6"/>
      <c r="V34" s="6"/>
      <c r="W34" s="6"/>
      <c r="X34" s="62">
        <v>3.2000000000000001E-2</v>
      </c>
      <c r="Y34" s="63">
        <f>LOG(X34)</f>
        <v>-1.494850021680094</v>
      </c>
      <c r="Z34" s="64">
        <f>AVERAGE(C13:C14)</f>
        <v>29.9177673730569</v>
      </c>
      <c r="AA34" s="6"/>
      <c r="AB34" s="6"/>
      <c r="AC34" s="6"/>
      <c r="AD34" s="6"/>
      <c r="AE34" s="62">
        <v>3.2000000000000001E-2</v>
      </c>
      <c r="AF34" s="63">
        <f>LOG(AE34)</f>
        <v>-1.494850021680094</v>
      </c>
      <c r="AG34" s="64">
        <f>AVERAGE(R13:R14)</f>
        <v>28.797900372471901</v>
      </c>
      <c r="AH34" s="6"/>
      <c r="AI34" s="6"/>
      <c r="AJ34" s="6"/>
      <c r="AK34" s="6"/>
      <c r="AL34" s="62">
        <v>3.2000000000000001E-2</v>
      </c>
      <c r="AM34" s="63">
        <f>LOG(AL34)</f>
        <v>-1.494850021680094</v>
      </c>
      <c r="AN34" s="64">
        <f>AVERAGE(I16:I17)</f>
        <v>31.906749610576547</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AVERAGE(D7:D8)</f>
        <v>30.304008469535098</v>
      </c>
      <c r="F35" s="6"/>
      <c r="G35" s="6"/>
      <c r="H35" s="6"/>
      <c r="I35" s="6"/>
      <c r="J35" s="62">
        <v>0.16</v>
      </c>
      <c r="K35" s="63">
        <f>LOG(J35)</f>
        <v>-0.79588001734407521</v>
      </c>
      <c r="L35" s="64">
        <f>AVERAGE(S7:S8)</f>
        <v>34.675000867331704</v>
      </c>
      <c r="M35" s="6"/>
      <c r="N35" s="6"/>
      <c r="O35" s="6"/>
      <c r="P35" s="6"/>
      <c r="Q35" s="62">
        <v>0.16</v>
      </c>
      <c r="R35" s="63">
        <f>LOG(Q35)</f>
        <v>-0.79588001734407521</v>
      </c>
      <c r="S35" s="64">
        <f>AVERAGE(J10:J11)</f>
        <v>30.657097132670252</v>
      </c>
      <c r="T35" s="6"/>
      <c r="U35" s="6"/>
      <c r="V35" s="6"/>
      <c r="W35" s="6"/>
      <c r="X35" s="62">
        <v>0.16</v>
      </c>
      <c r="Y35" s="63">
        <f>LOG(X35)</f>
        <v>-0.79588001734407521</v>
      </c>
      <c r="Z35" s="64">
        <f>AVERAGE(D13:D14)</f>
        <v>27.502647498088049</v>
      </c>
      <c r="AA35" s="6"/>
      <c r="AB35" s="6"/>
      <c r="AC35" s="6"/>
      <c r="AD35" s="6"/>
      <c r="AE35" s="62">
        <v>0.16</v>
      </c>
      <c r="AF35" s="63">
        <f>LOG(AE35)</f>
        <v>-0.79588001734407521</v>
      </c>
      <c r="AG35" s="64">
        <f>AVERAGE(S13:S14)</f>
        <v>26.663410931774798</v>
      </c>
      <c r="AH35" s="6"/>
      <c r="AI35" s="6"/>
      <c r="AJ35" s="6"/>
      <c r="AK35" s="6"/>
      <c r="AL35" s="62">
        <v>0.16</v>
      </c>
      <c r="AM35" s="63">
        <f>LOG(AL35)</f>
        <v>-0.79588001734407521</v>
      </c>
      <c r="AN35" s="64">
        <f>AVERAGE(J16:J17)</f>
        <v>29.241632884420753</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28.146142610926198</v>
      </c>
      <c r="F36" s="6"/>
      <c r="G36" s="6"/>
      <c r="H36" s="6"/>
      <c r="I36" s="6"/>
      <c r="J36" s="62">
        <v>0.8</v>
      </c>
      <c r="K36" s="63">
        <f>LOG(J36)</f>
        <v>-9.6910013008056392E-2</v>
      </c>
      <c r="L36" s="64">
        <f>AVERAGE(T7:T8)</f>
        <v>31.891509413486446</v>
      </c>
      <c r="M36" s="6"/>
      <c r="N36" s="6"/>
      <c r="O36" s="6"/>
      <c r="P36" s="6"/>
      <c r="Q36" s="62">
        <v>0.8</v>
      </c>
      <c r="R36" s="63">
        <f>LOG(Q36)</f>
        <v>-9.6910013008056392E-2</v>
      </c>
      <c r="S36" s="64">
        <f>AVERAGE(K10:K11)</f>
        <v>30.5179372587871</v>
      </c>
      <c r="T36" s="6"/>
      <c r="U36" s="6"/>
      <c r="V36" s="6"/>
      <c r="W36" s="6"/>
      <c r="X36" s="62">
        <v>0.8</v>
      </c>
      <c r="Y36" s="63">
        <f>LOG(X36)</f>
        <v>-9.6910013008056392E-2</v>
      </c>
      <c r="Z36" s="64">
        <f>AVERAGE(E13:E14)</f>
        <v>25.447653694332999</v>
      </c>
      <c r="AA36" s="6"/>
      <c r="AB36" s="6"/>
      <c r="AC36" s="6"/>
      <c r="AD36" s="6"/>
      <c r="AE36" s="62">
        <v>0.8</v>
      </c>
      <c r="AF36" s="63">
        <f>LOG(AE36)</f>
        <v>-9.6910013008056392E-2</v>
      </c>
      <c r="AG36" s="64">
        <f>AVERAGE(T13:T14)</f>
        <v>24.369783917141149</v>
      </c>
      <c r="AH36" s="6"/>
      <c r="AI36" s="6"/>
      <c r="AJ36" s="6"/>
      <c r="AK36" s="6"/>
      <c r="AL36" s="62">
        <v>0.8</v>
      </c>
      <c r="AM36" s="63">
        <f>LOG(AL36)</f>
        <v>-9.6910013008056392E-2</v>
      </c>
      <c r="AN36" s="64">
        <f>AVERAGE(K16:K17)</f>
        <v>27.168792567193748</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25.737112690939249</v>
      </c>
      <c r="F37" s="6"/>
      <c r="G37" s="6"/>
      <c r="H37" s="6"/>
      <c r="I37" s="6"/>
      <c r="J37" s="62">
        <v>4</v>
      </c>
      <c r="K37" s="63">
        <f>LOG(J37)</f>
        <v>0.6020599913279624</v>
      </c>
      <c r="L37" s="64">
        <f>AVERAGE(U7:U8)</f>
        <v>27.619119534978701</v>
      </c>
      <c r="M37" s="6"/>
      <c r="N37" s="6"/>
      <c r="O37" s="6"/>
      <c r="P37" s="6"/>
      <c r="Q37" s="62">
        <v>4</v>
      </c>
      <c r="R37" s="63">
        <f>LOG(Q37)</f>
        <v>0.6020599913279624</v>
      </c>
      <c r="S37" s="64">
        <f>AVERAGE(L10:L11)</f>
        <v>28.756776091246699</v>
      </c>
      <c r="T37" s="6"/>
      <c r="U37" s="6"/>
      <c r="V37" s="6"/>
      <c r="W37" s="6"/>
      <c r="X37" s="62">
        <v>4</v>
      </c>
      <c r="Y37" s="63">
        <f>LOG(X37)</f>
        <v>0.6020599913279624</v>
      </c>
      <c r="Z37" s="64">
        <f>AVERAGE(F13:F14)</f>
        <v>23.255620523414947</v>
      </c>
      <c r="AA37" s="6"/>
      <c r="AB37" s="6"/>
      <c r="AC37" s="6"/>
      <c r="AD37" s="6"/>
      <c r="AE37" s="62">
        <v>4</v>
      </c>
      <c r="AF37" s="63">
        <f>LOG(AE37)</f>
        <v>0.6020599913279624</v>
      </c>
      <c r="AG37" s="64">
        <f>AVERAGE(U13:U14)</f>
        <v>21.996604497226798</v>
      </c>
      <c r="AH37" s="6"/>
      <c r="AI37" s="6"/>
      <c r="AJ37" s="6"/>
      <c r="AK37" s="6"/>
      <c r="AL37" s="62">
        <v>4</v>
      </c>
      <c r="AM37" s="63">
        <f>LOG(AL37)</f>
        <v>0.6020599913279624</v>
      </c>
      <c r="AN37" s="64">
        <f>AVERAGE(L16:L17)</f>
        <v>24.744560356505701</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23.437925298322099</v>
      </c>
      <c r="F38" s="6"/>
      <c r="G38" s="6"/>
      <c r="H38" s="6"/>
      <c r="I38" s="6"/>
      <c r="J38" s="65">
        <v>20</v>
      </c>
      <c r="K38" s="66">
        <f>LOG(J38)</f>
        <v>1.3010299956639813</v>
      </c>
      <c r="L38" s="67">
        <f>AVERAGE(V7:V8)</f>
        <v>24.902007082866248</v>
      </c>
      <c r="M38" s="6"/>
      <c r="N38" s="6"/>
      <c r="O38" s="6"/>
      <c r="P38" s="6"/>
      <c r="Q38" s="65">
        <v>20</v>
      </c>
      <c r="R38" s="66">
        <f>LOG(Q38)</f>
        <v>1.3010299956639813</v>
      </c>
      <c r="S38" s="67">
        <f>AVERAGE(M10:M11)</f>
        <v>26.5454441198371</v>
      </c>
      <c r="T38" s="6"/>
      <c r="U38" s="6"/>
      <c r="V38" s="6"/>
      <c r="W38" s="6"/>
      <c r="X38" s="65">
        <v>20</v>
      </c>
      <c r="Y38" s="66">
        <f>LOG(X38)</f>
        <v>1.3010299956639813</v>
      </c>
      <c r="Z38" s="67">
        <f>AVERAGE(G13:G14)</f>
        <v>20.728556947040151</v>
      </c>
      <c r="AA38" s="6"/>
      <c r="AB38" s="6"/>
      <c r="AC38" s="6"/>
      <c r="AD38" s="6"/>
      <c r="AE38" s="65">
        <v>20</v>
      </c>
      <c r="AF38" s="66">
        <f>LOG(AE38)</f>
        <v>1.3010299956639813</v>
      </c>
      <c r="AG38" s="67">
        <f>AVERAGE(V13:V14)</f>
        <v>19.696183793442202</v>
      </c>
      <c r="AH38" s="6"/>
      <c r="AI38" s="6"/>
      <c r="AJ38" s="6"/>
      <c r="AK38" s="6"/>
      <c r="AL38" s="65">
        <v>20</v>
      </c>
      <c r="AM38" s="66">
        <f>LOG(AL38)</f>
        <v>1.3010299956639813</v>
      </c>
      <c r="AN38" s="67">
        <f>AVERAGE(M16:M17)</f>
        <v>22.219651474665149</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7" t="s">
        <v>46</v>
      </c>
      <c r="D39" s="108"/>
      <c r="E39" s="37">
        <f>(10^(-1/-3.2981)-1)*100</f>
        <v>101.00408123741853</v>
      </c>
      <c r="F39" s="6"/>
      <c r="G39" s="6"/>
      <c r="H39" s="6"/>
      <c r="I39" s="6"/>
      <c r="J39" s="107" t="s">
        <v>46</v>
      </c>
      <c r="K39" s="108"/>
      <c r="L39" s="37">
        <f>(10^(-1/-4.1796)-1)*100</f>
        <v>73.483168375521316</v>
      </c>
      <c r="M39" s="6"/>
      <c r="N39" s="6"/>
      <c r="O39" s="6"/>
      <c r="P39" s="6"/>
      <c r="Q39" s="107" t="s">
        <v>46</v>
      </c>
      <c r="R39" s="108"/>
      <c r="S39" s="37">
        <f>(10^(-1/-1.5376)-1)*100</f>
        <v>347.05834285729765</v>
      </c>
      <c r="T39" s="6"/>
      <c r="U39" s="6"/>
      <c r="V39" s="6"/>
      <c r="W39" s="6"/>
      <c r="X39" s="107" t="s">
        <v>46</v>
      </c>
      <c r="Y39" s="108"/>
      <c r="Z39" s="37">
        <f>(10^(-1/-3.237)-1)*100</f>
        <v>103.6704485103896</v>
      </c>
      <c r="AA39" s="6"/>
      <c r="AB39" s="6"/>
      <c r="AC39" s="6"/>
      <c r="AD39" s="6"/>
      <c r="AE39" s="107" t="s">
        <v>46</v>
      </c>
      <c r="AF39" s="108"/>
      <c r="AG39" s="37">
        <f>(10^(-1/-3.272)-1)*100</f>
        <v>102.12660053656002</v>
      </c>
      <c r="AH39" s="6"/>
      <c r="AI39" s="6"/>
      <c r="AJ39" s="6"/>
      <c r="AK39" s="6"/>
      <c r="AL39" s="107" t="s">
        <v>46</v>
      </c>
      <c r="AM39" s="108"/>
      <c r="AN39" s="37">
        <f>(10^(-1/-3.4152)-1)*100</f>
        <v>96.249527724112596</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7" t="s">
        <v>50</v>
      </c>
      <c r="D40" s="108"/>
      <c r="E40" s="37">
        <f>SUM(E39/100)+1</f>
        <v>2.0100408123741853</v>
      </c>
      <c r="F40" s="6"/>
      <c r="G40" s="6"/>
      <c r="H40" s="6"/>
      <c r="I40" s="6"/>
      <c r="J40" s="107" t="s">
        <v>50</v>
      </c>
      <c r="K40" s="108"/>
      <c r="L40" s="37">
        <f>SUM(L39/100)+1</f>
        <v>1.7348316837552131</v>
      </c>
      <c r="M40" s="6"/>
      <c r="N40" s="6"/>
      <c r="O40" s="6"/>
      <c r="P40" s="6"/>
      <c r="Q40" s="107" t="s">
        <v>50</v>
      </c>
      <c r="R40" s="108"/>
      <c r="S40" s="37">
        <f>SUM(S39/100)+1</f>
        <v>4.4705834285729766</v>
      </c>
      <c r="U40" s="6"/>
      <c r="V40" s="6"/>
      <c r="X40" s="107" t="s">
        <v>50</v>
      </c>
      <c r="Y40" s="108"/>
      <c r="Z40" s="37">
        <f>SUM(Z39/100)+1</f>
        <v>2.036704485103896</v>
      </c>
      <c r="AA40" s="6"/>
      <c r="AB40" s="6"/>
      <c r="AC40" s="6"/>
      <c r="AD40" s="6"/>
      <c r="AE40" s="107" t="s">
        <v>50</v>
      </c>
      <c r="AF40" s="108"/>
      <c r="AG40" s="37">
        <f>SUM(AG39/100)+1</f>
        <v>2.0212660053656002</v>
      </c>
      <c r="AH40" s="6"/>
      <c r="AI40" s="6"/>
      <c r="AJ40" s="6"/>
      <c r="AK40" s="6"/>
      <c r="AL40" s="107" t="s">
        <v>50</v>
      </c>
      <c r="AM40" s="108"/>
      <c r="AN40" s="37">
        <f>SUM(AN39/100)+1</f>
        <v>1.9624952772411259</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4" t="s">
        <v>94</v>
      </c>
      <c r="D42" s="105"/>
      <c r="E42" s="105"/>
      <c r="F42" s="105"/>
      <c r="G42" s="105"/>
      <c r="H42" s="106"/>
      <c r="J42" s="104" t="s">
        <v>95</v>
      </c>
      <c r="K42" s="105"/>
      <c r="L42" s="105"/>
      <c r="M42" s="105"/>
      <c r="N42" s="105"/>
      <c r="O42" s="106"/>
      <c r="Q42" s="104" t="s">
        <v>96</v>
      </c>
      <c r="R42" s="105"/>
      <c r="S42" s="105"/>
      <c r="T42" s="105"/>
      <c r="U42" s="105"/>
      <c r="V42" s="106"/>
      <c r="X42" s="104" t="s">
        <v>97</v>
      </c>
      <c r="Y42" s="105"/>
      <c r="Z42" s="105"/>
      <c r="AA42" s="105"/>
      <c r="AB42" s="105"/>
      <c r="AC42" s="106"/>
      <c r="AE42" s="104" t="s">
        <v>98</v>
      </c>
      <c r="AF42" s="105"/>
      <c r="AG42" s="105"/>
      <c r="AH42" s="105"/>
      <c r="AI42" s="105"/>
      <c r="AJ42" s="106"/>
      <c r="AL42" s="104" t="s">
        <v>104</v>
      </c>
      <c r="AM42" s="105"/>
      <c r="AN42" s="105"/>
      <c r="AO42" s="105"/>
      <c r="AP42" s="105"/>
      <c r="AQ42" s="106"/>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7" t="s">
        <v>17</v>
      </c>
      <c r="D43" s="80" t="s">
        <v>51</v>
      </c>
      <c r="E43" s="80" t="s">
        <v>53</v>
      </c>
      <c r="F43" s="80" t="s">
        <v>55</v>
      </c>
      <c r="G43" s="81" t="s">
        <v>57</v>
      </c>
      <c r="H43" s="79" t="s">
        <v>59</v>
      </c>
      <c r="I43" s="6"/>
      <c r="J43" s="114" t="s">
        <v>18</v>
      </c>
      <c r="K43" s="80" t="s">
        <v>51</v>
      </c>
      <c r="L43" s="80" t="s">
        <v>53</v>
      </c>
      <c r="M43" s="80" t="s">
        <v>55</v>
      </c>
      <c r="N43" s="80" t="s">
        <v>57</v>
      </c>
      <c r="O43" s="82" t="s">
        <v>59</v>
      </c>
      <c r="P43" s="39"/>
      <c r="Q43" s="114" t="s">
        <v>26</v>
      </c>
      <c r="R43" s="80" t="s">
        <v>51</v>
      </c>
      <c r="S43" s="80" t="s">
        <v>53</v>
      </c>
      <c r="T43" s="80" t="s">
        <v>55</v>
      </c>
      <c r="U43" s="80" t="s">
        <v>57</v>
      </c>
      <c r="V43" s="82" t="s">
        <v>59</v>
      </c>
      <c r="W43" s="83"/>
      <c r="X43" s="114" t="s">
        <v>19</v>
      </c>
      <c r="Y43" s="80" t="s">
        <v>51</v>
      </c>
      <c r="Z43" s="80" t="s">
        <v>53</v>
      </c>
      <c r="AA43" s="80" t="s">
        <v>55</v>
      </c>
      <c r="AB43" s="80" t="s">
        <v>57</v>
      </c>
      <c r="AC43" s="82" t="s">
        <v>59</v>
      </c>
      <c r="AD43" s="83"/>
      <c r="AE43" s="113" t="s">
        <v>20</v>
      </c>
      <c r="AF43" s="80" t="s">
        <v>51</v>
      </c>
      <c r="AG43" s="80" t="s">
        <v>53</v>
      </c>
      <c r="AH43" s="80" t="s">
        <v>55</v>
      </c>
      <c r="AI43" s="80" t="s">
        <v>57</v>
      </c>
      <c r="AJ43" s="82" t="s">
        <v>59</v>
      </c>
      <c r="AK43" s="83"/>
      <c r="AL43" s="113" t="s">
        <v>21</v>
      </c>
      <c r="AM43" s="80" t="s">
        <v>51</v>
      </c>
      <c r="AN43" s="80" t="s">
        <v>53</v>
      </c>
      <c r="AO43" s="80" t="s">
        <v>55</v>
      </c>
      <c r="AP43" s="80" t="s">
        <v>57</v>
      </c>
      <c r="AQ43" s="82" t="s">
        <v>59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7"/>
      <c r="D44" s="46" t="s">
        <v>35</v>
      </c>
      <c r="E44" s="46">
        <f>AVERAGE(H7:H8)</f>
        <v>20.060714514989051</v>
      </c>
      <c r="F44" s="53">
        <f>10^((E44-27.742)/-3.2981)</f>
        <v>213.30606763610839</v>
      </c>
      <c r="G44" s="54">
        <f>SUM(E44*(LOG(E40)/LOG(2)))</f>
        <v>20.205649055776615</v>
      </c>
      <c r="H44" s="53">
        <f t="shared" ref="H44:H53" si="0">10^((G44-27.742)/-3.2981)</f>
        <v>192.77839049371977</v>
      </c>
      <c r="I44" s="6"/>
      <c r="J44" s="114"/>
      <c r="K44" s="46" t="s">
        <v>35</v>
      </c>
      <c r="L44" s="46">
        <f>AVERAGE(W7:W8)</f>
        <v>16.94978418112585</v>
      </c>
      <c r="M44" s="53">
        <f t="shared" ref="M44:M53" si="1">10^((L44-30.609)/-4.1796)</f>
        <v>1853.820644964165</v>
      </c>
      <c r="N44" s="53">
        <f>SUM(L44*(LOG($L$40)/LOG(2)))</f>
        <v>13.471615531045877</v>
      </c>
      <c r="O44" s="53">
        <f t="shared" ref="O44:O53" si="2">10^((N44-30.609)/-4.1796)</f>
        <v>12596.361380044769</v>
      </c>
      <c r="P44" s="6"/>
      <c r="Q44" s="114"/>
      <c r="R44" s="46" t="s">
        <v>35</v>
      </c>
      <c r="S44" s="46">
        <f>AVERAGE(N10:N11)</f>
        <v>23.617420810337052</v>
      </c>
      <c r="T44" s="53">
        <f t="shared" ref="T44:T53" si="3">10^((S44-29.34)/-1.5376)</f>
        <v>5269.3938380705022</v>
      </c>
      <c r="U44" s="53">
        <f>SUM(S44*(LOG($S$40)/LOG(2)))</f>
        <v>51.024566674451172</v>
      </c>
      <c r="V44" s="53">
        <f t="shared" ref="V44:V53" si="4">10^((U44-29.34)/-1.5376)</f>
        <v>7.891036581073999E-15</v>
      </c>
      <c r="W44" s="6"/>
      <c r="X44" s="114"/>
      <c r="Y44" s="46" t="s">
        <v>35</v>
      </c>
      <c r="Z44" s="46">
        <f>AVERAGE(H13:H14)</f>
        <v>18.313207446280948</v>
      </c>
      <c r="AA44" s="53">
        <f t="shared" ref="AA44:AA53" si="5">10^((Z44-25.057)/-3.237)</f>
        <v>121.15643319645994</v>
      </c>
      <c r="AB44" s="53">
        <f>SUM(Z44*(LOG($Z$40)/LOG(2)))</f>
        <v>18.793684993296612</v>
      </c>
      <c r="AC44" s="53">
        <f t="shared" ref="AC44:AC53" si="6">10^((AB44-25.057)/-3.237)</f>
        <v>86.082228643791382</v>
      </c>
      <c r="AD44" s="6"/>
      <c r="AE44" s="114"/>
      <c r="AF44" s="46" t="s">
        <v>35</v>
      </c>
      <c r="AG44" s="46">
        <f>AVERAGE(W13:W14)</f>
        <v>18.126086514692453</v>
      </c>
      <c r="AH44" s="53">
        <f t="shared" ref="AH44:AH53" si="7">10^((AG44-23.988)/-3.272)</f>
        <v>61.878296802606812</v>
      </c>
      <c r="AI44" s="53">
        <f>SUM(AG44*(LOG($AG$40)/LOG(2)))</f>
        <v>18.40267605241926</v>
      </c>
      <c r="AJ44" s="53">
        <f t="shared" ref="AJ44:AJ53" si="8">10^((AI44-23.988)/-3.272)</f>
        <v>50.933802088650005</v>
      </c>
      <c r="AK44" s="6"/>
      <c r="AL44" s="114" t="s">
        <v>21</v>
      </c>
      <c r="AM44" s="46" t="s">
        <v>35</v>
      </c>
      <c r="AN44" s="46">
        <f>AVERAGE(N16:N17)</f>
        <v>19.144650801996349</v>
      </c>
      <c r="AO44" s="53">
        <f t="shared" ref="AO44:AO53" si="9">10^((AN44- 26.725)/-3.4152)</f>
        <v>165.80269673521343</v>
      </c>
      <c r="AP44" s="46">
        <f>SUM(AN44*(LOG($AN$40)/LOG(2)))</f>
        <v>18.621794731189841</v>
      </c>
      <c r="AQ44" s="53">
        <f t="shared" ref="AQ44:AQ53" si="10">10^((AP44- 26.725)/-3.4152)</f>
        <v>235.87849853699808</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7"/>
      <c r="D45" s="47" t="s">
        <v>36</v>
      </c>
      <c r="E45" s="47">
        <f>AVERAGE(I7:I8)</f>
        <v>18.7608550513227</v>
      </c>
      <c r="F45" s="54">
        <f t="shared" ref="F45:F53" si="11">10^((E45-27.742)/-3.2981)</f>
        <v>528.59972921467875</v>
      </c>
      <c r="G45" s="54">
        <f>SUM(E45*(LOG(E40)/LOG(2)))</f>
        <v>18.89639837454849</v>
      </c>
      <c r="H45" s="54">
        <f t="shared" si="0"/>
        <v>480.87205532587484</v>
      </c>
      <c r="I45" s="6"/>
      <c r="J45" s="114"/>
      <c r="K45" s="47" t="s">
        <v>36</v>
      </c>
      <c r="L45" s="47">
        <f>AVERAGE(X7:X8)</f>
        <v>14.9073947839462</v>
      </c>
      <c r="M45" s="54">
        <f t="shared" si="1"/>
        <v>5711.1606857073102</v>
      </c>
      <c r="N45" s="54">
        <f>SUM(L45*(LOG($L$40)/LOG(2)))</f>
        <v>11.848333226712652</v>
      </c>
      <c r="O45" s="54">
        <f t="shared" si="2"/>
        <v>30805.433621989105</v>
      </c>
      <c r="P45" s="6"/>
      <c r="Q45" s="114"/>
      <c r="R45" s="47" t="s">
        <v>36</v>
      </c>
      <c r="S45" s="47">
        <f>AVERAGE(O10:O11)</f>
        <v>22.138688684078652</v>
      </c>
      <c r="T45" s="54">
        <f t="shared" si="3"/>
        <v>48247.531841053882</v>
      </c>
      <c r="U45" s="54">
        <f>SUM(S45*(LOG($S$40)/LOG(2)))</f>
        <v>47.829820449795669</v>
      </c>
      <c r="V45" s="54">
        <f t="shared" si="4"/>
        <v>9.438058000290531E-13</v>
      </c>
      <c r="W45" s="6"/>
      <c r="X45" s="114"/>
      <c r="Y45" s="47" t="s">
        <v>36</v>
      </c>
      <c r="Z45" s="47">
        <f>AVERAGE(I13:I14)</f>
        <v>19.210986091901752</v>
      </c>
      <c r="AA45" s="54">
        <f t="shared" si="5"/>
        <v>63.973115315574766</v>
      </c>
      <c r="AB45" s="54">
        <f>SUM(Z45*(LOG($Z$40)/LOG(2)))</f>
        <v>19.715018359338522</v>
      </c>
      <c r="AC45" s="54">
        <f t="shared" si="6"/>
        <v>44.697971051219881</v>
      </c>
      <c r="AD45" s="6"/>
      <c r="AE45" s="114"/>
      <c r="AF45" s="47" t="s">
        <v>36</v>
      </c>
      <c r="AG45" s="47">
        <f>AVERAGE(X13:X14)</f>
        <v>18.506711062015551</v>
      </c>
      <c r="AH45" s="54">
        <f t="shared" si="7"/>
        <v>47.338070882616435</v>
      </c>
      <c r="AI45" s="54">
        <f>SUM(AG45*(LOG($AG$40)/LOG(2)))</f>
        <v>18.789108624960942</v>
      </c>
      <c r="AJ45" s="54">
        <f t="shared" si="8"/>
        <v>38.80638892803983</v>
      </c>
      <c r="AK45" s="6"/>
      <c r="AL45" s="114"/>
      <c r="AM45" s="47" t="s">
        <v>36</v>
      </c>
      <c r="AN45" s="47">
        <f>AVERAGE(O16:O17)</f>
        <v>19.144555556107751</v>
      </c>
      <c r="AO45" s="54">
        <f t="shared" si="9"/>
        <v>165.81334432520291</v>
      </c>
      <c r="AP45" s="47">
        <f>SUM(AN45*(LOG($AN$40)/LOG(2)))</f>
        <v>18.621702086544357</v>
      </c>
      <c r="AQ45" s="54">
        <f t="shared" si="10"/>
        <v>235.89323257511271</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7"/>
      <c r="D46" s="48" t="s">
        <v>37</v>
      </c>
      <c r="E46" s="48">
        <f>AVERAGE(J7:J8)</f>
        <v>18.614021204027047</v>
      </c>
      <c r="F46" s="55">
        <f t="shared" si="11"/>
        <v>585.66284750942202</v>
      </c>
      <c r="G46" s="55">
        <f>SUM(E46*(LOG(E40)/LOG(2)))</f>
        <v>18.748503682873942</v>
      </c>
      <c r="H46" s="55">
        <f t="shared" si="0"/>
        <v>533.17764422641176</v>
      </c>
      <c r="I46" s="6"/>
      <c r="J46" s="114"/>
      <c r="K46" s="48" t="s">
        <v>37</v>
      </c>
      <c r="L46" s="48">
        <f>AVERAGE(Y7:Y8)</f>
        <v>15.006344323931351</v>
      </c>
      <c r="M46" s="55">
        <f t="shared" si="1"/>
        <v>5408.1655220618995</v>
      </c>
      <c r="N46" s="55">
        <f>SUM(L46*(LOG($L$40)/LOG(2)))</f>
        <v>11.926977895306024</v>
      </c>
      <c r="O46" s="55">
        <f t="shared" si="2"/>
        <v>29499.252533138555</v>
      </c>
      <c r="P46" s="6"/>
      <c r="Q46" s="114"/>
      <c r="R46" s="48" t="s">
        <v>37</v>
      </c>
      <c r="S46" s="48">
        <f>AVERAGE(P10:P11)</f>
        <v>22.072515493698802</v>
      </c>
      <c r="T46" s="55">
        <f t="shared" si="3"/>
        <v>53273.566900368292</v>
      </c>
      <c r="U46" s="55">
        <f>SUM(S46*(LOG($S$40)/LOG(2)))</f>
        <v>47.686855712379462</v>
      </c>
      <c r="V46" s="55">
        <f t="shared" si="4"/>
        <v>1.1691272672182842E-12</v>
      </c>
      <c r="W46" s="6"/>
      <c r="X46" s="114"/>
      <c r="Y46" s="48" t="s">
        <v>37</v>
      </c>
      <c r="Z46" s="48">
        <f>AVERAGE(J13:J14)</f>
        <v>19.37857507920895</v>
      </c>
      <c r="AA46" s="55">
        <f t="shared" si="5"/>
        <v>56.783814884069841</v>
      </c>
      <c r="AB46" s="55">
        <f>SUM(Z46*(LOG($Z$40)/LOG(2)))</f>
        <v>19.887004323295738</v>
      </c>
      <c r="AC46" s="55">
        <f t="shared" si="6"/>
        <v>39.550914216125804</v>
      </c>
      <c r="AD46" s="6"/>
      <c r="AE46" s="114"/>
      <c r="AF46" s="48" t="s">
        <v>37</v>
      </c>
      <c r="AG46" s="48">
        <f>AVERAGE(Y13:Y14)</f>
        <v>18.49742064317515</v>
      </c>
      <c r="AH46" s="55">
        <f t="shared" si="7"/>
        <v>47.648575956726724</v>
      </c>
      <c r="AI46" s="55">
        <f>SUM(AG46*(LOG($AG$40)/LOG(2)))</f>
        <v>18.779676441782705</v>
      </c>
      <c r="AJ46" s="55">
        <f t="shared" si="8"/>
        <v>39.064829085897024</v>
      </c>
      <c r="AK46" s="6"/>
      <c r="AL46" s="114"/>
      <c r="AM46" s="48" t="s">
        <v>37</v>
      </c>
      <c r="AN46" s="48">
        <f>AVERAGE(P16:P17)</f>
        <v>19.184310989990898</v>
      </c>
      <c r="AO46" s="55">
        <f t="shared" si="9"/>
        <v>161.42795498101097</v>
      </c>
      <c r="AP46" s="48">
        <f>SUM(AN46*(LOG($AN$40)/LOG(2)))</f>
        <v>18.660371767014272</v>
      </c>
      <c r="AQ46" s="55">
        <f t="shared" si="10"/>
        <v>229.8225642653683</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7"/>
      <c r="D47" s="49" t="s">
        <v>38</v>
      </c>
      <c r="E47" s="49">
        <f>AVERAGE(K7:K8)</f>
        <v>19.9142236635236</v>
      </c>
      <c r="F47" s="56">
        <f t="shared" si="11"/>
        <v>236.27618491540392</v>
      </c>
      <c r="G47" s="56">
        <f>SUM(E47*(LOG(E40)/LOG(2)))</f>
        <v>20.058099838006669</v>
      </c>
      <c r="H47" s="56">
        <f t="shared" si="0"/>
        <v>213.69580278401534</v>
      </c>
      <c r="I47" s="6"/>
      <c r="J47" s="114"/>
      <c r="K47" s="49" t="s">
        <v>38</v>
      </c>
      <c r="L47" s="49">
        <f>AVERAGE(C10:C11)</f>
        <v>16.961591469228601</v>
      </c>
      <c r="M47" s="56">
        <f t="shared" si="1"/>
        <v>1841.8011251334472</v>
      </c>
      <c r="N47" s="56">
        <f>SUM(L47*(LOG($L$40)/LOG(2)))</f>
        <v>13.480999912822353</v>
      </c>
      <c r="O47" s="56">
        <f t="shared" si="2"/>
        <v>12531.406828314146</v>
      </c>
      <c r="P47" s="6"/>
      <c r="Q47" s="114"/>
      <c r="R47" s="49" t="s">
        <v>38</v>
      </c>
      <c r="S47" s="49">
        <f>AVERAGE(Q10:Q11)</f>
        <v>23.607794900138202</v>
      </c>
      <c r="T47" s="56">
        <f t="shared" si="3"/>
        <v>5345.9021671552664</v>
      </c>
      <c r="U47" s="56">
        <f>SUM(S47*(LOG($S$40)/LOG(2)))</f>
        <v>51.003770250460263</v>
      </c>
      <c r="V47" s="56">
        <f t="shared" si="4"/>
        <v>8.1406541870245582E-15</v>
      </c>
      <c r="W47" s="6"/>
      <c r="X47" s="114"/>
      <c r="Y47" s="49" t="s">
        <v>38</v>
      </c>
      <c r="Z47" s="49">
        <f>AVERAGE(K13:K14)</f>
        <v>18.592337517926403</v>
      </c>
      <c r="AA47" s="56">
        <f t="shared" si="5"/>
        <v>99.33799247547104</v>
      </c>
      <c r="AB47" s="56">
        <f>SUM(Z47*(LOG($Z$40)/LOG(2)))</f>
        <v>19.080138508009913</v>
      </c>
      <c r="AC47" s="56">
        <f t="shared" si="6"/>
        <v>70.213396998254851</v>
      </c>
      <c r="AD47" s="6"/>
      <c r="AE47" s="114"/>
      <c r="AF47" s="49" t="s">
        <v>38</v>
      </c>
      <c r="AG47" s="49">
        <f>AVERAGE(C16:C17)</f>
        <v>18.250088860347802</v>
      </c>
      <c r="AH47" s="56">
        <f t="shared" si="7"/>
        <v>56.707476810176786</v>
      </c>
      <c r="AI47" s="56">
        <f>SUM(AG47*(LOG($AG$40)/LOG(2)))</f>
        <v>18.528570574382719</v>
      </c>
      <c r="AJ47" s="56">
        <f t="shared" si="8"/>
        <v>46.615438680069367</v>
      </c>
      <c r="AK47" s="6"/>
      <c r="AL47" s="114"/>
      <c r="AM47" s="49" t="s">
        <v>38</v>
      </c>
      <c r="AN47" s="49">
        <f>AVERAGE(Q16:Q17)</f>
        <v>19.012051314851298</v>
      </c>
      <c r="AO47" s="56">
        <f t="shared" si="9"/>
        <v>181.30837388757962</v>
      </c>
      <c r="AP47" s="49">
        <f>SUM(AN47*(LOG($AN$40)/LOG(2)))</f>
        <v>18.492816644484872</v>
      </c>
      <c r="AQ47" s="56">
        <f t="shared" si="10"/>
        <v>257.30856944804179</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7"/>
      <c r="D48" s="49" t="s">
        <v>39</v>
      </c>
      <c r="E48" s="49">
        <f>AVERAGE(L7:L8)</f>
        <v>19.226203790092647</v>
      </c>
      <c r="F48" s="56">
        <f t="shared" si="11"/>
        <v>381.9714733944387</v>
      </c>
      <c r="G48" s="56">
        <f>SUM(E48*(LOG(E40)/LOG(2)))</f>
        <v>19.365109162347615</v>
      </c>
      <c r="H48" s="56">
        <f t="shared" si="0"/>
        <v>346.668310397933</v>
      </c>
      <c r="I48" s="6"/>
      <c r="J48" s="114"/>
      <c r="K48" s="49" t="s">
        <v>39</v>
      </c>
      <c r="L48" s="49">
        <f>AVERAGE(D10:D11)</f>
        <v>15.22639129380935</v>
      </c>
      <c r="M48" s="56">
        <f t="shared" si="1"/>
        <v>4790.7347002051765</v>
      </c>
      <c r="N48" s="56">
        <f>SUM(L48*(LOG($L$40)/LOG(2)))</f>
        <v>12.101870280087477</v>
      </c>
      <c r="O48" s="56">
        <f t="shared" si="2"/>
        <v>26789.630530214527</v>
      </c>
      <c r="P48" s="6"/>
      <c r="Q48" s="114"/>
      <c r="R48" s="49" t="s">
        <v>39</v>
      </c>
      <c r="S48" s="49">
        <f>AVERAGE(R10:R11)</f>
        <v>22.475656347727249</v>
      </c>
      <c r="T48" s="56">
        <f t="shared" si="3"/>
        <v>29128.853752942854</v>
      </c>
      <c r="U48" s="56">
        <f>SUM(S48*(LOG($S$40)/LOG(2)))</f>
        <v>48.55782666008627</v>
      </c>
      <c r="V48" s="56">
        <f t="shared" si="4"/>
        <v>3.1725864312866834E-13</v>
      </c>
      <c r="W48" s="6"/>
      <c r="X48" s="114"/>
      <c r="Y48" s="49" t="s">
        <v>39</v>
      </c>
      <c r="Z48" s="49">
        <f>AVERAGE(L13:L14)</f>
        <v>19.35491477694665</v>
      </c>
      <c r="AA48" s="56">
        <f t="shared" si="5"/>
        <v>57.747594274139843</v>
      </c>
      <c r="AB48" s="56">
        <f>SUM(Z48*(LOG($Z$40)/LOG(2)))</f>
        <v>19.862723253534025</v>
      </c>
      <c r="AC48" s="56">
        <f t="shared" si="6"/>
        <v>40.239968254433251</v>
      </c>
      <c r="AD48" s="6"/>
      <c r="AE48" s="114"/>
      <c r="AF48" s="49" t="s">
        <v>39</v>
      </c>
      <c r="AG48" s="49">
        <f>AVERAGE(D16:D17)</f>
        <v>18.242376291359648</v>
      </c>
      <c r="AH48" s="56">
        <f t="shared" si="7"/>
        <v>57.016094547931182</v>
      </c>
      <c r="AI48" s="56">
        <f>SUM(AG48*(LOG($AG$40)/LOG(2)))</f>
        <v>18.52074031777957</v>
      </c>
      <c r="AJ48" s="56">
        <f t="shared" si="8"/>
        <v>46.873014605139595</v>
      </c>
      <c r="AK48" s="6"/>
      <c r="AL48" s="114"/>
      <c r="AM48" s="49" t="s">
        <v>39</v>
      </c>
      <c r="AN48" s="49">
        <f>AVERAGE(R16:R17)</f>
        <v>19.436843774381352</v>
      </c>
      <c r="AO48" s="56">
        <f t="shared" si="9"/>
        <v>136.15543087090714</v>
      </c>
      <c r="AP48" s="49">
        <f>SUM(AN48*(LOG($AN$40)/LOG(2)))</f>
        <v>18.906007674529729</v>
      </c>
      <c r="AQ48" s="56">
        <f t="shared" si="10"/>
        <v>194.74591418772184</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7"/>
      <c r="D49" s="49" t="s">
        <v>40</v>
      </c>
      <c r="E49" s="49">
        <f>AVERAGE(M7:M8)</f>
        <v>19.005828342599301</v>
      </c>
      <c r="F49" s="56">
        <f t="shared" si="11"/>
        <v>445.50218666206518</v>
      </c>
      <c r="G49" s="56">
        <f>SUM(E49*(LOG(E40)/LOG(2)))</f>
        <v>19.143141547523467</v>
      </c>
      <c r="H49" s="56">
        <f t="shared" si="0"/>
        <v>404.77698090561324</v>
      </c>
      <c r="I49" s="6"/>
      <c r="J49" s="114"/>
      <c r="K49" s="49" t="s">
        <v>40</v>
      </c>
      <c r="L49" s="49">
        <f>AVERAGE(E10:E11)</f>
        <v>15.690437376116751</v>
      </c>
      <c r="M49" s="56">
        <f t="shared" si="1"/>
        <v>3710.0151886089743</v>
      </c>
      <c r="N49" s="56">
        <f>SUM(L49*(LOG($L$40)/LOG(2)))</f>
        <v>12.470692109482483</v>
      </c>
      <c r="O49" s="56">
        <f t="shared" si="2"/>
        <v>21863.686543608925</v>
      </c>
      <c r="P49" s="6"/>
      <c r="Q49" s="114"/>
      <c r="R49" s="49" t="s">
        <v>40</v>
      </c>
      <c r="S49" s="49">
        <f>AVERAGE(S10:S11)</f>
        <v>22.354672059492998</v>
      </c>
      <c r="T49" s="56">
        <f t="shared" si="3"/>
        <v>34914.614027696305</v>
      </c>
      <c r="U49" s="56">
        <f>SUM(S49*(LOG($S$40)/LOG(2)))</f>
        <v>48.296444567132767</v>
      </c>
      <c r="V49" s="56">
        <f t="shared" si="4"/>
        <v>4.6925295838683313E-13</v>
      </c>
      <c r="W49" s="6"/>
      <c r="X49" s="114"/>
      <c r="Y49" s="49" t="s">
        <v>40</v>
      </c>
      <c r="Z49" s="49">
        <f>AVERAGE(M13:M14)</f>
        <v>19.59061107331955</v>
      </c>
      <c r="AA49" s="56">
        <f t="shared" si="5"/>
        <v>48.833820938714446</v>
      </c>
      <c r="AB49" s="56">
        <f>SUM(Z49*(LOG($Z$40)/LOG(2)))</f>
        <v>20.104603435425293</v>
      </c>
      <c r="AC49" s="56">
        <f t="shared" si="6"/>
        <v>33.879271547999103</v>
      </c>
      <c r="AD49" s="6"/>
      <c r="AE49" s="114"/>
      <c r="AF49" s="49" t="s">
        <v>40</v>
      </c>
      <c r="AG49" s="49">
        <f>AVERAGE(E16:E17)</f>
        <v>18.35347498467025</v>
      </c>
      <c r="AH49" s="56">
        <f t="shared" si="7"/>
        <v>52.728218413767131</v>
      </c>
      <c r="AI49" s="56">
        <f>SUM(AG49*(LOG($AG$40)/LOG(2)))</f>
        <v>18.633534288016051</v>
      </c>
      <c r="AJ49" s="56">
        <f t="shared" si="8"/>
        <v>43.296261799424229</v>
      </c>
      <c r="AK49" s="6"/>
      <c r="AL49" s="114"/>
      <c r="AM49" s="49" t="s">
        <v>40</v>
      </c>
      <c r="AN49" s="49">
        <f>AVERAGE(S16:S17)</f>
        <v>19.339578990773649</v>
      </c>
      <c r="AO49" s="56">
        <f t="shared" si="9"/>
        <v>145.3834383966784</v>
      </c>
      <c r="AP49" s="49">
        <f>SUM(AN49*(LOG($AN$40)/LOG(2)))</f>
        <v>18.811399271710108</v>
      </c>
      <c r="AQ49" s="56">
        <f t="shared" si="10"/>
        <v>207.57283205949662</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7"/>
      <c r="D50" s="50" t="s">
        <v>41</v>
      </c>
      <c r="E50" s="50">
        <f>AVERAGE(N7:N8)</f>
        <v>20.45871388138535</v>
      </c>
      <c r="F50" s="57">
        <f t="shared" si="11"/>
        <v>161.55777414856371</v>
      </c>
      <c r="G50" s="57">
        <f>SUM(E50*(LOG(E40)/LOG(2)))</f>
        <v>20.606523885823986</v>
      </c>
      <c r="H50" s="57">
        <f t="shared" si="0"/>
        <v>145.71731056499206</v>
      </c>
      <c r="I50" s="6"/>
      <c r="J50" s="114"/>
      <c r="K50" s="50" t="s">
        <v>41</v>
      </c>
      <c r="L50" s="50">
        <f>AVERAGE(F10:F11)</f>
        <v>18.147365523788402</v>
      </c>
      <c r="M50" s="57">
        <f t="shared" si="1"/>
        <v>958.3796460222527</v>
      </c>
      <c r="N50" s="57">
        <f>SUM(L50*(LOG($L$40)/LOG(2)))</f>
        <v>14.423448028917361</v>
      </c>
      <c r="O50" s="57">
        <f t="shared" si="2"/>
        <v>7456.1080885765132</v>
      </c>
      <c r="P50" s="6"/>
      <c r="Q50" s="114"/>
      <c r="R50" s="50" t="s">
        <v>41</v>
      </c>
      <c r="S50" s="50">
        <f>AVERAGE(T10:T11)</f>
        <v>23.981285157712747</v>
      </c>
      <c r="T50" s="57">
        <f t="shared" si="3"/>
        <v>3055.7393908697554</v>
      </c>
      <c r="U50" s="57">
        <f>SUM(S50*(LOG($S$40)/LOG(2)))</f>
        <v>51.810682178012037</v>
      </c>
      <c r="V50" s="57">
        <f t="shared" si="4"/>
        <v>2.4314910369157978E-15</v>
      </c>
      <c r="W50" s="6"/>
      <c r="X50" s="114"/>
      <c r="Y50" s="50" t="s">
        <v>41</v>
      </c>
      <c r="Z50" s="50">
        <f>AVERAGE(N13:N14)</f>
        <v>20.211714268232647</v>
      </c>
      <c r="AA50" s="57">
        <f t="shared" si="5"/>
        <v>31.393846202131261</v>
      </c>
      <c r="AB50" s="57">
        <f>SUM(Z50*(LOG($Z$40)/LOG(2)))</f>
        <v>20.742002308766697</v>
      </c>
      <c r="AC50" s="57">
        <f t="shared" si="6"/>
        <v>21.528991786494398</v>
      </c>
      <c r="AD50" s="6"/>
      <c r="AE50" s="114"/>
      <c r="AF50" s="50" t="s">
        <v>41</v>
      </c>
      <c r="AG50" s="50">
        <f>AVERAGE(F16:F17)</f>
        <v>19.087957127175351</v>
      </c>
      <c r="AH50" s="57">
        <f t="shared" si="7"/>
        <v>31.446195867599258</v>
      </c>
      <c r="AI50" s="57">
        <f>SUM(AG50*(LOG($AG$40)/LOG(2)))</f>
        <v>19.379224038743665</v>
      </c>
      <c r="AJ50" s="57">
        <f t="shared" si="8"/>
        <v>25.618288397605582</v>
      </c>
      <c r="AK50" s="6"/>
      <c r="AL50" s="114"/>
      <c r="AM50" s="50" t="s">
        <v>41</v>
      </c>
      <c r="AN50" s="50">
        <f>AVERAGE(T16:T17)</f>
        <v>20.9306812209885</v>
      </c>
      <c r="AO50" s="57">
        <f t="shared" si="9"/>
        <v>49.730919268992253</v>
      </c>
      <c r="AP50" s="50">
        <f>SUM(AN50*(LOG($AN$40)/LOG(2)))</f>
        <v>20.359047198738878</v>
      </c>
      <c r="AQ50" s="57">
        <f t="shared" si="10"/>
        <v>73.114894309610335</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7"/>
      <c r="D51" s="51" t="s">
        <v>42</v>
      </c>
      <c r="E51" s="51">
        <f>AVERAGE(O7:O8)</f>
        <v>19.747731946626949</v>
      </c>
      <c r="F51" s="58">
        <f t="shared" si="11"/>
        <v>265.40008041129329</v>
      </c>
      <c r="G51" s="58">
        <f>SUM(E51*(LOG(E40)/LOG(2)))</f>
        <v>19.89040525266207</v>
      </c>
      <c r="H51" s="58">
        <f t="shared" si="0"/>
        <v>240.23805777426722</v>
      </c>
      <c r="I51" s="6"/>
      <c r="J51" s="114"/>
      <c r="K51" s="51" t="s">
        <v>42</v>
      </c>
      <c r="L51" s="51">
        <f>AVERAGE(G10:G11)</f>
        <v>16.494756266198202</v>
      </c>
      <c r="M51" s="58">
        <f t="shared" si="1"/>
        <v>2381.9710851659979</v>
      </c>
      <c r="N51" s="58">
        <f>SUM(L51*(LOG($L$40)/LOG(2)))</f>
        <v>13.10996130227849</v>
      </c>
      <c r="O51" s="58">
        <f t="shared" si="2"/>
        <v>15373.527971814461</v>
      </c>
      <c r="P51" s="6"/>
      <c r="Q51" s="114"/>
      <c r="R51" s="51" t="s">
        <v>42</v>
      </c>
      <c r="S51" s="51">
        <f>AVERAGE(U10:U11)</f>
        <v>23.750306886999098</v>
      </c>
      <c r="T51" s="58">
        <f t="shared" si="3"/>
        <v>4318.5336879560782</v>
      </c>
      <c r="U51" s="58">
        <f>SUM(S51*(LOG($S$40)/LOG(2)))</f>
        <v>51.311662142377166</v>
      </c>
      <c r="V51" s="58">
        <f t="shared" si="4"/>
        <v>5.1335458023370114E-15</v>
      </c>
      <c r="W51" s="6"/>
      <c r="X51" s="114"/>
      <c r="Y51" s="51" t="s">
        <v>42</v>
      </c>
      <c r="Z51" s="51">
        <f>AVERAGE(O13:O14)</f>
        <v>19.686201934812502</v>
      </c>
      <c r="AA51" s="58">
        <f t="shared" si="5"/>
        <v>45.623648314252925</v>
      </c>
      <c r="AB51" s="58">
        <f>SUM(Z51*(LOG($Z$40)/LOG(2)))</f>
        <v>20.202702282631943</v>
      </c>
      <c r="AC51" s="58">
        <f t="shared" si="6"/>
        <v>31.595743625206183</v>
      </c>
      <c r="AD51" s="6"/>
      <c r="AE51" s="114"/>
      <c r="AF51" s="51" t="s">
        <v>42</v>
      </c>
      <c r="AG51" s="51">
        <f>AVERAGE(G16:G17)</f>
        <v>18.646111501323553</v>
      </c>
      <c r="AH51" s="58">
        <f t="shared" si="7"/>
        <v>42.914742340948273</v>
      </c>
      <c r="AI51" s="58">
        <f>SUM(AG51*(LOG($AG$40)/LOG(2)))</f>
        <v>18.930636203132366</v>
      </c>
      <c r="AJ51" s="58">
        <f t="shared" si="8"/>
        <v>35.127648804318937</v>
      </c>
      <c r="AK51" s="6"/>
      <c r="AL51" s="114"/>
      <c r="AM51" s="51" t="s">
        <v>42</v>
      </c>
      <c r="AN51" s="51">
        <f>AVERAGE(U16:U17)</f>
        <v>20.0231668217669</v>
      </c>
      <c r="AO51" s="58">
        <f t="shared" si="9"/>
        <v>91.696873099301442</v>
      </c>
      <c r="AP51" s="51">
        <f>SUM(AN51*(LOG($AN$40)/LOG(2)))</f>
        <v>19.476317759968364</v>
      </c>
      <c r="AQ51" s="58">
        <f t="shared" si="10"/>
        <v>132.57958205000946</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8"/>
      <c r="D52" s="52" t="s">
        <v>43</v>
      </c>
      <c r="E52" s="52">
        <f>AVERAGE(P7:P8)</f>
        <v>24.858218319529449</v>
      </c>
      <c r="F52" s="59">
        <f t="shared" si="11"/>
        <v>7.4881867265135078</v>
      </c>
      <c r="G52" s="59">
        <f>SUM(E52*(LOG(E40)/LOG(2)))</f>
        <v>25.037813839631486</v>
      </c>
      <c r="H52" s="59">
        <f t="shared" si="0"/>
        <v>6.6057544830718626</v>
      </c>
      <c r="I52" s="6"/>
      <c r="J52" s="115"/>
      <c r="K52" s="52" t="s">
        <v>43</v>
      </c>
      <c r="L52" s="52">
        <f>AVERAGE(H10:H11)</f>
        <v>22.526680546338149</v>
      </c>
      <c r="M52" s="59">
        <f t="shared" si="1"/>
        <v>85.85276674049183</v>
      </c>
      <c r="N52" s="59">
        <f>SUM(L52*(LOG($L$40)/LOG(2)))</f>
        <v>17.90410876433948</v>
      </c>
      <c r="O52" s="59">
        <f t="shared" si="2"/>
        <v>1095.8182982179619</v>
      </c>
      <c r="P52" s="6"/>
      <c r="Q52" s="115"/>
      <c r="R52" s="52" t="s">
        <v>43</v>
      </c>
      <c r="S52" s="52">
        <f>AVERAGE(V10:V11)</f>
        <v>28.036383645042648</v>
      </c>
      <c r="T52" s="59">
        <f t="shared" si="3"/>
        <v>7.0440983820821508</v>
      </c>
      <c r="U52" s="59">
        <f>SUM(S52*(LOG($S$40)/LOG(2)))</f>
        <v>60.571572912010758</v>
      </c>
      <c r="V52" s="59">
        <f t="shared" si="4"/>
        <v>4.8764406719296461E-21</v>
      </c>
      <c r="W52" s="6"/>
      <c r="X52" s="115"/>
      <c r="Y52" s="52" t="s">
        <v>43</v>
      </c>
      <c r="Z52" s="52">
        <f>AVERAGE(P13:P14)</f>
        <v>22.209561325356901</v>
      </c>
      <c r="AA52" s="59">
        <f t="shared" si="5"/>
        <v>7.5797274765413807</v>
      </c>
      <c r="AB52" s="59">
        <f>SUM(Z52*(LOG($Z$40)/LOG(2)))</f>
        <v>22.792266216196136</v>
      </c>
      <c r="AC52" s="59">
        <f t="shared" si="6"/>
        <v>5.0077163707904813</v>
      </c>
      <c r="AD52" s="6"/>
      <c r="AE52" s="115"/>
      <c r="AF52" s="52" t="s">
        <v>43</v>
      </c>
      <c r="AG52" s="52">
        <f>AVERAGE(H16:H17)</f>
        <v>24.092766736563899</v>
      </c>
      <c r="AH52" s="59">
        <f t="shared" si="7"/>
        <v>0.92892537453566193</v>
      </c>
      <c r="AI52" s="59">
        <f>SUM(AG52*(LOG($AG$40)/LOG(2)))</f>
        <v>24.460403027432562</v>
      </c>
      <c r="AJ52" s="59">
        <f t="shared" si="8"/>
        <v>0.71717071398896426</v>
      </c>
      <c r="AK52" s="6"/>
      <c r="AL52" s="115"/>
      <c r="AM52" s="52" t="s">
        <v>43</v>
      </c>
      <c r="AN52" s="52">
        <f>AVERAGE(V16:V17)</f>
        <v>22.985060816936198</v>
      </c>
      <c r="AO52" s="59">
        <f t="shared" si="9"/>
        <v>12.447623164444396</v>
      </c>
      <c r="AP52" s="52">
        <f>SUM(AN52*(LOG($AN$40)/LOG(2)))</f>
        <v>22.357320007752111</v>
      </c>
      <c r="AQ52" s="59">
        <f t="shared" si="10"/>
        <v>19.006158748565841</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5" t="s">
        <v>34</v>
      </c>
      <c r="D53" s="126"/>
      <c r="E53" s="61">
        <f>AVERAGE(Q7:Q8)</f>
        <v>37.822880229716347</v>
      </c>
      <c r="F53" s="60">
        <f t="shared" si="11"/>
        <v>8.7786546569335955E-4</v>
      </c>
      <c r="G53" s="60">
        <f>SUM(E53*(LOG(E40)/LOG(2)))</f>
        <v>38.096142768458968</v>
      </c>
      <c r="H53" s="60">
        <f t="shared" si="0"/>
        <v>7.2539311738004997E-4</v>
      </c>
      <c r="I53" s="6"/>
      <c r="J53" s="125" t="s">
        <v>34</v>
      </c>
      <c r="K53" s="126"/>
      <c r="L53" s="61">
        <f>AVERAGE(Z7:Z8)</f>
        <v>35.178411896276153</v>
      </c>
      <c r="M53" s="60">
        <f t="shared" si="1"/>
        <v>8.0674195007279709E-2</v>
      </c>
      <c r="N53" s="60">
        <f>SUM(L53*(LOG($L$40)/LOG(2)))</f>
        <v>27.959650399980756</v>
      </c>
      <c r="O53" s="60">
        <f t="shared" si="2"/>
        <v>4.3040405250040292</v>
      </c>
      <c r="P53" s="6"/>
      <c r="Q53" s="125" t="s">
        <v>34</v>
      </c>
      <c r="R53" s="126"/>
      <c r="S53" s="61">
        <f>AVERAGE(W10:W11)</f>
        <v>33.363114994491696</v>
      </c>
      <c r="T53" s="60">
        <f t="shared" si="3"/>
        <v>2.4182991275448957E-3</v>
      </c>
      <c r="U53" s="60">
        <f>SUM(S53*(LOG($S$40)/LOG(2)))</f>
        <v>72.079779548100817</v>
      </c>
      <c r="V53" s="60">
        <f t="shared" si="4"/>
        <v>1.5980019208739097E-28</v>
      </c>
      <c r="W53" s="6"/>
      <c r="X53" s="125" t="s">
        <v>34</v>
      </c>
      <c r="Y53" s="126"/>
      <c r="Z53" s="61" t="e">
        <f>AVERAGE(Q13:Q14)</f>
        <v>#DIV/0!</v>
      </c>
      <c r="AA53" s="60" t="e">
        <f t="shared" si="5"/>
        <v>#DIV/0!</v>
      </c>
      <c r="AB53" s="60" t="e">
        <f>SUM(Z53*(LOG($Z$40)/LOG(2)))</f>
        <v>#DIV/0!</v>
      </c>
      <c r="AC53" s="60" t="e">
        <f t="shared" si="6"/>
        <v>#DIV/0!</v>
      </c>
      <c r="AD53" s="6"/>
      <c r="AE53" s="111" t="s">
        <v>34</v>
      </c>
      <c r="AF53" s="112"/>
      <c r="AG53" s="61">
        <f>AVERAGE(Z13:Z14)</f>
        <v>38.195859937262099</v>
      </c>
      <c r="AH53" s="60">
        <f t="shared" si="7"/>
        <v>4.5472048341920495E-5</v>
      </c>
      <c r="AI53" s="60">
        <f>SUM(AG53*(LOG($AG$40)/LOG(2)))</f>
        <v>38.778698115517614</v>
      </c>
      <c r="AJ53" s="60">
        <f t="shared" si="8"/>
        <v>3.01727914066069E-5</v>
      </c>
      <c r="AK53" s="6"/>
      <c r="AL53" s="111" t="s">
        <v>34</v>
      </c>
      <c r="AM53" s="112"/>
      <c r="AN53" s="61">
        <f>AVERAGE(W16:W17)</f>
        <v>37.531145563637352</v>
      </c>
      <c r="AO53" s="60">
        <f t="shared" si="9"/>
        <v>6.8527900567968655E-4</v>
      </c>
      <c r="AP53" s="61">
        <f>SUM(AN53*(LOG($AN$40)/LOG(2)))</f>
        <v>36.506139283542431</v>
      </c>
      <c r="AQ53" s="60">
        <f t="shared" si="10"/>
        <v>1.3677228468381233E-3</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9" t="s">
        <v>73</v>
      </c>
      <c r="D54" s="110"/>
      <c r="E54" s="84">
        <f>AVERAGE(E44:E52)</f>
        <v>20.071834523788453</v>
      </c>
      <c r="F54" s="84">
        <f>AVERAGE(F44:F52)</f>
        <v>313.97383673538747</v>
      </c>
      <c r="G54" s="84">
        <f>AVERAGE(G44:G52)</f>
        <v>20.216849404354928</v>
      </c>
      <c r="H54" s="84">
        <f>AVERAGE(H44:H52)</f>
        <v>284.94781188398883</v>
      </c>
      <c r="I54" s="6"/>
      <c r="J54" s="109" t="s">
        <v>73</v>
      </c>
      <c r="K54" s="110"/>
      <c r="L54" s="84">
        <f>AVERAGE(L44:L52)</f>
        <v>16.878971751609207</v>
      </c>
      <c r="M54" s="84">
        <f>AVERAGE(M44:M52)</f>
        <v>2971.3223738455235</v>
      </c>
      <c r="N54" s="84">
        <f>AVERAGE(N44:N52)</f>
        <v>13.415334116776911</v>
      </c>
      <c r="O54" s="84">
        <f>AVERAGE(O44:O52)</f>
        <v>17556.80286621322</v>
      </c>
      <c r="P54" s="6"/>
      <c r="Q54" s="109" t="s">
        <v>73</v>
      </c>
      <c r="R54" s="110"/>
      <c r="S54" s="84">
        <f>AVERAGE(S44:S52)</f>
        <v>23.559413776136385</v>
      </c>
      <c r="T54" s="84">
        <f>AVERAGE(T44:T52)</f>
        <v>20395.686633832778</v>
      </c>
      <c r="U54" s="84">
        <f>AVERAGE(U44:U52)</f>
        <v>50.899244616300621</v>
      </c>
      <c r="V54" s="84">
        <f>AVERAGE(V44:V52)</f>
        <v>3.2478237791629231E-13</v>
      </c>
      <c r="W54" s="6"/>
      <c r="X54" s="109" t="s">
        <v>73</v>
      </c>
      <c r="Y54" s="110"/>
      <c r="Z54" s="84">
        <f>AVERAGE(Z44:Z52)</f>
        <v>19.616456612665147</v>
      </c>
      <c r="AA54" s="84">
        <f>AVERAGE(AA44:AA52)</f>
        <v>59.158888119706162</v>
      </c>
      <c r="AB54" s="84">
        <f>AVERAGE(AB44:AB52)</f>
        <v>20.131127075610543</v>
      </c>
      <c r="AC54" s="84">
        <f>AVERAGE(AC44:AC52)</f>
        <v>41.421800277146147</v>
      </c>
      <c r="AD54" s="6"/>
      <c r="AE54" s="109" t="s">
        <v>73</v>
      </c>
      <c r="AF54" s="110"/>
      <c r="AG54" s="84">
        <f>AVERAGE(AG44:AG52)</f>
        <v>19.089221524591515</v>
      </c>
      <c r="AH54" s="84">
        <f>AVERAGE(AH44:AH52)</f>
        <v>44.289621888545369</v>
      </c>
      <c r="AI54" s="84">
        <f>AVERAGE(AI44:AI52)</f>
        <v>19.380507729849981</v>
      </c>
      <c r="AJ54" s="84">
        <f>AVERAGE(AJ44:AJ52)</f>
        <v>36.339204789237066</v>
      </c>
      <c r="AK54" s="6"/>
      <c r="AL54" s="109" t="s">
        <v>73</v>
      </c>
      <c r="AM54" s="110"/>
      <c r="AN54" s="84">
        <f>AVERAGE(AN44:AN52)</f>
        <v>19.911211143088096</v>
      </c>
      <c r="AO54" s="84">
        <f>AVERAGE(AO44:AO52)</f>
        <v>123.30740608103673</v>
      </c>
      <c r="AP54" s="84">
        <f>AVERAGE(AP44:AP52)</f>
        <v>19.36741968243695</v>
      </c>
      <c r="AQ54" s="84">
        <f>AVERAGE(AQ44:AQ52)</f>
        <v>176.2135829089917</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9" t="s">
        <v>74</v>
      </c>
      <c r="D55" s="110"/>
      <c r="E55" s="84">
        <f>(E56/SQRT(9))</f>
        <v>0.59715891307298452</v>
      </c>
      <c r="F55" s="84">
        <f>(F56/SQRT(9))</f>
        <v>58.531095687907623</v>
      </c>
      <c r="G55" s="84">
        <f>(G56/SQRT(9))</f>
        <v>0.60147326353038033</v>
      </c>
      <c r="H55" s="84">
        <f>(H56/SQRT(9))</f>
        <v>53.356853041597269</v>
      </c>
      <c r="I55" s="6"/>
      <c r="J55" s="109" t="s">
        <v>74</v>
      </c>
      <c r="K55" s="110"/>
      <c r="L55" s="84">
        <f>(L56/SQRT(9))</f>
        <v>0.74703020830753541</v>
      </c>
      <c r="M55" s="84">
        <f>(M56/SQRT(9))</f>
        <v>633.92451334196824</v>
      </c>
      <c r="N55" s="84">
        <f>(N56/SQRT(9))</f>
        <v>0.59373639503932674</v>
      </c>
      <c r="O55" s="84">
        <f>(O56/SQRT(9))</f>
        <v>3238.5753553455961</v>
      </c>
      <c r="P55" s="6"/>
      <c r="Q55" s="109" t="s">
        <v>74</v>
      </c>
      <c r="R55" s="110"/>
      <c r="S55" s="84">
        <f>(S56/SQRT(9))</f>
        <v>0.57861733293299744</v>
      </c>
      <c r="T55" s="84">
        <f>(T56/SQRT(9))</f>
        <v>6642.4503332220447</v>
      </c>
      <c r="U55" s="84">
        <f>(U56/SQRT(9))</f>
        <v>1.2500814089873302</v>
      </c>
      <c r="V55" s="84">
        <f>(V56/SQRT(9))</f>
        <v>1.4182617633602356E-13</v>
      </c>
      <c r="W55" s="6"/>
      <c r="X55" s="109" t="s">
        <v>74</v>
      </c>
      <c r="Y55" s="110"/>
      <c r="Z55" s="84">
        <f>(Z56/SQRT(9))</f>
        <v>0.35347887530520472</v>
      </c>
      <c r="AA55" s="84">
        <f>(AA56/SQRT(9))</f>
        <v>10.663183819870037</v>
      </c>
      <c r="AB55" s="84">
        <f>(AB56/SQRT(9))</f>
        <v>0.36275298326399325</v>
      </c>
      <c r="AC55" s="84">
        <f>(AC56/SQRT(9))</f>
        <v>7.6289657612637738</v>
      </c>
      <c r="AD55" s="6"/>
      <c r="AE55" s="109" t="s">
        <v>74</v>
      </c>
      <c r="AF55" s="110"/>
      <c r="AG55" s="84">
        <f>(AG56/SQRT(9))</f>
        <v>0.59640488771664324</v>
      </c>
      <c r="AH55" s="84">
        <f>(AH56/SQRT(9))</f>
        <v>5.8418531701198306</v>
      </c>
      <c r="AI55" s="84">
        <f>(AI56/SQRT(9))</f>
        <v>0.60550554780992072</v>
      </c>
      <c r="AJ55" s="84">
        <f>(AJ56/SQRT(9))</f>
        <v>4.813581990617414</v>
      </c>
      <c r="AK55" s="6"/>
      <c r="AL55" s="109" t="s">
        <v>74</v>
      </c>
      <c r="AM55" s="110"/>
      <c r="AN55" s="84">
        <f>(AN56/SQRT(9))</f>
        <v>0.40922149250338608</v>
      </c>
      <c r="AO55" s="84">
        <f>(AO56/SQRT(9))</f>
        <v>18.52090332164903</v>
      </c>
      <c r="AP55" s="84">
        <f>(AP56/SQRT(9))</f>
        <v>0.39804531886236116</v>
      </c>
      <c r="AQ55" s="84">
        <f>(AQ56/SQRT(9))</f>
        <v>26.092469020854153</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9" t="s">
        <v>75</v>
      </c>
      <c r="D56" s="110"/>
      <c r="E56" s="84">
        <f>_xlfn.STDEV.P(E44:E52)</f>
        <v>1.7914767392189535</v>
      </c>
      <c r="F56" s="84">
        <f>_xlfn.STDEV.P(F44:F52)</f>
        <v>175.59328706372287</v>
      </c>
      <c r="G56" s="84">
        <f>_xlfn.STDEV.P(G44:G52)</f>
        <v>1.804419790591141</v>
      </c>
      <c r="H56" s="84">
        <f>_xlfn.STDEV.P(H44:H52)</f>
        <v>160.0705591247918</v>
      </c>
      <c r="I56" s="6"/>
      <c r="J56" s="109" t="s">
        <v>75</v>
      </c>
      <c r="K56" s="110"/>
      <c r="L56" s="84">
        <f>_xlfn.STDEV.P(L44:L52)</f>
        <v>2.2410906249226064</v>
      </c>
      <c r="M56" s="84">
        <f>_xlfn.STDEV.P(M44:M52)</f>
        <v>1901.7735400259046</v>
      </c>
      <c r="N56" s="84">
        <f>_xlfn.STDEV.P(N44:N52)</f>
        <v>1.7812091851179803</v>
      </c>
      <c r="O56" s="84">
        <f>_xlfn.STDEV.P(O44:O52)</f>
        <v>9715.7260660367883</v>
      </c>
      <c r="P56" s="6"/>
      <c r="Q56" s="109" t="s">
        <v>75</v>
      </c>
      <c r="R56" s="110"/>
      <c r="S56" s="84">
        <f>_xlfn.STDEV.P(S44:S52)</f>
        <v>1.7358519987989924</v>
      </c>
      <c r="T56" s="84">
        <f>_xlfn.STDEV.P(T44:T52)</f>
        <v>19927.350999666134</v>
      </c>
      <c r="U56" s="84">
        <f>_xlfn.STDEV.P(U44:U52)</f>
        <v>3.7502442269619909</v>
      </c>
      <c r="V56" s="84">
        <f>_xlfn.STDEV.P(V44:V52)</f>
        <v>4.2547852900807072E-13</v>
      </c>
      <c r="W56" s="6"/>
      <c r="X56" s="109" t="s">
        <v>75</v>
      </c>
      <c r="Y56" s="110"/>
      <c r="Z56" s="84">
        <f>_xlfn.STDEV.P(Z44:Z52)</f>
        <v>1.0604366259156142</v>
      </c>
      <c r="AA56" s="84">
        <f>_xlfn.STDEV.P(AA44:AA52)</f>
        <v>31.989551459610109</v>
      </c>
      <c r="AB56" s="84">
        <f>_xlfn.STDEV.P(AB44:AB52)</f>
        <v>1.0882589497919797</v>
      </c>
      <c r="AC56" s="84">
        <f>_xlfn.STDEV.P(AC44:AC52)</f>
        <v>22.88689728379132</v>
      </c>
      <c r="AD56" s="6"/>
      <c r="AE56" s="109" t="s">
        <v>75</v>
      </c>
      <c r="AF56" s="110"/>
      <c r="AG56" s="84">
        <f>_xlfn.STDEV.P(AG44:AG52)</f>
        <v>1.7892146631499297</v>
      </c>
      <c r="AH56" s="84">
        <f>_xlfn.STDEV.P(AH44:AH52)</f>
        <v>17.525559510359493</v>
      </c>
      <c r="AI56" s="84">
        <f>_xlfn.STDEV.P(AI44:AI52)</f>
        <v>1.8165166434297622</v>
      </c>
      <c r="AJ56" s="84">
        <f>_xlfn.STDEV.P(AJ44:AJ52)</f>
        <v>14.440745971852243</v>
      </c>
      <c r="AK56" s="6"/>
      <c r="AL56" s="109" t="s">
        <v>75</v>
      </c>
      <c r="AM56" s="110"/>
      <c r="AN56" s="84">
        <f>_xlfn.STDEV.P(AN44:AN52)</f>
        <v>1.2276644775101582</v>
      </c>
      <c r="AO56" s="84">
        <f>_xlfn.STDEV.P(AO44:AO52)</f>
        <v>55.562709964947089</v>
      </c>
      <c r="AP56" s="84">
        <f>_xlfn.STDEV.P(AP44:AP52)</f>
        <v>1.1941359565870835</v>
      </c>
      <c r="AQ56" s="84">
        <f>_xlfn.STDEV.P(AQ44:AQ52)</f>
        <v>78.27740706256246</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9" t="s">
        <v>76</v>
      </c>
      <c r="D57" s="110"/>
      <c r="E57" s="84">
        <f>SUM(E56/E54)</f>
        <v>8.9253263676310021E-2</v>
      </c>
      <c r="F57" s="84">
        <f>SUM(F56/F54)</f>
        <v>0.5592608890265921</v>
      </c>
      <c r="G57" s="84">
        <f>SUM(G56/G54)</f>
        <v>8.9253263676309993E-2</v>
      </c>
      <c r="H57" s="84">
        <f>SUM(H56/H54)</f>
        <v>0.56175395089526614</v>
      </c>
      <c r="I57" s="6"/>
      <c r="J57" s="109" t="s">
        <v>76</v>
      </c>
      <c r="K57" s="110"/>
      <c r="L57" s="84">
        <f>SUM(L56/L54)</f>
        <v>0.13277412024277754</v>
      </c>
      <c r="M57" s="84">
        <f>SUM(M56/M54)</f>
        <v>0.64004281621068426</v>
      </c>
      <c r="N57" s="84">
        <f>SUM(N56/N54)</f>
        <v>0.13277412024277804</v>
      </c>
      <c r="O57" s="84">
        <f>SUM(O56/O54)</f>
        <v>0.55338811628021356</v>
      </c>
      <c r="P57" s="6"/>
      <c r="Q57" s="109" t="s">
        <v>76</v>
      </c>
      <c r="R57" s="110"/>
      <c r="S57" s="84">
        <f>SUM(S56/S54)</f>
        <v>7.3679761953892836E-2</v>
      </c>
      <c r="T57" s="84">
        <f>SUM(T56/T54)</f>
        <v>0.97703751569757114</v>
      </c>
      <c r="U57" s="84">
        <f>SUM(U56/U54)</f>
        <v>7.3679761953892836E-2</v>
      </c>
      <c r="V57" s="84">
        <f>SUM(V56/V54)</f>
        <v>1.310041917107126</v>
      </c>
      <c r="W57" s="6"/>
      <c r="X57" s="109" t="s">
        <v>76</v>
      </c>
      <c r="Y57" s="110"/>
      <c r="Z57" s="84">
        <f>SUM(Z56/Z54)</f>
        <v>5.4058520703018052E-2</v>
      </c>
      <c r="AA57" s="84">
        <f>SUM(AA56/AA54)</f>
        <v>0.54073956553882907</v>
      </c>
      <c r="AB57" s="84">
        <f>SUM(AB56/AB54)</f>
        <v>5.4058520703018045E-2</v>
      </c>
      <c r="AC57" s="84">
        <f>SUM(AC56/AC54)</f>
        <v>0.55253265504297311</v>
      </c>
      <c r="AD57" s="6"/>
      <c r="AE57" s="109" t="s">
        <v>76</v>
      </c>
      <c r="AF57" s="110"/>
      <c r="AG57" s="84">
        <f>SUM(AG56/AG54)</f>
        <v>9.3729053374177168E-2</v>
      </c>
      <c r="AH57" s="84">
        <f>SUM(AH56/AH54)</f>
        <v>0.39570352518390162</v>
      </c>
      <c r="AI57" s="84">
        <f>SUM(AI56/AI54)</f>
        <v>9.3729053374177168E-2</v>
      </c>
      <c r="AJ57" s="84">
        <f>SUM(AJ56/AJ54)</f>
        <v>0.39738750629263353</v>
      </c>
      <c r="AK57" s="6"/>
      <c r="AL57" s="109" t="s">
        <v>76</v>
      </c>
      <c r="AM57" s="110"/>
      <c r="AN57" s="84">
        <f>SUM(AN56/AN54)</f>
        <v>6.1656946364928938E-2</v>
      </c>
      <c r="AO57" s="84">
        <f>SUM(AO56/AO54)</f>
        <v>0.45060318541152083</v>
      </c>
      <c r="AP57" s="84">
        <f>SUM(AP56/AP54)</f>
        <v>6.1656946364928911E-2</v>
      </c>
      <c r="AQ57" s="84">
        <f>SUM(AQ56/AQ54)</f>
        <v>0.44421891757907261</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x14ac:dyDescent="0.25">
      <c r="A59" s="6"/>
      <c r="B59" s="6"/>
      <c r="C59" s="124" t="s">
        <v>48</v>
      </c>
      <c r="D59" s="124"/>
      <c r="E59" s="124"/>
      <c r="F59" s="6"/>
      <c r="G59" s="6"/>
      <c r="H59" s="6"/>
      <c r="I59" s="6"/>
      <c r="J59" s="124" t="s">
        <v>23</v>
      </c>
      <c r="K59" s="124"/>
      <c r="L59" s="124"/>
      <c r="M59" s="6"/>
      <c r="N59" s="6"/>
      <c r="O59" s="6"/>
      <c r="P59" s="6"/>
      <c r="Q59" s="124" t="s">
        <v>27</v>
      </c>
      <c r="R59" s="124"/>
      <c r="S59" s="124"/>
      <c r="T59" s="6"/>
      <c r="U59" s="6"/>
      <c r="V59" s="6"/>
      <c r="W59" s="6"/>
      <c r="X59" s="124" t="s">
        <v>24</v>
      </c>
      <c r="Y59" s="124"/>
      <c r="Z59" s="124"/>
      <c r="AA59" s="6"/>
      <c r="AB59" s="6"/>
      <c r="AC59" s="6"/>
      <c r="AD59" s="6"/>
      <c r="AE59" s="124" t="s">
        <v>25</v>
      </c>
      <c r="AF59" s="124"/>
      <c r="AG59" s="124"/>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row>
    <row r="60" spans="1:88" ht="15" customHeight="1" x14ac:dyDescent="0.25">
      <c r="A60" s="6"/>
      <c r="B60" s="6"/>
      <c r="C60" s="116" t="s">
        <v>47</v>
      </c>
      <c r="D60" s="117"/>
      <c r="E60" s="118"/>
      <c r="F60" s="6"/>
      <c r="G60" s="6"/>
      <c r="H60" s="6"/>
      <c r="I60" s="6"/>
      <c r="J60" s="119" t="s">
        <v>47</v>
      </c>
      <c r="K60" s="120"/>
      <c r="L60" s="121"/>
      <c r="M60" s="6"/>
      <c r="N60" s="6"/>
      <c r="O60" s="6"/>
      <c r="P60" s="6"/>
      <c r="Q60" s="119" t="s">
        <v>47</v>
      </c>
      <c r="R60" s="120"/>
      <c r="S60" s="121"/>
      <c r="T60" s="6"/>
      <c r="U60" s="6"/>
      <c r="V60" s="6"/>
      <c r="W60" s="6"/>
      <c r="X60" s="119" t="s">
        <v>47</v>
      </c>
      <c r="Y60" s="122"/>
      <c r="Z60" s="123"/>
      <c r="AA60" s="6"/>
      <c r="AB60" s="6"/>
      <c r="AC60" s="6"/>
      <c r="AD60" s="6"/>
      <c r="AE60" s="119" t="s">
        <v>47</v>
      </c>
      <c r="AF60" s="120"/>
      <c r="AG60" s="12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row>
    <row r="62" spans="1:88" x14ac:dyDescent="0.25">
      <c r="A62" s="6"/>
      <c r="B62" s="6"/>
      <c r="C62" s="62">
        <v>3.2000000000000001E-2</v>
      </c>
      <c r="D62" s="63">
        <f>LOG(C62)</f>
        <v>-1.494850021680094</v>
      </c>
      <c r="E62" s="64">
        <f>AVERAGE(C19:C20)</f>
        <v>30.628644802647401</v>
      </c>
      <c r="F62" s="6"/>
      <c r="G62" s="6"/>
      <c r="H62" s="6"/>
      <c r="I62" s="6"/>
      <c r="J62" s="62">
        <v>3.2000000000000001E-2</v>
      </c>
      <c r="K62" s="63">
        <f>LOG(J62)</f>
        <v>-1.494850021680094</v>
      </c>
      <c r="L62" s="64">
        <f>AVERAGE(R19:R20)</f>
        <v>33.014561969269096</v>
      </c>
      <c r="M62" s="6"/>
      <c r="N62" s="6"/>
      <c r="O62" s="6"/>
      <c r="P62" s="6"/>
      <c r="Q62" s="62">
        <v>3.2000000000000001E-2</v>
      </c>
      <c r="R62" s="63">
        <f>LOG(Q62)</f>
        <v>-1.494850021680094</v>
      </c>
      <c r="S62" s="64">
        <f>AVERAGE(I22:I23)</f>
        <v>31.028634890992748</v>
      </c>
      <c r="T62" s="6"/>
      <c r="U62" s="6"/>
      <c r="V62" s="6"/>
      <c r="W62" s="6"/>
      <c r="X62" s="62">
        <v>3.2000000000000001E-2</v>
      </c>
      <c r="Y62" s="63">
        <f>LOG(X62)</f>
        <v>-1.494850021680094</v>
      </c>
      <c r="Z62" s="64">
        <f>AVERAGE(C25:C26)</f>
        <v>30.436257135925551</v>
      </c>
      <c r="AA62" s="6"/>
      <c r="AB62" s="6"/>
      <c r="AC62" s="6"/>
      <c r="AD62" s="6"/>
      <c r="AE62" s="62">
        <v>3.2000000000000001E-2</v>
      </c>
      <c r="AF62" s="63">
        <f>LOG(AE62)</f>
        <v>-1.494850021680094</v>
      </c>
      <c r="AG62" s="64">
        <f>AVERAGE(I28:I29)</f>
        <v>33.525357059222998</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row>
    <row r="63" spans="1:88" x14ac:dyDescent="0.25">
      <c r="A63" s="6"/>
      <c r="B63" s="6"/>
      <c r="C63" s="62">
        <v>0.16</v>
      </c>
      <c r="D63" s="63">
        <f>LOG(C63)</f>
        <v>-0.79588001734407521</v>
      </c>
      <c r="E63" s="64">
        <f>AVERAGE(D19:D20)</f>
        <v>30.232141974612802</v>
      </c>
      <c r="F63" s="6"/>
      <c r="G63" s="6"/>
      <c r="H63" s="6"/>
      <c r="I63" s="6"/>
      <c r="J63" s="62">
        <v>0.16</v>
      </c>
      <c r="K63" s="63">
        <f>LOG(J63)</f>
        <v>-0.79588001734407521</v>
      </c>
      <c r="L63" s="64">
        <f>AVERAGE(S19:S20)</f>
        <v>32.248171518306002</v>
      </c>
      <c r="M63" s="6"/>
      <c r="N63" s="6"/>
      <c r="O63" s="6"/>
      <c r="P63" s="6"/>
      <c r="Q63" s="62">
        <v>0.16</v>
      </c>
      <c r="R63" s="63">
        <f>LOG(Q63)</f>
        <v>-0.79588001734407521</v>
      </c>
      <c r="S63" s="64">
        <f>AVERAGE(J22:J23)</f>
        <v>28.677710410007499</v>
      </c>
      <c r="T63" s="6"/>
      <c r="U63" s="6"/>
      <c r="V63" s="6"/>
      <c r="W63" s="6"/>
      <c r="X63" s="62">
        <v>0.16</v>
      </c>
      <c r="Y63" s="63">
        <f>LOG(X63)</f>
        <v>-0.79588001734407521</v>
      </c>
      <c r="Z63" s="64">
        <f>AVERAGE(D25:D26)</f>
        <v>28.274136014150002</v>
      </c>
      <c r="AA63" s="6"/>
      <c r="AB63" s="6"/>
      <c r="AC63" s="6"/>
      <c r="AD63" s="6"/>
      <c r="AE63" s="62">
        <v>0.16</v>
      </c>
      <c r="AF63" s="63">
        <f>LOG(AE63)</f>
        <v>-0.79588001734407521</v>
      </c>
      <c r="AG63" s="64">
        <f>AVERAGE(J28:J29)</f>
        <v>33.60575823725155</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88" x14ac:dyDescent="0.25">
      <c r="A64" s="6"/>
      <c r="B64" s="6"/>
      <c r="C64" s="62">
        <v>0.8</v>
      </c>
      <c r="D64" s="63">
        <f>LOG(C64)</f>
        <v>-9.6910013008056392E-2</v>
      </c>
      <c r="E64" s="64">
        <f>AVERAGE(E19:E20)</f>
        <v>29.2675088084547</v>
      </c>
      <c r="F64" s="6"/>
      <c r="G64" s="6"/>
      <c r="H64" s="6"/>
      <c r="I64" s="6"/>
      <c r="J64" s="62">
        <v>0.8</v>
      </c>
      <c r="K64" s="63">
        <f>LOG(J64)</f>
        <v>-9.6910013008056392E-2</v>
      </c>
      <c r="L64" s="64">
        <f>AVERAGE(T19:T20)</f>
        <v>30.375758260759198</v>
      </c>
      <c r="M64" s="6"/>
      <c r="N64" s="6"/>
      <c r="O64" s="6"/>
      <c r="P64" s="6"/>
      <c r="Q64" s="62">
        <v>0.8</v>
      </c>
      <c r="R64" s="63">
        <f>LOG(Q64)</f>
        <v>-9.6910013008056392E-2</v>
      </c>
      <c r="S64" s="64">
        <f>AVERAGE(K22:K23)</f>
        <v>26.8735111399814</v>
      </c>
      <c r="T64" s="6"/>
      <c r="U64" s="6"/>
      <c r="V64" s="6"/>
      <c r="W64" s="6"/>
      <c r="X64" s="62">
        <v>0.8</v>
      </c>
      <c r="Y64" s="63">
        <f>LOG(X64)</f>
        <v>-9.6910013008056392E-2</v>
      </c>
      <c r="Z64" s="64">
        <f>AVERAGE(E25:E26)</f>
        <v>26.017650719730749</v>
      </c>
      <c r="AA64" s="6"/>
      <c r="AB64" s="6"/>
      <c r="AC64" s="6"/>
      <c r="AD64" s="6"/>
      <c r="AE64" s="62">
        <v>0.8</v>
      </c>
      <c r="AF64" s="63">
        <f>LOG(AE64)</f>
        <v>-9.6910013008056392E-2</v>
      </c>
      <c r="AG64" s="64">
        <f>AVERAGE(K28:K29)</f>
        <v>33.040403095228598</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81" x14ac:dyDescent="0.25">
      <c r="A65" s="6"/>
      <c r="B65" s="6"/>
      <c r="C65" s="62">
        <v>4</v>
      </c>
      <c r="D65" s="63">
        <f>LOG(C65)</f>
        <v>0.6020599913279624</v>
      </c>
      <c r="E65" s="64">
        <f>AVERAGE(F19:F20)</f>
        <v>27.686809265068248</v>
      </c>
      <c r="F65" s="6"/>
      <c r="G65" s="6"/>
      <c r="H65" s="6"/>
      <c r="I65" s="6"/>
      <c r="J65" s="62">
        <v>4</v>
      </c>
      <c r="K65" s="63">
        <f>LOG(J65)</f>
        <v>0.6020599913279624</v>
      </c>
      <c r="L65" s="64">
        <f>AVERAGE(U19:U20)</f>
        <v>28.132143346928849</v>
      </c>
      <c r="M65" s="6"/>
      <c r="N65" s="6"/>
      <c r="O65" s="6"/>
      <c r="P65" s="6"/>
      <c r="Q65" s="62">
        <v>4</v>
      </c>
      <c r="R65" s="63">
        <f>LOG(Q65)</f>
        <v>0.6020599913279624</v>
      </c>
      <c r="S65" s="64">
        <f>AVERAGE(L22:L23)</f>
        <v>24.465103486640302</v>
      </c>
      <c r="T65" s="6"/>
      <c r="U65" s="6"/>
      <c r="V65" s="6"/>
      <c r="W65" s="6"/>
      <c r="X65" s="62">
        <v>4</v>
      </c>
      <c r="Y65" s="63">
        <f>LOG(X65)</f>
        <v>0.6020599913279624</v>
      </c>
      <c r="Z65" s="64">
        <f>AVERAGE(F25:F26)</f>
        <v>23.685149933413499</v>
      </c>
      <c r="AA65" s="6"/>
      <c r="AB65" s="6"/>
      <c r="AC65" s="6"/>
      <c r="AD65" s="6"/>
      <c r="AE65" s="62">
        <v>4</v>
      </c>
      <c r="AF65" s="63">
        <f>LOG(AE65)</f>
        <v>0.6020599913279624</v>
      </c>
      <c r="AG65" s="64">
        <f>AVERAGE(L28:L29)</f>
        <v>32.274445158888</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81" x14ac:dyDescent="0.25">
      <c r="A66" s="6"/>
      <c r="B66" s="6"/>
      <c r="C66" s="65">
        <v>20</v>
      </c>
      <c r="D66" s="66">
        <f>LOG(C66)</f>
        <v>1.3010299956639813</v>
      </c>
      <c r="E66" s="67">
        <f>AVERAGE(G19:G20)</f>
        <v>25.090275720964598</v>
      </c>
      <c r="F66" s="6"/>
      <c r="G66" s="6"/>
      <c r="H66" s="6"/>
      <c r="I66" s="6"/>
      <c r="J66" s="65">
        <v>20</v>
      </c>
      <c r="K66" s="66">
        <f>LOG(J66)</f>
        <v>1.3010299956639813</v>
      </c>
      <c r="L66" s="67">
        <f>AVERAGE(V19:V20)</f>
        <v>26.045103505011802</v>
      </c>
      <c r="M66" s="6"/>
      <c r="N66" s="6"/>
      <c r="O66" s="6"/>
      <c r="P66" s="6"/>
      <c r="Q66" s="65">
        <v>20</v>
      </c>
      <c r="R66" s="66">
        <f>LOG(Q66)</f>
        <v>1.3010299956639813</v>
      </c>
      <c r="S66" s="67">
        <f>AVERAGE(M22:M23)</f>
        <v>22.011993134832402</v>
      </c>
      <c r="T66" s="6"/>
      <c r="U66" s="6"/>
      <c r="V66" s="6"/>
      <c r="W66" s="6"/>
      <c r="X66" s="65">
        <v>20</v>
      </c>
      <c r="Y66" s="66">
        <f>LOG(X66)</f>
        <v>1.3010299956639813</v>
      </c>
      <c r="Z66" s="67">
        <f>AVERAGE(G25:G26)</f>
        <v>21.047771424949097</v>
      </c>
      <c r="AA66" s="6"/>
      <c r="AB66" s="6"/>
      <c r="AC66" s="6"/>
      <c r="AD66" s="6"/>
      <c r="AE66" s="65">
        <v>20</v>
      </c>
      <c r="AF66" s="66">
        <f>LOG(AE66)</f>
        <v>1.3010299956639813</v>
      </c>
      <c r="AG66" s="67">
        <f>AVERAGE(M28:M29)</f>
        <v>31.241304439548749</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81" x14ac:dyDescent="0.25">
      <c r="A67" s="6"/>
      <c r="B67" s="6"/>
      <c r="C67" s="107" t="s">
        <v>46</v>
      </c>
      <c r="D67" s="108"/>
      <c r="E67" s="37">
        <f>(10^(-1/-1.9489)-1)*100</f>
        <v>225.91921037465954</v>
      </c>
      <c r="F67" s="6"/>
      <c r="G67" s="6"/>
      <c r="H67" s="6"/>
      <c r="I67" s="6"/>
      <c r="J67" s="107" t="s">
        <v>46</v>
      </c>
      <c r="K67" s="108"/>
      <c r="L67" s="37">
        <f>(10^(-1/-2.5831)-1)*100</f>
        <v>143.85504275445683</v>
      </c>
      <c r="M67" s="6"/>
      <c r="N67" s="6"/>
      <c r="O67" s="6"/>
      <c r="P67" s="6"/>
      <c r="Q67" s="107" t="s">
        <v>46</v>
      </c>
      <c r="R67" s="108"/>
      <c r="S67" s="37">
        <f>(10^(-1/-3.1827)-1)*100</f>
        <v>106.15726139015851</v>
      </c>
      <c r="T67" s="6"/>
      <c r="U67" s="6"/>
      <c r="V67" s="6"/>
      <c r="W67" s="6"/>
      <c r="X67" s="107" t="s">
        <v>46</v>
      </c>
      <c r="Y67" s="108"/>
      <c r="Z67" s="37">
        <f>(10^(-1/-3.3429)-1)*100</f>
        <v>99.132187239297949</v>
      </c>
      <c r="AA67" s="6"/>
      <c r="AB67" s="6"/>
      <c r="AC67" s="6"/>
      <c r="AD67" s="6"/>
      <c r="AE67" s="158" t="s">
        <v>46</v>
      </c>
      <c r="AF67" s="159"/>
      <c r="AG67" s="37">
        <f>(10^(-1/-0.844)-1)*100</f>
        <v>1430.5027815424048</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81" x14ac:dyDescent="0.25">
      <c r="A68" s="6"/>
      <c r="B68" s="6"/>
      <c r="C68" s="107" t="s">
        <v>50</v>
      </c>
      <c r="D68" s="108"/>
      <c r="E68" s="37">
        <f>SUM(E67/100)+1</f>
        <v>3.2591921037465954</v>
      </c>
      <c r="F68" s="6"/>
      <c r="G68" s="6"/>
      <c r="H68" s="6"/>
      <c r="I68" s="6"/>
      <c r="J68" s="107" t="s">
        <v>50</v>
      </c>
      <c r="K68" s="108"/>
      <c r="L68" s="37">
        <f>SUM(L67/100)+1</f>
        <v>2.4385504275445684</v>
      </c>
      <c r="M68" s="6"/>
      <c r="N68" s="6"/>
      <c r="O68" s="6"/>
      <c r="P68" s="6"/>
      <c r="Q68" s="107" t="s">
        <v>50</v>
      </c>
      <c r="R68" s="108"/>
      <c r="S68" s="37">
        <f>SUM(S67/100)+1</f>
        <v>2.0615726139015851</v>
      </c>
      <c r="T68" s="6"/>
      <c r="U68" s="6"/>
      <c r="V68" s="6"/>
      <c r="W68" s="6"/>
      <c r="X68" s="107" t="s">
        <v>50</v>
      </c>
      <c r="Y68" s="108"/>
      <c r="Z68" s="37">
        <f>SUM(Z67/100)+1</f>
        <v>1.9913218723929795</v>
      </c>
      <c r="AA68" s="6"/>
      <c r="AB68" s="6"/>
      <c r="AC68" s="6"/>
      <c r="AD68" s="6"/>
      <c r="AE68" s="107" t="s">
        <v>50</v>
      </c>
      <c r="AF68" s="108"/>
      <c r="AG68" s="37">
        <f>SUM(AG67/100)+1</f>
        <v>15.305027815424047</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x14ac:dyDescent="0.25">
      <c r="A70" s="6"/>
      <c r="B70" s="6"/>
      <c r="C70" s="104" t="s">
        <v>99</v>
      </c>
      <c r="D70" s="105"/>
      <c r="E70" s="105"/>
      <c r="F70" s="105"/>
      <c r="G70" s="105"/>
      <c r="H70" s="106"/>
      <c r="I70" s="6"/>
      <c r="J70" s="104" t="s">
        <v>100</v>
      </c>
      <c r="K70" s="105"/>
      <c r="L70" s="105"/>
      <c r="M70" s="105"/>
      <c r="N70" s="105"/>
      <c r="O70" s="106"/>
      <c r="P70" s="6"/>
      <c r="Q70" s="104" t="s">
        <v>101</v>
      </c>
      <c r="R70" s="105"/>
      <c r="S70" s="105"/>
      <c r="T70" s="105"/>
      <c r="U70" s="105"/>
      <c r="V70" s="106"/>
      <c r="W70" s="6"/>
      <c r="X70" s="104" t="s">
        <v>102</v>
      </c>
      <c r="Y70" s="105"/>
      <c r="Z70" s="105"/>
      <c r="AA70" s="105"/>
      <c r="AB70" s="105"/>
      <c r="AC70" s="106"/>
      <c r="AD70" s="6"/>
      <c r="AE70" s="104" t="s">
        <v>103</v>
      </c>
      <c r="AF70" s="105"/>
      <c r="AG70" s="105"/>
      <c r="AH70" s="105"/>
      <c r="AI70" s="105"/>
      <c r="AJ70" s="10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13" t="s">
        <v>48</v>
      </c>
      <c r="D71" s="80" t="s">
        <v>51</v>
      </c>
      <c r="E71" s="80" t="s">
        <v>53</v>
      </c>
      <c r="F71" s="80" t="s">
        <v>55</v>
      </c>
      <c r="G71" s="81" t="s">
        <v>57</v>
      </c>
      <c r="H71" s="79" t="s">
        <v>59</v>
      </c>
      <c r="I71" s="6"/>
      <c r="J71" s="113" t="s">
        <v>23</v>
      </c>
      <c r="K71" s="80" t="s">
        <v>51</v>
      </c>
      <c r="L71" s="80" t="s">
        <v>53</v>
      </c>
      <c r="M71" s="80" t="s">
        <v>55</v>
      </c>
      <c r="N71" s="81" t="s">
        <v>57</v>
      </c>
      <c r="O71" s="79" t="s">
        <v>59</v>
      </c>
      <c r="P71" s="6"/>
      <c r="Q71" s="113" t="s">
        <v>27</v>
      </c>
      <c r="R71" s="80" t="s">
        <v>51</v>
      </c>
      <c r="S71" s="80" t="s">
        <v>53</v>
      </c>
      <c r="T71" s="80" t="s">
        <v>55</v>
      </c>
      <c r="U71" s="81" t="s">
        <v>57</v>
      </c>
      <c r="V71" s="79" t="s">
        <v>59</v>
      </c>
      <c r="W71" s="6"/>
      <c r="X71" s="113" t="s">
        <v>24</v>
      </c>
      <c r="Y71" s="80" t="s">
        <v>51</v>
      </c>
      <c r="Z71" s="80" t="s">
        <v>53</v>
      </c>
      <c r="AA71" s="80" t="s">
        <v>55</v>
      </c>
      <c r="AB71" s="81" t="s">
        <v>57</v>
      </c>
      <c r="AC71" s="79" t="s">
        <v>59</v>
      </c>
      <c r="AD71" s="6"/>
      <c r="AE71" s="113" t="s">
        <v>25</v>
      </c>
      <c r="AF71" s="80" t="s">
        <v>51</v>
      </c>
      <c r="AG71" s="80" t="s">
        <v>53</v>
      </c>
      <c r="AH71" s="80" t="s">
        <v>55</v>
      </c>
      <c r="AI71" s="81" t="s">
        <v>57</v>
      </c>
      <c r="AJ71" s="79" t="s">
        <v>59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4"/>
      <c r="D72" s="46" t="s">
        <v>35</v>
      </c>
      <c r="E72" s="46">
        <f>AVERAGE(H19:H20)</f>
        <v>21.821721523948749</v>
      </c>
      <c r="F72" s="53">
        <f t="shared" ref="F72:F81" si="12">10^((E72- 28.392)/-1.9489)</f>
        <v>2351.1228511029467</v>
      </c>
      <c r="G72" s="54">
        <f>SUM(E72*(LOG(E68)/LOG(2)))</f>
        <v>37.195438354565965</v>
      </c>
      <c r="H72" s="53">
        <f t="shared" ref="H72:H81" si="13">10^((G72- 28.392)/-1.9489)</f>
        <v>3.0399616349498865E-5</v>
      </c>
      <c r="I72" s="6"/>
      <c r="J72" s="114"/>
      <c r="K72" s="46" t="s">
        <v>35</v>
      </c>
      <c r="L72" s="46">
        <f>AVERAGE(W19:W20)</f>
        <v>22.8175265025287</v>
      </c>
      <c r="M72" s="53">
        <f t="shared" ref="M72:M81" si="14">10^((L72-29.713)/-2.5831)</f>
        <v>467.15032962202525</v>
      </c>
      <c r="N72" s="54">
        <f>SUM(L72*(LOG($L$68)/LOG(2)))</f>
        <v>29.343882290498655</v>
      </c>
      <c r="O72" s="53">
        <f t="shared" ref="O72:O81" si="15">10^((N72-29.713)/-2.5831)</f>
        <v>1.3896236011391694</v>
      </c>
      <c r="P72" s="6"/>
      <c r="Q72" s="114"/>
      <c r="R72" s="46" t="s">
        <v>35</v>
      </c>
      <c r="S72" s="46">
        <f>AVERAGE(N22:N23)</f>
        <v>19.7670166508174</v>
      </c>
      <c r="T72" s="53">
        <f t="shared" ref="T72:T81" si="16">10^((S72-26.303)/-3.1827)</f>
        <v>113.13501941085487</v>
      </c>
      <c r="U72" s="54">
        <f>SUM(S72*(LOG($S$68)/LOG(2)))</f>
        <v>20.631730280722852</v>
      </c>
      <c r="V72" s="53">
        <f t="shared" ref="V72:V81" si="17">10^((U72-26.303)/-3.1827)</f>
        <v>60.520876948130471</v>
      </c>
      <c r="W72" s="6"/>
      <c r="X72" s="114"/>
      <c r="Y72" s="46" t="s">
        <v>35</v>
      </c>
      <c r="Z72" s="46">
        <f>AVERAGE(H25:H26)</f>
        <v>19.429045943829998</v>
      </c>
      <c r="AA72" s="53">
        <f t="shared" ref="AA72:AA81" si="18">10^((Z72-25.568)/-3.3429)</f>
        <v>68.614468533943651</v>
      </c>
      <c r="AB72" s="54">
        <f>SUM(Z72*(LOG($Z$68)/LOG(2)))</f>
        <v>19.307156534047156</v>
      </c>
      <c r="AC72" s="53">
        <f t="shared" ref="AC72:AC81" si="19">10^((AB72-25.568)/-3.3429)</f>
        <v>74.623889319169706</v>
      </c>
      <c r="AD72" s="6"/>
      <c r="AE72" s="114"/>
      <c r="AF72" s="46" t="s">
        <v>35</v>
      </c>
      <c r="AG72" s="46">
        <f>AVERAGE(N28:N29)</f>
        <v>27.040612308691699</v>
      </c>
      <c r="AH72" s="53">
        <f t="shared" ref="AH72:AH81" si="20">10^((AG72-32.656)/-0.844)</f>
        <v>4500937.1830562251</v>
      </c>
      <c r="AI72" s="54">
        <f>SUM(AG72*(LOG($AG$68)/LOG(2)))</f>
        <v>106.43005892322273</v>
      </c>
      <c r="AJ72" s="53">
        <f t="shared" ref="AJ72:AJ81" si="21">10^((AI72-32.656)/-0.844)</f>
        <v>3.8902506067424522E-88</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4"/>
      <c r="D73" s="47" t="s">
        <v>36</v>
      </c>
      <c r="E73" s="47">
        <f>AVERAGE(I19:I20)</f>
        <v>20.084559918984151</v>
      </c>
      <c r="F73" s="54">
        <f t="shared" si="12"/>
        <v>18307.550602987038</v>
      </c>
      <c r="G73" s="54">
        <f>SUM(E73*(LOG(E68)/LOG(2)))</f>
        <v>34.234421400955462</v>
      </c>
      <c r="H73" s="54">
        <f t="shared" si="13"/>
        <v>1.005067874846517E-3</v>
      </c>
      <c r="I73" s="6"/>
      <c r="J73" s="114"/>
      <c r="K73" s="47" t="s">
        <v>36</v>
      </c>
      <c r="L73" s="47">
        <f>AVERAGE(X19:X20)</f>
        <v>21.602033858309348</v>
      </c>
      <c r="M73" s="54">
        <f t="shared" si="14"/>
        <v>1380.4238148687962</v>
      </c>
      <c r="N73" s="54">
        <f>SUM(L73*(LOG($L$68)/LOG(2)))</f>
        <v>27.780729813257665</v>
      </c>
      <c r="O73" s="54">
        <f t="shared" si="15"/>
        <v>5.5981318290163635</v>
      </c>
      <c r="P73" s="6"/>
      <c r="Q73" s="114"/>
      <c r="R73" s="47" t="s">
        <v>36</v>
      </c>
      <c r="S73" s="47">
        <f>AVERAGE(O22:O23)</f>
        <v>18.254633804518249</v>
      </c>
      <c r="T73" s="54">
        <f t="shared" si="16"/>
        <v>337.8980486068649</v>
      </c>
      <c r="U73" s="54">
        <f>SUM(S73*(LOG($S$68)/LOG(2)))</f>
        <v>19.053187827036716</v>
      </c>
      <c r="V73" s="54">
        <f t="shared" si="17"/>
        <v>189.61867116368728</v>
      </c>
      <c r="W73" s="6"/>
      <c r="X73" s="114"/>
      <c r="Y73" s="47" t="s">
        <v>36</v>
      </c>
      <c r="Z73" s="47">
        <f>AVERAGE(I25:I26)</f>
        <v>18.90830961694455</v>
      </c>
      <c r="AA73" s="54">
        <f t="shared" si="18"/>
        <v>98.217648229085285</v>
      </c>
      <c r="AB73" s="54">
        <f>SUM(Z73*(LOG($Z$68)/LOG(2)))</f>
        <v>18.789687081084391</v>
      </c>
      <c r="AC73" s="54">
        <f t="shared" si="19"/>
        <v>106.57968933612047</v>
      </c>
      <c r="AD73" s="6"/>
      <c r="AE73" s="114"/>
      <c r="AF73" s="47" t="s">
        <v>36</v>
      </c>
      <c r="AG73" s="47">
        <f>AVERAGE(O28:O29)</f>
        <v>21.833385989956653</v>
      </c>
      <c r="AH73" s="54">
        <f t="shared" si="20"/>
        <v>6652768044119.6484</v>
      </c>
      <c r="AI73" s="54">
        <f>SUM(AG73*(LOG($AG$68)/LOG(2)))</f>
        <v>85.934761050423162</v>
      </c>
      <c r="AJ73" s="54">
        <f t="shared" si="21"/>
        <v>7.4731872542450585E-64</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4"/>
      <c r="D74" s="48" t="s">
        <v>37</v>
      </c>
      <c r="E74" s="48">
        <f>AVERAGE(J19:J20)</f>
        <v>20.098610346646801</v>
      </c>
      <c r="F74" s="55">
        <f t="shared" si="12"/>
        <v>18006.148554915686</v>
      </c>
      <c r="G74" s="55">
        <f>SUM(E74*(LOG(E68)/LOG(2)))</f>
        <v>34.258370557093656</v>
      </c>
      <c r="H74" s="55">
        <f t="shared" si="13"/>
        <v>9.7702762023273073E-4</v>
      </c>
      <c r="I74" s="6"/>
      <c r="J74" s="114"/>
      <c r="K74" s="48" t="s">
        <v>37</v>
      </c>
      <c r="L74" s="48">
        <f>AVERAGE(Y19:Y20)</f>
        <v>21.438021661577501</v>
      </c>
      <c r="M74" s="55">
        <f t="shared" si="14"/>
        <v>1597.7424364641402</v>
      </c>
      <c r="N74" s="55">
        <f>SUM(L74*(LOG($L$68)/LOG(2)))</f>
        <v>27.569806223684008</v>
      </c>
      <c r="O74" s="55">
        <f t="shared" si="15"/>
        <v>6.7561352923183913</v>
      </c>
      <c r="P74" s="6"/>
      <c r="Q74" s="114"/>
      <c r="R74" s="48" t="s">
        <v>37</v>
      </c>
      <c r="S74" s="48">
        <f>AVERAGE(P22:P23)</f>
        <v>18.284424906045452</v>
      </c>
      <c r="T74" s="55">
        <f t="shared" si="16"/>
        <v>330.69327275513308</v>
      </c>
      <c r="U74" s="55">
        <f>SUM(S74*(LOG($S$68)/LOG(2)))</f>
        <v>19.084282148569017</v>
      </c>
      <c r="V74" s="55">
        <f t="shared" si="17"/>
        <v>185.40067258447559</v>
      </c>
      <c r="W74" s="6"/>
      <c r="X74" s="114"/>
      <c r="Y74" s="48" t="s">
        <v>37</v>
      </c>
      <c r="Z74" s="48">
        <f>AVERAGE(J25:J26)</f>
        <v>18.804714021595199</v>
      </c>
      <c r="AA74" s="55">
        <f t="shared" si="18"/>
        <v>105.4822218344451</v>
      </c>
      <c r="AB74" s="55">
        <f>SUM(Z74*(LOG($Z$68)/LOG(2)))</f>
        <v>18.686741399581027</v>
      </c>
      <c r="AC74" s="55">
        <f t="shared" si="19"/>
        <v>114.41152434009695</v>
      </c>
      <c r="AD74" s="6"/>
      <c r="AE74" s="114"/>
      <c r="AF74" s="48" t="s">
        <v>37</v>
      </c>
      <c r="AG74" s="48">
        <f>AVERAGE(P28:P29)</f>
        <v>22.002128301533251</v>
      </c>
      <c r="AH74" s="55">
        <f t="shared" si="20"/>
        <v>4198273549680.4771</v>
      </c>
      <c r="AI74" s="55">
        <f>SUM(AG74*(LOG($AG$68)/LOG(2)))</f>
        <v>86.598919611587291</v>
      </c>
      <c r="AJ74" s="55">
        <f t="shared" si="21"/>
        <v>1.2206415188034354E-64</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4"/>
      <c r="D75" s="49" t="s">
        <v>38</v>
      </c>
      <c r="E75" s="49">
        <f>AVERAGE(K19:K20)</f>
        <v>21.997823436740802</v>
      </c>
      <c r="F75" s="56">
        <f t="shared" si="12"/>
        <v>1909.4824765668623</v>
      </c>
      <c r="G75" s="56">
        <f>SUM(E75*(LOG(E68)/LOG(2)))</f>
        <v>37.495606599046098</v>
      </c>
      <c r="H75" s="56">
        <f t="shared" si="13"/>
        <v>2.1323023570657784E-5</v>
      </c>
      <c r="I75" s="6"/>
      <c r="J75" s="114"/>
      <c r="K75" s="49" t="s">
        <v>38</v>
      </c>
      <c r="L75" s="49">
        <f>AVERAGE(C22:C23)</f>
        <v>22.69511968455075</v>
      </c>
      <c r="M75" s="56">
        <f t="shared" si="14"/>
        <v>521.00779880506389</v>
      </c>
      <c r="N75" s="56">
        <f>SUM(L75*(LOG($L$68)/LOG(2)))</f>
        <v>29.186464208486068</v>
      </c>
      <c r="O75" s="56">
        <f t="shared" si="15"/>
        <v>1.5989641168302946</v>
      </c>
      <c r="P75" s="6"/>
      <c r="Q75" s="114"/>
      <c r="R75" s="49" t="s">
        <v>38</v>
      </c>
      <c r="S75" s="49">
        <f>AVERAGE(Q22:Q23)</f>
        <v>19.2664428607875</v>
      </c>
      <c r="T75" s="56">
        <f t="shared" si="16"/>
        <v>162.50871563552144</v>
      </c>
      <c r="U75" s="56">
        <f>SUM(S75*(LOG($S$68)/LOG(2)))</f>
        <v>20.10925875130928</v>
      </c>
      <c r="V75" s="56">
        <f t="shared" si="17"/>
        <v>88.321218980456436</v>
      </c>
      <c r="W75" s="6"/>
      <c r="X75" s="114"/>
      <c r="Y75" s="49" t="s">
        <v>38</v>
      </c>
      <c r="Z75" s="49">
        <f>AVERAGE(K25:K26)</f>
        <v>17.700283029100397</v>
      </c>
      <c r="AA75" s="56">
        <f t="shared" si="18"/>
        <v>225.71497490324907</v>
      </c>
      <c r="AB75" s="56">
        <f>SUM(Z75*(LOG($Z$68)/LOG(2)))</f>
        <v>17.589239128249904</v>
      </c>
      <c r="AC75" s="56">
        <f t="shared" si="19"/>
        <v>243.65661589161778</v>
      </c>
      <c r="AD75" s="6"/>
      <c r="AE75" s="114"/>
      <c r="AF75" s="49" t="s">
        <v>38</v>
      </c>
      <c r="AG75" s="49">
        <f>AVERAGE(Q28:Q29)</f>
        <v>25.81710823808455</v>
      </c>
      <c r="AH75" s="56">
        <f t="shared" si="20"/>
        <v>126751271.47387427</v>
      </c>
      <c r="AI75" s="56">
        <f>SUM(AG75*(LOG($AG$68)/LOG(2)))</f>
        <v>101.61442794412447</v>
      </c>
      <c r="AJ75" s="56">
        <f t="shared" si="21"/>
        <v>1.9756112383712808E-82</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4"/>
      <c r="D76" s="49" t="s">
        <v>39</v>
      </c>
      <c r="E76" s="49">
        <f>AVERAGE(L19:L20)</f>
        <v>20.802788754570997</v>
      </c>
      <c r="F76" s="56">
        <f t="shared" si="12"/>
        <v>7836.0982844934433</v>
      </c>
      <c r="G76" s="56">
        <f>SUM(E76*(LOG(E68)/LOG(2)))</f>
        <v>35.458652786605917</v>
      </c>
      <c r="H76" s="56">
        <f t="shared" si="13"/>
        <v>2.3660835443149492E-4</v>
      </c>
      <c r="I76" s="6"/>
      <c r="J76" s="114"/>
      <c r="K76" s="49" t="s">
        <v>39</v>
      </c>
      <c r="L76" s="49">
        <f>AVERAGE(D22:D23)</f>
        <v>21.6313710491841</v>
      </c>
      <c r="M76" s="56">
        <f t="shared" si="14"/>
        <v>1344.7919021999746</v>
      </c>
      <c r="N76" s="56">
        <f>SUM(L76*(LOG($L$68)/LOG(2)))</f>
        <v>27.818458139142034</v>
      </c>
      <c r="O76" s="56">
        <f t="shared" si="15"/>
        <v>5.412990798792638</v>
      </c>
      <c r="P76" s="6"/>
      <c r="Q76" s="114"/>
      <c r="R76" s="49" t="s">
        <v>39</v>
      </c>
      <c r="S76" s="49">
        <f>AVERAGE(R22:R23)</f>
        <v>18.585572906153601</v>
      </c>
      <c r="T76" s="56">
        <f t="shared" si="16"/>
        <v>265.95310754893762</v>
      </c>
      <c r="U76" s="56">
        <f>SUM(S76*(LOG($S$68)/LOG(2)))</f>
        <v>19.398603951528266</v>
      </c>
      <c r="V76" s="56">
        <f t="shared" si="17"/>
        <v>147.69024925379739</v>
      </c>
      <c r="W76" s="6"/>
      <c r="X76" s="114"/>
      <c r="Y76" s="49" t="s">
        <v>39</v>
      </c>
      <c r="Z76" s="49">
        <f>AVERAGE(L25:L26)</f>
        <v>17.248872272820101</v>
      </c>
      <c r="AA76" s="56">
        <f t="shared" si="18"/>
        <v>308.0321502492215</v>
      </c>
      <c r="AB76" s="56">
        <f>SUM(Z76*(LOG($Z$68)/LOG(2)))</f>
        <v>17.140660327322006</v>
      </c>
      <c r="AC76" s="56">
        <f t="shared" si="19"/>
        <v>331.86903101951839</v>
      </c>
      <c r="AD76" s="6"/>
      <c r="AE76" s="114"/>
      <c r="AF76" s="49" t="s">
        <v>39</v>
      </c>
      <c r="AG76" s="49">
        <f>AVERAGE(R28:R29)</f>
        <v>23.686581385525102</v>
      </c>
      <c r="AH76" s="56">
        <f t="shared" si="20"/>
        <v>42390958832.602486</v>
      </c>
      <c r="AI76" s="56">
        <f>SUM(AG76*(LOG($AG$68)/LOG(2)))</f>
        <v>93.228815374895589</v>
      </c>
      <c r="AJ76" s="56">
        <f t="shared" si="21"/>
        <v>1.7031833550286691E-72</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4"/>
      <c r="D77" s="49" t="s">
        <v>40</v>
      </c>
      <c r="E77" s="49">
        <f>AVERAGE(M19:M20)</f>
        <v>20.730119332661353</v>
      </c>
      <c r="F77" s="56">
        <f t="shared" si="12"/>
        <v>8538.6119853155487</v>
      </c>
      <c r="G77" s="56">
        <f>SUM(E77*(LOG(E68)/LOG(2)))</f>
        <v>35.334786711239879</v>
      </c>
      <c r="H77" s="56">
        <f t="shared" si="13"/>
        <v>2.7389682125747807E-4</v>
      </c>
      <c r="I77" s="6"/>
      <c r="J77" s="114"/>
      <c r="K77" s="49" t="s">
        <v>40</v>
      </c>
      <c r="L77" s="49">
        <f>AVERAGE(E22:E23)</f>
        <v>21.715819370096401</v>
      </c>
      <c r="M77" s="56">
        <f t="shared" si="14"/>
        <v>1247.2756956830733</v>
      </c>
      <c r="N77" s="56">
        <f>SUM(L77*(LOG($L$68)/LOG(2)))</f>
        <v>27.927060690264575</v>
      </c>
      <c r="O77" s="56">
        <f t="shared" si="15"/>
        <v>4.9135320608757258</v>
      </c>
      <c r="P77" s="6"/>
      <c r="Q77" s="114"/>
      <c r="R77" s="49" t="s">
        <v>40</v>
      </c>
      <c r="S77" s="49">
        <f>AVERAGE(S22:S23)</f>
        <v>18.6001517641634</v>
      </c>
      <c r="T77" s="56">
        <f t="shared" si="16"/>
        <v>263.16274750555635</v>
      </c>
      <c r="U77" s="56">
        <f>SUM(S77*(LOG($S$68)/LOG(2)))</f>
        <v>19.413820565728198</v>
      </c>
      <c r="V77" s="56">
        <f t="shared" si="17"/>
        <v>146.07328093431596</v>
      </c>
      <c r="W77" s="6"/>
      <c r="X77" s="114"/>
      <c r="Y77" s="49" t="s">
        <v>40</v>
      </c>
      <c r="Z77" s="49">
        <f>AVERAGE(M25:M26)</f>
        <v>17.300009741672</v>
      </c>
      <c r="AA77" s="56">
        <f t="shared" si="18"/>
        <v>297.37106635103072</v>
      </c>
      <c r="AB77" s="56">
        <f>SUM(Z77*(LOG($Z$68)/LOG(2)))</f>
        <v>17.191476981867627</v>
      </c>
      <c r="AC77" s="56">
        <f t="shared" si="19"/>
        <v>320.45375053708125</v>
      </c>
      <c r="AD77" s="6"/>
      <c r="AE77" s="114"/>
      <c r="AF77" s="49" t="s">
        <v>40</v>
      </c>
      <c r="AG77" s="49">
        <f>AVERAGE(S28:S29)</f>
        <v>23.4839491968972</v>
      </c>
      <c r="AH77" s="56">
        <f t="shared" si="20"/>
        <v>73681553077.497421</v>
      </c>
      <c r="AI77" s="56">
        <f>SUM(AG77*(LOG($AG$68)/LOG(2)))</f>
        <v>92.431268502464846</v>
      </c>
      <c r="AJ77" s="56">
        <f t="shared" si="21"/>
        <v>1.5004521614535247E-71</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4"/>
      <c r="D78" s="50" t="s">
        <v>41</v>
      </c>
      <c r="E78" s="50">
        <f>AVERAGE(N19:N20)</f>
        <v>22.061491415080251</v>
      </c>
      <c r="F78" s="57">
        <f t="shared" si="12"/>
        <v>1771.1159876521901</v>
      </c>
      <c r="G78" s="57">
        <f>SUM(E78*(LOG(E68)/LOG(2)))</f>
        <v>37.604129584314961</v>
      </c>
      <c r="H78" s="57">
        <f t="shared" si="13"/>
        <v>1.8757051136534142E-5</v>
      </c>
      <c r="I78" s="6"/>
      <c r="J78" s="114"/>
      <c r="K78" s="50" t="s">
        <v>41</v>
      </c>
      <c r="L78" s="50">
        <f>AVERAGE(F22:F23)</f>
        <v>23.391296425725351</v>
      </c>
      <c r="M78" s="57">
        <f t="shared" si="14"/>
        <v>280.11225538756787</v>
      </c>
      <c r="N78" s="57">
        <f>SUM(L78*(LOG($L$68)/LOG(2)))</f>
        <v>30.081764071253684</v>
      </c>
      <c r="O78" s="57">
        <f t="shared" si="15"/>
        <v>0.71984621111844704</v>
      </c>
      <c r="P78" s="6"/>
      <c r="Q78" s="114"/>
      <c r="R78" s="50" t="s">
        <v>41</v>
      </c>
      <c r="S78" s="50">
        <f>AVERAGE(T22:T23)</f>
        <v>19.855525382211198</v>
      </c>
      <c r="T78" s="57">
        <f t="shared" si="16"/>
        <v>106.11767666434915</v>
      </c>
      <c r="U78" s="57">
        <f>SUM(S78*(LOG($S$68)/LOG(2)))</f>
        <v>20.724110851137876</v>
      </c>
      <c r="V78" s="57">
        <f t="shared" si="17"/>
        <v>56.608202275374097</v>
      </c>
      <c r="W78" s="6"/>
      <c r="X78" s="114"/>
      <c r="Y78" s="50" t="s">
        <v>41</v>
      </c>
      <c r="Z78" s="50">
        <f>AVERAGE(N25:N26)</f>
        <v>17.847930300753752</v>
      </c>
      <c r="AA78" s="57">
        <f t="shared" si="18"/>
        <v>203.88860385079357</v>
      </c>
      <c r="AB78" s="57">
        <f>SUM(Z78*(LOG($Z$68)/LOG(2)))</f>
        <v>17.735960124941027</v>
      </c>
      <c r="AC78" s="57">
        <f t="shared" si="19"/>
        <v>220.23577872849896</v>
      </c>
      <c r="AD78" s="6"/>
      <c r="AE78" s="114"/>
      <c r="AF78" s="50" t="s">
        <v>41</v>
      </c>
      <c r="AG78" s="50">
        <f>AVERAGE(T28:T29)</f>
        <v>27.561552116544</v>
      </c>
      <c r="AH78" s="57">
        <f t="shared" si="20"/>
        <v>1086614.9885206411</v>
      </c>
      <c r="AI78" s="57">
        <f>SUM(AG78*(LOG($AG$68)/LOG(2)))</f>
        <v>108.48044350076987</v>
      </c>
      <c r="AJ78" s="57">
        <f t="shared" si="21"/>
        <v>1.4474779807996532E-90</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4"/>
      <c r="D79" s="51" t="s">
        <v>42</v>
      </c>
      <c r="E79" s="51">
        <f>AVERAGE(O19:O20)</f>
        <v>21.5624464795482</v>
      </c>
      <c r="F79" s="58">
        <f t="shared" si="12"/>
        <v>3193.8309860810928</v>
      </c>
      <c r="G79" s="58">
        <f>SUM(E79*(LOG(E68)/LOG(2)))</f>
        <v>36.75350031038856</v>
      </c>
      <c r="H79" s="58">
        <f t="shared" si="13"/>
        <v>5.1242571371006289E-5</v>
      </c>
      <c r="I79" s="6"/>
      <c r="J79" s="114"/>
      <c r="K79" s="51" t="s">
        <v>42</v>
      </c>
      <c r="L79" s="51">
        <f>AVERAGE(G22:G23)</f>
        <v>22.596817494980002</v>
      </c>
      <c r="M79" s="58">
        <f t="shared" si="14"/>
        <v>568.72212239766588</v>
      </c>
      <c r="N79" s="58">
        <f>SUM(L79*(LOG($L$68)/LOG(2)))</f>
        <v>29.060045252454938</v>
      </c>
      <c r="O79" s="58">
        <f t="shared" si="15"/>
        <v>1.7896969920134373</v>
      </c>
      <c r="P79" s="6"/>
      <c r="Q79" s="114"/>
      <c r="R79" s="51" t="s">
        <v>42</v>
      </c>
      <c r="S79" s="51">
        <f>AVERAGE(U22:U23)</f>
        <v>19.232525845409803</v>
      </c>
      <c r="T79" s="58">
        <f t="shared" si="16"/>
        <v>166.54566689813234</v>
      </c>
      <c r="U79" s="58">
        <f>SUM(S79*(LOG($S$68)/LOG(2)))</f>
        <v>20.073858026679911</v>
      </c>
      <c r="V79" s="58">
        <f t="shared" si="17"/>
        <v>90.612458492851246</v>
      </c>
      <c r="W79" s="6"/>
      <c r="X79" s="114"/>
      <c r="Y79" s="51" t="s">
        <v>42</v>
      </c>
      <c r="Z79" s="51">
        <f>AVERAGE(O25:O26)</f>
        <v>17.163223664585452</v>
      </c>
      <c r="AA79" s="58">
        <f t="shared" si="18"/>
        <v>326.75112953590735</v>
      </c>
      <c r="AB79" s="58">
        <f>SUM(Z79*(LOG($Z$68)/LOG(2)))</f>
        <v>17.055549041318034</v>
      </c>
      <c r="AC79" s="58">
        <f t="shared" si="19"/>
        <v>351.90630010975138</v>
      </c>
      <c r="AD79" s="6"/>
      <c r="AE79" s="114"/>
      <c r="AF79" s="51" t="s">
        <v>42</v>
      </c>
      <c r="AG79" s="51">
        <f>AVERAGE(U28:U29)</f>
        <v>25.144981795466748</v>
      </c>
      <c r="AH79" s="58">
        <f t="shared" si="20"/>
        <v>793068442.40828478</v>
      </c>
      <c r="AI79" s="58">
        <f>SUM(AG79*(LOG($AG$68)/LOG(2)))</f>
        <v>98.968982786483735</v>
      </c>
      <c r="AJ79" s="58">
        <f t="shared" si="21"/>
        <v>2.6922487369755536E-79</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5"/>
      <c r="D80" s="52" t="s">
        <v>43</v>
      </c>
      <c r="E80" s="52">
        <f>AVERAGE(P19:P20)</f>
        <v>25.813901521025699</v>
      </c>
      <c r="F80" s="59">
        <f t="shared" si="12"/>
        <v>21.03042290269385</v>
      </c>
      <c r="G80" s="59">
        <f>SUM(E80*(LOG(E68)/LOG(2)))</f>
        <v>44.000166607496986</v>
      </c>
      <c r="H80" s="59">
        <f t="shared" si="13"/>
        <v>9.8015388288647281E-9</v>
      </c>
      <c r="I80" s="6"/>
      <c r="J80" s="115"/>
      <c r="K80" s="52" t="s">
        <v>43</v>
      </c>
      <c r="L80" s="52">
        <f>AVERAGE(H22:H23)</f>
        <v>27.953297078903649</v>
      </c>
      <c r="M80" s="59">
        <f t="shared" si="14"/>
        <v>4.799951568486434</v>
      </c>
      <c r="N80" s="59">
        <f>SUM(L80*(LOG($L$68)/LOG(2)))</f>
        <v>35.948605517069751</v>
      </c>
      <c r="O80" s="59">
        <f t="shared" si="15"/>
        <v>3.8547763020559036E-3</v>
      </c>
      <c r="P80" s="6"/>
      <c r="Q80" s="115"/>
      <c r="R80" s="52" t="s">
        <v>43</v>
      </c>
      <c r="S80" s="52">
        <f>AVERAGE(V22:V23)</f>
        <v>25.856824772093351</v>
      </c>
      <c r="T80" s="59">
        <f t="shared" si="16"/>
        <v>1.3809808242934807</v>
      </c>
      <c r="U80" s="59">
        <f>SUM(S80*(LOG($S$68)/LOG(2)))</f>
        <v>26.987938748545709</v>
      </c>
      <c r="V80" s="59">
        <f t="shared" si="17"/>
        <v>0.60924669117379249</v>
      </c>
      <c r="W80" s="6"/>
      <c r="X80" s="115"/>
      <c r="Y80" s="52" t="s">
        <v>43</v>
      </c>
      <c r="Z80" s="52">
        <f>AVERAGE(P25:P26)</f>
        <v>21.311884795815303</v>
      </c>
      <c r="AA80" s="59">
        <f t="shared" si="18"/>
        <v>18.757740919629725</v>
      </c>
      <c r="AB80" s="59">
        <f>SUM(Z80*(LOG($Z$68)/LOG(2)))</f>
        <v>21.178183271477366</v>
      </c>
      <c r="AC80" s="59">
        <f t="shared" si="19"/>
        <v>20.567248853982825</v>
      </c>
      <c r="AD80" s="6"/>
      <c r="AE80" s="115"/>
      <c r="AF80" s="52" t="s">
        <v>43</v>
      </c>
      <c r="AG80" s="52">
        <f>AVERAGE(V28:V29)</f>
        <v>32.646645634626651</v>
      </c>
      <c r="AH80" s="59">
        <f t="shared" si="20"/>
        <v>1.0258488390409908</v>
      </c>
      <c r="AI80" s="59">
        <f>SUM(AG80*(LOG($AG$68)/LOG(2)))</f>
        <v>128.4950347600689</v>
      </c>
      <c r="AJ80" s="59">
        <f t="shared" si="21"/>
        <v>2.7966703593088765E-114</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11" t="s">
        <v>34</v>
      </c>
      <c r="D81" s="112"/>
      <c r="E81" s="61">
        <f>AVERAGE(Q19:Q20)</f>
        <v>30.823014363283349</v>
      </c>
      <c r="F81" s="60">
        <f t="shared" si="12"/>
        <v>5.6574707673996617E-2</v>
      </c>
      <c r="G81" s="60">
        <f>SUM(E81*(LOG(E68)/LOG(2)))</f>
        <v>52.538271528815052</v>
      </c>
      <c r="H81" s="60">
        <f t="shared" si="13"/>
        <v>4.0766891231184786E-13</v>
      </c>
      <c r="I81" s="6"/>
      <c r="J81" s="111" t="s">
        <v>34</v>
      </c>
      <c r="K81" s="112"/>
      <c r="L81" s="61">
        <f>AVERAGE(Z19:Z20)</f>
        <v>38.150515487147452</v>
      </c>
      <c r="M81" s="60">
        <f t="shared" si="14"/>
        <v>5.4146444021666669E-4</v>
      </c>
      <c r="N81" s="60">
        <f>SUM(L81*(LOG($L$68)/LOG(2)))</f>
        <v>49.062471151403571</v>
      </c>
      <c r="O81" s="60">
        <f t="shared" si="15"/>
        <v>3.2300224960042895E-8</v>
      </c>
      <c r="P81" s="6"/>
      <c r="Q81" s="111" t="s">
        <v>34</v>
      </c>
      <c r="R81" s="112"/>
      <c r="S81" s="61">
        <f>AVERAGE(W22:W23)</f>
        <v>34.165863091040549</v>
      </c>
      <c r="T81" s="60">
        <f t="shared" si="16"/>
        <v>3.3845360069247989E-3</v>
      </c>
      <c r="U81" s="60">
        <f>SUM(S81*(LOG($S$68)/LOG(2)))</f>
        <v>35.660458255004492</v>
      </c>
      <c r="V81" s="60">
        <f t="shared" si="17"/>
        <v>1.1478876313197304E-3</v>
      </c>
      <c r="W81" s="6"/>
      <c r="X81" s="111" t="s">
        <v>34</v>
      </c>
      <c r="Y81" s="112"/>
      <c r="Z81" s="61">
        <f>AVERAGE(Q25:Q26)</f>
        <v>34.172942738439801</v>
      </c>
      <c r="AA81" s="60">
        <f t="shared" si="18"/>
        <v>2.666274330911446E-3</v>
      </c>
      <c r="AB81" s="60">
        <f>SUM(Z81*(LOG($Z$68)/LOG(2)))</f>
        <v>33.95855651314735</v>
      </c>
      <c r="AC81" s="60">
        <f t="shared" si="19"/>
        <v>3.0905561679737447E-3</v>
      </c>
      <c r="AD81" s="6"/>
      <c r="AE81" s="111" t="s">
        <v>34</v>
      </c>
      <c r="AF81" s="112"/>
      <c r="AG81" s="61">
        <f>AVERAGE(W28:W29)</f>
        <v>38.1523138855176</v>
      </c>
      <c r="AH81" s="60">
        <f t="shared" si="20"/>
        <v>3.0745372310674941E-7</v>
      </c>
      <c r="AI81" s="60">
        <f>SUM(AG81*(LOG($AG$68)/LOG(2)))</f>
        <v>150.16498030955233</v>
      </c>
      <c r="AJ81" s="60">
        <f t="shared" si="21"/>
        <v>5.9067738580814038E-140</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9" t="s">
        <v>73</v>
      </c>
      <c r="D82" s="110"/>
      <c r="E82" s="84">
        <f>AVERAGE(E72:E80)</f>
        <v>21.663718081022996</v>
      </c>
      <c r="F82" s="84">
        <f>AVERAGE(F72:F80)</f>
        <v>6881.6657946686109</v>
      </c>
      <c r="G82" s="84">
        <f>AVERAGE(G72:G80)</f>
        <v>36.926119212411933</v>
      </c>
      <c r="H82" s="84">
        <f>AVERAGE(H72:H80)</f>
        <v>2.9048141497052738E-4</v>
      </c>
      <c r="I82" s="6"/>
      <c r="J82" s="109" t="s">
        <v>73</v>
      </c>
      <c r="K82" s="110"/>
      <c r="L82" s="84">
        <f>AVERAGE(L72:L80)</f>
        <v>22.871255902872871</v>
      </c>
      <c r="M82" s="84">
        <f>AVERAGE(M72:M80)</f>
        <v>823.55847855519926</v>
      </c>
      <c r="N82" s="84">
        <f>AVERAGE(N72:N80)</f>
        <v>29.41297957845682</v>
      </c>
      <c r="O82" s="84">
        <f>AVERAGE(O72:O80)</f>
        <v>3.1314195198229466</v>
      </c>
      <c r="P82" s="6"/>
      <c r="Q82" s="109" t="s">
        <v>73</v>
      </c>
      <c r="R82" s="110"/>
      <c r="S82" s="84">
        <f>AVERAGE(S72:S80)</f>
        <v>19.744790988022217</v>
      </c>
      <c r="T82" s="84">
        <f>AVERAGE(T72:T80)</f>
        <v>194.1550262055159</v>
      </c>
      <c r="U82" s="84">
        <f>AVERAGE(U72:U80)</f>
        <v>20.608532350139757</v>
      </c>
      <c r="V82" s="84">
        <f>AVERAGE(V72:V80)</f>
        <v>107.27276414714026</v>
      </c>
      <c r="W82" s="6"/>
      <c r="X82" s="109" t="s">
        <v>73</v>
      </c>
      <c r="Y82" s="110"/>
      <c r="Z82" s="84">
        <f>AVERAGE(Z72:Z80)</f>
        <v>18.412697043012972</v>
      </c>
      <c r="AA82" s="84">
        <f>AVERAGE(AA72:AA80)</f>
        <v>183.64777826747843</v>
      </c>
      <c r="AB82" s="84">
        <f>AVERAGE(AB72:AB80)</f>
        <v>18.297183765543171</v>
      </c>
      <c r="AC82" s="84">
        <f>AVERAGE(AC72:AC80)</f>
        <v>198.25598090398196</v>
      </c>
      <c r="AD82" s="6"/>
      <c r="AE82" s="109" t="s">
        <v>73</v>
      </c>
      <c r="AF82" s="110"/>
      <c r="AG82" s="84">
        <f>AVERAGE(AG72:AG80)</f>
        <v>25.468549440813987</v>
      </c>
      <c r="AH82" s="84">
        <f>AVERAGE(AH72:AH80)</f>
        <v>1218671056997.4783</v>
      </c>
      <c r="AI82" s="84">
        <f>AVERAGE(AI72:AI80)</f>
        <v>100.2425236060045</v>
      </c>
      <c r="AJ82" s="84">
        <f>AVERAGE(AJ72:AJ80)</f>
        <v>9.6598099334728288E-65</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9" t="s">
        <v>74</v>
      </c>
      <c r="D83" s="110"/>
      <c r="E83" s="84">
        <f>(E84/SQRT(9))</f>
        <v>0.54529641134117057</v>
      </c>
      <c r="F83" s="84">
        <f>(F84/SQRT(9))</f>
        <v>2194.2572671632061</v>
      </c>
      <c r="G83" s="84">
        <f>(G84/SQRT(9))</f>
        <v>0.9294655800069217</v>
      </c>
      <c r="H83" s="84">
        <f>(H84/SQRT(9))</f>
        <v>1.2865346075152377E-4</v>
      </c>
      <c r="I83" s="6"/>
      <c r="J83" s="109" t="s">
        <v>74</v>
      </c>
      <c r="K83" s="110"/>
      <c r="L83" s="84">
        <f>(L84/SQRT(9))</f>
        <v>0.63580652519945646</v>
      </c>
      <c r="M83" s="84">
        <f>(M84/SQRT(9))</f>
        <v>179.50153681854431</v>
      </c>
      <c r="N83" s="84">
        <f>(N84/SQRT(9))</f>
        <v>0.81766232781262194</v>
      </c>
      <c r="O83" s="84">
        <f>(O84/SQRT(9))</f>
        <v>0.78868984681510368</v>
      </c>
      <c r="P83" s="6"/>
      <c r="Q83" s="109" t="s">
        <v>74</v>
      </c>
      <c r="R83" s="110"/>
      <c r="S83" s="84">
        <f>(S84/SQRT(9))</f>
        <v>0.74426339929547225</v>
      </c>
      <c r="T83" s="84">
        <f>(T84/SQRT(9))</f>
        <v>35.566351490407889</v>
      </c>
      <c r="U83" s="84">
        <f>(U84/SQRT(9))</f>
        <v>0.77682140827473034</v>
      </c>
      <c r="V83" s="84">
        <f>(V84/SQRT(9))</f>
        <v>20.120115011935543</v>
      </c>
      <c r="W83" s="6"/>
      <c r="X83" s="109" t="s">
        <v>74</v>
      </c>
      <c r="Y83" s="110"/>
      <c r="Z83" s="84">
        <f>(Z84/SQRT(9))</f>
        <v>0.42771000760707784</v>
      </c>
      <c r="AA83" s="84">
        <f>(AA84/SQRT(9))</f>
        <v>35.98557933718476</v>
      </c>
      <c r="AB83" s="84">
        <f>(AB84/SQRT(9))</f>
        <v>0.42502674047516803</v>
      </c>
      <c r="AC83" s="84">
        <f>(AC84/SQRT(9))</f>
        <v>38.686793408933163</v>
      </c>
      <c r="AD83" s="6"/>
      <c r="AE83" s="109" t="s">
        <v>74</v>
      </c>
      <c r="AF83" s="110"/>
      <c r="AG83" s="84">
        <f>(AG84/SQRT(9))</f>
        <v>1.0596285931703431</v>
      </c>
      <c r="AH83" s="84">
        <f>(AH84/SQRT(9))</f>
        <v>774003682560.82874</v>
      </c>
      <c r="AI83" s="84">
        <f>(AI84/SQRT(9))</f>
        <v>4.170627954737621</v>
      </c>
      <c r="AJ83" s="84">
        <f>(AJ84/SQRT(9))</f>
        <v>7.7730477632304201E-65</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9" t="s">
        <v>75</v>
      </c>
      <c r="D84" s="110"/>
      <c r="E84" s="84">
        <f>_xlfn.STDEV.P(E72:E80)</f>
        <v>1.6358892340235116</v>
      </c>
      <c r="F84" s="84">
        <f>_xlfn.STDEV.P(F72:F80)</f>
        <v>6582.7718014896182</v>
      </c>
      <c r="G84" s="84">
        <f>_xlfn.STDEV.P(G72:G80)</f>
        <v>2.7883967400207652</v>
      </c>
      <c r="H84" s="84">
        <f>_xlfn.STDEV.P(H72:H80)</f>
        <v>3.8596038225457128E-4</v>
      </c>
      <c r="I84" s="6"/>
      <c r="J84" s="109" t="s">
        <v>75</v>
      </c>
      <c r="K84" s="110"/>
      <c r="L84" s="84">
        <f>_xlfn.STDEV.P(L72:L80)</f>
        <v>1.9074195755983694</v>
      </c>
      <c r="M84" s="84">
        <f>_xlfn.STDEV.P(M72:M80)</f>
        <v>538.50461045563293</v>
      </c>
      <c r="N84" s="84">
        <f>_xlfn.STDEV.P(N72:N80)</f>
        <v>2.4529869834378659</v>
      </c>
      <c r="O84" s="84">
        <f>_xlfn.STDEV.P(O72:O80)</f>
        <v>2.3660695404453111</v>
      </c>
      <c r="P84" s="6"/>
      <c r="Q84" s="109" t="s">
        <v>75</v>
      </c>
      <c r="R84" s="110"/>
      <c r="S84" s="84">
        <f>_xlfn.STDEV.P(S72:S80)</f>
        <v>2.2327901978864166</v>
      </c>
      <c r="T84" s="84">
        <f>_xlfn.STDEV.P(T72:T80)</f>
        <v>106.69905447122366</v>
      </c>
      <c r="U84" s="84">
        <f>_xlfn.STDEV.P(U72:U80)</f>
        <v>2.3304642248241909</v>
      </c>
      <c r="V84" s="84">
        <f>_xlfn.STDEV.P(V72:V80)</f>
        <v>60.360345035806624</v>
      </c>
      <c r="W84" s="6"/>
      <c r="X84" s="109" t="s">
        <v>75</v>
      </c>
      <c r="Y84" s="110"/>
      <c r="Z84" s="84">
        <f>_xlfn.STDEV.P(Z72:Z80)</f>
        <v>1.2831300228212335</v>
      </c>
      <c r="AA84" s="84">
        <f>_xlfn.STDEV.P(AA72:AA80)</f>
        <v>107.95673801155428</v>
      </c>
      <c r="AB84" s="84">
        <f>_xlfn.STDEV.P(AB72:AB80)</f>
        <v>1.2750802214255041</v>
      </c>
      <c r="AC84" s="84">
        <f>_xlfn.STDEV.P(AC72:AC80)</f>
        <v>116.0603802267995</v>
      </c>
      <c r="AD84" s="6"/>
      <c r="AE84" s="109" t="s">
        <v>75</v>
      </c>
      <c r="AF84" s="110"/>
      <c r="AG84" s="84">
        <f>_xlfn.STDEV.P(AG72:AG80)</f>
        <v>3.1788857795110292</v>
      </c>
      <c r="AH84" s="84">
        <f>_xlfn.STDEV.P(AH72:AH80)</f>
        <v>2322011047682.4863</v>
      </c>
      <c r="AI84" s="84">
        <f>_xlfn.STDEV.P(AI72:AI80)</f>
        <v>12.511883864212862</v>
      </c>
      <c r="AJ84" s="84">
        <f>_xlfn.STDEV.P(AJ72:AJ80)</f>
        <v>2.3319143289691259E-64</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9" t="s">
        <v>76</v>
      </c>
      <c r="D85" s="110"/>
      <c r="E85" s="84">
        <f>SUM(E84/E82)</f>
        <v>7.5512856468369541E-2</v>
      </c>
      <c r="F85" s="84">
        <f>SUM(F84/F82)</f>
        <v>0.95656662178937069</v>
      </c>
      <c r="G85" s="84">
        <f>SUM(G84/G82)</f>
        <v>7.5512856468369541E-2</v>
      </c>
      <c r="H85" s="84">
        <f>SUM(H84/H82)</f>
        <v>1.3286921722469967</v>
      </c>
      <c r="I85" s="6"/>
      <c r="J85" s="109" t="s">
        <v>76</v>
      </c>
      <c r="K85" s="110"/>
      <c r="L85" s="84">
        <f>SUM(L84/L82)</f>
        <v>8.3398112622174683E-2</v>
      </c>
      <c r="M85" s="84">
        <f>SUM(M84/M82)</f>
        <v>0.65387537676784357</v>
      </c>
      <c r="N85" s="84">
        <f>SUM(N84/N82)</f>
        <v>8.3398112622174683E-2</v>
      </c>
      <c r="O85" s="84">
        <f>SUM(O84/O82)</f>
        <v>0.75559008477378686</v>
      </c>
      <c r="P85" s="6"/>
      <c r="Q85" s="109" t="s">
        <v>76</v>
      </c>
      <c r="R85" s="110"/>
      <c r="S85" s="84">
        <f>SUM(S84/S82)</f>
        <v>0.11308249346579026</v>
      </c>
      <c r="T85" s="84">
        <f>SUM(T84/T82)</f>
        <v>0.54955597367992515</v>
      </c>
      <c r="U85" s="84">
        <f>SUM(U84/U82)</f>
        <v>0.11308249346578951</v>
      </c>
      <c r="V85" s="84">
        <f>SUM(V84/V82)</f>
        <v>0.56268098911866948</v>
      </c>
      <c r="W85" s="6"/>
      <c r="X85" s="109" t="s">
        <v>76</v>
      </c>
      <c r="Y85" s="110"/>
      <c r="Z85" s="84">
        <f>SUM(Z84/Z82)</f>
        <v>6.9687239181950272E-2</v>
      </c>
      <c r="AA85" s="84">
        <f>SUM(AA84/AA82)</f>
        <v>0.58784668690256614</v>
      </c>
      <c r="AB85" s="84">
        <f>SUM(AB84/AB82)</f>
        <v>6.9687239181950258E-2</v>
      </c>
      <c r="AC85" s="84">
        <f>SUM(AC84/AC82)</f>
        <v>0.58540670348305457</v>
      </c>
      <c r="AD85" s="6"/>
      <c r="AE85" s="109" t="s">
        <v>76</v>
      </c>
      <c r="AF85" s="110"/>
      <c r="AG85" s="84">
        <f>SUM(AG84/AG82)</f>
        <v>0.12481613006262482</v>
      </c>
      <c r="AH85" s="84">
        <f>SUM(AH84/AH82)</f>
        <v>1.9053632515105272</v>
      </c>
      <c r="AI85" s="84">
        <f>SUM(AI84/AI82)</f>
        <v>0.12481613006262549</v>
      </c>
      <c r="AJ85" s="84">
        <f>SUM(AJ84/AJ82)</f>
        <v>2.4140374862746103</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s="6" customFormat="1" x14ac:dyDescent="0.25"/>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row r="119" s="6" customFormat="1" x14ac:dyDescent="0.25"/>
  </sheetData>
  <mergeCells count="149">
    <mergeCell ref="B1:Z4"/>
    <mergeCell ref="J31:L31"/>
    <mergeCell ref="J32:L32"/>
    <mergeCell ref="J39:K39"/>
    <mergeCell ref="J40:K40"/>
    <mergeCell ref="J59:L59"/>
    <mergeCell ref="J60:L60"/>
    <mergeCell ref="J67:K67"/>
    <mergeCell ref="J68:K68"/>
    <mergeCell ref="C85:D85"/>
    <mergeCell ref="J85:K85"/>
    <mergeCell ref="Q85:R85"/>
    <mergeCell ref="X85:Y85"/>
    <mergeCell ref="AE85:AF85"/>
    <mergeCell ref="C84:D84"/>
    <mergeCell ref="J84:K84"/>
    <mergeCell ref="Q84:R84"/>
    <mergeCell ref="X84:Y84"/>
    <mergeCell ref="AE84:AF84"/>
    <mergeCell ref="C83:D83"/>
    <mergeCell ref="J83:K83"/>
    <mergeCell ref="Q83:R83"/>
    <mergeCell ref="X83:Y83"/>
    <mergeCell ref="AE83:AF83"/>
    <mergeCell ref="C82:D82"/>
    <mergeCell ref="J82:K82"/>
    <mergeCell ref="Q82:R82"/>
    <mergeCell ref="X82:Y82"/>
    <mergeCell ref="AE82:AF82"/>
    <mergeCell ref="C81:D81"/>
    <mergeCell ref="J81:K81"/>
    <mergeCell ref="Q81:R81"/>
    <mergeCell ref="X81:Y81"/>
    <mergeCell ref="AE81:AF81"/>
    <mergeCell ref="C71:C80"/>
    <mergeCell ref="J71:J80"/>
    <mergeCell ref="Q71:Q80"/>
    <mergeCell ref="X71:X80"/>
    <mergeCell ref="AE71:AE80"/>
    <mergeCell ref="C70:H70"/>
    <mergeCell ref="J70:O70"/>
    <mergeCell ref="Q70:V70"/>
    <mergeCell ref="X70:AC70"/>
    <mergeCell ref="AE70:AJ70"/>
    <mergeCell ref="C68:D68"/>
    <mergeCell ref="Q68:R68"/>
    <mergeCell ref="X68:Y68"/>
    <mergeCell ref="AE68:AF68"/>
    <mergeCell ref="C67:D67"/>
    <mergeCell ref="Q67:R67"/>
    <mergeCell ref="X67:Y67"/>
    <mergeCell ref="AE67:AF67"/>
    <mergeCell ref="C60:E60"/>
    <mergeCell ref="Q60:S60"/>
    <mergeCell ref="X60:Z60"/>
    <mergeCell ref="AE60:AG60"/>
    <mergeCell ref="C59:E59"/>
    <mergeCell ref="Q59:S59"/>
    <mergeCell ref="X59:Z59"/>
    <mergeCell ref="AE59:AG59"/>
    <mergeCell ref="C57:D57"/>
    <mergeCell ref="J57:K57"/>
    <mergeCell ref="Q57:R57"/>
    <mergeCell ref="X57:Y57"/>
    <mergeCell ref="AE57:AF57"/>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C54:D54"/>
    <mergeCell ref="J54:K54"/>
    <mergeCell ref="Q54:R54"/>
    <mergeCell ref="X54:Y54"/>
    <mergeCell ref="AE54:AF54"/>
    <mergeCell ref="AL54:AM54"/>
    <mergeCell ref="C53:D53"/>
    <mergeCell ref="J53:K53"/>
    <mergeCell ref="Q53:R53"/>
    <mergeCell ref="X53:Y53"/>
    <mergeCell ref="AE53:AF53"/>
    <mergeCell ref="AL53:AM53"/>
    <mergeCell ref="C43:C52"/>
    <mergeCell ref="J43:J52"/>
    <mergeCell ref="Q43:Q52"/>
    <mergeCell ref="X43:X52"/>
    <mergeCell ref="AE43:AE52"/>
    <mergeCell ref="AL43:AL52"/>
    <mergeCell ref="C42:H42"/>
    <mergeCell ref="J42:O42"/>
    <mergeCell ref="Q42:V42"/>
    <mergeCell ref="X42:AC42"/>
    <mergeCell ref="AE42:AJ42"/>
    <mergeCell ref="AL42:AQ42"/>
    <mergeCell ref="C40:D40"/>
    <mergeCell ref="Q40:R40"/>
    <mergeCell ref="X40:Y40"/>
    <mergeCell ref="AE40:AF40"/>
    <mergeCell ref="AL40:AM40"/>
    <mergeCell ref="C39:D39"/>
    <mergeCell ref="Q39:R39"/>
    <mergeCell ref="X39:Y39"/>
    <mergeCell ref="AE39:AF39"/>
    <mergeCell ref="AL39:AM39"/>
    <mergeCell ref="C32:E32"/>
    <mergeCell ref="Q32:S32"/>
    <mergeCell ref="X32:Z32"/>
    <mergeCell ref="AE32:AG32"/>
    <mergeCell ref="AL32:AN32"/>
    <mergeCell ref="C31:E31"/>
    <mergeCell ref="Q31:S31"/>
    <mergeCell ref="X31:Z31"/>
    <mergeCell ref="AE31:AG31"/>
    <mergeCell ref="AL31:AN31"/>
    <mergeCell ref="C24:Q24"/>
    <mergeCell ref="AG26:AK28"/>
    <mergeCell ref="I27:W27"/>
    <mergeCell ref="X27:Z29"/>
    <mergeCell ref="C15:H15"/>
    <mergeCell ref="I15:W15"/>
    <mergeCell ref="X15:Z17"/>
    <mergeCell ref="C18:Q18"/>
    <mergeCell ref="R18:Z18"/>
    <mergeCell ref="C21:H21"/>
    <mergeCell ref="I21:W21"/>
    <mergeCell ref="X21:Z23"/>
    <mergeCell ref="R24:Z26"/>
    <mergeCell ref="C27:H29"/>
    <mergeCell ref="C6:Q6"/>
    <mergeCell ref="R6:Z6"/>
    <mergeCell ref="C9:H9"/>
    <mergeCell ref="I9:W9"/>
    <mergeCell ref="X9:Z11"/>
    <mergeCell ref="C12:Q12"/>
    <mergeCell ref="R12:Z12"/>
    <mergeCell ref="AH5:AL6"/>
    <mergeCell ref="AK7:AL7"/>
    <mergeCell ref="AK8:AL8"/>
    <mergeCell ref="AK9:AL9"/>
    <mergeCell ref="AK10:AL10"/>
    <mergeCell ref="AK11:AL1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C111F4E-CD6B-4D2D-A400-63ACFF2C707E}">
  <dimension ref="A1:CJ118"/>
  <sheetViews>
    <sheetView tabSelected="1" zoomScale="50" zoomScaleNormal="50" workbookViewId="0">
      <selection activeCell="AB63" sqref="AB63"/>
    </sheetView>
  </sheetViews>
  <sheetFormatPr defaultRowHeight="15" x14ac:dyDescent="0.25"/>
  <cols>
    <col min="1" max="2" width="3.28515625" customWidth="1"/>
    <col min="3" max="31" width="8.7109375" customWidth="1"/>
    <col min="32" max="32" width="10.5703125" bestFit="1" customWidth="1"/>
    <col min="33" max="38" width="8.7109375" customWidth="1"/>
    <col min="39" max="39" width="14.28515625" customWidth="1"/>
  </cols>
  <sheetData>
    <row r="1" spans="1:76" s="6" customFormat="1" x14ac:dyDescent="0.25">
      <c r="B1" s="160" t="s">
        <v>116</v>
      </c>
      <c r="C1" s="160"/>
      <c r="D1" s="160"/>
      <c r="E1" s="160"/>
      <c r="F1" s="160"/>
      <c r="G1" s="160"/>
      <c r="H1" s="160"/>
      <c r="I1" s="160"/>
      <c r="J1" s="160"/>
      <c r="K1" s="160"/>
      <c r="L1" s="160"/>
      <c r="M1" s="160"/>
      <c r="N1" s="160"/>
      <c r="O1" s="160"/>
      <c r="P1" s="160"/>
      <c r="Q1" s="160"/>
      <c r="R1" s="160"/>
      <c r="S1" s="160"/>
      <c r="T1" s="160"/>
      <c r="U1" s="160"/>
      <c r="V1" s="160"/>
      <c r="W1" s="160"/>
      <c r="X1" s="160"/>
      <c r="Y1" s="160"/>
      <c r="Z1" s="160"/>
    </row>
    <row r="2" spans="1:76" s="6" customFormat="1" x14ac:dyDescent="0.25">
      <c r="B2" s="160"/>
      <c r="C2" s="160"/>
      <c r="D2" s="160"/>
      <c r="E2" s="160"/>
      <c r="F2" s="160"/>
      <c r="G2" s="160"/>
      <c r="H2" s="160"/>
      <c r="I2" s="160"/>
      <c r="J2" s="160"/>
      <c r="K2" s="160"/>
      <c r="L2" s="160"/>
      <c r="M2" s="160"/>
      <c r="N2" s="160"/>
      <c r="O2" s="160"/>
      <c r="P2" s="160"/>
      <c r="Q2" s="160"/>
      <c r="R2" s="160"/>
      <c r="S2" s="160"/>
      <c r="T2" s="160"/>
      <c r="U2" s="160"/>
      <c r="V2" s="160"/>
      <c r="W2" s="160"/>
      <c r="X2" s="160"/>
      <c r="Y2" s="160"/>
      <c r="Z2" s="160"/>
    </row>
    <row r="3" spans="1:76" s="6" customFormat="1" x14ac:dyDescent="0.25">
      <c r="B3" s="160"/>
      <c r="C3" s="160"/>
      <c r="D3" s="160"/>
      <c r="E3" s="160"/>
      <c r="F3" s="160"/>
      <c r="G3" s="160"/>
      <c r="H3" s="160"/>
      <c r="I3" s="160"/>
      <c r="J3" s="160"/>
      <c r="K3" s="160"/>
      <c r="L3" s="160"/>
      <c r="M3" s="160"/>
      <c r="N3" s="160"/>
      <c r="O3" s="160"/>
      <c r="P3" s="160"/>
      <c r="Q3" s="160"/>
      <c r="R3" s="160"/>
      <c r="S3" s="160"/>
      <c r="T3" s="160"/>
      <c r="U3" s="160"/>
      <c r="V3" s="160"/>
      <c r="W3" s="160"/>
      <c r="X3" s="160"/>
      <c r="Y3" s="160"/>
      <c r="Z3" s="160"/>
    </row>
    <row r="4" spans="1:76" s="6" customFormat="1" ht="15.75" thickBot="1" x14ac:dyDescent="0.3">
      <c r="B4" s="161"/>
      <c r="C4" s="161"/>
      <c r="D4" s="161"/>
      <c r="E4" s="161"/>
      <c r="F4" s="161"/>
      <c r="G4" s="161"/>
      <c r="H4" s="161"/>
      <c r="I4" s="161"/>
      <c r="J4" s="161"/>
      <c r="K4" s="161"/>
      <c r="L4" s="161"/>
      <c r="M4" s="161"/>
      <c r="N4" s="161"/>
      <c r="O4" s="161"/>
      <c r="P4" s="161"/>
      <c r="Q4" s="161"/>
      <c r="R4" s="161"/>
      <c r="S4" s="161"/>
      <c r="T4" s="161"/>
      <c r="U4" s="161"/>
      <c r="V4" s="161"/>
      <c r="W4" s="161"/>
      <c r="X4" s="161"/>
      <c r="Y4" s="161"/>
      <c r="Z4" s="161"/>
    </row>
    <row r="5" spans="1:76" ht="15.75" thickBot="1" x14ac:dyDescent="0.3">
      <c r="A5" s="6"/>
      <c r="B5" s="24"/>
      <c r="C5" s="25">
        <v>1</v>
      </c>
      <c r="D5" s="8">
        <v>2</v>
      </c>
      <c r="E5" s="25">
        <v>3</v>
      </c>
      <c r="F5" s="8">
        <v>4</v>
      </c>
      <c r="G5" s="25">
        <v>5</v>
      </c>
      <c r="H5" s="8">
        <v>6</v>
      </c>
      <c r="I5" s="25">
        <v>7</v>
      </c>
      <c r="J5" s="8">
        <v>8</v>
      </c>
      <c r="K5" s="25">
        <v>9</v>
      </c>
      <c r="L5" s="8">
        <v>10</v>
      </c>
      <c r="M5" s="25">
        <v>11</v>
      </c>
      <c r="N5" s="8">
        <v>12</v>
      </c>
      <c r="O5" s="25">
        <v>13</v>
      </c>
      <c r="P5" s="8">
        <v>14</v>
      </c>
      <c r="Q5" s="25">
        <v>15</v>
      </c>
      <c r="R5" s="8">
        <v>16</v>
      </c>
      <c r="S5" s="25">
        <v>17</v>
      </c>
      <c r="T5" s="8">
        <v>18</v>
      </c>
      <c r="U5" s="25">
        <v>19</v>
      </c>
      <c r="V5" s="8">
        <v>20</v>
      </c>
      <c r="W5" s="25">
        <v>21</v>
      </c>
      <c r="X5" s="8">
        <v>22</v>
      </c>
      <c r="Y5" s="25">
        <v>23</v>
      </c>
      <c r="Z5" s="9">
        <v>24</v>
      </c>
      <c r="AA5" s="6"/>
      <c r="AB5" s="6"/>
      <c r="AC5" s="6"/>
      <c r="AD5" s="6"/>
      <c r="AE5" s="6"/>
      <c r="AF5" s="6"/>
      <c r="AG5" s="6"/>
      <c r="AH5" s="98" t="s">
        <v>77</v>
      </c>
      <c r="AI5" s="99"/>
      <c r="AJ5" s="99"/>
      <c r="AK5" s="99"/>
      <c r="AL5" s="100"/>
      <c r="AM5" s="6"/>
      <c r="AN5" s="6"/>
      <c r="AO5" s="6"/>
      <c r="AP5" s="6"/>
      <c r="AQ5" s="6"/>
      <c r="AR5" s="6"/>
      <c r="AS5" s="6"/>
      <c r="AT5" s="6"/>
      <c r="AU5" s="6"/>
      <c r="AV5" s="6"/>
      <c r="AW5" s="6"/>
      <c r="AX5" s="6"/>
      <c r="AY5" s="6"/>
      <c r="AZ5" s="6"/>
      <c r="BA5" s="6"/>
      <c r="BB5" s="6"/>
      <c r="BC5" s="6"/>
      <c r="BD5" s="6"/>
      <c r="BE5" s="6"/>
      <c r="BF5" s="6"/>
      <c r="BG5" s="6"/>
      <c r="BH5" s="6"/>
      <c r="BI5" s="6"/>
      <c r="BJ5" s="6"/>
      <c r="BK5" s="6"/>
      <c r="BL5" s="6"/>
      <c r="BM5" s="6"/>
      <c r="BN5" s="6"/>
      <c r="BO5" s="6"/>
      <c r="BP5" s="6"/>
      <c r="BQ5" s="6"/>
      <c r="BR5" s="6"/>
      <c r="BS5" s="6"/>
      <c r="BT5" s="6"/>
      <c r="BU5" s="6"/>
      <c r="BV5" s="6"/>
      <c r="BW5" s="6"/>
      <c r="BX5" s="6"/>
    </row>
    <row r="6" spans="1:76" ht="15.75" thickBot="1" x14ac:dyDescent="0.3">
      <c r="A6" s="6"/>
      <c r="B6" s="34" t="s">
        <v>15</v>
      </c>
      <c r="C6" s="132" t="s">
        <v>17</v>
      </c>
      <c r="D6" s="133"/>
      <c r="E6" s="133"/>
      <c r="F6" s="133"/>
      <c r="G6" s="133"/>
      <c r="H6" s="133"/>
      <c r="I6" s="133"/>
      <c r="J6" s="133"/>
      <c r="K6" s="133"/>
      <c r="L6" s="133"/>
      <c r="M6" s="133"/>
      <c r="N6" s="133"/>
      <c r="O6" s="133"/>
      <c r="P6" s="133"/>
      <c r="Q6" s="134"/>
      <c r="R6" s="132" t="s">
        <v>18</v>
      </c>
      <c r="S6" s="133"/>
      <c r="T6" s="133"/>
      <c r="U6" s="133"/>
      <c r="V6" s="133"/>
      <c r="W6" s="133"/>
      <c r="X6" s="133"/>
      <c r="Y6" s="133"/>
      <c r="Z6" s="134"/>
      <c r="AA6" s="6"/>
      <c r="AB6" s="6"/>
      <c r="AC6" s="6"/>
      <c r="AD6" s="6"/>
      <c r="AE6" s="6"/>
      <c r="AF6" s="6"/>
      <c r="AG6" s="6"/>
      <c r="AH6" s="101"/>
      <c r="AI6" s="102"/>
      <c r="AJ6" s="102"/>
      <c r="AK6" s="102"/>
      <c r="AL6" s="103"/>
      <c r="AM6" s="6"/>
      <c r="AN6" s="6"/>
      <c r="AO6" s="6"/>
      <c r="AP6" s="6"/>
      <c r="AQ6" s="6"/>
      <c r="AR6" s="6"/>
      <c r="AS6" s="6"/>
      <c r="AT6" s="6"/>
      <c r="AU6" s="6"/>
      <c r="AV6" s="6"/>
      <c r="AW6" s="6"/>
      <c r="AX6" s="6"/>
      <c r="AY6" s="6"/>
      <c r="AZ6" s="6"/>
      <c r="BA6" s="6"/>
      <c r="BB6" s="6"/>
      <c r="BC6" s="6"/>
      <c r="BD6" s="6"/>
      <c r="BE6" s="6"/>
      <c r="BF6" s="6"/>
      <c r="BG6" s="6"/>
      <c r="BH6" s="6"/>
      <c r="BI6" s="6"/>
      <c r="BJ6" s="6"/>
      <c r="BK6" s="6"/>
      <c r="BL6" s="6"/>
      <c r="BM6" s="6"/>
      <c r="BN6" s="6"/>
      <c r="BO6" s="6"/>
      <c r="BP6" s="6"/>
      <c r="BQ6" s="6"/>
      <c r="BR6" s="6"/>
      <c r="BS6" s="6"/>
      <c r="BT6" s="6"/>
      <c r="BU6" s="6"/>
      <c r="BV6" s="6"/>
      <c r="BW6" s="6"/>
      <c r="BX6" s="6"/>
    </row>
    <row r="7" spans="1:76" x14ac:dyDescent="0.25">
      <c r="A7" s="6"/>
      <c r="B7" s="22" t="s">
        <v>0</v>
      </c>
      <c r="C7" s="26">
        <v>28.6712559232882</v>
      </c>
      <c r="D7" s="27">
        <v>26.410820383447099</v>
      </c>
      <c r="E7" s="27">
        <v>24.047608805095098</v>
      </c>
      <c r="F7" s="27">
        <v>21.611093925520098</v>
      </c>
      <c r="G7" s="27">
        <v>19.4803791157359</v>
      </c>
      <c r="H7" s="28" t="s">
        <v>49</v>
      </c>
      <c r="I7" s="28">
        <v>21.2424923213478</v>
      </c>
      <c r="J7" s="28">
        <v>19.613088215681501</v>
      </c>
      <c r="K7" s="29">
        <v>19.741279913006</v>
      </c>
      <c r="L7" s="29">
        <v>20.402302802968599</v>
      </c>
      <c r="M7" s="29">
        <v>20.669965774381499</v>
      </c>
      <c r="N7" s="30">
        <v>19.918988020612701</v>
      </c>
      <c r="O7" s="30">
        <v>21.341365521212701</v>
      </c>
      <c r="P7" s="30">
        <v>19.918869662137698</v>
      </c>
      <c r="Q7" s="31">
        <v>37.3878442664735</v>
      </c>
      <c r="R7" s="26">
        <v>32.910016924862802</v>
      </c>
      <c r="S7" s="27">
        <v>27.957044427576601</v>
      </c>
      <c r="T7" s="27">
        <v>23.524250124191099</v>
      </c>
      <c r="U7" s="27">
        <v>19.7771381713317</v>
      </c>
      <c r="V7" s="27">
        <v>17.458661627772901</v>
      </c>
      <c r="W7" s="28">
        <v>20.136934745423499</v>
      </c>
      <c r="X7" s="28">
        <v>20.407262214573699</v>
      </c>
      <c r="Y7" s="28">
        <v>17.5324353297225</v>
      </c>
      <c r="Z7" s="31">
        <v>36.618673580424499</v>
      </c>
      <c r="AA7" s="6"/>
      <c r="AB7" s="1"/>
      <c r="AC7" s="6" t="s">
        <v>28</v>
      </c>
      <c r="AD7" s="6"/>
      <c r="AE7" s="6"/>
      <c r="AF7" s="6"/>
      <c r="AG7" s="6"/>
      <c r="AH7" s="85" t="s">
        <v>78</v>
      </c>
      <c r="AI7" s="86"/>
      <c r="AJ7" s="86"/>
      <c r="AK7" s="94">
        <v>45192</v>
      </c>
      <c r="AL7" s="95"/>
      <c r="AM7" s="6"/>
      <c r="AN7" s="6"/>
      <c r="AO7" s="6"/>
      <c r="AP7" s="6"/>
      <c r="AQ7" s="6"/>
      <c r="AR7" s="6"/>
      <c r="AS7" s="6"/>
      <c r="AT7" s="6"/>
      <c r="AU7" s="6"/>
      <c r="AV7" s="6"/>
      <c r="AW7" s="6"/>
      <c r="AX7" s="6"/>
      <c r="AY7" s="6"/>
      <c r="AZ7" s="6"/>
      <c r="BA7" s="6"/>
      <c r="BB7" s="6"/>
      <c r="BC7" s="6"/>
      <c r="BD7" s="6"/>
      <c r="BE7" s="6"/>
      <c r="BF7" s="6"/>
      <c r="BG7" s="6"/>
      <c r="BH7" s="6"/>
      <c r="BI7" s="6"/>
      <c r="BJ7" s="6"/>
      <c r="BK7" s="6"/>
      <c r="BL7" s="6"/>
      <c r="BM7" s="6"/>
      <c r="BN7" s="6"/>
      <c r="BO7" s="6"/>
      <c r="BP7" s="6"/>
      <c r="BQ7" s="6"/>
      <c r="BR7" s="6"/>
      <c r="BS7" s="6"/>
      <c r="BT7" s="6"/>
      <c r="BU7" s="6"/>
      <c r="BV7" s="6"/>
      <c r="BW7" s="6"/>
      <c r="BX7" s="6"/>
    </row>
    <row r="8" spans="1:76" ht="15.75" thickBot="1" x14ac:dyDescent="0.3">
      <c r="A8" s="6"/>
      <c r="B8" s="23" t="s">
        <v>1</v>
      </c>
      <c r="C8" s="19">
        <v>28.776937935846401</v>
      </c>
      <c r="D8" s="20">
        <v>26.463821871837599</v>
      </c>
      <c r="E8" s="20">
        <v>23.905391733177201</v>
      </c>
      <c r="F8" s="20">
        <v>21.454648514629898</v>
      </c>
      <c r="G8" s="20">
        <v>19.566454852172001</v>
      </c>
      <c r="H8" s="10">
        <v>20.581900471267399</v>
      </c>
      <c r="I8" s="10">
        <v>21.200852893853</v>
      </c>
      <c r="J8" s="10">
        <v>19.466278357300698</v>
      </c>
      <c r="K8" s="11">
        <v>19.6009272858768</v>
      </c>
      <c r="L8" s="11">
        <v>20.5578661292273</v>
      </c>
      <c r="M8" s="11">
        <v>20.628179518938499</v>
      </c>
      <c r="N8" s="12">
        <v>19.788506731178899</v>
      </c>
      <c r="O8" s="12">
        <v>21.305852921916699</v>
      </c>
      <c r="P8" s="12">
        <v>19.924528039189799</v>
      </c>
      <c r="Q8" s="13">
        <v>36.210871214492698</v>
      </c>
      <c r="R8" s="19">
        <v>32.662366042106498</v>
      </c>
      <c r="S8" s="20">
        <v>28.0614310925565</v>
      </c>
      <c r="T8" s="20">
        <v>23.6414539932107</v>
      </c>
      <c r="U8" s="20">
        <v>19.862118843937701</v>
      </c>
      <c r="V8" s="20">
        <v>17.221534096291801</v>
      </c>
      <c r="W8" s="10">
        <v>20.173732757041702</v>
      </c>
      <c r="X8" s="10">
        <v>20.430654869057701</v>
      </c>
      <c r="Y8" s="10">
        <v>17.648527446952301</v>
      </c>
      <c r="Z8" s="13">
        <v>36.998025736079697</v>
      </c>
      <c r="AA8" s="6"/>
      <c r="AB8" s="2"/>
      <c r="AC8" s="6" t="s">
        <v>29</v>
      </c>
      <c r="AD8" s="6"/>
      <c r="AE8" s="6"/>
      <c r="AF8" s="6"/>
      <c r="AG8" s="6"/>
      <c r="AH8" s="85" t="s">
        <v>79</v>
      </c>
      <c r="AI8" s="86"/>
      <c r="AJ8" s="86"/>
      <c r="AK8" s="94">
        <v>45198</v>
      </c>
      <c r="AL8" s="95"/>
      <c r="AM8" s="6"/>
      <c r="AN8" s="6"/>
      <c r="AO8" s="6"/>
      <c r="AP8" s="6"/>
      <c r="AQ8" s="6"/>
      <c r="AR8" s="6"/>
      <c r="AS8" s="6"/>
      <c r="AT8" s="6"/>
      <c r="AU8" s="6"/>
      <c r="AV8" s="6"/>
      <c r="AW8" s="6"/>
      <c r="AX8" s="6"/>
      <c r="AY8" s="6"/>
      <c r="AZ8" s="6"/>
      <c r="BA8" s="6"/>
      <c r="BB8" s="6"/>
      <c r="BC8" s="6"/>
      <c r="BD8" s="6"/>
      <c r="BE8" s="6"/>
      <c r="BF8" s="6"/>
      <c r="BG8" s="6"/>
      <c r="BH8" s="6"/>
      <c r="BI8" s="6"/>
      <c r="BJ8" s="6"/>
      <c r="BK8" s="6"/>
      <c r="BL8" s="6"/>
      <c r="BM8" s="6"/>
      <c r="BN8" s="6"/>
      <c r="BO8" s="6"/>
      <c r="BP8" s="6"/>
      <c r="BQ8" s="6"/>
      <c r="BR8" s="6"/>
      <c r="BS8" s="6"/>
      <c r="BT8" s="6"/>
      <c r="BU8" s="6"/>
      <c r="BV8" s="6"/>
      <c r="BW8" s="6"/>
      <c r="BX8" s="6"/>
    </row>
    <row r="9" spans="1:76" ht="15.75" thickBot="1" x14ac:dyDescent="0.3">
      <c r="A9" s="6"/>
      <c r="B9" s="34" t="s">
        <v>15</v>
      </c>
      <c r="C9" s="153" t="s">
        <v>18</v>
      </c>
      <c r="D9" s="154"/>
      <c r="E9" s="154"/>
      <c r="F9" s="154"/>
      <c r="G9" s="154"/>
      <c r="H9" s="155"/>
      <c r="I9" s="153" t="s">
        <v>26</v>
      </c>
      <c r="J9" s="154"/>
      <c r="K9" s="154"/>
      <c r="L9" s="154"/>
      <c r="M9" s="154"/>
      <c r="N9" s="154"/>
      <c r="O9" s="154"/>
      <c r="P9" s="154"/>
      <c r="Q9" s="154"/>
      <c r="R9" s="154"/>
      <c r="S9" s="154"/>
      <c r="T9" s="154"/>
      <c r="U9" s="154"/>
      <c r="V9" s="154"/>
      <c r="W9" s="155"/>
      <c r="X9" s="135"/>
      <c r="Y9" s="136"/>
      <c r="Z9" s="137"/>
      <c r="AA9" s="6"/>
      <c r="AB9" s="3"/>
      <c r="AC9" s="6" t="s">
        <v>30</v>
      </c>
      <c r="AD9" s="6"/>
      <c r="AE9" s="6"/>
      <c r="AF9" s="6"/>
      <c r="AG9" s="6"/>
      <c r="AH9" s="85" t="s">
        <v>80</v>
      </c>
      <c r="AI9" s="86"/>
      <c r="AJ9" s="86"/>
      <c r="AK9" s="94">
        <v>45202</v>
      </c>
      <c r="AL9" s="95"/>
      <c r="AM9" s="6"/>
      <c r="AN9" s="6"/>
      <c r="AO9" s="6"/>
      <c r="AP9" s="6"/>
      <c r="AQ9" s="6"/>
      <c r="AR9" s="6"/>
      <c r="AS9" s="6"/>
      <c r="AT9" s="6"/>
      <c r="AU9" s="6"/>
      <c r="AV9" s="6"/>
      <c r="AW9" s="6"/>
      <c r="AX9" s="6"/>
      <c r="AY9" s="6"/>
      <c r="AZ9" s="6"/>
      <c r="BA9" s="6"/>
      <c r="BB9" s="6"/>
      <c r="BC9" s="6"/>
      <c r="BD9" s="6"/>
      <c r="BE9" s="6"/>
      <c r="BF9" s="6"/>
      <c r="BG9" s="6"/>
      <c r="BH9" s="6"/>
      <c r="BI9" s="6"/>
      <c r="BJ9" s="6"/>
      <c r="BK9" s="6"/>
      <c r="BL9" s="6"/>
      <c r="BM9" s="6"/>
      <c r="BN9" s="6"/>
      <c r="BO9" s="6"/>
      <c r="BP9" s="6"/>
      <c r="BQ9" s="6"/>
      <c r="BR9" s="6"/>
      <c r="BS9" s="6"/>
      <c r="BT9" s="6"/>
      <c r="BU9" s="6"/>
      <c r="BV9" s="6"/>
      <c r="BW9" s="6"/>
      <c r="BX9" s="6"/>
    </row>
    <row r="10" spans="1:76" x14ac:dyDescent="0.25">
      <c r="A10" s="6"/>
      <c r="B10" s="22" t="s">
        <v>2</v>
      </c>
      <c r="C10" s="32">
        <v>18.295392972778401</v>
      </c>
      <c r="D10" s="29">
        <v>19.8672818973067</v>
      </c>
      <c r="E10" s="29">
        <v>20.042010231307199</v>
      </c>
      <c r="F10" s="30">
        <v>17.600709854706899</v>
      </c>
      <c r="G10" s="30">
        <v>19.715468277805499</v>
      </c>
      <c r="H10" s="33">
        <v>17.655702591130598</v>
      </c>
      <c r="I10" s="26">
        <v>24.6891467851869</v>
      </c>
      <c r="J10" s="27">
        <v>23.067308333089699</v>
      </c>
      <c r="K10" s="27">
        <v>23.088875840958998</v>
      </c>
      <c r="L10" s="27">
        <v>23.521144734665999</v>
      </c>
      <c r="M10" s="27">
        <v>23.028448294381899</v>
      </c>
      <c r="N10" s="28">
        <v>24.076376304943501</v>
      </c>
      <c r="O10" s="28">
        <v>24.751743506648101</v>
      </c>
      <c r="P10" s="28">
        <v>23.266786549314599</v>
      </c>
      <c r="Q10" s="29">
        <v>23.2773765795929</v>
      </c>
      <c r="R10" s="29">
        <v>23.995740796232798</v>
      </c>
      <c r="S10" s="29">
        <v>24.065588159365401</v>
      </c>
      <c r="T10" s="30">
        <v>23.475640507875099</v>
      </c>
      <c r="U10" s="30">
        <v>24.506607444099402</v>
      </c>
      <c r="V10" s="30">
        <v>23.574086053860299</v>
      </c>
      <c r="W10" s="31">
        <v>31.917518325122799</v>
      </c>
      <c r="X10" s="138"/>
      <c r="Y10" s="139"/>
      <c r="Z10" s="140"/>
      <c r="AA10" s="6"/>
      <c r="AB10" s="4"/>
      <c r="AC10" s="6" t="s">
        <v>31</v>
      </c>
      <c r="AD10" s="6"/>
      <c r="AE10" s="6"/>
      <c r="AF10" s="6"/>
      <c r="AG10" s="6"/>
      <c r="AH10" s="85" t="s">
        <v>81</v>
      </c>
      <c r="AI10" s="86"/>
      <c r="AJ10" s="86"/>
      <c r="AK10" s="94">
        <v>45203</v>
      </c>
      <c r="AL10" s="95"/>
      <c r="AM10" s="6"/>
      <c r="AN10" s="6"/>
      <c r="AO10" s="6"/>
      <c r="AP10" s="6"/>
      <c r="AQ10" s="6"/>
      <c r="AR10" s="6"/>
      <c r="AS10" s="6"/>
      <c r="AT10" s="6"/>
      <c r="AU10" s="6"/>
      <c r="AV10" s="6"/>
      <c r="AW10" s="6"/>
      <c r="AX10" s="6"/>
      <c r="AY10" s="6"/>
      <c r="AZ10" s="6"/>
      <c r="BA10" s="6"/>
      <c r="BB10" s="6"/>
      <c r="BC10" s="6"/>
      <c r="BD10" s="6"/>
      <c r="BE10" s="6"/>
      <c r="BF10" s="6"/>
      <c r="BG10" s="6"/>
      <c r="BH10" s="6"/>
      <c r="BI10" s="6"/>
      <c r="BJ10" s="6"/>
      <c r="BK10" s="6"/>
      <c r="BL10" s="6"/>
      <c r="BM10" s="6"/>
      <c r="BN10" s="6"/>
      <c r="BO10" s="6"/>
      <c r="BP10" s="6"/>
      <c r="BQ10" s="6"/>
      <c r="BR10" s="6"/>
      <c r="BS10" s="6"/>
      <c r="BT10" s="6"/>
      <c r="BU10" s="6"/>
      <c r="BV10" s="6"/>
      <c r="BW10" s="6"/>
      <c r="BX10" s="6"/>
    </row>
    <row r="11" spans="1:76" ht="18.75" thickBot="1" x14ac:dyDescent="0.4">
      <c r="A11" s="6"/>
      <c r="B11" s="23" t="s">
        <v>3</v>
      </c>
      <c r="C11" s="14">
        <v>18.208326529911801</v>
      </c>
      <c r="D11" s="11">
        <v>19.842103006628999</v>
      </c>
      <c r="E11" s="11">
        <v>20.131085056647098</v>
      </c>
      <c r="F11" s="12">
        <v>17.714969871138099</v>
      </c>
      <c r="G11" s="12">
        <v>19.6270646363987</v>
      </c>
      <c r="H11" s="15">
        <v>17.849551483563001</v>
      </c>
      <c r="I11" s="19">
        <v>24.547861851654801</v>
      </c>
      <c r="J11" s="20">
        <v>23.079436079977501</v>
      </c>
      <c r="K11" s="20">
        <v>23.084095751524401</v>
      </c>
      <c r="L11" s="20">
        <v>24.0302743784139</v>
      </c>
      <c r="M11" s="20">
        <v>23.224565520664498</v>
      </c>
      <c r="N11" s="10">
        <v>24.0940631607242</v>
      </c>
      <c r="O11" s="10">
        <v>24.772324833952499</v>
      </c>
      <c r="P11" s="10">
        <v>23.161623071388401</v>
      </c>
      <c r="Q11" s="11">
        <v>23.3108109782874</v>
      </c>
      <c r="R11" s="16">
        <v>24.072160018953198</v>
      </c>
      <c r="S11" s="16">
        <v>24.149013138161099</v>
      </c>
      <c r="T11" s="17">
        <v>23.565223809647499</v>
      </c>
      <c r="U11" s="17">
        <v>24.511518397771098</v>
      </c>
      <c r="V11" s="17">
        <v>23.8548566979666</v>
      </c>
      <c r="W11" s="18">
        <v>30.694989237085899</v>
      </c>
      <c r="X11" s="141"/>
      <c r="Y11" s="142"/>
      <c r="Z11" s="143"/>
      <c r="AA11" s="6"/>
      <c r="AB11" s="5"/>
      <c r="AC11" s="6" t="s">
        <v>32</v>
      </c>
      <c r="AD11" s="6"/>
      <c r="AE11" s="6"/>
      <c r="AF11" s="6"/>
      <c r="AG11" s="6"/>
      <c r="AH11" s="87" t="s">
        <v>82</v>
      </c>
      <c r="AI11" s="88"/>
      <c r="AJ11" s="88"/>
      <c r="AK11" s="96">
        <v>45204</v>
      </c>
      <c r="AL11" s="97"/>
      <c r="AM11" s="6"/>
      <c r="AN11" s="6"/>
      <c r="AO11" s="6"/>
      <c r="AP11" s="6"/>
      <c r="AQ11" s="6"/>
      <c r="AR11" s="6"/>
      <c r="AS11" s="6"/>
      <c r="AT11" s="6"/>
      <c r="AU11" s="6"/>
      <c r="AV11" s="6"/>
      <c r="AW11" s="6"/>
      <c r="AX11" s="6"/>
      <c r="AY11" s="6"/>
      <c r="AZ11" s="6"/>
      <c r="BA11" s="6"/>
      <c r="BB11" s="6"/>
      <c r="BC11" s="6"/>
      <c r="BD11" s="6"/>
      <c r="BE11" s="6"/>
      <c r="BF11" s="6"/>
      <c r="BG11" s="6"/>
      <c r="BH11" s="6"/>
      <c r="BI11" s="6"/>
      <c r="BJ11" s="6"/>
      <c r="BK11" s="6"/>
      <c r="BL11" s="6"/>
      <c r="BM11" s="6"/>
      <c r="BN11" s="6"/>
      <c r="BO11" s="6"/>
      <c r="BP11" s="6"/>
      <c r="BQ11" s="6"/>
      <c r="BR11" s="6"/>
      <c r="BS11" s="6"/>
      <c r="BT11" s="6"/>
      <c r="BU11" s="6"/>
      <c r="BV11" s="6"/>
      <c r="BW11" s="6"/>
      <c r="BX11" s="6"/>
    </row>
    <row r="12" spans="1:76" ht="15.75" thickBot="1" x14ac:dyDescent="0.3">
      <c r="A12" s="6"/>
      <c r="B12" s="34" t="s">
        <v>15</v>
      </c>
      <c r="C12" s="153" t="s">
        <v>19</v>
      </c>
      <c r="D12" s="154"/>
      <c r="E12" s="154"/>
      <c r="F12" s="154"/>
      <c r="G12" s="154"/>
      <c r="H12" s="154"/>
      <c r="I12" s="154"/>
      <c r="J12" s="154"/>
      <c r="K12" s="154"/>
      <c r="L12" s="154"/>
      <c r="M12" s="154"/>
      <c r="N12" s="154"/>
      <c r="O12" s="154"/>
      <c r="P12" s="154"/>
      <c r="Q12" s="155"/>
      <c r="R12" s="132" t="s">
        <v>20</v>
      </c>
      <c r="S12" s="133"/>
      <c r="T12" s="133"/>
      <c r="U12" s="133"/>
      <c r="V12" s="133"/>
      <c r="W12" s="133"/>
      <c r="X12" s="133"/>
      <c r="Y12" s="133"/>
      <c r="Z12" s="134"/>
      <c r="AA12" s="6"/>
      <c r="AB12" s="21"/>
      <c r="AC12" s="6" t="s">
        <v>16</v>
      </c>
      <c r="AD12" s="6"/>
      <c r="AE12" s="6"/>
      <c r="AF12" s="6"/>
      <c r="AG12" s="6"/>
      <c r="AH12" s="6"/>
      <c r="AI12" s="6"/>
      <c r="AJ12" s="6"/>
      <c r="AK12" s="6"/>
      <c r="AL12" s="6"/>
      <c r="AM12" s="6"/>
      <c r="AN12" s="6"/>
      <c r="AO12" s="6"/>
      <c r="AP12" s="6"/>
      <c r="AQ12" s="6"/>
      <c r="AR12" s="6"/>
      <c r="AS12" s="6"/>
      <c r="AT12" s="6"/>
      <c r="AU12" s="6"/>
      <c r="AV12" s="6"/>
      <c r="AW12" s="6"/>
      <c r="AX12" s="6"/>
      <c r="AY12" s="6"/>
      <c r="AZ12" s="6"/>
      <c r="BA12" s="6"/>
      <c r="BB12" s="6"/>
      <c r="BC12" s="6"/>
      <c r="BD12" s="6"/>
      <c r="BE12" s="6"/>
      <c r="BF12" s="6"/>
      <c r="BG12" s="6"/>
      <c r="BH12" s="6"/>
      <c r="BI12" s="6"/>
      <c r="BJ12" s="6"/>
      <c r="BK12" s="6"/>
      <c r="BL12" s="6"/>
      <c r="BM12" s="6"/>
      <c r="BN12" s="6"/>
      <c r="BO12" s="6"/>
      <c r="BP12" s="6"/>
      <c r="BQ12" s="6"/>
      <c r="BR12" s="6"/>
      <c r="BS12" s="6"/>
      <c r="BT12" s="6"/>
      <c r="BU12" s="6"/>
      <c r="BV12" s="6"/>
      <c r="BW12" s="6"/>
      <c r="BX12" s="6"/>
    </row>
    <row r="13" spans="1:76" x14ac:dyDescent="0.25">
      <c r="A13" s="6"/>
      <c r="B13" s="22" t="s">
        <v>4</v>
      </c>
      <c r="C13" s="26">
        <v>26.302462248142501</v>
      </c>
      <c r="D13" s="27">
        <v>23.7504190793872</v>
      </c>
      <c r="E13" s="27">
        <v>21.173865023885899</v>
      </c>
      <c r="F13" s="27">
        <v>18.862601695464701</v>
      </c>
      <c r="G13" s="27">
        <v>16.864606784439999</v>
      </c>
      <c r="H13" s="28">
        <v>18.4028217212926</v>
      </c>
      <c r="I13" s="28">
        <v>19.552721321042998</v>
      </c>
      <c r="J13" s="28">
        <v>17.855394620150999</v>
      </c>
      <c r="K13" s="29">
        <v>17.717991881105501</v>
      </c>
      <c r="L13" s="29">
        <v>18.573558384499901</v>
      </c>
      <c r="M13" s="29">
        <v>18.2362862204807</v>
      </c>
      <c r="N13" s="30">
        <v>17.6765087584456</v>
      </c>
      <c r="O13" s="30">
        <v>18.790477093859899</v>
      </c>
      <c r="P13" s="30">
        <v>17.664742523510299</v>
      </c>
      <c r="Q13" s="31" t="s">
        <v>49</v>
      </c>
      <c r="R13" s="26">
        <v>26.948428559197598</v>
      </c>
      <c r="S13" s="27">
        <v>24.598734929569101</v>
      </c>
      <c r="T13" s="27">
        <v>22.462625932366201</v>
      </c>
      <c r="U13" s="27">
        <v>20.1244032757014</v>
      </c>
      <c r="V13" s="27">
        <v>18.0388805709335</v>
      </c>
      <c r="W13" s="28">
        <v>19.400834067716801</v>
      </c>
      <c r="X13" s="28">
        <v>20.3359685761794</v>
      </c>
      <c r="Y13" s="28">
        <v>19.006567428204601</v>
      </c>
      <c r="Z13" s="31">
        <v>38.892994807068099</v>
      </c>
      <c r="AA13" s="6"/>
      <c r="AB13" s="6"/>
      <c r="AC13" s="6"/>
      <c r="AD13" s="6"/>
      <c r="AE13" s="6"/>
      <c r="AF13" s="6"/>
      <c r="AG13" s="6"/>
      <c r="AH13" s="6"/>
      <c r="AI13" s="6"/>
      <c r="AJ13" s="6"/>
      <c r="AK13" s="6"/>
      <c r="AL13" s="6"/>
      <c r="AM13" s="6"/>
      <c r="AN13" s="6"/>
      <c r="AO13" s="6"/>
      <c r="AP13" s="6"/>
      <c r="AQ13" s="6"/>
      <c r="AR13" s="6"/>
      <c r="AS13" s="6"/>
      <c r="AT13" s="6"/>
      <c r="AU13" s="6"/>
      <c r="AV13" s="6"/>
      <c r="AW13" s="6"/>
      <c r="AX13" s="6"/>
      <c r="AY13" s="6"/>
      <c r="AZ13" s="6"/>
      <c r="BA13" s="6"/>
      <c r="BB13" s="6"/>
      <c r="BC13" s="6"/>
      <c r="BD13" s="6"/>
      <c r="BE13" s="6"/>
      <c r="BF13" s="6"/>
      <c r="BG13" s="6"/>
      <c r="BH13" s="6"/>
      <c r="BI13" s="6"/>
      <c r="BJ13" s="6"/>
      <c r="BK13" s="6"/>
      <c r="BL13" s="6"/>
      <c r="BM13" s="6"/>
      <c r="BN13" s="6"/>
      <c r="BO13" s="6"/>
      <c r="BP13" s="6"/>
      <c r="BQ13" s="6"/>
      <c r="BR13" s="6"/>
      <c r="BS13" s="6"/>
      <c r="BT13" s="6"/>
      <c r="BU13" s="6"/>
      <c r="BV13" s="6"/>
      <c r="BW13" s="6"/>
      <c r="BX13" s="6"/>
    </row>
    <row r="14" spans="1:76" ht="15.75" thickBot="1" x14ac:dyDescent="0.3">
      <c r="A14" s="6"/>
      <c r="B14" s="23" t="s">
        <v>5</v>
      </c>
      <c r="C14" s="19">
        <v>25.955246239332901</v>
      </c>
      <c r="D14" s="20">
        <v>23.353510411639199</v>
      </c>
      <c r="E14" s="20">
        <v>21.1756845684993</v>
      </c>
      <c r="F14" s="20">
        <v>19.0034241433045</v>
      </c>
      <c r="G14" s="20">
        <v>16.664761144504801</v>
      </c>
      <c r="H14" s="10">
        <v>18.4043320713226</v>
      </c>
      <c r="I14" s="10">
        <v>19.666210020652599</v>
      </c>
      <c r="J14" s="10">
        <v>17.894332709108198</v>
      </c>
      <c r="K14" s="11">
        <v>17.8161600809505</v>
      </c>
      <c r="L14" s="11">
        <v>18.525348034083098</v>
      </c>
      <c r="M14" s="11">
        <v>18.230881938097401</v>
      </c>
      <c r="N14" s="12">
        <v>17.783621006217</v>
      </c>
      <c r="O14" s="12">
        <v>18.663971808367201</v>
      </c>
      <c r="P14" s="12">
        <v>17.636357898719901</v>
      </c>
      <c r="Q14" s="13" t="s">
        <v>49</v>
      </c>
      <c r="R14" s="19">
        <v>27.183695334267298</v>
      </c>
      <c r="S14" s="20">
        <v>24.593947546238599</v>
      </c>
      <c r="T14" s="20">
        <v>22.465210986067898</v>
      </c>
      <c r="U14" s="20">
        <v>20.1017722633045</v>
      </c>
      <c r="V14" s="20">
        <v>17.9851135114525</v>
      </c>
      <c r="W14" s="10">
        <v>19.346129711407698</v>
      </c>
      <c r="X14" s="10">
        <v>20.320819146458799</v>
      </c>
      <c r="Y14" s="10">
        <v>18.835534554354599</v>
      </c>
      <c r="Z14" s="13">
        <v>39.775598189969202</v>
      </c>
      <c r="AA14" s="6"/>
      <c r="AB14" s="6" t="s">
        <v>51</v>
      </c>
      <c r="AC14" s="6" t="s">
        <v>52</v>
      </c>
      <c r="AD14" s="6"/>
      <c r="AE14" s="6"/>
      <c r="AF14" s="6"/>
      <c r="AG14" s="6"/>
      <c r="AH14" s="6"/>
      <c r="AI14" s="6"/>
      <c r="AJ14" s="6"/>
      <c r="AK14" s="6"/>
      <c r="AL14" s="6"/>
      <c r="AM14" s="6"/>
      <c r="AN14" s="6"/>
      <c r="AO14" s="6"/>
      <c r="AP14" s="6"/>
      <c r="AQ14" s="6"/>
      <c r="AR14" s="6"/>
      <c r="AS14" s="6"/>
      <c r="AT14" s="6"/>
      <c r="AU14" s="6"/>
      <c r="AV14" s="6"/>
      <c r="AW14" s="6"/>
      <c r="AX14" s="6"/>
      <c r="AY14" s="6"/>
      <c r="AZ14" s="6"/>
      <c r="BA14" s="6"/>
      <c r="BB14" s="6"/>
      <c r="BC14" s="6"/>
      <c r="BD14" s="6"/>
      <c r="BE14" s="6"/>
      <c r="BF14" s="6"/>
      <c r="BG14" s="6"/>
      <c r="BH14" s="6"/>
      <c r="BI14" s="6"/>
      <c r="BJ14" s="6"/>
      <c r="BK14" s="6"/>
      <c r="BL14" s="6"/>
      <c r="BM14" s="6"/>
      <c r="BN14" s="6"/>
      <c r="BO14" s="6"/>
      <c r="BP14" s="6"/>
      <c r="BQ14" s="6"/>
      <c r="BR14" s="6"/>
      <c r="BS14" s="6"/>
      <c r="BT14" s="6"/>
      <c r="BU14" s="6"/>
      <c r="BV14" s="6"/>
      <c r="BW14" s="6"/>
      <c r="BX14" s="6"/>
    </row>
    <row r="15" spans="1:76" ht="15.75" thickBot="1" x14ac:dyDescent="0.3">
      <c r="A15" s="6"/>
      <c r="B15" s="34" t="s">
        <v>15</v>
      </c>
      <c r="C15" s="132" t="s">
        <v>20</v>
      </c>
      <c r="D15" s="133"/>
      <c r="E15" s="133"/>
      <c r="F15" s="133"/>
      <c r="G15" s="133"/>
      <c r="H15" s="134"/>
      <c r="I15" s="132" t="s">
        <v>21</v>
      </c>
      <c r="J15" s="133"/>
      <c r="K15" s="133"/>
      <c r="L15" s="133"/>
      <c r="M15" s="133"/>
      <c r="N15" s="133"/>
      <c r="O15" s="133"/>
      <c r="P15" s="133"/>
      <c r="Q15" s="133"/>
      <c r="R15" s="133"/>
      <c r="S15" s="133"/>
      <c r="T15" s="133"/>
      <c r="U15" s="133"/>
      <c r="V15" s="133"/>
      <c r="W15" s="134"/>
      <c r="X15" s="135"/>
      <c r="Y15" s="136"/>
      <c r="Z15" s="137"/>
      <c r="AA15" s="6"/>
      <c r="AB15" s="6" t="s">
        <v>53</v>
      </c>
      <c r="AC15" s="6" t="s">
        <v>54</v>
      </c>
      <c r="AD15" s="6"/>
      <c r="AE15" s="6"/>
      <c r="AF15" s="6"/>
      <c r="AG15" s="6"/>
      <c r="AH15" s="6"/>
      <c r="AI15" s="6"/>
      <c r="AJ15" s="6"/>
      <c r="AK15" s="6"/>
      <c r="AL15" s="6"/>
      <c r="AM15" s="6"/>
      <c r="AN15" s="6"/>
      <c r="AO15" s="6"/>
      <c r="AP15" s="6"/>
      <c r="AQ15" s="6"/>
      <c r="AR15" s="6"/>
      <c r="AS15" s="6"/>
      <c r="AT15" s="6"/>
      <c r="AU15" s="6"/>
      <c r="AV15" s="6"/>
      <c r="AW15" s="6"/>
      <c r="AX15" s="6"/>
      <c r="AY15" s="6"/>
      <c r="AZ15" s="6"/>
      <c r="BA15" s="6"/>
      <c r="BB15" s="6"/>
      <c r="BC15" s="6"/>
      <c r="BD15" s="6"/>
      <c r="BE15" s="6"/>
      <c r="BF15" s="6"/>
      <c r="BG15" s="6"/>
      <c r="BH15" s="6"/>
      <c r="BI15" s="6"/>
      <c r="BJ15" s="6"/>
      <c r="BK15" s="6"/>
      <c r="BL15" s="6"/>
      <c r="BM15" s="6"/>
      <c r="BN15" s="6"/>
      <c r="BO15" s="6"/>
      <c r="BP15" s="6"/>
      <c r="BQ15" s="6"/>
      <c r="BR15" s="6"/>
      <c r="BS15" s="6"/>
      <c r="BT15" s="6"/>
      <c r="BU15" s="6"/>
      <c r="BV15" s="6"/>
      <c r="BW15" s="6"/>
      <c r="BX15" s="6"/>
    </row>
    <row r="16" spans="1:76" x14ac:dyDescent="0.25">
      <c r="A16" s="6"/>
      <c r="B16" s="22" t="s">
        <v>6</v>
      </c>
      <c r="C16" s="32">
        <v>18.884274546677698</v>
      </c>
      <c r="D16" s="29">
        <v>19.6369712864545</v>
      </c>
      <c r="E16" s="29">
        <v>19.543252590045199</v>
      </c>
      <c r="F16" s="30">
        <v>19.060524326415699</v>
      </c>
      <c r="G16" s="30">
        <v>20.091914225580801</v>
      </c>
      <c r="H16" s="33">
        <v>18.9770191899533</v>
      </c>
      <c r="I16" s="26">
        <v>26.978368095840299</v>
      </c>
      <c r="J16" s="27">
        <v>24.632261190712001</v>
      </c>
      <c r="K16" s="27">
        <v>21.7409231572429</v>
      </c>
      <c r="L16" s="27">
        <v>19.416662714147101</v>
      </c>
      <c r="M16" s="27">
        <v>17.1345655728982</v>
      </c>
      <c r="N16" s="28">
        <v>18.940036021968499</v>
      </c>
      <c r="O16" s="28">
        <v>19.960885572825202</v>
      </c>
      <c r="P16" s="28">
        <v>18.1222042265779</v>
      </c>
      <c r="Q16" s="29">
        <v>17.809979305203498</v>
      </c>
      <c r="R16" s="29">
        <v>18.811963539264799</v>
      </c>
      <c r="S16" s="29">
        <v>18.384572393116599</v>
      </c>
      <c r="T16" s="30">
        <v>18.277503164418199</v>
      </c>
      <c r="U16" s="30">
        <v>19.395643826738599</v>
      </c>
      <c r="V16" s="30">
        <v>18.275328007468701</v>
      </c>
      <c r="W16" s="31">
        <v>34.458937296364198</v>
      </c>
      <c r="X16" s="138"/>
      <c r="Y16" s="139"/>
      <c r="Z16" s="140"/>
      <c r="AA16" s="6"/>
      <c r="AB16" s="6" t="s">
        <v>55</v>
      </c>
      <c r="AC16" s="6" t="s">
        <v>56</v>
      </c>
      <c r="AD16" s="6"/>
      <c r="AE16" s="6"/>
      <c r="AF16" s="6"/>
      <c r="AG16" s="6"/>
      <c r="AH16" s="6"/>
      <c r="AI16" s="6"/>
      <c r="AJ16" s="6"/>
      <c r="AK16" s="6"/>
      <c r="AL16" s="6"/>
      <c r="AM16" s="6"/>
      <c r="AN16" s="6"/>
      <c r="AO16" s="6"/>
      <c r="AP16" s="6"/>
      <c r="AQ16" s="6"/>
      <c r="AR16" s="6"/>
      <c r="AS16" s="6"/>
      <c r="AT16" s="6"/>
      <c r="AU16" s="6"/>
      <c r="AV16" s="6"/>
      <c r="AW16" s="6"/>
      <c r="AX16" s="6"/>
      <c r="AY16" s="6"/>
      <c r="AZ16" s="6"/>
      <c r="BA16" s="6"/>
      <c r="BB16" s="6"/>
      <c r="BC16" s="6"/>
      <c r="BD16" s="6"/>
      <c r="BE16" s="6"/>
      <c r="BF16" s="6"/>
      <c r="BG16" s="6"/>
      <c r="BH16" s="6"/>
      <c r="BI16" s="6"/>
      <c r="BJ16" s="6"/>
      <c r="BK16" s="6"/>
      <c r="BL16" s="6"/>
      <c r="BM16" s="6"/>
      <c r="BN16" s="6"/>
      <c r="BO16" s="6"/>
      <c r="BP16" s="6"/>
      <c r="BQ16" s="6"/>
      <c r="BR16" s="6"/>
      <c r="BS16" s="6"/>
      <c r="BT16" s="6"/>
      <c r="BU16" s="6"/>
      <c r="BV16" s="6"/>
      <c r="BW16" s="6"/>
      <c r="BX16" s="6"/>
    </row>
    <row r="17" spans="1:76" ht="15.75" thickBot="1" x14ac:dyDescent="0.3">
      <c r="A17" s="6"/>
      <c r="B17" s="23" t="s">
        <v>7</v>
      </c>
      <c r="C17" s="14">
        <v>18.8908624915723</v>
      </c>
      <c r="D17" s="11">
        <v>19.715124625388899</v>
      </c>
      <c r="E17" s="11">
        <v>19.6811948206756</v>
      </c>
      <c r="F17" s="12">
        <v>19.074721305433599</v>
      </c>
      <c r="G17" s="12">
        <v>20.0375680834684</v>
      </c>
      <c r="H17" s="15">
        <v>19.136900956627098</v>
      </c>
      <c r="I17" s="19">
        <v>27.112675088320099</v>
      </c>
      <c r="J17" s="20">
        <v>24.325394453115901</v>
      </c>
      <c r="K17" s="20">
        <v>21.807618274792201</v>
      </c>
      <c r="L17" s="20">
        <v>19.339070766776199</v>
      </c>
      <c r="M17" s="20">
        <v>16.9914082996223</v>
      </c>
      <c r="N17" s="10">
        <v>18.905806830158699</v>
      </c>
      <c r="O17" s="10">
        <v>19.848463891832399</v>
      </c>
      <c r="P17" s="10">
        <v>18.1636464820421</v>
      </c>
      <c r="Q17" s="11">
        <v>17.905971253036</v>
      </c>
      <c r="R17" s="16">
        <v>18.768046104143199</v>
      </c>
      <c r="S17" s="16">
        <v>18.961373712344599</v>
      </c>
      <c r="T17" s="17">
        <v>18.153578486126101</v>
      </c>
      <c r="U17" s="17">
        <v>19.228381532796401</v>
      </c>
      <c r="V17" s="17">
        <v>18.3366127900001</v>
      </c>
      <c r="W17" s="18">
        <v>35.250048148945702</v>
      </c>
      <c r="X17" s="141"/>
      <c r="Y17" s="142"/>
      <c r="Z17" s="143"/>
      <c r="AA17" s="6"/>
      <c r="AB17" s="6" t="s">
        <v>57</v>
      </c>
      <c r="AC17" s="6" t="s">
        <v>58</v>
      </c>
      <c r="AD17" s="6"/>
      <c r="AE17" s="6"/>
      <c r="AF17" s="6"/>
      <c r="AG17" s="6"/>
      <c r="AH17" s="6"/>
      <c r="AI17" s="6"/>
      <c r="AJ17" s="6"/>
      <c r="AK17" s="6"/>
      <c r="AL17" s="6"/>
      <c r="AM17" s="6"/>
      <c r="AN17" s="6"/>
      <c r="AO17" s="6"/>
      <c r="AP17" s="6"/>
      <c r="AQ17" s="6"/>
      <c r="AR17" s="6"/>
      <c r="AS17" s="6"/>
      <c r="AT17" s="6"/>
      <c r="AU17" s="6"/>
      <c r="AV17" s="6"/>
      <c r="AW17" s="6"/>
      <c r="AX17" s="6"/>
      <c r="AY17" s="6"/>
      <c r="AZ17" s="6"/>
      <c r="BA17" s="6"/>
      <c r="BB17" s="6"/>
      <c r="BC17" s="6"/>
      <c r="BD17" s="6"/>
      <c r="BE17" s="6"/>
      <c r="BF17" s="6"/>
      <c r="BG17" s="6"/>
      <c r="BH17" s="6"/>
      <c r="BI17" s="6"/>
      <c r="BJ17" s="6"/>
      <c r="BK17" s="6"/>
      <c r="BL17" s="6"/>
      <c r="BM17" s="6"/>
      <c r="BN17" s="6"/>
      <c r="BO17" s="6"/>
      <c r="BP17" s="6"/>
      <c r="BQ17" s="6"/>
      <c r="BR17" s="6"/>
      <c r="BS17" s="6"/>
      <c r="BT17" s="6"/>
      <c r="BU17" s="6"/>
      <c r="BV17" s="6"/>
      <c r="BW17" s="6"/>
      <c r="BX17" s="6"/>
    </row>
    <row r="18" spans="1:76" ht="15.75" thickBot="1" x14ac:dyDescent="0.3">
      <c r="A18" s="6"/>
      <c r="B18" s="34" t="s">
        <v>15</v>
      </c>
      <c r="C18" s="132" t="s">
        <v>22</v>
      </c>
      <c r="D18" s="133"/>
      <c r="E18" s="133"/>
      <c r="F18" s="133"/>
      <c r="G18" s="133"/>
      <c r="H18" s="133"/>
      <c r="I18" s="133"/>
      <c r="J18" s="133"/>
      <c r="K18" s="133"/>
      <c r="L18" s="133"/>
      <c r="M18" s="133"/>
      <c r="N18" s="133"/>
      <c r="O18" s="133"/>
      <c r="P18" s="133"/>
      <c r="Q18" s="134"/>
      <c r="R18" s="132" t="s">
        <v>23</v>
      </c>
      <c r="S18" s="133"/>
      <c r="T18" s="133"/>
      <c r="U18" s="133"/>
      <c r="V18" s="133"/>
      <c r="W18" s="133"/>
      <c r="X18" s="133"/>
      <c r="Y18" s="133"/>
      <c r="Z18" s="134"/>
      <c r="AA18" s="6"/>
      <c r="AB18" s="6" t="s">
        <v>59</v>
      </c>
      <c r="AC18" s="6" t="s">
        <v>60</v>
      </c>
      <c r="AD18" s="6"/>
      <c r="AE18" s="6"/>
      <c r="AF18" s="6"/>
      <c r="AG18" s="6"/>
      <c r="AH18" s="6"/>
      <c r="AI18" s="6"/>
      <c r="AJ18" s="6"/>
      <c r="AK18" s="6"/>
      <c r="AL18" s="6"/>
      <c r="AM18" s="6"/>
      <c r="AN18" s="6"/>
      <c r="AO18" s="6"/>
      <c r="AP18" s="6"/>
      <c r="AQ18" s="6"/>
      <c r="AR18" s="6"/>
      <c r="AS18" s="6"/>
      <c r="AT18" s="6"/>
      <c r="AU18" s="6"/>
      <c r="AV18" s="6"/>
      <c r="AW18" s="6"/>
      <c r="AX18" s="6"/>
      <c r="AY18" s="6"/>
      <c r="AZ18" s="6"/>
      <c r="BA18" s="6"/>
      <c r="BB18" s="6"/>
      <c r="BC18" s="6"/>
      <c r="BD18" s="6"/>
      <c r="BE18" s="6"/>
      <c r="BF18" s="6"/>
      <c r="BG18" s="6"/>
      <c r="BH18" s="6"/>
      <c r="BI18" s="6"/>
      <c r="BJ18" s="6"/>
      <c r="BK18" s="6"/>
      <c r="BL18" s="6"/>
      <c r="BM18" s="6"/>
      <c r="BN18" s="6"/>
      <c r="BO18" s="6"/>
      <c r="BP18" s="6"/>
      <c r="BQ18" s="6"/>
      <c r="BR18" s="6"/>
      <c r="BS18" s="6"/>
      <c r="BT18" s="6"/>
      <c r="BU18" s="6"/>
      <c r="BV18" s="6"/>
      <c r="BW18" s="6"/>
      <c r="BX18" s="6"/>
    </row>
    <row r="19" spans="1:76" x14ac:dyDescent="0.25">
      <c r="A19" s="6"/>
      <c r="B19" s="22" t="s">
        <v>8</v>
      </c>
      <c r="C19" s="26">
        <v>29.5446698216284</v>
      </c>
      <c r="D19" s="27">
        <v>28.206720742016898</v>
      </c>
      <c r="E19" s="27">
        <v>26.525116387616801</v>
      </c>
      <c r="F19" s="27">
        <v>24.4264727367873</v>
      </c>
      <c r="G19" s="27">
        <v>22.206921888436099</v>
      </c>
      <c r="H19" s="28">
        <v>23.427742685518499</v>
      </c>
      <c r="I19" s="28">
        <v>24.2379018196138</v>
      </c>
      <c r="J19" s="28">
        <v>22.337406803614201</v>
      </c>
      <c r="K19" s="29">
        <v>22.729586790023699</v>
      </c>
      <c r="L19" s="29">
        <v>23.5125428496045</v>
      </c>
      <c r="M19" s="29">
        <v>23.610586292457199</v>
      </c>
      <c r="N19" s="30">
        <v>22.521639231128599</v>
      </c>
      <c r="O19" s="30">
        <v>23.772209309399798</v>
      </c>
      <c r="P19" s="30">
        <v>22.667342001229802</v>
      </c>
      <c r="Q19" s="31">
        <v>30.3607558312777</v>
      </c>
      <c r="R19" s="26">
        <v>30.6748251651671</v>
      </c>
      <c r="S19" s="27">
        <v>28.401832301528302</v>
      </c>
      <c r="T19" s="27">
        <v>27.000005206679202</v>
      </c>
      <c r="U19" s="27">
        <v>25.098788877825701</v>
      </c>
      <c r="V19" s="27">
        <v>23.209367444674701</v>
      </c>
      <c r="W19" s="28">
        <v>24.193799686882599</v>
      </c>
      <c r="X19" s="28">
        <v>25.0287818305898</v>
      </c>
      <c r="Y19" s="28">
        <v>23.292860209542599</v>
      </c>
      <c r="Z19" s="31">
        <v>35.721979652759899</v>
      </c>
      <c r="AA19" s="6"/>
      <c r="AB19" s="6"/>
      <c r="AC19" s="6"/>
      <c r="AD19" s="6"/>
      <c r="AE19" s="6"/>
      <c r="AF19" s="6"/>
      <c r="AG19" s="6"/>
      <c r="AH19" s="6"/>
      <c r="AI19" s="6"/>
      <c r="AJ19" s="6"/>
      <c r="AK19" s="6"/>
      <c r="AL19" s="6"/>
      <c r="AM19" s="6"/>
      <c r="AN19" s="6"/>
      <c r="AO19" s="6"/>
      <c r="AP19" s="6"/>
      <c r="AQ19" s="6"/>
      <c r="AR19" s="6"/>
      <c r="AS19" s="6"/>
      <c r="AT19" s="6"/>
      <c r="AU19" s="6"/>
      <c r="AV19" s="6"/>
      <c r="AW19" s="6"/>
      <c r="AX19" s="6"/>
      <c r="AY19" s="6"/>
      <c r="AZ19" s="6"/>
      <c r="BA19" s="6"/>
      <c r="BB19" s="6"/>
      <c r="BC19" s="6"/>
      <c r="BD19" s="6"/>
      <c r="BE19" s="6"/>
      <c r="BF19" s="6"/>
      <c r="BG19" s="6"/>
      <c r="BH19" s="6"/>
      <c r="BI19" s="6"/>
      <c r="BJ19" s="6"/>
      <c r="BK19" s="6"/>
      <c r="BL19" s="6"/>
      <c r="BM19" s="6"/>
      <c r="BN19" s="6"/>
      <c r="BO19" s="6"/>
      <c r="BP19" s="6"/>
      <c r="BQ19" s="6"/>
      <c r="BR19" s="6"/>
      <c r="BS19" s="6"/>
      <c r="BT19" s="6"/>
      <c r="BU19" s="6"/>
      <c r="BV19" s="6"/>
      <c r="BW19" s="6"/>
      <c r="BX19" s="6"/>
    </row>
    <row r="20" spans="1:76" ht="15.75" thickBot="1" x14ac:dyDescent="0.3">
      <c r="A20" s="6"/>
      <c r="B20" s="23" t="s">
        <v>9</v>
      </c>
      <c r="C20" s="19">
        <v>29.6457466884521</v>
      </c>
      <c r="D20" s="20">
        <v>28.123335843562501</v>
      </c>
      <c r="E20" s="20">
        <v>26.516413264764498</v>
      </c>
      <c r="F20" s="20">
        <v>24.453450721823099</v>
      </c>
      <c r="G20" s="20">
        <v>22.2000620933783</v>
      </c>
      <c r="H20" s="10">
        <v>23.424688404282598</v>
      </c>
      <c r="I20" s="10">
        <v>24.134222427980401</v>
      </c>
      <c r="J20" s="10">
        <v>22.244244301032399</v>
      </c>
      <c r="K20" s="11">
        <v>22.618800688935899</v>
      </c>
      <c r="L20" s="11">
        <v>23.563496374408899</v>
      </c>
      <c r="M20" s="11">
        <v>23.566050248631701</v>
      </c>
      <c r="N20" s="12">
        <v>22.579829597782599</v>
      </c>
      <c r="O20" s="12">
        <v>23.7230178103372</v>
      </c>
      <c r="P20" s="12">
        <v>22.729999454429901</v>
      </c>
      <c r="Q20" s="13">
        <v>30.946610823380301</v>
      </c>
      <c r="R20" s="19">
        <v>30.425464248089899</v>
      </c>
      <c r="S20" s="20">
        <v>27.702730658970498</v>
      </c>
      <c r="T20" s="20">
        <v>27.149278134339301</v>
      </c>
      <c r="U20" s="20">
        <v>25.486115333543001</v>
      </c>
      <c r="V20" s="20">
        <v>23.0833526517746</v>
      </c>
      <c r="W20" s="10">
        <v>24.427543328247801</v>
      </c>
      <c r="X20" s="10">
        <v>25.0920430628173</v>
      </c>
      <c r="Y20" s="10">
        <v>23.316163743258699</v>
      </c>
      <c r="Z20" s="13">
        <v>35.6771234321359</v>
      </c>
      <c r="AA20" s="6"/>
      <c r="AB20" s="6" t="s">
        <v>61</v>
      </c>
      <c r="AC20" s="6" t="s">
        <v>62</v>
      </c>
      <c r="AD20" s="6"/>
      <c r="AE20" s="6"/>
      <c r="AF20" s="6"/>
      <c r="AG20" s="6"/>
      <c r="AH20" s="6"/>
      <c r="AI20" s="6"/>
      <c r="AJ20" s="6"/>
      <c r="AK20" s="6"/>
      <c r="AL20" s="6"/>
      <c r="AM20" s="6"/>
      <c r="AN20" s="6"/>
      <c r="AO20" s="6"/>
      <c r="AP20" s="6"/>
      <c r="AQ20" s="6"/>
      <c r="AR20" s="6"/>
      <c r="AS20" s="6"/>
      <c r="AT20" s="6"/>
      <c r="AU20" s="6"/>
      <c r="AV20" s="6"/>
      <c r="AW20" s="6"/>
      <c r="AX20" s="6"/>
      <c r="AY20" s="6"/>
      <c r="AZ20" s="6"/>
      <c r="BA20" s="6"/>
      <c r="BB20" s="6"/>
      <c r="BC20" s="6"/>
      <c r="BD20" s="6"/>
      <c r="BE20" s="6"/>
      <c r="BF20" s="6"/>
      <c r="BG20" s="6"/>
      <c r="BH20" s="6"/>
      <c r="BI20" s="6"/>
      <c r="BJ20" s="6"/>
      <c r="BK20" s="6"/>
      <c r="BL20" s="6"/>
      <c r="BM20" s="6"/>
      <c r="BN20" s="6"/>
      <c r="BO20" s="6"/>
      <c r="BP20" s="6"/>
      <c r="BQ20" s="6"/>
      <c r="BR20" s="6"/>
      <c r="BS20" s="6"/>
      <c r="BT20" s="6"/>
      <c r="BU20" s="6"/>
      <c r="BV20" s="6"/>
      <c r="BW20" s="6"/>
      <c r="BX20" s="6"/>
    </row>
    <row r="21" spans="1:76" ht="15.75" thickBot="1" x14ac:dyDescent="0.3">
      <c r="A21" s="6"/>
      <c r="B21" s="34" t="s">
        <v>15</v>
      </c>
      <c r="C21" s="132" t="s">
        <v>23</v>
      </c>
      <c r="D21" s="133"/>
      <c r="E21" s="133"/>
      <c r="F21" s="133"/>
      <c r="G21" s="133"/>
      <c r="H21" s="134"/>
      <c r="I21" s="132" t="s">
        <v>27</v>
      </c>
      <c r="J21" s="133"/>
      <c r="K21" s="133"/>
      <c r="L21" s="133"/>
      <c r="M21" s="133"/>
      <c r="N21" s="133"/>
      <c r="O21" s="133"/>
      <c r="P21" s="133"/>
      <c r="Q21" s="133"/>
      <c r="R21" s="133"/>
      <c r="S21" s="133"/>
      <c r="T21" s="133"/>
      <c r="U21" s="133"/>
      <c r="V21" s="133"/>
      <c r="W21" s="134"/>
      <c r="X21" s="135"/>
      <c r="Y21" s="136"/>
      <c r="Z21" s="137"/>
      <c r="AA21" s="6"/>
      <c r="AB21" s="6" t="s">
        <v>63</v>
      </c>
      <c r="AC21" s="6" t="s">
        <v>64</v>
      </c>
      <c r="AD21" s="6"/>
      <c r="AE21" s="6"/>
      <c r="AF21" s="6"/>
      <c r="AG21" s="6"/>
      <c r="AH21" s="6"/>
      <c r="AI21" s="6"/>
      <c r="AJ21" s="6"/>
      <c r="AK21" s="6"/>
      <c r="AL21" s="6"/>
      <c r="AM21" s="6"/>
      <c r="AN21" s="6"/>
      <c r="AO21" s="6"/>
      <c r="AP21" s="6"/>
      <c r="AQ21" s="6"/>
      <c r="AR21" s="6"/>
      <c r="AS21" s="6"/>
      <c r="AT21" s="6"/>
      <c r="AU21" s="6"/>
      <c r="AV21" s="6"/>
      <c r="AW21" s="6"/>
      <c r="AX21" s="6"/>
      <c r="AY21" s="6"/>
      <c r="AZ21" s="6"/>
      <c r="BA21" s="6"/>
      <c r="BB21" s="6"/>
      <c r="BC21" s="6"/>
      <c r="BD21" s="6"/>
      <c r="BE21" s="6"/>
      <c r="BF21" s="6"/>
      <c r="BG21" s="6"/>
      <c r="BH21" s="6"/>
      <c r="BI21" s="6"/>
      <c r="BJ21" s="6"/>
      <c r="BK21" s="6"/>
      <c r="BL21" s="6"/>
      <c r="BM21" s="6"/>
      <c r="BN21" s="6"/>
      <c r="BO21" s="6"/>
      <c r="BP21" s="6"/>
      <c r="BQ21" s="6"/>
      <c r="BR21" s="6"/>
      <c r="BS21" s="6"/>
      <c r="BT21" s="6"/>
      <c r="BU21" s="6"/>
      <c r="BV21" s="6"/>
      <c r="BW21" s="6"/>
      <c r="BX21" s="6"/>
    </row>
    <row r="22" spans="1:76" x14ac:dyDescent="0.25">
      <c r="A22" s="6"/>
      <c r="B22" s="22" t="s">
        <v>10</v>
      </c>
      <c r="C22" s="32">
        <v>23.6504749270396</v>
      </c>
      <c r="D22" s="29">
        <v>24.351852570260199</v>
      </c>
      <c r="E22" s="29">
        <v>24.399936701029802</v>
      </c>
      <c r="F22" s="30">
        <v>23.620045655976501</v>
      </c>
      <c r="G22" s="30">
        <v>24.728395545142298</v>
      </c>
      <c r="H22" s="33">
        <v>23.609561606195999</v>
      </c>
      <c r="I22" s="26">
        <v>26.9902888979755</v>
      </c>
      <c r="J22" s="27">
        <v>25.457535046101501</v>
      </c>
      <c r="K22" s="27">
        <v>23.6009207301604</v>
      </c>
      <c r="L22" s="27">
        <v>21.359833092814998</v>
      </c>
      <c r="M22" s="27">
        <v>18.951539472879801</v>
      </c>
      <c r="N22" s="28">
        <v>20.252692264351499</v>
      </c>
      <c r="O22" s="28">
        <v>20.9864808786478</v>
      </c>
      <c r="P22" s="28">
        <v>19.1423089670993</v>
      </c>
      <c r="Q22" s="29">
        <v>19.183821345932</v>
      </c>
      <c r="R22" s="29">
        <v>19.9782432528194</v>
      </c>
      <c r="S22" s="29">
        <v>19.963854886314</v>
      </c>
      <c r="T22" s="30">
        <v>19.065610816429199</v>
      </c>
      <c r="U22" s="30">
        <v>20.3651666327969</v>
      </c>
      <c r="V22" s="30">
        <v>19.393199170306001</v>
      </c>
      <c r="W22" s="31">
        <v>31.349025296630298</v>
      </c>
      <c r="X22" s="138"/>
      <c r="Y22" s="139"/>
      <c r="Z22" s="140"/>
      <c r="AA22" s="6"/>
      <c r="AB22" s="6" t="s">
        <v>65</v>
      </c>
      <c r="AC22" s="6" t="s">
        <v>66</v>
      </c>
      <c r="AD22" s="6"/>
      <c r="AE22" s="6"/>
      <c r="AF22" s="6"/>
      <c r="AG22" s="6"/>
      <c r="AH22" s="6"/>
      <c r="AI22" s="6"/>
      <c r="AJ22" s="6"/>
      <c r="AK22" s="6"/>
      <c r="AL22" s="6"/>
      <c r="AM22" s="6"/>
      <c r="AN22" s="6"/>
      <c r="AO22" s="6"/>
      <c r="AP22" s="6"/>
      <c r="AQ22" s="6"/>
      <c r="AR22" s="6"/>
      <c r="AS22" s="6"/>
      <c r="AT22" s="6"/>
      <c r="AU22" s="6"/>
      <c r="AV22" s="6"/>
      <c r="AW22" s="6"/>
      <c r="AX22" s="6"/>
      <c r="AY22" s="6"/>
      <c r="AZ22" s="6"/>
      <c r="BA22" s="6"/>
      <c r="BB22" s="6"/>
      <c r="BC22" s="6"/>
      <c r="BD22" s="6"/>
      <c r="BE22" s="6"/>
      <c r="BF22" s="6"/>
      <c r="BG22" s="6"/>
      <c r="BH22" s="6"/>
      <c r="BI22" s="6"/>
      <c r="BJ22" s="6"/>
      <c r="BK22" s="6"/>
      <c r="BL22" s="6"/>
      <c r="BM22" s="6"/>
      <c r="BN22" s="6"/>
      <c r="BO22" s="6"/>
      <c r="BP22" s="6"/>
      <c r="BQ22" s="6"/>
      <c r="BR22" s="6"/>
      <c r="BS22" s="6"/>
      <c r="BT22" s="6"/>
      <c r="BU22" s="6"/>
      <c r="BV22" s="6"/>
      <c r="BW22" s="6"/>
      <c r="BX22" s="6"/>
    </row>
    <row r="23" spans="1:76" ht="15.75" thickBot="1" x14ac:dyDescent="0.3">
      <c r="A23" s="6"/>
      <c r="B23" s="23" t="s">
        <v>11</v>
      </c>
      <c r="C23" s="14">
        <v>23.604217037882201</v>
      </c>
      <c r="D23" s="11">
        <v>24.3378396641675</v>
      </c>
      <c r="E23" s="11">
        <v>24.388565792014099</v>
      </c>
      <c r="F23" s="12">
        <v>23.644103264369299</v>
      </c>
      <c r="G23" s="12">
        <v>24.721605181745598</v>
      </c>
      <c r="H23" s="15">
        <v>23.7536091462567</v>
      </c>
      <c r="I23" s="19">
        <v>27.132807794096799</v>
      </c>
      <c r="J23" s="20">
        <v>25.5595734662609</v>
      </c>
      <c r="K23" s="20">
        <v>23.340886194253699</v>
      </c>
      <c r="L23" s="20">
        <v>21.105970117134401</v>
      </c>
      <c r="M23" s="20">
        <v>19.118799910389299</v>
      </c>
      <c r="N23" s="10">
        <v>20.024749975572501</v>
      </c>
      <c r="O23" s="10">
        <v>20.992142357646401</v>
      </c>
      <c r="P23" s="10">
        <v>19.199368437362999</v>
      </c>
      <c r="Q23" s="11">
        <v>19.211652493965602</v>
      </c>
      <c r="R23" s="16">
        <v>20.023919371054902</v>
      </c>
      <c r="S23" s="16">
        <v>19.955051794674802</v>
      </c>
      <c r="T23" s="17">
        <v>19.150976317202201</v>
      </c>
      <c r="U23" s="17">
        <v>20.292673076684299</v>
      </c>
      <c r="V23" s="17">
        <v>19.429587906154602</v>
      </c>
      <c r="W23" s="18">
        <v>33.080062842666798</v>
      </c>
      <c r="X23" s="141"/>
      <c r="Y23" s="142"/>
      <c r="Z23" s="143"/>
      <c r="AA23" s="6"/>
      <c r="AB23" s="6"/>
      <c r="AC23" s="6"/>
      <c r="AD23" s="6"/>
      <c r="AE23" s="6"/>
      <c r="AF23" s="6"/>
      <c r="AG23" s="6"/>
      <c r="AH23" s="6"/>
      <c r="AI23" s="6"/>
      <c r="AJ23" s="6"/>
      <c r="AK23" s="6"/>
      <c r="AL23" s="6"/>
      <c r="AM23" s="6"/>
      <c r="AN23" s="6"/>
      <c r="AO23" s="6"/>
      <c r="AP23" s="6"/>
      <c r="AQ23" s="6"/>
      <c r="AR23" s="6"/>
      <c r="AS23" s="6"/>
      <c r="AT23" s="6"/>
      <c r="AU23" s="6"/>
      <c r="AV23" s="6"/>
      <c r="AW23" s="6"/>
      <c r="AX23" s="6"/>
      <c r="AY23" s="6"/>
      <c r="AZ23" s="6"/>
      <c r="BA23" s="6"/>
      <c r="BB23" s="6"/>
      <c r="BC23" s="6"/>
      <c r="BD23" s="6"/>
      <c r="BE23" s="6"/>
      <c r="BF23" s="6"/>
      <c r="BG23" s="6"/>
      <c r="BH23" s="6"/>
      <c r="BI23" s="6"/>
      <c r="BJ23" s="6"/>
      <c r="BK23" s="6"/>
      <c r="BL23" s="6"/>
      <c r="BM23" s="6"/>
      <c r="BN23" s="6"/>
      <c r="BO23" s="6"/>
      <c r="BP23" s="6"/>
      <c r="BQ23" s="6"/>
      <c r="BR23" s="6"/>
      <c r="BS23" s="6"/>
      <c r="BT23" s="6"/>
      <c r="BU23" s="6"/>
      <c r="BV23" s="6"/>
      <c r="BW23" s="6"/>
      <c r="BX23" s="6"/>
    </row>
    <row r="24" spans="1:76" ht="15.75" thickBot="1" x14ac:dyDescent="0.3">
      <c r="A24" s="6"/>
      <c r="B24" s="34" t="s">
        <v>15</v>
      </c>
      <c r="C24" s="132" t="s">
        <v>24</v>
      </c>
      <c r="D24" s="133"/>
      <c r="E24" s="133"/>
      <c r="F24" s="133"/>
      <c r="G24" s="133"/>
      <c r="H24" s="133"/>
      <c r="I24" s="133"/>
      <c r="J24" s="133"/>
      <c r="K24" s="133"/>
      <c r="L24" s="133"/>
      <c r="M24" s="133"/>
      <c r="N24" s="133"/>
      <c r="O24" s="133"/>
      <c r="P24" s="133"/>
      <c r="Q24" s="134"/>
      <c r="R24" s="144"/>
      <c r="S24" s="145"/>
      <c r="T24" s="145"/>
      <c r="U24" s="145"/>
      <c r="V24" s="145"/>
      <c r="W24" s="145"/>
      <c r="X24" s="145"/>
      <c r="Y24" s="145"/>
      <c r="Z24" s="146"/>
      <c r="AA24" s="6"/>
      <c r="AB24" s="69" t="s">
        <v>67</v>
      </c>
      <c r="AC24" s="6"/>
      <c r="AD24" s="6"/>
      <c r="AE24" s="6"/>
      <c r="AF24" s="6"/>
      <c r="AG24" s="6"/>
      <c r="AH24" s="6"/>
      <c r="AI24" s="6"/>
      <c r="AJ24" s="6"/>
      <c r="AK24" s="6"/>
      <c r="AL24" s="6"/>
      <c r="AM24" s="6"/>
      <c r="AN24" s="6"/>
      <c r="AO24" s="6"/>
      <c r="AP24" s="6"/>
      <c r="AQ24" s="6"/>
      <c r="AR24" s="6"/>
      <c r="AS24" s="6"/>
      <c r="AT24" s="6"/>
      <c r="AU24" s="6"/>
      <c r="AV24" s="6"/>
      <c r="AW24" s="6"/>
      <c r="AX24" s="6"/>
      <c r="AY24" s="6"/>
      <c r="AZ24" s="6"/>
      <c r="BA24" s="6"/>
      <c r="BB24" s="6"/>
      <c r="BC24" s="6"/>
      <c r="BD24" s="6"/>
      <c r="BE24" s="6"/>
      <c r="BF24" s="6"/>
      <c r="BG24" s="6"/>
      <c r="BH24" s="6"/>
      <c r="BI24" s="6"/>
      <c r="BJ24" s="6"/>
      <c r="BK24" s="6"/>
      <c r="BL24" s="6"/>
      <c r="BM24" s="6"/>
      <c r="BN24" s="6"/>
      <c r="BO24" s="6"/>
      <c r="BP24" s="6"/>
      <c r="BQ24" s="6"/>
      <c r="BR24" s="6"/>
      <c r="BS24" s="6"/>
      <c r="BT24" s="6"/>
      <c r="BU24" s="6"/>
      <c r="BV24" s="6"/>
      <c r="BW24" s="6"/>
      <c r="BX24" s="6"/>
    </row>
    <row r="25" spans="1:76" x14ac:dyDescent="0.25">
      <c r="A25" s="6"/>
      <c r="B25" s="22" t="s">
        <v>12</v>
      </c>
      <c r="C25" s="26">
        <v>27.099533232506101</v>
      </c>
      <c r="D25" s="27">
        <v>24.7224994321856</v>
      </c>
      <c r="E25" s="27">
        <v>22.318002905408701</v>
      </c>
      <c r="F25" s="27">
        <v>20.138221115688001</v>
      </c>
      <c r="G25" s="27">
        <v>17.770373663668501</v>
      </c>
      <c r="H25" s="28">
        <v>20.974626592009901</v>
      </c>
      <c r="I25" s="28">
        <v>22.231525919255599</v>
      </c>
      <c r="J25" s="28">
        <v>19.607823851239299</v>
      </c>
      <c r="K25" s="29">
        <v>18.007305159210201</v>
      </c>
      <c r="L25" s="29">
        <v>19.244561721167099</v>
      </c>
      <c r="M25" s="29">
        <v>19.375023535075599</v>
      </c>
      <c r="N25" s="30">
        <v>17.5873299704453</v>
      </c>
      <c r="O25" s="30">
        <v>18.9414448572434</v>
      </c>
      <c r="P25" s="30">
        <v>17.455004050929801</v>
      </c>
      <c r="Q25" s="31">
        <v>34.337334621781103</v>
      </c>
      <c r="R25" s="147"/>
      <c r="S25" s="148"/>
      <c r="T25" s="148"/>
      <c r="U25" s="148"/>
      <c r="V25" s="148"/>
      <c r="W25" s="148"/>
      <c r="X25" s="148"/>
      <c r="Y25" s="148"/>
      <c r="Z25" s="149"/>
      <c r="AA25" s="6"/>
      <c r="AB25" s="6" t="s">
        <v>59</v>
      </c>
      <c r="AC25" s="6" t="s">
        <v>68</v>
      </c>
      <c r="AD25" s="6"/>
      <c r="AE25" s="6"/>
      <c r="AF25" s="6"/>
      <c r="AG25" s="6"/>
      <c r="AH25" s="6"/>
      <c r="AI25" s="6"/>
      <c r="AJ25" s="6"/>
      <c r="AK25" s="6"/>
      <c r="AL25" s="6"/>
      <c r="AM25" s="6"/>
      <c r="AN25" s="6"/>
      <c r="AO25" s="6"/>
      <c r="AP25" s="6"/>
      <c r="AQ25" s="6"/>
      <c r="AR25" s="6"/>
      <c r="AS25" s="6"/>
      <c r="AT25" s="6"/>
      <c r="AU25" s="6"/>
      <c r="AV25" s="6"/>
      <c r="AW25" s="6"/>
      <c r="AX25" s="6"/>
      <c r="AY25" s="6"/>
      <c r="AZ25" s="6"/>
      <c r="BA25" s="6"/>
      <c r="BB25" s="6"/>
      <c r="BC25" s="6"/>
      <c r="BD25" s="6"/>
      <c r="BE25" s="6"/>
      <c r="BF25" s="6"/>
      <c r="BG25" s="6"/>
      <c r="BH25" s="6"/>
      <c r="BI25" s="6"/>
      <c r="BJ25" s="6"/>
      <c r="BK25" s="6"/>
      <c r="BL25" s="6"/>
      <c r="BM25" s="6"/>
      <c r="BN25" s="6"/>
      <c r="BO25" s="6"/>
      <c r="BP25" s="6"/>
      <c r="BQ25" s="6"/>
      <c r="BR25" s="6"/>
      <c r="BS25" s="6"/>
      <c r="BT25" s="6"/>
      <c r="BU25" s="6"/>
      <c r="BV25" s="6"/>
      <c r="BW25" s="6"/>
      <c r="BX25" s="6"/>
    </row>
    <row r="26" spans="1:76" ht="15.75" thickBot="1" x14ac:dyDescent="0.3">
      <c r="A26" s="6"/>
      <c r="B26" s="23" t="s">
        <v>13</v>
      </c>
      <c r="C26" s="19">
        <v>27.469702868377102</v>
      </c>
      <c r="D26" s="20">
        <v>24.938415170756699</v>
      </c>
      <c r="E26" s="20">
        <v>22.2180260893557</v>
      </c>
      <c r="F26" s="20">
        <v>19.884827389001099</v>
      </c>
      <c r="G26" s="20">
        <v>17.73277299611</v>
      </c>
      <c r="H26" s="10">
        <v>21.319353728263899</v>
      </c>
      <c r="I26" s="10">
        <v>21.9666826294605</v>
      </c>
      <c r="J26" s="10">
        <v>19.554290054151501</v>
      </c>
      <c r="K26" s="11">
        <v>17.988170947088101</v>
      </c>
      <c r="L26" s="11">
        <v>19.130598759134902</v>
      </c>
      <c r="M26" s="11">
        <v>19.4957607826341</v>
      </c>
      <c r="N26" s="12">
        <v>17.441049663277301</v>
      </c>
      <c r="O26" s="12">
        <v>19.1554539021237</v>
      </c>
      <c r="P26" s="12">
        <v>17.426889566150098</v>
      </c>
      <c r="Q26" s="13">
        <v>34.7919119918093</v>
      </c>
      <c r="R26" s="150"/>
      <c r="S26" s="151"/>
      <c r="T26" s="151"/>
      <c r="U26" s="151"/>
      <c r="V26" s="151"/>
      <c r="W26" s="151"/>
      <c r="X26" s="151"/>
      <c r="Y26" s="151"/>
      <c r="Z26" s="152"/>
      <c r="AA26" s="6"/>
      <c r="AB26" s="70" t="s">
        <v>61</v>
      </c>
      <c r="AC26" s="71" t="s">
        <v>69</v>
      </c>
      <c r="AD26" s="71"/>
      <c r="AE26" s="71"/>
      <c r="AF26" s="71"/>
      <c r="AG26" s="129" t="s">
        <v>70</v>
      </c>
      <c r="AH26" s="129"/>
      <c r="AI26" s="129"/>
      <c r="AJ26" s="129"/>
      <c r="AK26" s="129"/>
      <c r="AL26" s="72"/>
      <c r="AM26" s="6"/>
      <c r="AN26" s="6"/>
      <c r="AO26" s="6"/>
      <c r="AP26" s="6"/>
      <c r="AQ26" s="6"/>
      <c r="AR26" s="6"/>
      <c r="AS26" s="6"/>
      <c r="AT26" s="6"/>
      <c r="AU26" s="6"/>
      <c r="AV26" s="6"/>
      <c r="AW26" s="6"/>
      <c r="AX26" s="6"/>
      <c r="AY26" s="6"/>
      <c r="AZ26" s="6"/>
      <c r="BA26" s="6"/>
      <c r="BB26" s="6"/>
      <c r="BC26" s="6"/>
      <c r="BD26" s="6"/>
      <c r="BE26" s="6"/>
      <c r="BF26" s="6"/>
      <c r="BG26" s="6"/>
      <c r="BH26" s="6"/>
      <c r="BI26" s="6"/>
      <c r="BJ26" s="6"/>
      <c r="BK26" s="6"/>
      <c r="BL26" s="6"/>
      <c r="BM26" s="6"/>
      <c r="BN26" s="6"/>
      <c r="BO26" s="6"/>
      <c r="BP26" s="6"/>
      <c r="BQ26" s="6"/>
      <c r="BR26" s="6"/>
      <c r="BS26" s="6"/>
      <c r="BT26" s="6"/>
      <c r="BU26" s="6"/>
      <c r="BV26" s="6"/>
      <c r="BW26" s="6"/>
      <c r="BX26" s="6"/>
    </row>
    <row r="27" spans="1:76" ht="15.75" thickBot="1" x14ac:dyDescent="0.3">
      <c r="A27" s="6"/>
      <c r="B27" s="34" t="s">
        <v>15</v>
      </c>
      <c r="C27" s="144"/>
      <c r="D27" s="145"/>
      <c r="E27" s="145"/>
      <c r="F27" s="145"/>
      <c r="G27" s="145"/>
      <c r="H27" s="146"/>
      <c r="I27" s="132" t="s">
        <v>25</v>
      </c>
      <c r="J27" s="133"/>
      <c r="K27" s="133"/>
      <c r="L27" s="133"/>
      <c r="M27" s="133"/>
      <c r="N27" s="133"/>
      <c r="O27" s="133"/>
      <c r="P27" s="133"/>
      <c r="Q27" s="133"/>
      <c r="R27" s="133"/>
      <c r="S27" s="133"/>
      <c r="T27" s="133"/>
      <c r="U27" s="133"/>
      <c r="V27" s="133"/>
      <c r="W27" s="134"/>
      <c r="X27" s="135"/>
      <c r="Y27" s="136"/>
      <c r="Z27" s="137"/>
      <c r="AA27" s="6"/>
      <c r="AB27" s="73" t="s">
        <v>63</v>
      </c>
      <c r="AC27" s="6" t="s">
        <v>71</v>
      </c>
      <c r="AD27" s="6"/>
      <c r="AE27" s="6"/>
      <c r="AF27" s="7"/>
      <c r="AG27" s="130"/>
      <c r="AH27" s="130"/>
      <c r="AI27" s="130"/>
      <c r="AJ27" s="130"/>
      <c r="AK27" s="130"/>
      <c r="AL27" s="74"/>
      <c r="AM27" s="6"/>
      <c r="AN27" s="6"/>
      <c r="AO27" s="6"/>
      <c r="AP27" s="6"/>
      <c r="AQ27" s="6"/>
      <c r="AR27" s="6"/>
      <c r="AS27" s="6"/>
      <c r="AT27" s="6"/>
      <c r="AU27" s="6"/>
      <c r="AV27" s="6"/>
      <c r="AW27" s="6"/>
      <c r="AX27" s="6"/>
      <c r="AY27" s="6"/>
      <c r="AZ27" s="6"/>
      <c r="BA27" s="6"/>
      <c r="BB27" s="6"/>
      <c r="BC27" s="6"/>
      <c r="BD27" s="6"/>
      <c r="BE27" s="6"/>
      <c r="BF27" s="6"/>
      <c r="BG27" s="6"/>
      <c r="BH27" s="6"/>
      <c r="BI27" s="6"/>
      <c r="BJ27" s="6"/>
      <c r="BK27" s="6"/>
      <c r="BL27" s="6"/>
      <c r="BM27" s="6"/>
      <c r="BN27" s="6"/>
      <c r="BO27" s="6"/>
      <c r="BP27" s="6"/>
      <c r="BQ27" s="6"/>
      <c r="BR27" s="6"/>
      <c r="BS27" s="6"/>
      <c r="BT27" s="6"/>
      <c r="BU27" s="6"/>
      <c r="BV27" s="6"/>
      <c r="BW27" s="6"/>
      <c r="BX27" s="6"/>
    </row>
    <row r="28" spans="1:76" x14ac:dyDescent="0.25">
      <c r="A28" s="6"/>
      <c r="B28" s="22" t="s">
        <v>14</v>
      </c>
      <c r="C28" s="147"/>
      <c r="D28" s="148"/>
      <c r="E28" s="148"/>
      <c r="F28" s="148"/>
      <c r="G28" s="148"/>
      <c r="H28" s="149"/>
      <c r="I28" s="26">
        <v>30.6231546198565</v>
      </c>
      <c r="J28" s="27">
        <v>28.139011536933801</v>
      </c>
      <c r="K28" s="27">
        <v>28.8805722577731</v>
      </c>
      <c r="L28" s="27">
        <v>27.2829504849405</v>
      </c>
      <c r="M28" s="27">
        <v>25.726755890833299</v>
      </c>
      <c r="N28" s="28">
        <v>25.700383443698598</v>
      </c>
      <c r="O28" s="28">
        <v>26.462841109596798</v>
      </c>
      <c r="P28" s="28">
        <v>24.2837003561133</v>
      </c>
      <c r="Q28" s="29">
        <v>24.649652046015401</v>
      </c>
      <c r="R28" s="29">
        <v>25.748370886491202</v>
      </c>
      <c r="S28" s="29">
        <v>26.139131931095601</v>
      </c>
      <c r="T28" s="30">
        <v>24.996106855200999</v>
      </c>
      <c r="U28" s="30">
        <v>26.497195832748599</v>
      </c>
      <c r="V28" s="30">
        <v>25.170379106605001</v>
      </c>
      <c r="W28" s="31">
        <v>35.799349285202901</v>
      </c>
      <c r="X28" s="138"/>
      <c r="Y28" s="139"/>
      <c r="Z28" s="140"/>
      <c r="AA28" s="6"/>
      <c r="AB28" s="75" t="s">
        <v>65</v>
      </c>
      <c r="AC28" s="76" t="s">
        <v>72</v>
      </c>
      <c r="AD28" s="76"/>
      <c r="AE28" s="76"/>
      <c r="AF28" s="77"/>
      <c r="AG28" s="131"/>
      <c r="AH28" s="131"/>
      <c r="AI28" s="131"/>
      <c r="AJ28" s="131"/>
      <c r="AK28" s="131"/>
      <c r="AL28" s="78"/>
      <c r="AM28" s="6"/>
      <c r="AN28" s="6"/>
      <c r="AO28" s="6"/>
      <c r="AP28" s="6"/>
      <c r="AQ28" s="6"/>
      <c r="AR28" s="6"/>
      <c r="AS28" s="6"/>
      <c r="AT28" s="6"/>
      <c r="AU28" s="6"/>
      <c r="AV28" s="6"/>
      <c r="AW28" s="6"/>
      <c r="AX28" s="6"/>
      <c r="AY28" s="6"/>
      <c r="AZ28" s="6"/>
      <c r="BA28" s="6"/>
      <c r="BB28" s="6"/>
      <c r="BC28" s="6"/>
      <c r="BD28" s="6"/>
      <c r="BE28" s="6"/>
      <c r="BF28" s="6"/>
      <c r="BG28" s="6"/>
      <c r="BH28" s="6"/>
      <c r="BI28" s="6"/>
      <c r="BJ28" s="6"/>
      <c r="BK28" s="6"/>
      <c r="BL28" s="6"/>
      <c r="BM28" s="6"/>
      <c r="BN28" s="6"/>
      <c r="BO28" s="6"/>
      <c r="BP28" s="6"/>
      <c r="BQ28" s="6"/>
      <c r="BR28" s="6"/>
      <c r="BS28" s="6"/>
      <c r="BT28" s="6"/>
      <c r="BU28" s="6"/>
      <c r="BV28" s="6"/>
      <c r="BW28" s="6"/>
      <c r="BX28" s="6"/>
    </row>
    <row r="29" spans="1:76" ht="15.75" thickBot="1" x14ac:dyDescent="0.3">
      <c r="A29" s="6"/>
      <c r="B29" s="23" t="s">
        <v>15</v>
      </c>
      <c r="C29" s="150"/>
      <c r="D29" s="151"/>
      <c r="E29" s="151"/>
      <c r="F29" s="151"/>
      <c r="G29" s="151"/>
      <c r="H29" s="152"/>
      <c r="I29" s="19">
        <v>29.926717695825999</v>
      </c>
      <c r="J29" s="20">
        <v>28.967321383777001</v>
      </c>
      <c r="K29" s="20">
        <v>28.415126626430101</v>
      </c>
      <c r="L29" s="20">
        <v>27.279787483386102</v>
      </c>
      <c r="M29" s="20">
        <v>25.652545900107899</v>
      </c>
      <c r="N29" s="10">
        <v>25.7071791684345</v>
      </c>
      <c r="O29" s="10">
        <v>26.404161102513498</v>
      </c>
      <c r="P29" s="10">
        <v>24.182520974426001</v>
      </c>
      <c r="Q29" s="11">
        <v>24.628237870932399</v>
      </c>
      <c r="R29" s="11">
        <v>25.6457990061865</v>
      </c>
      <c r="S29" s="11">
        <v>26.267443397514601</v>
      </c>
      <c r="T29" s="12">
        <v>25.087874847564802</v>
      </c>
      <c r="U29" s="12">
        <v>26.731458940244401</v>
      </c>
      <c r="V29" s="12">
        <v>25.086309779383701</v>
      </c>
      <c r="W29" s="13">
        <v>36.179989608870898</v>
      </c>
      <c r="X29" s="141"/>
      <c r="Y29" s="142"/>
      <c r="Z29" s="143"/>
      <c r="AA29" s="6"/>
      <c r="AB29" s="6"/>
      <c r="AC29" s="6"/>
      <c r="AD29" s="6"/>
      <c r="AE29" s="6"/>
      <c r="AF29" s="6"/>
      <c r="AG29" s="6"/>
      <c r="AH29" s="6"/>
      <c r="AI29" s="6"/>
      <c r="AJ29" s="7"/>
      <c r="AK29" s="6"/>
      <c r="AL29" s="6"/>
      <c r="AM29" s="6"/>
      <c r="AN29" s="6"/>
      <c r="AO29" s="6"/>
      <c r="AP29" s="6"/>
      <c r="AQ29" s="6"/>
      <c r="AR29" s="6"/>
      <c r="AS29" s="6"/>
      <c r="AT29" s="6"/>
      <c r="AU29" s="6"/>
      <c r="AV29" s="6"/>
      <c r="AW29" s="6"/>
      <c r="AX29" s="6"/>
      <c r="AY29" s="6"/>
      <c r="AZ29" s="6"/>
      <c r="BA29" s="6"/>
      <c r="BB29" s="6"/>
      <c r="BC29" s="6"/>
      <c r="BD29" s="6"/>
      <c r="BE29" s="6"/>
      <c r="BF29" s="6"/>
      <c r="BG29" s="6"/>
      <c r="BH29" s="6"/>
      <c r="BI29" s="6"/>
      <c r="BJ29" s="6"/>
      <c r="BK29" s="6"/>
      <c r="BL29" s="6"/>
      <c r="BM29" s="6"/>
      <c r="BN29" s="6"/>
      <c r="BO29" s="6"/>
      <c r="BP29" s="6"/>
      <c r="BQ29" s="6"/>
      <c r="BR29" s="6"/>
      <c r="BS29" s="6"/>
      <c r="BT29" s="6"/>
      <c r="BU29" s="6"/>
      <c r="BV29" s="6"/>
      <c r="BW29" s="6"/>
      <c r="BX29" s="6"/>
    </row>
    <row r="30" spans="1:76" x14ac:dyDescent="0.25">
      <c r="A30" s="6"/>
      <c r="B30" s="6"/>
      <c r="C30" s="6"/>
      <c r="D30" s="6"/>
      <c r="E30" s="6"/>
      <c r="F30" s="6"/>
      <c r="G30" s="6"/>
      <c r="H30" s="6"/>
      <c r="I30" s="6"/>
      <c r="J30" s="6"/>
      <c r="K30" s="6"/>
      <c r="L30" s="6"/>
      <c r="M30" s="6"/>
      <c r="N30" s="6"/>
      <c r="O30" s="6"/>
      <c r="P30" s="6"/>
      <c r="Q30" s="6"/>
      <c r="R30" s="6"/>
      <c r="S30" s="6"/>
      <c r="T30" s="6"/>
      <c r="U30" s="6"/>
      <c r="V30" s="6"/>
      <c r="W30" s="6"/>
      <c r="X30" s="6"/>
      <c r="Y30" s="6"/>
      <c r="Z30" s="6"/>
      <c r="AA30" s="6"/>
      <c r="AB30" s="6"/>
      <c r="AC30" s="6"/>
      <c r="AD30" s="6"/>
      <c r="AE30" s="6"/>
      <c r="AF30" s="6"/>
      <c r="AG30" s="6"/>
      <c r="AH30" s="6"/>
      <c r="AI30" s="6"/>
      <c r="AJ30" s="6"/>
      <c r="AK30" s="6"/>
      <c r="AL30" s="6"/>
      <c r="AM30" s="6"/>
      <c r="AN30" s="6"/>
      <c r="AO30" s="6"/>
      <c r="AP30" s="6"/>
      <c r="AQ30" s="6"/>
      <c r="AR30" s="6"/>
      <c r="AS30" s="6"/>
      <c r="AT30" s="6"/>
      <c r="AU30" s="6"/>
      <c r="AV30" s="6"/>
      <c r="AW30" s="6"/>
      <c r="AX30" s="6"/>
      <c r="AY30" s="6"/>
      <c r="AZ30" s="6"/>
      <c r="BA30" s="6"/>
      <c r="BB30" s="6"/>
      <c r="BC30" s="6"/>
      <c r="BD30" s="6"/>
      <c r="BE30" s="6"/>
      <c r="BF30" s="6"/>
      <c r="BG30" s="6"/>
      <c r="BH30" s="6"/>
      <c r="BI30" s="6"/>
      <c r="BJ30" s="6"/>
      <c r="BK30" s="6"/>
      <c r="BL30" s="6"/>
      <c r="BM30" s="6"/>
      <c r="BN30" s="6"/>
      <c r="BO30" s="6"/>
      <c r="BP30" s="6"/>
      <c r="BQ30" s="6"/>
      <c r="BR30" s="6"/>
      <c r="BS30" s="6"/>
      <c r="BT30" s="6"/>
      <c r="BU30" s="6"/>
      <c r="BV30" s="6"/>
      <c r="BW30" s="6"/>
      <c r="BX30" s="6"/>
    </row>
    <row r="31" spans="1:76" x14ac:dyDescent="0.25">
      <c r="A31" s="6"/>
      <c r="B31" s="6"/>
      <c r="C31" s="124" t="s">
        <v>17</v>
      </c>
      <c r="D31" s="124"/>
      <c r="E31" s="124"/>
      <c r="F31" s="6"/>
      <c r="G31" s="6"/>
      <c r="H31" s="6"/>
      <c r="I31" s="6"/>
      <c r="J31" s="124" t="s">
        <v>18</v>
      </c>
      <c r="K31" s="124"/>
      <c r="L31" s="124"/>
      <c r="M31" s="6"/>
      <c r="N31" s="6"/>
      <c r="O31" s="6"/>
      <c r="P31" s="6"/>
      <c r="Q31" s="124" t="s">
        <v>26</v>
      </c>
      <c r="R31" s="124"/>
      <c r="S31" s="124"/>
      <c r="T31" s="6"/>
      <c r="U31" s="6"/>
      <c r="V31" s="6"/>
      <c r="W31" s="6"/>
      <c r="X31" s="124" t="s">
        <v>19</v>
      </c>
      <c r="Y31" s="124"/>
      <c r="Z31" s="124"/>
      <c r="AA31" s="6"/>
      <c r="AB31" s="6"/>
      <c r="AC31" s="6"/>
      <c r="AD31" s="6"/>
      <c r="AE31" s="124" t="s">
        <v>20</v>
      </c>
      <c r="AF31" s="124"/>
      <c r="AG31" s="124"/>
      <c r="AH31" s="6"/>
      <c r="AI31" s="6"/>
      <c r="AJ31" s="6"/>
      <c r="AK31" s="6"/>
      <c r="AL31" s="124" t="s">
        <v>21</v>
      </c>
      <c r="AM31" s="124"/>
      <c r="AN31" s="124"/>
      <c r="AO31" s="6"/>
      <c r="AP31" s="6"/>
      <c r="AQ31" s="6"/>
      <c r="AR31" s="6"/>
      <c r="AS31" s="6"/>
      <c r="AT31" s="6"/>
      <c r="AU31" s="6"/>
      <c r="AV31" s="6"/>
      <c r="AW31" s="6"/>
      <c r="AX31" s="6"/>
      <c r="AY31" s="6"/>
      <c r="AZ31" s="6"/>
      <c r="BA31" s="6"/>
      <c r="BB31" s="6"/>
      <c r="BC31" s="6"/>
      <c r="BD31" s="6"/>
      <c r="BE31" s="6"/>
      <c r="BF31" s="6"/>
      <c r="BG31" s="6"/>
      <c r="BH31" s="6"/>
      <c r="BI31" s="6"/>
      <c r="BJ31" s="6"/>
      <c r="BK31" s="6"/>
      <c r="BL31" s="6"/>
      <c r="BM31" s="6"/>
      <c r="BN31" s="6"/>
      <c r="BO31" s="6"/>
      <c r="BP31" s="6"/>
      <c r="BQ31" s="6"/>
      <c r="BR31" s="6"/>
      <c r="BS31" s="6"/>
      <c r="BT31" s="6"/>
      <c r="BU31" s="6"/>
      <c r="BV31" s="6"/>
      <c r="BW31" s="6"/>
      <c r="BX31" s="6"/>
    </row>
    <row r="32" spans="1:76" ht="15" customHeight="1" x14ac:dyDescent="0.25">
      <c r="A32" s="6"/>
      <c r="B32" s="41"/>
      <c r="C32" s="116" t="s">
        <v>47</v>
      </c>
      <c r="D32" s="117"/>
      <c r="E32" s="118"/>
      <c r="F32" s="6"/>
      <c r="G32" s="6"/>
      <c r="H32" s="6"/>
      <c r="I32" s="6"/>
      <c r="J32" s="119" t="s">
        <v>47</v>
      </c>
      <c r="K32" s="120"/>
      <c r="L32" s="121"/>
      <c r="M32" s="6"/>
      <c r="N32" s="6"/>
      <c r="O32" s="6"/>
      <c r="P32" s="6"/>
      <c r="Q32" s="119" t="s">
        <v>47</v>
      </c>
      <c r="R32" s="120"/>
      <c r="S32" s="121"/>
      <c r="T32" s="6"/>
      <c r="U32" s="6"/>
      <c r="V32" s="6"/>
      <c r="W32" s="6"/>
      <c r="X32" s="119" t="s">
        <v>47</v>
      </c>
      <c r="Y32" s="122"/>
      <c r="Z32" s="123"/>
      <c r="AA32" s="6"/>
      <c r="AB32" s="6"/>
      <c r="AC32" s="6"/>
      <c r="AD32" s="6"/>
      <c r="AE32" s="119" t="s">
        <v>47</v>
      </c>
      <c r="AF32" s="120"/>
      <c r="AG32" s="121"/>
      <c r="AH32" s="6"/>
      <c r="AI32" s="6"/>
      <c r="AJ32" s="6"/>
      <c r="AK32" s="6"/>
      <c r="AL32" s="119" t="s">
        <v>47</v>
      </c>
      <c r="AM32" s="120"/>
      <c r="AN32" s="121"/>
      <c r="AO32" s="6"/>
      <c r="AP32" s="6"/>
      <c r="AQ32" s="6"/>
      <c r="AR32" s="6"/>
      <c r="AS32" s="6"/>
      <c r="AT32" s="6"/>
      <c r="AU32" s="6"/>
      <c r="AV32" s="6"/>
      <c r="AW32" s="6"/>
      <c r="AX32" s="6"/>
      <c r="AY32" s="6"/>
      <c r="AZ32" s="6"/>
      <c r="BA32" s="6"/>
      <c r="BB32" s="6"/>
      <c r="BC32" s="6"/>
      <c r="BD32" s="6"/>
      <c r="BE32" s="6"/>
      <c r="BF32" s="6"/>
      <c r="BG32" s="6"/>
      <c r="BH32" s="6"/>
      <c r="BI32" s="6"/>
      <c r="BJ32" s="6"/>
      <c r="BK32" s="6"/>
      <c r="BL32" s="6"/>
      <c r="BM32" s="6"/>
      <c r="BN32" s="6"/>
      <c r="BO32" s="6"/>
      <c r="BP32" s="6"/>
      <c r="BQ32" s="6"/>
      <c r="BR32" s="6"/>
      <c r="BS32" s="6"/>
      <c r="BT32" s="6"/>
      <c r="BU32" s="6"/>
      <c r="BV32" s="6"/>
      <c r="BW32" s="6"/>
      <c r="BX32" s="6"/>
    </row>
    <row r="33" spans="1:88" ht="15" customHeight="1" x14ac:dyDescent="0.25">
      <c r="A33" s="6"/>
      <c r="B33" s="38"/>
      <c r="C33" s="35" t="s">
        <v>33</v>
      </c>
      <c r="D33" s="36" t="s">
        <v>45</v>
      </c>
      <c r="E33" s="68" t="s">
        <v>44</v>
      </c>
      <c r="F33" s="6"/>
      <c r="G33" s="6"/>
      <c r="H33" s="6"/>
      <c r="I33" s="6"/>
      <c r="J33" s="35" t="s">
        <v>33</v>
      </c>
      <c r="K33" s="36" t="s">
        <v>45</v>
      </c>
      <c r="L33" s="68" t="s">
        <v>44</v>
      </c>
      <c r="M33" s="6"/>
      <c r="N33" s="6"/>
      <c r="O33" s="6"/>
      <c r="P33" s="6"/>
      <c r="Q33" s="35" t="s">
        <v>33</v>
      </c>
      <c r="R33" s="36" t="s">
        <v>45</v>
      </c>
      <c r="S33" s="68" t="s">
        <v>44</v>
      </c>
      <c r="T33" s="6"/>
      <c r="U33" s="6"/>
      <c r="V33" s="6"/>
      <c r="W33" s="6"/>
      <c r="X33" s="35" t="s">
        <v>33</v>
      </c>
      <c r="Y33" s="36" t="s">
        <v>45</v>
      </c>
      <c r="Z33" s="68" t="s">
        <v>44</v>
      </c>
      <c r="AA33" s="6"/>
      <c r="AB33" s="6"/>
      <c r="AC33" s="6"/>
      <c r="AD33" s="6"/>
      <c r="AE33" s="35" t="s">
        <v>33</v>
      </c>
      <c r="AF33" s="36" t="s">
        <v>45</v>
      </c>
      <c r="AG33" s="68" t="s">
        <v>44</v>
      </c>
      <c r="AH33" s="6"/>
      <c r="AI33" s="6"/>
      <c r="AJ33" s="6"/>
      <c r="AK33" s="6"/>
      <c r="AL33" s="35" t="s">
        <v>33</v>
      </c>
      <c r="AM33" s="36" t="s">
        <v>45</v>
      </c>
      <c r="AN33" s="68" t="s">
        <v>44</v>
      </c>
      <c r="AO33" s="6"/>
      <c r="AP33" s="6"/>
      <c r="AQ33" s="6"/>
      <c r="AR33" s="6"/>
      <c r="AS33" s="6"/>
      <c r="AT33" s="6"/>
      <c r="AU33" s="6"/>
      <c r="AV33" s="6"/>
      <c r="AW33" s="6"/>
      <c r="AX33" s="6"/>
      <c r="AY33" s="6"/>
      <c r="AZ33" s="6"/>
      <c r="BA33" s="6"/>
      <c r="BB33" s="6"/>
      <c r="BC33" s="6"/>
      <c r="BD33" s="6"/>
      <c r="BE33" s="6"/>
      <c r="BF33" s="6"/>
      <c r="BG33" s="6"/>
      <c r="BH33" s="6"/>
      <c r="BI33" s="6"/>
      <c r="BJ33" s="6"/>
      <c r="BK33" s="6"/>
      <c r="BL33" s="6"/>
      <c r="BM33" s="6"/>
      <c r="BN33" s="6"/>
      <c r="BO33" s="6"/>
      <c r="BP33" s="6"/>
      <c r="BQ33" s="6"/>
      <c r="BR33" s="6"/>
      <c r="BS33" s="6"/>
      <c r="BT33" s="6"/>
      <c r="BU33" s="6"/>
      <c r="BV33" s="6"/>
      <c r="BW33" s="6"/>
      <c r="BX33" s="6"/>
    </row>
    <row r="34" spans="1:88" x14ac:dyDescent="0.25">
      <c r="A34" s="6"/>
      <c r="B34" s="39"/>
      <c r="C34" s="62">
        <v>3.2000000000000001E-2</v>
      </c>
      <c r="D34" s="63">
        <f>LOG(C34)</f>
        <v>-1.494850021680094</v>
      </c>
      <c r="E34" s="64">
        <f>AVERAGE(C7:C8)</f>
        <v>28.724096929567303</v>
      </c>
      <c r="F34" s="6"/>
      <c r="G34" s="6"/>
      <c r="H34" s="6"/>
      <c r="I34" s="6"/>
      <c r="J34" s="62">
        <v>3.2000000000000001E-2</v>
      </c>
      <c r="K34" s="63">
        <f>LOG(J34)</f>
        <v>-1.494850021680094</v>
      </c>
      <c r="L34" s="64">
        <f>AVERAGE(R7:R8)</f>
        <v>32.78619148348465</v>
      </c>
      <c r="M34" s="6"/>
      <c r="N34" s="6"/>
      <c r="O34" s="6"/>
      <c r="P34" s="6"/>
      <c r="Q34" s="62">
        <v>3.2000000000000001E-2</v>
      </c>
      <c r="R34" s="63">
        <f>LOG(Q34)</f>
        <v>-1.494850021680094</v>
      </c>
      <c r="S34" s="64">
        <f>AVERAGE(I10:I11)</f>
        <v>24.61850431842085</v>
      </c>
      <c r="T34" s="6"/>
      <c r="U34" s="6"/>
      <c r="V34" s="6"/>
      <c r="W34" s="6"/>
      <c r="X34" s="62">
        <v>3.2000000000000001E-2</v>
      </c>
      <c r="Y34" s="63">
        <f>LOG(X34)</f>
        <v>-1.494850021680094</v>
      </c>
      <c r="Z34" s="64">
        <f>AVERAGE(C13:C14)</f>
        <v>26.128854243737699</v>
      </c>
      <c r="AA34" s="6"/>
      <c r="AB34" s="6"/>
      <c r="AC34" s="6"/>
      <c r="AD34" s="6"/>
      <c r="AE34" s="62">
        <v>3.2000000000000001E-2</v>
      </c>
      <c r="AF34" s="63">
        <f>LOG(AE34)</f>
        <v>-1.494850021680094</v>
      </c>
      <c r="AG34" s="64">
        <f>AVERAGE(R13:R14)</f>
        <v>27.066061946732447</v>
      </c>
      <c r="AH34" s="6"/>
      <c r="AI34" s="6"/>
      <c r="AJ34" s="6"/>
      <c r="AK34" s="6"/>
      <c r="AL34" s="62">
        <v>3.2000000000000001E-2</v>
      </c>
      <c r="AM34" s="63">
        <f>LOG(AL34)</f>
        <v>-1.494850021680094</v>
      </c>
      <c r="AN34" s="64">
        <f>AVERAGE(I16:I17)</f>
        <v>27.045521592080199</v>
      </c>
      <c r="AO34" s="6"/>
      <c r="AP34" s="6"/>
      <c r="AQ34" s="6"/>
      <c r="AR34" s="6"/>
      <c r="AS34" s="6"/>
      <c r="AT34" s="6"/>
      <c r="AU34" s="6"/>
      <c r="AV34" s="6"/>
      <c r="AW34" s="6"/>
      <c r="AX34" s="6"/>
      <c r="AY34" s="6"/>
      <c r="AZ34" s="6"/>
      <c r="BA34" s="6"/>
      <c r="BB34" s="6"/>
      <c r="BC34" s="6"/>
      <c r="BD34" s="6"/>
      <c r="BE34" s="6"/>
      <c r="BF34" s="6"/>
      <c r="BG34" s="6"/>
      <c r="BH34" s="6"/>
      <c r="BI34" s="6"/>
      <c r="BJ34" s="6"/>
      <c r="BK34" s="6"/>
      <c r="BL34" s="6"/>
      <c r="BM34" s="6"/>
      <c r="BN34" s="6"/>
      <c r="BO34" s="6"/>
      <c r="BP34" s="6"/>
      <c r="BQ34" s="6"/>
      <c r="BR34" s="6"/>
      <c r="BS34" s="6"/>
      <c r="BT34" s="6"/>
      <c r="BU34" s="6"/>
      <c r="BV34" s="6"/>
      <c r="BW34" s="6"/>
      <c r="BX34" s="6"/>
    </row>
    <row r="35" spans="1:88" x14ac:dyDescent="0.25">
      <c r="A35" s="6"/>
      <c r="B35" s="39"/>
      <c r="C35" s="62">
        <v>0.16</v>
      </c>
      <c r="D35" s="63">
        <f>LOG(C35)</f>
        <v>-0.79588001734407521</v>
      </c>
      <c r="E35" s="64">
        <f>AVERAGE(D7:D8)</f>
        <v>26.437321127642349</v>
      </c>
      <c r="F35" s="6"/>
      <c r="G35" s="6"/>
      <c r="H35" s="6"/>
      <c r="I35" s="6"/>
      <c r="J35" s="62">
        <v>0.16</v>
      </c>
      <c r="K35" s="63">
        <f>LOG(J35)</f>
        <v>-0.79588001734407521</v>
      </c>
      <c r="L35" s="64">
        <f>AVERAGE(S7:S8)</f>
        <v>28.009237760066551</v>
      </c>
      <c r="M35" s="6"/>
      <c r="N35" s="6"/>
      <c r="O35" s="6"/>
      <c r="P35" s="6"/>
      <c r="Q35" s="62">
        <v>0.16</v>
      </c>
      <c r="R35" s="63">
        <f>LOG(Q35)</f>
        <v>-0.79588001734407521</v>
      </c>
      <c r="S35" s="64">
        <f>AVERAGE(J10:J11)</f>
        <v>23.073372206533598</v>
      </c>
      <c r="T35" s="6"/>
      <c r="U35" s="6"/>
      <c r="V35" s="6"/>
      <c r="W35" s="6"/>
      <c r="X35" s="62">
        <v>0.16</v>
      </c>
      <c r="Y35" s="63">
        <f>LOG(X35)</f>
        <v>-0.79588001734407521</v>
      </c>
      <c r="Z35" s="64">
        <f>AVERAGE(D13:D14)</f>
        <v>23.5519647455132</v>
      </c>
      <c r="AA35" s="6"/>
      <c r="AB35" s="6"/>
      <c r="AC35" s="6"/>
      <c r="AD35" s="6"/>
      <c r="AE35" s="62">
        <v>0.16</v>
      </c>
      <c r="AF35" s="63">
        <f>LOG(AE35)</f>
        <v>-0.79588001734407521</v>
      </c>
      <c r="AG35" s="64">
        <f>AVERAGE(S13:S14)</f>
        <v>24.59634123790385</v>
      </c>
      <c r="AH35" s="6"/>
      <c r="AI35" s="6"/>
      <c r="AJ35" s="6"/>
      <c r="AK35" s="6"/>
      <c r="AL35" s="62">
        <v>0.16</v>
      </c>
      <c r="AM35" s="63">
        <f>LOG(AL35)</f>
        <v>-0.79588001734407521</v>
      </c>
      <c r="AN35" s="64">
        <f>AVERAGE(J16:J17)</f>
        <v>24.478827821913953</v>
      </c>
      <c r="AO35" s="6"/>
      <c r="AP35" s="6"/>
      <c r="AQ35" s="6"/>
      <c r="AR35" s="6"/>
      <c r="AS35" s="6"/>
      <c r="AT35" s="6"/>
      <c r="AU35" s="6"/>
      <c r="AV35" s="6"/>
      <c r="AW35" s="6"/>
      <c r="AX35" s="6"/>
      <c r="AY35" s="6"/>
      <c r="AZ35" s="6"/>
      <c r="BA35" s="6"/>
      <c r="BB35" s="6"/>
      <c r="BC35" s="6"/>
      <c r="BD35" s="6"/>
      <c r="BE35" s="6"/>
      <c r="BF35" s="6"/>
      <c r="BG35" s="6"/>
      <c r="BH35" s="6"/>
      <c r="BI35" s="6"/>
      <c r="BJ35" s="6"/>
      <c r="BK35" s="6"/>
      <c r="BL35" s="6"/>
      <c r="BM35" s="6"/>
      <c r="BN35" s="6"/>
      <c r="BO35" s="6"/>
      <c r="BP35" s="6"/>
      <c r="BQ35" s="6"/>
      <c r="BR35" s="6"/>
      <c r="BS35" s="6"/>
      <c r="BT35" s="6"/>
      <c r="BU35" s="6"/>
      <c r="BV35" s="6"/>
      <c r="BW35" s="6"/>
      <c r="BX35" s="6"/>
    </row>
    <row r="36" spans="1:88" x14ac:dyDescent="0.25">
      <c r="A36" s="6"/>
      <c r="B36" s="39"/>
      <c r="C36" s="62">
        <v>0.8</v>
      </c>
      <c r="D36" s="63">
        <f>LOG(C36)</f>
        <v>-9.6910013008056392E-2</v>
      </c>
      <c r="E36" s="64">
        <f>AVERAGE(E7:E8)</f>
        <v>23.97650026913615</v>
      </c>
      <c r="F36" s="6"/>
      <c r="G36" s="6"/>
      <c r="H36" s="6"/>
      <c r="I36" s="6"/>
      <c r="J36" s="62">
        <v>0.8</v>
      </c>
      <c r="K36" s="63">
        <f>LOG(J36)</f>
        <v>-9.6910013008056392E-2</v>
      </c>
      <c r="L36" s="64">
        <f>AVERAGE(T7:T8)</f>
        <v>23.582852058700901</v>
      </c>
      <c r="M36" s="6"/>
      <c r="N36" s="6"/>
      <c r="O36" s="6"/>
      <c r="P36" s="6"/>
      <c r="Q36" s="62">
        <v>0.8</v>
      </c>
      <c r="R36" s="63">
        <f>LOG(Q36)</f>
        <v>-9.6910013008056392E-2</v>
      </c>
      <c r="S36" s="64">
        <f>AVERAGE(K10:K11)</f>
        <v>23.0864857962417</v>
      </c>
      <c r="T36" s="6"/>
      <c r="U36" s="6"/>
      <c r="V36" s="6"/>
      <c r="W36" s="6"/>
      <c r="X36" s="62">
        <v>0.8</v>
      </c>
      <c r="Y36" s="63">
        <f>LOG(X36)</f>
        <v>-9.6910013008056392E-2</v>
      </c>
      <c r="Z36" s="64">
        <f>AVERAGE(E13:E14)</f>
        <v>21.174774796192601</v>
      </c>
      <c r="AA36" s="6"/>
      <c r="AB36" s="6"/>
      <c r="AC36" s="6"/>
      <c r="AD36" s="6"/>
      <c r="AE36" s="62">
        <v>0.8</v>
      </c>
      <c r="AF36" s="63">
        <f>LOG(AE36)</f>
        <v>-9.6910013008056392E-2</v>
      </c>
      <c r="AG36" s="64">
        <f>AVERAGE(T13:T14)</f>
        <v>22.463918459217048</v>
      </c>
      <c r="AH36" s="6"/>
      <c r="AI36" s="6"/>
      <c r="AJ36" s="6"/>
      <c r="AK36" s="6"/>
      <c r="AL36" s="62">
        <v>0.8</v>
      </c>
      <c r="AM36" s="63">
        <f>LOG(AL36)</f>
        <v>-9.6910013008056392E-2</v>
      </c>
      <c r="AN36" s="64">
        <f>AVERAGE(K16:K17)</f>
        <v>21.774270716017551</v>
      </c>
      <c r="AO36" s="6"/>
      <c r="AP36" s="6"/>
      <c r="AQ36" s="6"/>
      <c r="AR36" s="6"/>
      <c r="AS36" s="6"/>
      <c r="AT36" s="6"/>
      <c r="AU36" s="6"/>
      <c r="AV36" s="6"/>
      <c r="AW36" s="6"/>
      <c r="AX36" s="6"/>
      <c r="AY36" s="6"/>
      <c r="AZ36" s="6"/>
      <c r="BA36" s="6"/>
      <c r="BB36" s="6"/>
      <c r="BC36" s="6"/>
      <c r="BD36" s="6"/>
      <c r="BE36" s="6"/>
      <c r="BF36" s="6"/>
      <c r="BG36" s="6"/>
      <c r="BH36" s="6"/>
      <c r="BI36" s="6"/>
      <c r="BJ36" s="6"/>
      <c r="BK36" s="6"/>
      <c r="BL36" s="6"/>
      <c r="BM36" s="6"/>
      <c r="BN36" s="6"/>
      <c r="BO36" s="6"/>
      <c r="BP36" s="6"/>
      <c r="BQ36" s="6"/>
      <c r="BR36" s="6"/>
      <c r="BS36" s="6"/>
      <c r="BT36" s="6"/>
      <c r="BU36" s="6"/>
      <c r="BV36" s="6"/>
      <c r="BW36" s="6"/>
      <c r="BX36" s="6"/>
    </row>
    <row r="37" spans="1:88" x14ac:dyDescent="0.25">
      <c r="A37" s="6"/>
      <c r="B37" s="39"/>
      <c r="C37" s="62">
        <v>4</v>
      </c>
      <c r="D37" s="63">
        <f>LOG(C37)</f>
        <v>0.6020599913279624</v>
      </c>
      <c r="E37" s="64">
        <f>AVERAGE(F7:F8)</f>
        <v>21.532871220074998</v>
      </c>
      <c r="F37" s="6"/>
      <c r="G37" s="6"/>
      <c r="H37" s="6"/>
      <c r="I37" s="6"/>
      <c r="J37" s="62">
        <v>4</v>
      </c>
      <c r="K37" s="63">
        <f>LOG(J37)</f>
        <v>0.6020599913279624</v>
      </c>
      <c r="L37" s="64">
        <f>AVERAGE(U7:U8)</f>
        <v>19.8196285076347</v>
      </c>
      <c r="M37" s="6"/>
      <c r="N37" s="6"/>
      <c r="O37" s="6"/>
      <c r="P37" s="6"/>
      <c r="Q37" s="62">
        <v>4</v>
      </c>
      <c r="R37" s="63">
        <f>LOG(Q37)</f>
        <v>0.6020599913279624</v>
      </c>
      <c r="S37" s="64">
        <f>AVERAGE(L10:L11)</f>
        <v>23.775709556539951</v>
      </c>
      <c r="T37" s="6"/>
      <c r="U37" s="6"/>
      <c r="V37" s="6"/>
      <c r="W37" s="6"/>
      <c r="X37" s="62">
        <v>4</v>
      </c>
      <c r="Y37" s="63">
        <f>LOG(X37)</f>
        <v>0.6020599913279624</v>
      </c>
      <c r="Z37" s="64">
        <f>AVERAGE(F13:F14)</f>
        <v>18.933012919384602</v>
      </c>
      <c r="AA37" s="6"/>
      <c r="AB37" s="6"/>
      <c r="AC37" s="6"/>
      <c r="AD37" s="6"/>
      <c r="AE37" s="62">
        <v>4</v>
      </c>
      <c r="AF37" s="63">
        <f>LOG(AE37)</f>
        <v>0.6020599913279624</v>
      </c>
      <c r="AG37" s="64">
        <f>AVERAGE(U13:U14)</f>
        <v>20.11308776950295</v>
      </c>
      <c r="AH37" s="6"/>
      <c r="AI37" s="6"/>
      <c r="AJ37" s="6"/>
      <c r="AK37" s="6"/>
      <c r="AL37" s="62">
        <v>4</v>
      </c>
      <c r="AM37" s="63">
        <f>LOG(AL37)</f>
        <v>0.6020599913279624</v>
      </c>
      <c r="AN37" s="64">
        <f>AVERAGE(L16:L17)</f>
        <v>19.377866740461648</v>
      </c>
      <c r="AO37" s="6"/>
      <c r="AP37" s="6"/>
      <c r="AQ37" s="6"/>
      <c r="AR37" s="6"/>
      <c r="AS37" s="6"/>
      <c r="AT37" s="6"/>
      <c r="AU37" s="6"/>
      <c r="AV37" s="6"/>
      <c r="AW37" s="6"/>
      <c r="AX37" s="6"/>
      <c r="AY37" s="6"/>
      <c r="AZ37" s="6"/>
      <c r="BA37" s="6"/>
      <c r="BB37" s="6"/>
      <c r="BC37" s="6"/>
      <c r="BD37" s="6"/>
      <c r="BE37" s="6"/>
      <c r="BF37" s="6"/>
      <c r="BG37" s="6"/>
      <c r="BH37" s="6"/>
      <c r="BI37" s="6"/>
      <c r="BJ37" s="6"/>
      <c r="BK37" s="6"/>
      <c r="BL37" s="6"/>
      <c r="BM37" s="6"/>
      <c r="BN37" s="6"/>
      <c r="BO37" s="6"/>
      <c r="BP37" s="6"/>
      <c r="BQ37" s="6"/>
      <c r="BR37" s="6"/>
      <c r="BS37" s="6"/>
      <c r="BT37" s="6"/>
      <c r="BU37" s="6"/>
      <c r="BV37" s="6"/>
      <c r="BW37" s="6"/>
      <c r="BX37" s="6"/>
    </row>
    <row r="38" spans="1:88" x14ac:dyDescent="0.25">
      <c r="A38" s="6"/>
      <c r="B38" s="39"/>
      <c r="C38" s="65">
        <v>20</v>
      </c>
      <c r="D38" s="66">
        <f>LOG(C38)</f>
        <v>1.3010299956639813</v>
      </c>
      <c r="E38" s="67">
        <f>AVERAGE(G7:G8)</f>
        <v>19.52341698395395</v>
      </c>
      <c r="F38" s="6"/>
      <c r="G38" s="6"/>
      <c r="H38" s="6"/>
      <c r="I38" s="6"/>
      <c r="J38" s="65">
        <v>20</v>
      </c>
      <c r="K38" s="66">
        <f>LOG(J38)</f>
        <v>1.3010299956639813</v>
      </c>
      <c r="L38" s="67">
        <f>AVERAGE(V7:V8)</f>
        <v>17.340097862032351</v>
      </c>
      <c r="M38" s="6"/>
      <c r="N38" s="6"/>
      <c r="O38" s="6"/>
      <c r="P38" s="6"/>
      <c r="Q38" s="65">
        <v>20</v>
      </c>
      <c r="R38" s="66">
        <f>LOG(Q38)</f>
        <v>1.3010299956639813</v>
      </c>
      <c r="S38" s="67">
        <f>AVERAGE(M10:M11)</f>
        <v>23.126506907523201</v>
      </c>
      <c r="T38" s="6"/>
      <c r="U38" s="6"/>
      <c r="V38" s="6"/>
      <c r="W38" s="6"/>
      <c r="X38" s="65">
        <v>20</v>
      </c>
      <c r="Y38" s="66">
        <f>LOG(X38)</f>
        <v>1.3010299956639813</v>
      </c>
      <c r="Z38" s="67">
        <f>AVERAGE(G13:G14)</f>
        <v>16.7646839644724</v>
      </c>
      <c r="AA38" s="6"/>
      <c r="AB38" s="6"/>
      <c r="AC38" s="6"/>
      <c r="AD38" s="6"/>
      <c r="AE38" s="65">
        <v>20</v>
      </c>
      <c r="AF38" s="66">
        <f>LOG(AE38)</f>
        <v>1.3010299956639813</v>
      </c>
      <c r="AG38" s="67">
        <f>AVERAGE(V13:V14)</f>
        <v>18.011997041192998</v>
      </c>
      <c r="AH38" s="6"/>
      <c r="AI38" s="6"/>
      <c r="AJ38" s="6"/>
      <c r="AK38" s="6"/>
      <c r="AL38" s="65">
        <v>20</v>
      </c>
      <c r="AM38" s="66">
        <f>LOG(AL38)</f>
        <v>1.3010299956639813</v>
      </c>
      <c r="AN38" s="67">
        <f>AVERAGE(M16:M17)</f>
        <v>17.062986936260252</v>
      </c>
      <c r="AO38" s="6"/>
      <c r="AP38" s="6"/>
      <c r="AQ38" s="6"/>
      <c r="AR38" s="6"/>
      <c r="AS38" s="6"/>
      <c r="AT38" s="6"/>
      <c r="AU38" s="6"/>
      <c r="AV38" s="6"/>
      <c r="AW38" s="6"/>
      <c r="AX38" s="6"/>
      <c r="AY38" s="6"/>
      <c r="AZ38" s="6"/>
      <c r="BA38" s="6"/>
      <c r="BB38" s="6"/>
      <c r="BC38" s="6"/>
      <c r="BD38" s="6"/>
      <c r="BE38" s="6"/>
      <c r="BF38" s="6"/>
      <c r="BG38" s="6"/>
      <c r="BH38" s="6"/>
      <c r="BI38" s="6"/>
      <c r="BJ38" s="6"/>
      <c r="BK38" s="6"/>
      <c r="BL38" s="6"/>
      <c r="BM38" s="6"/>
      <c r="BN38" s="6"/>
      <c r="BO38" s="6"/>
      <c r="BP38" s="6"/>
      <c r="BQ38" s="6"/>
      <c r="BR38" s="6"/>
      <c r="BS38" s="6"/>
      <c r="BT38" s="6"/>
      <c r="BU38" s="6"/>
      <c r="BV38" s="6"/>
      <c r="BW38" s="6"/>
      <c r="BX38" s="6"/>
    </row>
    <row r="39" spans="1:88" x14ac:dyDescent="0.25">
      <c r="A39" s="6"/>
      <c r="B39" s="45"/>
      <c r="C39" s="107" t="s">
        <v>46</v>
      </c>
      <c r="D39" s="108"/>
      <c r="E39" s="37">
        <f>(10^(-1/-3.3343)-1)*100</f>
        <v>99.486277012772391</v>
      </c>
      <c r="F39" s="6"/>
      <c r="G39" s="6"/>
      <c r="H39" s="6"/>
      <c r="I39" s="6"/>
      <c r="J39" s="107" t="s">
        <v>46</v>
      </c>
      <c r="K39" s="108"/>
      <c r="L39" s="37">
        <f>(10^(-1/-5.5913)-1)*100</f>
        <v>50.955619127065056</v>
      </c>
      <c r="M39" s="6"/>
      <c r="N39" s="6"/>
      <c r="O39" s="6"/>
      <c r="P39" s="6"/>
      <c r="Q39" s="107" t="s">
        <v>46</v>
      </c>
      <c r="R39" s="108"/>
      <c r="S39" s="37">
        <f>(10^(-1/-0.3264)-1)*100</f>
        <v>115704.51450681126</v>
      </c>
      <c r="T39" s="6"/>
      <c r="U39" s="6"/>
      <c r="V39" s="6"/>
      <c r="W39" s="6"/>
      <c r="X39" s="107" t="s">
        <v>46</v>
      </c>
      <c r="Y39" s="108"/>
      <c r="Z39" s="37">
        <f>(10^(-1/-3.3402)-1)*100</f>
        <v>99.24309092227179</v>
      </c>
      <c r="AA39" s="6"/>
      <c r="AB39" s="6"/>
      <c r="AC39" s="6"/>
      <c r="AD39" s="6"/>
      <c r="AE39" s="107" t="s">
        <v>46</v>
      </c>
      <c r="AF39" s="108"/>
      <c r="AG39" s="37">
        <f>(10^(-1/-3.2321)-1)*100</f>
        <v>103.89020742167973</v>
      </c>
      <c r="AH39" s="6"/>
      <c r="AI39" s="6"/>
      <c r="AJ39" s="6"/>
      <c r="AK39" s="6"/>
      <c r="AL39" s="107" t="s">
        <v>46</v>
      </c>
      <c r="AM39" s="108"/>
      <c r="AN39" s="37">
        <f>(10^(-1/-3.5861)-1)*100</f>
        <v>90.044132628212026</v>
      </c>
      <c r="AO39" s="6"/>
      <c r="AP39" s="6"/>
      <c r="AQ39" s="6"/>
      <c r="AR39" s="6"/>
      <c r="AS39" s="6"/>
      <c r="AT39" s="6"/>
      <c r="AU39" s="6"/>
      <c r="AV39" s="6"/>
      <c r="AW39" s="6"/>
      <c r="AX39" s="6"/>
      <c r="AY39" s="6"/>
      <c r="AZ39" s="6"/>
      <c r="BA39" s="6"/>
      <c r="BB39" s="6"/>
      <c r="BC39" s="6"/>
      <c r="BD39" s="6"/>
      <c r="BE39" s="6"/>
      <c r="BF39" s="6"/>
      <c r="BG39" s="6"/>
      <c r="BH39" s="6"/>
      <c r="BI39" s="6"/>
      <c r="BJ39" s="6"/>
      <c r="BK39" s="6"/>
      <c r="BL39" s="6"/>
      <c r="BM39" s="6"/>
      <c r="BN39" s="6"/>
      <c r="BO39" s="6"/>
      <c r="BP39" s="6"/>
      <c r="BQ39" s="6"/>
      <c r="BR39" s="6"/>
      <c r="BS39" s="6"/>
      <c r="BT39" s="6"/>
      <c r="BU39" s="6"/>
      <c r="BV39" s="6"/>
      <c r="BW39" s="6"/>
      <c r="BX39" s="6"/>
    </row>
    <row r="40" spans="1:88" x14ac:dyDescent="0.25">
      <c r="A40" s="6"/>
      <c r="B40" s="45"/>
      <c r="C40" s="107" t="s">
        <v>50</v>
      </c>
      <c r="D40" s="108"/>
      <c r="E40" s="37">
        <f>SUM(E39/100)+1</f>
        <v>1.9948627701277239</v>
      </c>
      <c r="F40" s="6"/>
      <c r="G40" s="6"/>
      <c r="H40" s="6"/>
      <c r="I40" s="6"/>
      <c r="J40" s="107" t="s">
        <v>50</v>
      </c>
      <c r="K40" s="108"/>
      <c r="L40" s="37">
        <f>SUM(L39/100)+1</f>
        <v>1.5095561912706505</v>
      </c>
      <c r="M40" s="6"/>
      <c r="N40" s="6"/>
      <c r="O40" s="6"/>
      <c r="P40" s="6"/>
      <c r="Q40" s="107" t="s">
        <v>50</v>
      </c>
      <c r="R40" s="108"/>
      <c r="S40" s="37">
        <f>SUM(S39/100)+1</f>
        <v>1158.0451450681126</v>
      </c>
      <c r="T40" s="6"/>
      <c r="U40" s="6"/>
      <c r="V40" s="6"/>
      <c r="W40" s="6"/>
      <c r="X40" s="107" t="s">
        <v>50</v>
      </c>
      <c r="Y40" s="108"/>
      <c r="Z40" s="37">
        <f>SUM(Z39/100)+1</f>
        <v>1.9924309092227179</v>
      </c>
      <c r="AA40" s="6"/>
      <c r="AB40" s="6"/>
      <c r="AC40" s="6"/>
      <c r="AD40" s="6"/>
      <c r="AE40" s="107" t="s">
        <v>50</v>
      </c>
      <c r="AF40" s="108"/>
      <c r="AG40" s="37">
        <f>SUM(AG39/100)+1</f>
        <v>2.0389020742167974</v>
      </c>
      <c r="AH40" s="6"/>
      <c r="AI40" s="6"/>
      <c r="AJ40" s="6"/>
      <c r="AK40" s="6"/>
      <c r="AL40" s="107" t="s">
        <v>50</v>
      </c>
      <c r="AM40" s="108"/>
      <c r="AN40" s="37">
        <f>SUM(AN39/100)+1</f>
        <v>1.9004413262821203</v>
      </c>
      <c r="AO40" s="6"/>
      <c r="AP40" s="6"/>
      <c r="AQ40" s="6"/>
      <c r="AR40" s="6"/>
      <c r="AS40" s="6"/>
      <c r="AT40" s="6"/>
      <c r="AU40" s="6"/>
      <c r="AV40" s="6"/>
      <c r="AW40" s="6"/>
      <c r="AX40" s="6"/>
      <c r="AY40" s="6"/>
      <c r="AZ40" s="6"/>
      <c r="BA40" s="6"/>
      <c r="BB40" s="6"/>
      <c r="BC40" s="6"/>
      <c r="BD40" s="6"/>
      <c r="BE40" s="6"/>
      <c r="BF40" s="6"/>
      <c r="BG40" s="6"/>
      <c r="BH40" s="6"/>
      <c r="BI40" s="6"/>
      <c r="BJ40" s="6"/>
      <c r="BK40" s="6"/>
      <c r="BL40" s="6"/>
      <c r="BM40" s="6"/>
      <c r="BN40" s="6"/>
      <c r="BO40" s="6"/>
      <c r="BP40" s="6"/>
      <c r="BQ40" s="6"/>
      <c r="BR40" s="6"/>
      <c r="BS40" s="6"/>
      <c r="BT40" s="6"/>
      <c r="BU40" s="6"/>
      <c r="BV40" s="6"/>
      <c r="BW40" s="6"/>
      <c r="BX40" s="6"/>
    </row>
    <row r="41" spans="1:88" x14ac:dyDescent="0.25">
      <c r="A41" s="6"/>
      <c r="B41" s="43"/>
      <c r="C41" s="42"/>
      <c r="E41" s="42"/>
      <c r="F41" s="6"/>
      <c r="G41" s="6"/>
      <c r="H41" s="42"/>
      <c r="I41" s="42"/>
      <c r="J41" s="42"/>
      <c r="K41" s="6"/>
      <c r="L41" s="6"/>
      <c r="M41" s="42"/>
      <c r="N41" s="42"/>
      <c r="O41" s="42"/>
      <c r="P41" s="6"/>
      <c r="Q41" s="6"/>
      <c r="R41" s="42"/>
      <c r="S41" s="42"/>
      <c r="T41" s="42"/>
      <c r="U41" s="6"/>
      <c r="V41" s="6"/>
      <c r="W41" s="42"/>
      <c r="X41" s="42"/>
      <c r="Y41" s="42"/>
      <c r="Z41" s="6"/>
      <c r="AA41" s="6"/>
      <c r="AB41" s="42"/>
      <c r="AC41" s="42"/>
      <c r="AD41" s="42"/>
      <c r="AE41" s="6"/>
      <c r="AF41" s="42"/>
      <c r="AG41" s="6"/>
      <c r="AH41" s="6"/>
      <c r="AI41" s="6"/>
      <c r="AJ41" s="6"/>
      <c r="AK41" s="6"/>
      <c r="AL41" s="6"/>
      <c r="AM41" s="6"/>
      <c r="AN41" s="6"/>
      <c r="AO41" s="6"/>
      <c r="AP41" s="6"/>
      <c r="AQ41" s="6"/>
      <c r="AR41" s="6"/>
      <c r="AS41" s="6"/>
      <c r="AT41" s="6"/>
      <c r="AU41" s="6"/>
      <c r="AV41" s="6"/>
      <c r="AW41" s="6"/>
      <c r="AX41" s="6"/>
      <c r="AY41" s="6"/>
      <c r="AZ41" s="6"/>
      <c r="BA41" s="6"/>
      <c r="BB41" s="6"/>
      <c r="BC41" s="6"/>
      <c r="BD41" s="6"/>
      <c r="BE41" s="6"/>
      <c r="BF41" s="6"/>
      <c r="BG41" s="6"/>
      <c r="BH41" s="6"/>
      <c r="BI41" s="6"/>
      <c r="BJ41" s="6"/>
      <c r="BK41" s="6"/>
      <c r="BL41" s="6"/>
      <c r="BM41" s="6"/>
      <c r="BN41" s="6"/>
      <c r="BO41" s="6"/>
      <c r="BP41" s="6"/>
      <c r="BQ41" s="6"/>
      <c r="BR41" s="6"/>
      <c r="BS41" s="6"/>
      <c r="BT41" s="6"/>
      <c r="BU41" s="6"/>
      <c r="BV41" s="6"/>
      <c r="BW41" s="6"/>
      <c r="BX41" s="6"/>
    </row>
    <row r="42" spans="1:88" x14ac:dyDescent="0.25">
      <c r="A42" s="6"/>
      <c r="B42" s="44"/>
      <c r="C42" s="104" t="s">
        <v>105</v>
      </c>
      <c r="D42" s="105"/>
      <c r="E42" s="105"/>
      <c r="F42" s="105"/>
      <c r="G42" s="105"/>
      <c r="H42" s="106"/>
      <c r="J42" s="104" t="s">
        <v>106</v>
      </c>
      <c r="K42" s="105"/>
      <c r="L42" s="105"/>
      <c r="M42" s="105"/>
      <c r="N42" s="105"/>
      <c r="O42" s="106"/>
      <c r="Q42" s="104" t="s">
        <v>107</v>
      </c>
      <c r="R42" s="105"/>
      <c r="S42" s="105"/>
      <c r="T42" s="105"/>
      <c r="U42" s="105"/>
      <c r="V42" s="106"/>
      <c r="X42" s="104" t="s">
        <v>108</v>
      </c>
      <c r="Y42" s="105"/>
      <c r="Z42" s="105"/>
      <c r="AA42" s="105"/>
      <c r="AB42" s="105"/>
      <c r="AC42" s="106"/>
      <c r="AE42" s="104" t="s">
        <v>109</v>
      </c>
      <c r="AF42" s="105"/>
      <c r="AG42" s="105"/>
      <c r="AH42" s="105"/>
      <c r="AI42" s="105"/>
      <c r="AJ42" s="106"/>
      <c r="AL42" s="104" t="s">
        <v>110</v>
      </c>
      <c r="AM42" s="105"/>
      <c r="AN42" s="105"/>
      <c r="AO42" s="105"/>
      <c r="AP42" s="105"/>
      <c r="AQ42" s="106"/>
      <c r="AR42" s="42"/>
      <c r="AS42" s="6"/>
      <c r="AT42" s="6"/>
      <c r="AU42" s="6"/>
      <c r="AV42" s="6"/>
      <c r="AW42" s="6"/>
      <c r="AX42" s="6"/>
      <c r="AY42" s="6"/>
      <c r="AZ42" s="6"/>
      <c r="BA42" s="6"/>
      <c r="BB42" s="6"/>
      <c r="BC42" s="6"/>
      <c r="BD42" s="6"/>
      <c r="BE42" s="6"/>
      <c r="BF42" s="6"/>
      <c r="BG42" s="6"/>
      <c r="BH42" s="6"/>
      <c r="BI42" s="6"/>
      <c r="BJ42" s="6"/>
      <c r="BK42" s="6"/>
      <c r="BL42" s="6"/>
      <c r="BM42" s="6"/>
      <c r="BN42" s="6"/>
      <c r="BO42" s="6"/>
      <c r="BP42" s="6"/>
      <c r="BQ42" s="6"/>
      <c r="BR42" s="6"/>
      <c r="BS42" s="6"/>
      <c r="BT42" s="6"/>
      <c r="BU42" s="6"/>
      <c r="BV42" s="6"/>
      <c r="BW42" s="6"/>
      <c r="BX42" s="6"/>
      <c r="BY42" s="6"/>
      <c r="BZ42" s="6"/>
      <c r="CA42" s="6"/>
      <c r="CB42" s="6"/>
      <c r="CC42" s="6"/>
      <c r="CD42" s="6"/>
      <c r="CE42" s="6"/>
      <c r="CF42" s="6"/>
      <c r="CG42" s="6"/>
      <c r="CH42" s="6"/>
      <c r="CI42" s="6"/>
    </row>
    <row r="43" spans="1:88" ht="15" customHeight="1" x14ac:dyDescent="0.25">
      <c r="A43" s="6"/>
      <c r="B43" s="44"/>
      <c r="C43" s="127" t="s">
        <v>17</v>
      </c>
      <c r="D43" s="80" t="s">
        <v>51</v>
      </c>
      <c r="E43" s="80" t="s">
        <v>53</v>
      </c>
      <c r="F43" s="80" t="s">
        <v>55</v>
      </c>
      <c r="G43" s="81" t="s">
        <v>57</v>
      </c>
      <c r="H43" s="79" t="s">
        <v>59</v>
      </c>
      <c r="I43" s="6"/>
      <c r="J43" s="114" t="s">
        <v>18</v>
      </c>
      <c r="K43" s="80" t="s">
        <v>51</v>
      </c>
      <c r="L43" s="80" t="s">
        <v>53</v>
      </c>
      <c r="M43" s="80" t="s">
        <v>55</v>
      </c>
      <c r="N43" s="80" t="s">
        <v>57</v>
      </c>
      <c r="O43" s="82" t="s">
        <v>59</v>
      </c>
      <c r="P43" s="39"/>
      <c r="Q43" s="114" t="s">
        <v>26</v>
      </c>
      <c r="R43" s="80" t="s">
        <v>51</v>
      </c>
      <c r="S43" s="80" t="s">
        <v>53</v>
      </c>
      <c r="T43" s="80" t="s">
        <v>55</v>
      </c>
      <c r="U43" s="80" t="s">
        <v>57</v>
      </c>
      <c r="V43" s="82" t="s">
        <v>59</v>
      </c>
      <c r="W43" s="83"/>
      <c r="X43" s="114" t="s">
        <v>19</v>
      </c>
      <c r="Y43" s="80" t="s">
        <v>51</v>
      </c>
      <c r="Z43" s="80" t="s">
        <v>53</v>
      </c>
      <c r="AA43" s="80" t="s">
        <v>55</v>
      </c>
      <c r="AB43" s="80" t="s">
        <v>57</v>
      </c>
      <c r="AC43" s="82" t="s">
        <v>59</v>
      </c>
      <c r="AD43" s="83"/>
      <c r="AE43" s="113" t="s">
        <v>20</v>
      </c>
      <c r="AF43" s="80" t="s">
        <v>51</v>
      </c>
      <c r="AG43" s="80" t="s">
        <v>53</v>
      </c>
      <c r="AH43" s="80" t="s">
        <v>55</v>
      </c>
      <c r="AI43" s="80" t="s">
        <v>57</v>
      </c>
      <c r="AJ43" s="82" t="s">
        <v>59</v>
      </c>
      <c r="AK43" s="83"/>
      <c r="AL43" s="113" t="s">
        <v>21</v>
      </c>
      <c r="AM43" s="80" t="s">
        <v>51</v>
      </c>
      <c r="AN43" s="80" t="s">
        <v>53</v>
      </c>
      <c r="AO43" s="80" t="s">
        <v>55</v>
      </c>
      <c r="AP43" s="80" t="s">
        <v>57</v>
      </c>
      <c r="AQ43" s="82" t="s">
        <v>59</v>
      </c>
      <c r="AR43" s="42"/>
      <c r="AS43" s="6"/>
      <c r="AT43" s="6"/>
      <c r="AU43" s="6"/>
      <c r="AV43" s="6"/>
      <c r="AW43" s="6"/>
      <c r="AX43" s="6"/>
      <c r="AY43" s="6"/>
      <c r="AZ43" s="6"/>
      <c r="BA43" s="6"/>
      <c r="BB43" s="6"/>
      <c r="BC43" s="6"/>
      <c r="BD43" s="6"/>
      <c r="BE43" s="6"/>
      <c r="BF43" s="6"/>
      <c r="BG43" s="6"/>
      <c r="BH43" s="6"/>
      <c r="BI43" s="6"/>
      <c r="BJ43" s="6"/>
      <c r="BK43" s="6"/>
      <c r="BL43" s="6"/>
      <c r="BM43" s="6"/>
      <c r="BN43" s="6"/>
      <c r="BO43" s="6"/>
      <c r="BP43" s="6"/>
      <c r="BQ43" s="6"/>
      <c r="BR43" s="6"/>
      <c r="BS43" s="6"/>
      <c r="BT43" s="6"/>
      <c r="BU43" s="6"/>
      <c r="BV43" s="6"/>
      <c r="BW43" s="6"/>
      <c r="BX43" s="6"/>
      <c r="BY43" s="6"/>
      <c r="BZ43" s="6"/>
      <c r="CA43" s="6"/>
      <c r="CB43" s="6"/>
      <c r="CC43" s="6"/>
      <c r="CD43" s="6"/>
      <c r="CE43" s="6"/>
      <c r="CF43" s="6"/>
      <c r="CG43" s="6"/>
      <c r="CH43" s="6"/>
      <c r="CI43" s="6"/>
    </row>
    <row r="44" spans="1:88" ht="15" customHeight="1" x14ac:dyDescent="0.25">
      <c r="A44" s="6"/>
      <c r="B44" s="44"/>
      <c r="C44" s="127"/>
      <c r="D44" s="46" t="s">
        <v>35</v>
      </c>
      <c r="E44" s="46">
        <f>AVERAGE(H7:H8)</f>
        <v>20.581900471267399</v>
      </c>
      <c r="F44" s="53">
        <f t="shared" ref="F44:F53" si="0">10^((E44-23.716)/-3.3343)</f>
        <v>8.7087790256113529</v>
      </c>
      <c r="G44" s="54">
        <f>SUM(E44*(LOG(E40)/LOG(2)))</f>
        <v>20.505531422391091</v>
      </c>
      <c r="H44" s="53">
        <f t="shared" ref="H44:H53" si="1">10^((G44-23.716)/-3.3343)</f>
        <v>9.1803944869829479</v>
      </c>
      <c r="I44" s="6"/>
      <c r="J44" s="114"/>
      <c r="K44" s="46" t="s">
        <v>35</v>
      </c>
      <c r="L44" s="46">
        <f>AVERAGE(W7:W8)</f>
        <v>20.1553337512326</v>
      </c>
      <c r="M44" s="53">
        <f t="shared" ref="M44:M53" si="2">10^((L44-23.766)/-5.5913)</f>
        <v>4.4234902290285882</v>
      </c>
      <c r="N44" s="53">
        <f>SUM(L44*(LOG($L$40)/LOG(2)))</f>
        <v>11.974776787160602</v>
      </c>
      <c r="O44" s="53">
        <f t="shared" ref="O44:O53" si="3">10^((N44-23.766)/-5.5913)</f>
        <v>128.48482154793106</v>
      </c>
      <c r="P44" s="6"/>
      <c r="Q44" s="114"/>
      <c r="R44" s="46" t="s">
        <v>35</v>
      </c>
      <c r="S44" s="46">
        <f>AVERAGE(N10:N11)</f>
        <v>24.085219732833849</v>
      </c>
      <c r="T44" s="53">
        <f t="shared" ref="T44:T53" si="4">10^((S44- 23.504)/-0.3264)</f>
        <v>1.6569228573841365E-2</v>
      </c>
      <c r="U44" s="53">
        <f>SUM(S44*(LOG($S$40)/LOG(2)))</f>
        <v>245.12674050868952</v>
      </c>
      <c r="V44" s="53">
        <f t="shared" ref="V44:V53" si="5">10^((U44- 23.504)/-0.3264)</f>
        <v>0</v>
      </c>
      <c r="W44" s="6"/>
      <c r="X44" s="114"/>
      <c r="Y44" s="46" t="s">
        <v>35</v>
      </c>
      <c r="Z44" s="46">
        <f>AVERAGE(H13:H14)</f>
        <v>18.403576896307598</v>
      </c>
      <c r="AA44" s="53">
        <f t="shared" ref="AA44:AA53" si="6">10^((Z44- 20.987)/-3.3402)</f>
        <v>5.9351767632277577</v>
      </c>
      <c r="AB44" s="53">
        <f>SUM(Z44*(LOG($Z$40)/LOG(2)))</f>
        <v>18.302903759734207</v>
      </c>
      <c r="AC44" s="53">
        <f t="shared" ref="AC44:AC53" si="7">10^((AB44- 20.987)/-3.3402)</f>
        <v>6.3617047681602674</v>
      </c>
      <c r="AD44" s="6"/>
      <c r="AE44" s="114"/>
      <c r="AF44" s="46" t="s">
        <v>35</v>
      </c>
      <c r="AG44" s="46">
        <f>AVERAGE(W13:W14)</f>
        <v>19.37348188956225</v>
      </c>
      <c r="AH44" s="53">
        <f t="shared" ref="AH44:AH53" si="8">10^((AG44-22.137)/-3.2321)</f>
        <v>7.1618045620137432</v>
      </c>
      <c r="AI44" s="53">
        <f>SUM(AG44*(LOG($AG$40)/LOG(2)))</f>
        <v>19.911919119064489</v>
      </c>
      <c r="AJ44" s="53">
        <f t="shared" ref="AJ44:AJ53" si="9">10^((AI44-22.137)/-3.2321)</f>
        <v>4.8801361938094052</v>
      </c>
      <c r="AK44" s="6"/>
      <c r="AL44" s="114" t="s">
        <v>21</v>
      </c>
      <c r="AM44" s="46" t="s">
        <v>35</v>
      </c>
      <c r="AN44" s="46">
        <f>AVERAGE(N16:N17)</f>
        <v>18.922921426063599</v>
      </c>
      <c r="AO44" s="53">
        <f t="shared" ref="AO44:AO53" si="10">10^((AN44-21.6)/-3.5861)</f>
        <v>5.578472747794649</v>
      </c>
      <c r="AP44" s="46">
        <f>SUM(AN44*(LOG($AN$40)/LOG(2)))</f>
        <v>17.52895466456226</v>
      </c>
      <c r="AQ44" s="53">
        <f t="shared" ref="AQ44:AQ53" si="11">10^((AP44-21.6)/-3.5861)</f>
        <v>13.653034023133142</v>
      </c>
      <c r="AR44" s="40"/>
      <c r="AS44" s="40"/>
      <c r="AT44" s="6"/>
      <c r="AU44" s="6"/>
      <c r="AV44" s="6"/>
      <c r="AW44" s="6"/>
      <c r="AX44" s="6"/>
      <c r="AY44" s="6"/>
      <c r="AZ44" s="6"/>
      <c r="BA44" s="6"/>
      <c r="BB44" s="6"/>
      <c r="BC44" s="6"/>
      <c r="BD44" s="6"/>
      <c r="BE44" s="6"/>
      <c r="BF44" s="6"/>
      <c r="BG44" s="6"/>
      <c r="BH44" s="6"/>
      <c r="BI44" s="6"/>
      <c r="BJ44" s="6"/>
      <c r="BK44" s="6"/>
      <c r="BL44" s="6"/>
      <c r="BM44" s="6"/>
      <c r="BN44" s="6"/>
      <c r="BO44" s="6"/>
      <c r="BP44" s="6"/>
      <c r="BQ44" s="6"/>
      <c r="BR44" s="6"/>
      <c r="BS44" s="6"/>
      <c r="BT44" s="6"/>
      <c r="BU44" s="6"/>
      <c r="BV44" s="6"/>
      <c r="BW44" s="6"/>
      <c r="BX44" s="6"/>
      <c r="BY44" s="6"/>
      <c r="BZ44" s="6"/>
      <c r="CA44" s="6"/>
      <c r="CB44" s="6"/>
      <c r="CC44" s="6"/>
      <c r="CD44" s="6"/>
      <c r="CE44" s="6"/>
      <c r="CF44" s="6"/>
      <c r="CG44" s="6"/>
      <c r="CH44" s="6"/>
      <c r="CI44" s="6"/>
      <c r="CJ44" s="6"/>
    </row>
    <row r="45" spans="1:88" x14ac:dyDescent="0.25">
      <c r="A45" s="6"/>
      <c r="B45" s="44"/>
      <c r="C45" s="127"/>
      <c r="D45" s="47" t="s">
        <v>36</v>
      </c>
      <c r="E45" s="47">
        <f>AVERAGE(I7:I8)</f>
        <v>21.2216726076004</v>
      </c>
      <c r="F45" s="54">
        <f t="shared" si="0"/>
        <v>5.5986236469729596</v>
      </c>
      <c r="G45" s="54">
        <f>SUM(E45*(LOG(E40)/LOG(2)))</f>
        <v>21.142929687097539</v>
      </c>
      <c r="H45" s="54">
        <f t="shared" si="1"/>
        <v>5.9114946605552712</v>
      </c>
      <c r="I45" s="6"/>
      <c r="J45" s="114"/>
      <c r="K45" s="47" t="s">
        <v>36</v>
      </c>
      <c r="L45" s="47">
        <f>AVERAGE(X7:X8)</f>
        <v>20.418958541815698</v>
      </c>
      <c r="M45" s="54">
        <f t="shared" si="2"/>
        <v>3.9684048098231717</v>
      </c>
      <c r="N45" s="54">
        <f>SUM(L45*(LOG($L$40)/LOG(2)))</f>
        <v>12.131402723588049</v>
      </c>
      <c r="O45" s="54">
        <f t="shared" si="3"/>
        <v>120.45903761245194</v>
      </c>
      <c r="P45" s="6"/>
      <c r="Q45" s="114"/>
      <c r="R45" s="47" t="s">
        <v>36</v>
      </c>
      <c r="S45" s="47">
        <f>AVERAGE(O10:O11)</f>
        <v>24.7620341703003</v>
      </c>
      <c r="T45" s="54">
        <f t="shared" si="4"/>
        <v>1.3987131081134014E-4</v>
      </c>
      <c r="U45" s="54">
        <f>SUM(S45*(LOG($S$40)/LOG(2)))</f>
        <v>252.0150030541711</v>
      </c>
      <c r="V45" s="54">
        <f t="shared" si="5"/>
        <v>0</v>
      </c>
      <c r="W45" s="6"/>
      <c r="X45" s="114"/>
      <c r="Y45" s="47" t="s">
        <v>36</v>
      </c>
      <c r="Z45" s="47">
        <f>AVERAGE(I13:I14)</f>
        <v>19.609465670847797</v>
      </c>
      <c r="AA45" s="54">
        <f t="shared" si="6"/>
        <v>2.5847035102638491</v>
      </c>
      <c r="AB45" s="54">
        <f>SUM(Z45*(LOG($Z$40)/LOG(2)))</f>
        <v>19.502195957642829</v>
      </c>
      <c r="AC45" s="54">
        <f t="shared" si="7"/>
        <v>2.7830787172678115</v>
      </c>
      <c r="AD45" s="6"/>
      <c r="AE45" s="114"/>
      <c r="AF45" s="47" t="s">
        <v>36</v>
      </c>
      <c r="AG45" s="47">
        <f>AVERAGE(X13:X14)</f>
        <v>20.3283938613191</v>
      </c>
      <c r="AH45" s="54">
        <f t="shared" si="8"/>
        <v>3.6272389795429536</v>
      </c>
      <c r="AI45" s="54">
        <f>SUM(AG45*(LOG($AG$40)/LOG(2)))</f>
        <v>20.893370468689618</v>
      </c>
      <c r="AJ45" s="54">
        <f t="shared" si="9"/>
        <v>2.4253502213847113</v>
      </c>
      <c r="AK45" s="6"/>
      <c r="AL45" s="114"/>
      <c r="AM45" s="47" t="s">
        <v>36</v>
      </c>
      <c r="AN45" s="47">
        <f>AVERAGE(O16:O17)</f>
        <v>19.9046747323288</v>
      </c>
      <c r="AO45" s="54">
        <f t="shared" si="10"/>
        <v>2.9699492071709903</v>
      </c>
      <c r="AP45" s="47">
        <f>SUM(AN45*(LOG($AN$40)/LOG(2)))</f>
        <v>18.438386607433603</v>
      </c>
      <c r="AQ45" s="54">
        <f t="shared" si="11"/>
        <v>7.6143005259570593</v>
      </c>
      <c r="AR45" s="40"/>
      <c r="AS45" s="40"/>
      <c r="AT45" s="6"/>
      <c r="AU45" s="6"/>
      <c r="AV45" s="6"/>
      <c r="AW45" s="6"/>
      <c r="AX45" s="6"/>
      <c r="AY45" s="6"/>
      <c r="AZ45" s="6"/>
      <c r="BA45" s="6"/>
      <c r="BB45" s="6"/>
      <c r="BC45" s="6"/>
      <c r="BD45" s="6"/>
      <c r="BE45" s="6"/>
      <c r="BF45" s="6"/>
      <c r="BG45" s="6"/>
      <c r="BH45" s="6"/>
      <c r="BI45" s="6"/>
      <c r="BJ45" s="6"/>
      <c r="BK45" s="6"/>
      <c r="BL45" s="6"/>
      <c r="BM45" s="6"/>
      <c r="BN45" s="6"/>
      <c r="BO45" s="6"/>
      <c r="BP45" s="6"/>
      <c r="BQ45" s="6"/>
      <c r="BR45" s="6"/>
      <c r="BS45" s="6"/>
      <c r="BT45" s="6"/>
      <c r="BU45" s="6"/>
      <c r="BV45" s="6"/>
      <c r="BW45" s="6"/>
      <c r="BX45" s="6"/>
      <c r="BY45" s="6"/>
      <c r="BZ45" s="6"/>
      <c r="CA45" s="6"/>
      <c r="CB45" s="6"/>
      <c r="CC45" s="6"/>
      <c r="CD45" s="6"/>
      <c r="CE45" s="6"/>
      <c r="CF45" s="6"/>
      <c r="CG45" s="6"/>
      <c r="CH45" s="6"/>
      <c r="CI45" s="6"/>
      <c r="CJ45" s="6"/>
    </row>
    <row r="46" spans="1:88" x14ac:dyDescent="0.25">
      <c r="A46" s="6"/>
      <c r="B46" s="44"/>
      <c r="C46" s="127"/>
      <c r="D46" s="48" t="s">
        <v>37</v>
      </c>
      <c r="E46" s="48">
        <f>AVERAGE(J7:J8)</f>
        <v>19.539683286491098</v>
      </c>
      <c r="F46" s="55">
        <f t="shared" si="0"/>
        <v>17.886764121067145</v>
      </c>
      <c r="G46" s="55">
        <f>SUM(E46*(LOG(E40)/LOG(2)))</f>
        <v>19.467181379778605</v>
      </c>
      <c r="H46" s="55">
        <f t="shared" si="1"/>
        <v>18.805117268097451</v>
      </c>
      <c r="I46" s="6"/>
      <c r="J46" s="114"/>
      <c r="K46" s="48" t="s">
        <v>37</v>
      </c>
      <c r="L46" s="48">
        <f>AVERAGE(Y7:Y8)</f>
        <v>17.590481388337402</v>
      </c>
      <c r="M46" s="55">
        <f t="shared" si="2"/>
        <v>12.719999089487878</v>
      </c>
      <c r="N46" s="55">
        <f>SUM(L46*(LOG($L$40)/LOG(2)))</f>
        <v>10.45093526130082</v>
      </c>
      <c r="O46" s="55">
        <f t="shared" si="3"/>
        <v>240.65217493987947</v>
      </c>
      <c r="P46" s="6"/>
      <c r="Q46" s="114"/>
      <c r="R46" s="48" t="s">
        <v>37</v>
      </c>
      <c r="S46" s="48">
        <f>AVERAGE(P10:P11)</f>
        <v>23.2142048103515</v>
      </c>
      <c r="T46" s="55">
        <f t="shared" si="4"/>
        <v>7.7241893139533548</v>
      </c>
      <c r="U46" s="55">
        <f>SUM(S46*(LOG($S$40)/LOG(2)))</f>
        <v>236.26200723031866</v>
      </c>
      <c r="V46" s="55">
        <f t="shared" si="5"/>
        <v>0</v>
      </c>
      <c r="W46" s="6"/>
      <c r="X46" s="114"/>
      <c r="Y46" s="48" t="s">
        <v>37</v>
      </c>
      <c r="Z46" s="48">
        <f>AVERAGE(J13:J14)</f>
        <v>17.874863664629601</v>
      </c>
      <c r="AA46" s="55">
        <f t="shared" si="6"/>
        <v>8.5451866673618984</v>
      </c>
      <c r="AB46" s="55">
        <f>SUM(Z46*(LOG($Z$40)/LOG(2)))</f>
        <v>17.777082749480378</v>
      </c>
      <c r="AC46" s="55">
        <f t="shared" si="7"/>
        <v>9.1410382111942532</v>
      </c>
      <c r="AD46" s="6"/>
      <c r="AE46" s="114"/>
      <c r="AF46" s="48" t="s">
        <v>37</v>
      </c>
      <c r="AG46" s="48">
        <f>AVERAGE(Y13:Y14)</f>
        <v>18.9210509912796</v>
      </c>
      <c r="AH46" s="55">
        <f t="shared" si="8"/>
        <v>9.8855979125831617</v>
      </c>
      <c r="AI46" s="55">
        <f>SUM(AG46*(LOG($AG$40)/LOG(2)))</f>
        <v>19.446914041251222</v>
      </c>
      <c r="AJ46" s="55">
        <f t="shared" si="9"/>
        <v>6.7967739216721865</v>
      </c>
      <c r="AK46" s="6"/>
      <c r="AL46" s="114"/>
      <c r="AM46" s="48" t="s">
        <v>37</v>
      </c>
      <c r="AN46" s="48">
        <f>AVERAGE(P16:P17)</f>
        <v>18.142925354310002</v>
      </c>
      <c r="AO46" s="55">
        <f t="shared" si="10"/>
        <v>9.204934525891149</v>
      </c>
      <c r="AP46" s="48">
        <f>SUM(AN46*(LOG($AN$40)/LOG(2)))</f>
        <v>16.8064174055176</v>
      </c>
      <c r="AQ46" s="55">
        <f t="shared" si="11"/>
        <v>21.712604112463197</v>
      </c>
      <c r="AR46" s="40"/>
      <c r="AS46" s="40"/>
      <c r="AT46" s="6"/>
      <c r="AU46" s="6"/>
      <c r="AV46" s="6"/>
      <c r="AW46" s="6"/>
      <c r="AX46" s="6"/>
      <c r="AY46" s="6"/>
      <c r="AZ46" s="6"/>
      <c r="BA46" s="6"/>
      <c r="BB46" s="6"/>
      <c r="BC46" s="6"/>
      <c r="BD46" s="6"/>
      <c r="BE46" s="6"/>
      <c r="BF46" s="6"/>
      <c r="BG46" s="6"/>
      <c r="BH46" s="6"/>
      <c r="BI46" s="6"/>
      <c r="BJ46" s="6"/>
      <c r="BK46" s="6"/>
      <c r="BL46" s="6"/>
      <c r="BM46" s="6"/>
      <c r="BN46" s="6"/>
      <c r="BO46" s="6"/>
      <c r="BP46" s="6"/>
      <c r="BQ46" s="6"/>
      <c r="BR46" s="6"/>
      <c r="BS46" s="6"/>
      <c r="BT46" s="6"/>
      <c r="BU46" s="6"/>
      <c r="BV46" s="6"/>
      <c r="BW46" s="6"/>
      <c r="BX46" s="6"/>
      <c r="BY46" s="6"/>
      <c r="BZ46" s="6"/>
      <c r="CA46" s="6"/>
      <c r="CB46" s="6"/>
      <c r="CC46" s="6"/>
      <c r="CD46" s="6"/>
      <c r="CE46" s="6"/>
      <c r="CF46" s="6"/>
      <c r="CG46" s="6"/>
      <c r="CH46" s="6"/>
      <c r="CI46" s="6"/>
      <c r="CJ46" s="6"/>
    </row>
    <row r="47" spans="1:88" x14ac:dyDescent="0.25">
      <c r="A47" s="6"/>
      <c r="B47" s="44"/>
      <c r="C47" s="127"/>
      <c r="D47" s="49" t="s">
        <v>38</v>
      </c>
      <c r="E47" s="49">
        <f>AVERAGE(K7:K8)</f>
        <v>19.671103599441402</v>
      </c>
      <c r="F47" s="56">
        <f t="shared" si="0"/>
        <v>16.334923924389589</v>
      </c>
      <c r="G47" s="56">
        <f>SUM(E47*(LOG(E40)/LOG(2)))</f>
        <v>19.598114058250403</v>
      </c>
      <c r="H47" s="56">
        <f t="shared" si="1"/>
        <v>17.179385701160026</v>
      </c>
      <c r="I47" s="6"/>
      <c r="J47" s="114"/>
      <c r="K47" s="49" t="s">
        <v>38</v>
      </c>
      <c r="L47" s="49">
        <f>AVERAGE(C10:C11)</f>
        <v>18.251859751345101</v>
      </c>
      <c r="M47" s="56">
        <f t="shared" si="2"/>
        <v>9.6872394264393851</v>
      </c>
      <c r="N47" s="56">
        <f>SUM(L47*(LOG($L$40)/LOG(2)))</f>
        <v>10.843876324278282</v>
      </c>
      <c r="O47" s="56">
        <f t="shared" si="3"/>
        <v>204.69751169051591</v>
      </c>
      <c r="P47" s="6"/>
      <c r="Q47" s="114"/>
      <c r="R47" s="49" t="s">
        <v>38</v>
      </c>
      <c r="S47" s="49">
        <f>AVERAGE(Q10:Q11)</f>
        <v>23.294093778940152</v>
      </c>
      <c r="T47" s="56">
        <f t="shared" si="4"/>
        <v>4.396378142459084</v>
      </c>
      <c r="U47" s="56">
        <f>SUM(S47*(LOG($S$40)/LOG(2)))</f>
        <v>237.07507527329113</v>
      </c>
      <c r="V47" s="56">
        <f t="shared" si="5"/>
        <v>0</v>
      </c>
      <c r="W47" s="6"/>
      <c r="X47" s="114"/>
      <c r="Y47" s="49" t="s">
        <v>38</v>
      </c>
      <c r="Z47" s="49">
        <f>AVERAGE(K13:K14)</f>
        <v>17.767075981028</v>
      </c>
      <c r="AA47" s="56">
        <f t="shared" si="6"/>
        <v>9.2043130988468977</v>
      </c>
      <c r="AB47" s="56">
        <f>SUM(Z47*(LOG($Z$40)/LOG(2)))</f>
        <v>17.66988469713651</v>
      </c>
      <c r="AC47" s="56">
        <f t="shared" si="7"/>
        <v>9.8421238981447789</v>
      </c>
      <c r="AD47" s="6"/>
      <c r="AE47" s="114"/>
      <c r="AF47" s="49" t="s">
        <v>38</v>
      </c>
      <c r="AG47" s="49">
        <f>AVERAGE(C16:C17)</f>
        <v>18.887568519124997</v>
      </c>
      <c r="AH47" s="56">
        <f t="shared" si="8"/>
        <v>10.124236863628681</v>
      </c>
      <c r="AI47" s="56">
        <f>SUM(AG47*(LOG($AG$40)/LOG(2)))</f>
        <v>19.412501007948833</v>
      </c>
      <c r="AJ47" s="56">
        <f t="shared" si="9"/>
        <v>6.9654646404105414</v>
      </c>
      <c r="AK47" s="6"/>
      <c r="AL47" s="114"/>
      <c r="AM47" s="49" t="s">
        <v>38</v>
      </c>
      <c r="AN47" s="49">
        <f>AVERAGE(Q16:Q17)</f>
        <v>17.857975279119749</v>
      </c>
      <c r="AO47" s="56">
        <f t="shared" si="10"/>
        <v>11.053003428993359</v>
      </c>
      <c r="AP47" s="49">
        <f>SUM(AN47*(LOG($AN$40)/LOG(2)))</f>
        <v>16.54245832450626</v>
      </c>
      <c r="AQ47" s="56">
        <f t="shared" si="11"/>
        <v>25.722790608638487</v>
      </c>
      <c r="AR47" s="40"/>
      <c r="AS47" s="40"/>
      <c r="AT47" s="6"/>
      <c r="AU47" s="6"/>
      <c r="AV47" s="6"/>
      <c r="AW47" s="6"/>
      <c r="AX47" s="6"/>
      <c r="AY47" s="6"/>
      <c r="AZ47" s="6"/>
      <c r="BA47" s="6"/>
      <c r="BB47" s="6"/>
      <c r="BC47" s="6"/>
      <c r="BD47" s="6"/>
      <c r="BE47" s="6"/>
      <c r="BF47" s="6"/>
      <c r="BG47" s="6"/>
      <c r="BH47" s="6"/>
      <c r="BI47" s="6"/>
      <c r="BJ47" s="6"/>
      <c r="BK47" s="6"/>
      <c r="BL47" s="6"/>
      <c r="BM47" s="6"/>
      <c r="BN47" s="6"/>
      <c r="BO47" s="6"/>
      <c r="BP47" s="6"/>
      <c r="BQ47" s="6"/>
      <c r="BR47" s="6"/>
      <c r="BS47" s="6"/>
      <c r="BT47" s="6"/>
      <c r="BU47" s="6"/>
      <c r="BV47" s="6"/>
      <c r="BW47" s="6"/>
      <c r="BX47" s="6"/>
      <c r="BY47" s="6"/>
      <c r="BZ47" s="6"/>
      <c r="CA47" s="6"/>
      <c r="CB47" s="6"/>
      <c r="CC47" s="6"/>
      <c r="CD47" s="6"/>
      <c r="CE47" s="6"/>
      <c r="CF47" s="6"/>
      <c r="CG47" s="6"/>
      <c r="CH47" s="6"/>
      <c r="CI47" s="6"/>
      <c r="CJ47" s="6"/>
    </row>
    <row r="48" spans="1:88" x14ac:dyDescent="0.25">
      <c r="A48" s="6"/>
      <c r="B48" s="44"/>
      <c r="C48" s="127"/>
      <c r="D48" s="49" t="s">
        <v>39</v>
      </c>
      <c r="E48" s="49">
        <f>AVERAGE(L7:L8)</f>
        <v>20.480084466097949</v>
      </c>
      <c r="F48" s="56">
        <f t="shared" si="0"/>
        <v>9.3431477590518135</v>
      </c>
      <c r="G48" s="56">
        <f>SUM(E48*(LOG(E40)/LOG(2)))</f>
        <v>20.404093205049644</v>
      </c>
      <c r="H48" s="56">
        <f t="shared" si="1"/>
        <v>9.8465476323671979</v>
      </c>
      <c r="I48" s="6"/>
      <c r="J48" s="114"/>
      <c r="K48" s="49" t="s">
        <v>39</v>
      </c>
      <c r="L48" s="49">
        <f>AVERAGE(D10:D11)</f>
        <v>19.85469245196785</v>
      </c>
      <c r="M48" s="56">
        <f t="shared" si="2"/>
        <v>5.0065038368099026</v>
      </c>
      <c r="N48" s="56">
        <f>SUM(L48*(LOG($L$40)/LOG(2)))</f>
        <v>11.796158437490396</v>
      </c>
      <c r="O48" s="56">
        <f t="shared" si="3"/>
        <v>138.29216942244784</v>
      </c>
      <c r="P48" s="6"/>
      <c r="Q48" s="114"/>
      <c r="R48" s="49" t="s">
        <v>39</v>
      </c>
      <c r="S48" s="49">
        <f>AVERAGE(R10:R11)</f>
        <v>24.033950407592997</v>
      </c>
      <c r="T48" s="56">
        <f t="shared" si="4"/>
        <v>2.3789067999354249E-2</v>
      </c>
      <c r="U48" s="56">
        <f>SUM(S48*(LOG($S$40)/LOG(2)))</f>
        <v>244.6049481927474</v>
      </c>
      <c r="V48" s="56">
        <f t="shared" si="5"/>
        <v>0</v>
      </c>
      <c r="W48" s="6"/>
      <c r="X48" s="114"/>
      <c r="Y48" s="49" t="s">
        <v>39</v>
      </c>
      <c r="Z48" s="49">
        <f>AVERAGE(L13:L14)</f>
        <v>18.549453209291499</v>
      </c>
      <c r="AA48" s="56">
        <f t="shared" si="6"/>
        <v>5.3673600594493642</v>
      </c>
      <c r="AB48" s="56">
        <f>SUM(Z48*(LOG($Z$40)/LOG(2)))</f>
        <v>18.447982085127837</v>
      </c>
      <c r="AC48" s="56">
        <f t="shared" si="7"/>
        <v>5.7562478737164309</v>
      </c>
      <c r="AD48" s="6"/>
      <c r="AE48" s="114"/>
      <c r="AF48" s="49" t="s">
        <v>39</v>
      </c>
      <c r="AG48" s="49">
        <f>AVERAGE(D16:D17)</f>
        <v>19.6760479559217</v>
      </c>
      <c r="AH48" s="56">
        <f t="shared" si="8"/>
        <v>5.7731072207819221</v>
      </c>
      <c r="AI48" s="56">
        <f>SUM(AG48*(LOG($AG$40)/LOG(2)))</f>
        <v>20.222894248670322</v>
      </c>
      <c r="AJ48" s="56">
        <f t="shared" si="9"/>
        <v>3.9103656281994046</v>
      </c>
      <c r="AK48" s="6"/>
      <c r="AL48" s="114"/>
      <c r="AM48" s="49" t="s">
        <v>39</v>
      </c>
      <c r="AN48" s="49">
        <f>AVERAGE(R16:R17)</f>
        <v>18.790004821703999</v>
      </c>
      <c r="AO48" s="56">
        <f t="shared" si="10"/>
        <v>6.0754675349264664</v>
      </c>
      <c r="AP48" s="49">
        <f>SUM(AN48*(LOG($AN$40)/LOG(2)))</f>
        <v>17.405829430380507</v>
      </c>
      <c r="AQ48" s="56">
        <f t="shared" si="11"/>
        <v>14.776214736373003</v>
      </c>
      <c r="AR48" s="40"/>
      <c r="AS48" s="40"/>
      <c r="AT48" s="6"/>
      <c r="AU48" s="6"/>
      <c r="AV48" s="6"/>
      <c r="AW48" s="6"/>
      <c r="AX48" s="6"/>
      <c r="AY48" s="6"/>
      <c r="AZ48" s="6"/>
      <c r="BA48" s="6"/>
      <c r="BB48" s="6"/>
      <c r="BC48" s="6"/>
      <c r="BD48" s="6"/>
      <c r="BE48" s="6"/>
      <c r="BF48" s="6"/>
      <c r="BG48" s="6"/>
      <c r="BH48" s="6"/>
      <c r="BI48" s="6"/>
      <c r="BJ48" s="6"/>
      <c r="BK48" s="6"/>
      <c r="BL48" s="6"/>
      <c r="BM48" s="6"/>
      <c r="BN48" s="6"/>
      <c r="BO48" s="6"/>
      <c r="BP48" s="6"/>
      <c r="BQ48" s="6"/>
      <c r="BR48" s="6"/>
      <c r="BS48" s="6"/>
      <c r="BT48" s="6"/>
      <c r="BU48" s="6"/>
      <c r="BV48" s="6"/>
      <c r="BW48" s="6"/>
      <c r="BX48" s="6"/>
      <c r="BY48" s="6"/>
      <c r="BZ48" s="6"/>
      <c r="CA48" s="6"/>
      <c r="CB48" s="6"/>
      <c r="CC48" s="6"/>
      <c r="CD48" s="6"/>
      <c r="CE48" s="6"/>
      <c r="CF48" s="6"/>
      <c r="CG48" s="6"/>
      <c r="CH48" s="6"/>
      <c r="CI48" s="6"/>
      <c r="CJ48" s="6"/>
    </row>
    <row r="49" spans="1:88" x14ac:dyDescent="0.25">
      <c r="A49" s="6"/>
      <c r="B49" s="44"/>
      <c r="C49" s="127"/>
      <c r="D49" s="49" t="s">
        <v>40</v>
      </c>
      <c r="E49" s="49">
        <f>AVERAGE(M7:M8)</f>
        <v>20.649072646659999</v>
      </c>
      <c r="F49" s="56">
        <f t="shared" si="0"/>
        <v>8.3140275766918599</v>
      </c>
      <c r="G49" s="56">
        <f>SUM(E49*(LOG(E40)/LOG(2)))</f>
        <v>20.572454355729835</v>
      </c>
      <c r="H49" s="56">
        <f t="shared" si="1"/>
        <v>8.7657742958376339</v>
      </c>
      <c r="I49" s="6"/>
      <c r="J49" s="114"/>
      <c r="K49" s="49" t="s">
        <v>40</v>
      </c>
      <c r="L49" s="49">
        <f>AVERAGE(E10:E11)</f>
        <v>20.086547643977148</v>
      </c>
      <c r="M49" s="56">
        <f t="shared" si="2"/>
        <v>4.5505869634395948</v>
      </c>
      <c r="N49" s="56">
        <f>SUM(L49*(LOG($L$40)/LOG(2)))</f>
        <v>11.933909278311171</v>
      </c>
      <c r="O49" s="56">
        <f t="shared" si="3"/>
        <v>130.66550472220814</v>
      </c>
      <c r="P49" s="6"/>
      <c r="Q49" s="114"/>
      <c r="R49" s="49" t="s">
        <v>40</v>
      </c>
      <c r="S49" s="49">
        <f>AVERAGE(S10:S11)</f>
        <v>24.10730064876325</v>
      </c>
      <c r="T49" s="56">
        <f t="shared" si="4"/>
        <v>1.4179222716432804E-2</v>
      </c>
      <c r="U49" s="56">
        <f>SUM(S49*(LOG($S$40)/LOG(2)))</f>
        <v>245.35146849578121</v>
      </c>
      <c r="V49" s="56">
        <f t="shared" si="5"/>
        <v>0</v>
      </c>
      <c r="W49" s="6"/>
      <c r="X49" s="114"/>
      <c r="Y49" s="49" t="s">
        <v>40</v>
      </c>
      <c r="Z49" s="49">
        <f>AVERAGE(M13:M14)</f>
        <v>18.233584079289052</v>
      </c>
      <c r="AA49" s="56">
        <f t="shared" si="6"/>
        <v>6.6730850994465083</v>
      </c>
      <c r="AB49" s="56">
        <f>SUM(Z49*(LOG($Z$40)/LOG(2)))</f>
        <v>18.133840854883314</v>
      </c>
      <c r="AC49" s="56">
        <f t="shared" si="7"/>
        <v>7.1480587943570857</v>
      </c>
      <c r="AD49" s="6"/>
      <c r="AE49" s="114"/>
      <c r="AF49" s="49" t="s">
        <v>40</v>
      </c>
      <c r="AG49" s="49">
        <f>AVERAGE(E16:E17)</f>
        <v>19.6122237053604</v>
      </c>
      <c r="AH49" s="56">
        <f t="shared" si="8"/>
        <v>6.0416646392046225</v>
      </c>
      <c r="AI49" s="56">
        <f>SUM(AG49*(LOG($AG$40)/LOG(2)))</f>
        <v>20.157296163501325</v>
      </c>
      <c r="AJ49" s="56">
        <f t="shared" si="9"/>
        <v>4.0974454090961192</v>
      </c>
      <c r="AK49" s="6"/>
      <c r="AL49" s="114"/>
      <c r="AM49" s="49" t="s">
        <v>40</v>
      </c>
      <c r="AN49" s="49">
        <f>AVERAGE(S16:S17)</f>
        <v>18.672973052730597</v>
      </c>
      <c r="AO49" s="56">
        <f t="shared" si="10"/>
        <v>6.549596358545501</v>
      </c>
      <c r="AP49" s="49">
        <f>SUM(AN49*(LOG($AN$40)/LOG(2)))</f>
        <v>17.297418866997692</v>
      </c>
      <c r="AQ49" s="56">
        <f t="shared" si="11"/>
        <v>15.841414716954278</v>
      </c>
      <c r="AR49" s="40"/>
      <c r="AS49" s="40"/>
      <c r="AT49" s="6"/>
      <c r="AU49" s="6"/>
      <c r="AV49" s="6"/>
      <c r="AW49" s="6"/>
      <c r="AX49" s="6"/>
      <c r="AY49" s="6"/>
      <c r="AZ49" s="6"/>
      <c r="BA49" s="6"/>
      <c r="BB49" s="6"/>
      <c r="BC49" s="6"/>
      <c r="BD49" s="6"/>
      <c r="BE49" s="6"/>
      <c r="BF49" s="6"/>
      <c r="BG49" s="6"/>
      <c r="BH49" s="6"/>
      <c r="BI49" s="6"/>
      <c r="BJ49" s="6"/>
      <c r="BK49" s="6"/>
      <c r="BL49" s="6"/>
      <c r="BM49" s="6"/>
      <c r="BN49" s="6"/>
      <c r="BO49" s="6"/>
      <c r="BP49" s="6"/>
      <c r="BQ49" s="6"/>
      <c r="BR49" s="6"/>
      <c r="BS49" s="6"/>
      <c r="BT49" s="6"/>
      <c r="BU49" s="6"/>
      <c r="BV49" s="6"/>
      <c r="BW49" s="6"/>
      <c r="BX49" s="6"/>
      <c r="BY49" s="6"/>
      <c r="BZ49" s="6"/>
      <c r="CA49" s="6"/>
      <c r="CB49" s="6"/>
      <c r="CC49" s="6"/>
      <c r="CD49" s="6"/>
      <c r="CE49" s="6"/>
      <c r="CF49" s="6"/>
      <c r="CG49" s="6"/>
      <c r="CH49" s="6"/>
      <c r="CI49" s="6"/>
      <c r="CJ49" s="6"/>
    </row>
    <row r="50" spans="1:88" x14ac:dyDescent="0.25">
      <c r="A50" s="6"/>
      <c r="B50" s="44"/>
      <c r="C50" s="127"/>
      <c r="D50" s="50" t="s">
        <v>41</v>
      </c>
      <c r="E50" s="50">
        <f>AVERAGE(N7:N8)</f>
        <v>19.8537473758958</v>
      </c>
      <c r="F50" s="57">
        <f t="shared" si="0"/>
        <v>14.399249889507066</v>
      </c>
      <c r="G50" s="57">
        <f>SUM(E50*(LOG(E40)/LOG(2)))</f>
        <v>19.78008013579597</v>
      </c>
      <c r="H50" s="57">
        <f t="shared" si="1"/>
        <v>15.150732608503528</v>
      </c>
      <c r="I50" s="6"/>
      <c r="J50" s="114"/>
      <c r="K50" s="50" t="s">
        <v>41</v>
      </c>
      <c r="L50" s="50">
        <f>AVERAGE(F10:F11)</f>
        <v>17.657839862922501</v>
      </c>
      <c r="M50" s="57">
        <f t="shared" si="2"/>
        <v>12.372004386026152</v>
      </c>
      <c r="N50" s="57">
        <f>SUM(L50*(LOG($L$40)/LOG(2)))</f>
        <v>10.490954578660467</v>
      </c>
      <c r="O50" s="57">
        <f t="shared" si="3"/>
        <v>236.718589724499</v>
      </c>
      <c r="P50" s="6"/>
      <c r="Q50" s="114"/>
      <c r="R50" s="50" t="s">
        <v>41</v>
      </c>
      <c r="S50" s="50">
        <f>AVERAGE(T10:T11)</f>
        <v>23.520432158761299</v>
      </c>
      <c r="T50" s="57">
        <f t="shared" si="4"/>
        <v>0.89054603905603635</v>
      </c>
      <c r="U50" s="57">
        <f>SUM(S50*(LOG($S$40)/LOG(2)))</f>
        <v>239.3786286522101</v>
      </c>
      <c r="V50" s="57">
        <f t="shared" si="5"/>
        <v>0</v>
      </c>
      <c r="W50" s="6"/>
      <c r="X50" s="114"/>
      <c r="Y50" s="50" t="s">
        <v>41</v>
      </c>
      <c r="Z50" s="50">
        <f>AVERAGE(N13:N14)</f>
        <v>17.730064882331298</v>
      </c>
      <c r="AA50" s="57">
        <f t="shared" si="6"/>
        <v>9.4421715624155507</v>
      </c>
      <c r="AB50" s="57">
        <f>SUM(Z50*(LOG($Z$40)/LOG(2)))</f>
        <v>17.633076060353318</v>
      </c>
      <c r="AC50" s="57">
        <f t="shared" si="7"/>
        <v>10.095055662952024</v>
      </c>
      <c r="AD50" s="6"/>
      <c r="AE50" s="114"/>
      <c r="AF50" s="50" t="s">
        <v>41</v>
      </c>
      <c r="AG50" s="50">
        <f>AVERAGE(F16:F17)</f>
        <v>19.067622815924651</v>
      </c>
      <c r="AH50" s="57">
        <f t="shared" si="8"/>
        <v>8.9054147753802333</v>
      </c>
      <c r="AI50" s="57">
        <f>SUM(AG50*(LOG($AG$40)/LOG(2)))</f>
        <v>19.59755946132093</v>
      </c>
      <c r="AJ50" s="57">
        <f t="shared" si="9"/>
        <v>6.1051126046834767</v>
      </c>
      <c r="AK50" s="6"/>
      <c r="AL50" s="114"/>
      <c r="AM50" s="50" t="s">
        <v>41</v>
      </c>
      <c r="AN50" s="50">
        <f>AVERAGE(T16:T17)</f>
        <v>18.21554082527215</v>
      </c>
      <c r="AO50" s="57">
        <f t="shared" si="10"/>
        <v>8.7856026098001561</v>
      </c>
      <c r="AP50" s="50">
        <f>SUM(AN50*(LOG($AN$40)/LOG(2)))</f>
        <v>16.87368362037849</v>
      </c>
      <c r="AQ50" s="57">
        <f t="shared" si="11"/>
        <v>20.794784760633945</v>
      </c>
      <c r="AR50" s="40"/>
      <c r="AS50" s="40"/>
      <c r="AT50" s="6"/>
      <c r="AU50" s="6"/>
      <c r="AV50" s="6"/>
      <c r="AW50" s="6"/>
      <c r="AX50" s="6"/>
      <c r="AY50" s="6"/>
      <c r="AZ50" s="6"/>
      <c r="BA50" s="6"/>
      <c r="BB50" s="6"/>
      <c r="BC50" s="6"/>
      <c r="BD50" s="6"/>
      <c r="BE50" s="6"/>
      <c r="BF50" s="6"/>
      <c r="BG50" s="6"/>
      <c r="BH50" s="6"/>
      <c r="BI50" s="6"/>
      <c r="BJ50" s="6"/>
      <c r="BK50" s="6"/>
      <c r="BL50" s="6"/>
      <c r="BM50" s="6"/>
      <c r="BN50" s="6"/>
      <c r="BO50" s="6"/>
      <c r="BP50" s="6"/>
      <c r="BQ50" s="6"/>
      <c r="BR50" s="6"/>
      <c r="BS50" s="6"/>
      <c r="BT50" s="6"/>
      <c r="BU50" s="6"/>
      <c r="BV50" s="6"/>
      <c r="BW50" s="6"/>
      <c r="BX50" s="6"/>
      <c r="BY50" s="6"/>
      <c r="BZ50" s="6"/>
      <c r="CA50" s="6"/>
      <c r="CB50" s="6"/>
      <c r="CC50" s="6"/>
      <c r="CD50" s="6"/>
      <c r="CE50" s="6"/>
      <c r="CF50" s="6"/>
      <c r="CG50" s="6"/>
      <c r="CH50" s="6"/>
      <c r="CI50" s="6"/>
      <c r="CJ50" s="6"/>
    </row>
    <row r="51" spans="1:88" x14ac:dyDescent="0.25">
      <c r="A51" s="6"/>
      <c r="B51" s="44"/>
      <c r="C51" s="127"/>
      <c r="D51" s="51" t="s">
        <v>42</v>
      </c>
      <c r="E51" s="51">
        <f>AVERAGE(O7:O8)</f>
        <v>21.323609221564702</v>
      </c>
      <c r="F51" s="58">
        <f t="shared" si="0"/>
        <v>5.2180610493440778</v>
      </c>
      <c r="G51" s="58">
        <f>SUM(E51*(LOG(E40)/LOG(2)))</f>
        <v>21.244488065715448</v>
      </c>
      <c r="H51" s="58">
        <f t="shared" si="1"/>
        <v>5.5111041829196754</v>
      </c>
      <c r="I51" s="6"/>
      <c r="J51" s="114"/>
      <c r="K51" s="51" t="s">
        <v>42</v>
      </c>
      <c r="L51" s="51">
        <f>AVERAGE(G10:G11)</f>
        <v>19.671266457102099</v>
      </c>
      <c r="M51" s="58">
        <f t="shared" si="2"/>
        <v>5.3993335970824843</v>
      </c>
      <c r="N51" s="58">
        <f>SUM(L51*(LOG($L$40)/LOG(2)))</f>
        <v>11.687180567285399</v>
      </c>
      <c r="O51" s="58">
        <f t="shared" si="3"/>
        <v>144.63993021206619</v>
      </c>
      <c r="P51" s="6"/>
      <c r="Q51" s="114"/>
      <c r="R51" s="51" t="s">
        <v>42</v>
      </c>
      <c r="S51" s="51">
        <f>AVERAGE(U10:U11)</f>
        <v>24.50906292093525</v>
      </c>
      <c r="T51" s="58">
        <f t="shared" si="4"/>
        <v>8.3322656916295934E-4</v>
      </c>
      <c r="U51" s="58">
        <f>SUM(S51*(LOG($S$40)/LOG(2)))</f>
        <v>249.44039429049306</v>
      </c>
      <c r="V51" s="58">
        <f t="shared" si="5"/>
        <v>0</v>
      </c>
      <c r="W51" s="6"/>
      <c r="X51" s="114"/>
      <c r="Y51" s="51" t="s">
        <v>42</v>
      </c>
      <c r="Z51" s="51">
        <f>AVERAGE(O13:O14)</f>
        <v>18.72722445111355</v>
      </c>
      <c r="AA51" s="58">
        <f t="shared" si="6"/>
        <v>4.7483092304232501</v>
      </c>
      <c r="AB51" s="58">
        <f>SUM(Z51*(LOG($Z$40)/LOG(2)))</f>
        <v>18.624780864443949</v>
      </c>
      <c r="AC51" s="58">
        <f t="shared" si="7"/>
        <v>5.0957591192464742</v>
      </c>
      <c r="AD51" s="6"/>
      <c r="AE51" s="114"/>
      <c r="AF51" s="51" t="s">
        <v>42</v>
      </c>
      <c r="AG51" s="51">
        <f>AVERAGE(G16:G17)</f>
        <v>20.064741154524601</v>
      </c>
      <c r="AH51" s="58">
        <f t="shared" si="8"/>
        <v>4.3767260075502437</v>
      </c>
      <c r="AI51" s="58">
        <f>SUM(AG51*(LOG($AG$40)/LOG(2)))</f>
        <v>20.622390197660334</v>
      </c>
      <c r="AJ51" s="58">
        <f t="shared" si="9"/>
        <v>2.941811025486988</v>
      </c>
      <c r="AK51" s="6"/>
      <c r="AL51" s="114"/>
      <c r="AM51" s="51" t="s">
        <v>42</v>
      </c>
      <c r="AN51" s="51">
        <f>AVERAGE(U16:U17)</f>
        <v>19.312012679767498</v>
      </c>
      <c r="AO51" s="58">
        <f t="shared" si="10"/>
        <v>4.3452571420339581</v>
      </c>
      <c r="AP51" s="51">
        <f>SUM(AN51*(LOG($AN$40)/LOG(2)))</f>
        <v>17.889383310487897</v>
      </c>
      <c r="AQ51" s="58">
        <f t="shared" si="11"/>
        <v>10.832333813633509</v>
      </c>
      <c r="AR51" s="40"/>
      <c r="AS51" s="40"/>
      <c r="AT51" s="6"/>
      <c r="AU51" s="6"/>
      <c r="AV51" s="6"/>
      <c r="AW51" s="6"/>
      <c r="AX51" s="6"/>
      <c r="AY51" s="6"/>
      <c r="AZ51" s="6"/>
      <c r="BA51" s="6"/>
      <c r="BB51" s="6"/>
      <c r="BC51" s="6"/>
      <c r="BD51" s="6"/>
      <c r="BE51" s="6"/>
      <c r="BF51" s="6"/>
      <c r="BG51" s="6"/>
      <c r="BH51" s="6"/>
      <c r="BI51" s="6"/>
      <c r="BJ51" s="6"/>
      <c r="BK51" s="6"/>
      <c r="BL51" s="6"/>
      <c r="BM51" s="6"/>
      <c r="BN51" s="6"/>
      <c r="BO51" s="6"/>
      <c r="BP51" s="6"/>
      <c r="BQ51" s="6"/>
      <c r="BR51" s="6"/>
      <c r="BS51" s="6"/>
      <c r="BT51" s="6"/>
      <c r="BU51" s="6"/>
      <c r="BV51" s="6"/>
      <c r="BW51" s="6"/>
      <c r="BX51" s="6"/>
      <c r="BY51" s="6"/>
      <c r="BZ51" s="6"/>
      <c r="CA51" s="6"/>
      <c r="CB51" s="6"/>
      <c r="CC51" s="6"/>
      <c r="CD51" s="6"/>
      <c r="CE51" s="6"/>
      <c r="CF51" s="6"/>
      <c r="CG51" s="6"/>
      <c r="CH51" s="6"/>
      <c r="CI51" s="6"/>
      <c r="CJ51" s="6"/>
    </row>
    <row r="52" spans="1:88" x14ac:dyDescent="0.25">
      <c r="A52" s="6"/>
      <c r="B52" s="41"/>
      <c r="C52" s="128"/>
      <c r="D52" s="52" t="s">
        <v>43</v>
      </c>
      <c r="E52" s="52">
        <f>AVERAGE(P7:P8)</f>
        <v>19.921698850663748</v>
      </c>
      <c r="F52" s="59">
        <f t="shared" si="0"/>
        <v>13.739164908128918</v>
      </c>
      <c r="G52" s="59">
        <f>SUM(E52*(LOG(E40)/LOG(2)))</f>
        <v>19.847779476923247</v>
      </c>
      <c r="H52" s="59">
        <f t="shared" si="1"/>
        <v>14.458715732546729</v>
      </c>
      <c r="I52" s="6"/>
      <c r="J52" s="115"/>
      <c r="K52" s="52" t="s">
        <v>43</v>
      </c>
      <c r="L52" s="52">
        <f>AVERAGE(H10:H11)</f>
        <v>17.752627037346798</v>
      </c>
      <c r="M52" s="59">
        <f t="shared" si="2"/>
        <v>11.898369373175564</v>
      </c>
      <c r="N52" s="59">
        <f>SUM(L52*(LOG($L$40)/LOG(2)))</f>
        <v>10.547269957508867</v>
      </c>
      <c r="O52" s="59">
        <f t="shared" si="3"/>
        <v>231.29188715922342</v>
      </c>
      <c r="P52" s="6"/>
      <c r="Q52" s="115"/>
      <c r="R52" s="52" t="s">
        <v>43</v>
      </c>
      <c r="S52" s="52">
        <f>AVERAGE(V10:V11)</f>
        <v>23.714471375913448</v>
      </c>
      <c r="T52" s="59">
        <f t="shared" si="4"/>
        <v>0.22655491094661417</v>
      </c>
      <c r="U52" s="59">
        <f>SUM(S52*(LOG($S$40)/LOG(2)))</f>
        <v>241.35345808532185</v>
      </c>
      <c r="V52" s="59">
        <f t="shared" si="5"/>
        <v>0</v>
      </c>
      <c r="W52" s="6"/>
      <c r="X52" s="115"/>
      <c r="Y52" s="52" t="s">
        <v>43</v>
      </c>
      <c r="Z52" s="52">
        <f>AVERAGE(P13:P14)</f>
        <v>17.6505502111151</v>
      </c>
      <c r="AA52" s="59">
        <f t="shared" si="6"/>
        <v>9.9741811033327981</v>
      </c>
      <c r="AB52" s="59">
        <f>SUM(Z52*(LOG($Z$40)/LOG(2)))</f>
        <v>17.553996358458573</v>
      </c>
      <c r="AC52" s="59">
        <f t="shared" si="7"/>
        <v>10.660654233421543</v>
      </c>
      <c r="AD52" s="6"/>
      <c r="AE52" s="115"/>
      <c r="AF52" s="52" t="s">
        <v>43</v>
      </c>
      <c r="AG52" s="52">
        <f>AVERAGE(H16:H17)</f>
        <v>19.056960073290199</v>
      </c>
      <c r="AH52" s="59">
        <f t="shared" si="8"/>
        <v>8.9733202093728899</v>
      </c>
      <c r="AI52" s="59">
        <f>SUM(AG52*(LOG($AG$40)/LOG(2)))</f>
        <v>19.586600374558163</v>
      </c>
      <c r="AJ52" s="59">
        <f t="shared" si="9"/>
        <v>6.1529640871681615</v>
      </c>
      <c r="AK52" s="6"/>
      <c r="AL52" s="115"/>
      <c r="AM52" s="52" t="s">
        <v>43</v>
      </c>
      <c r="AN52" s="52">
        <f>AVERAGE(V16:V17)</f>
        <v>18.305970398734402</v>
      </c>
      <c r="AO52" s="59">
        <f t="shared" si="10"/>
        <v>8.2900063835324769</v>
      </c>
      <c r="AP52" s="52">
        <f>SUM(AN52*(LOG($AN$40)/LOG(2)))</f>
        <v>16.957451652695752</v>
      </c>
      <c r="AQ52" s="59">
        <f t="shared" si="11"/>
        <v>19.705857575391185</v>
      </c>
      <c r="AR52" s="40"/>
      <c r="AS52" s="40"/>
      <c r="AT52" s="6"/>
      <c r="AU52" s="6"/>
      <c r="AV52" s="6"/>
      <c r="AW52" s="6"/>
      <c r="AX52" s="6"/>
      <c r="AY52" s="6"/>
      <c r="AZ52" s="6"/>
      <c r="BA52" s="6"/>
      <c r="BB52" s="6"/>
      <c r="BC52" s="6"/>
      <c r="BD52" s="6"/>
      <c r="BE52" s="6"/>
      <c r="BF52" s="6"/>
      <c r="BG52" s="6"/>
      <c r="BH52" s="6"/>
      <c r="BI52" s="6"/>
      <c r="BJ52" s="6"/>
      <c r="BK52" s="6"/>
      <c r="BL52" s="6"/>
      <c r="BM52" s="6"/>
      <c r="BN52" s="6"/>
      <c r="BO52" s="6"/>
      <c r="BP52" s="6"/>
      <c r="BQ52" s="6"/>
      <c r="BR52" s="6"/>
      <c r="BS52" s="6"/>
      <c r="BT52" s="6"/>
      <c r="BU52" s="6"/>
      <c r="BV52" s="6"/>
      <c r="BW52" s="6"/>
      <c r="BX52" s="6"/>
      <c r="BY52" s="6"/>
      <c r="BZ52" s="6"/>
      <c r="CA52" s="6"/>
      <c r="CB52" s="6"/>
      <c r="CC52" s="6"/>
      <c r="CD52" s="6"/>
      <c r="CE52" s="6"/>
      <c r="CF52" s="6"/>
      <c r="CG52" s="6"/>
      <c r="CH52" s="6"/>
      <c r="CI52" s="6"/>
      <c r="CJ52" s="6"/>
    </row>
    <row r="53" spans="1:88" x14ac:dyDescent="0.25">
      <c r="A53" s="6"/>
      <c r="B53" s="6"/>
      <c r="C53" s="125" t="s">
        <v>34</v>
      </c>
      <c r="D53" s="126"/>
      <c r="E53" s="61">
        <f>AVERAGE(Q7:Q8)</f>
        <v>36.799357740483103</v>
      </c>
      <c r="F53" s="60">
        <f t="shared" si="0"/>
        <v>1.1916002892968308E-4</v>
      </c>
      <c r="G53" s="60">
        <f>SUM(E53*(LOG(E40)/LOG(2)))</f>
        <v>36.662813889548495</v>
      </c>
      <c r="H53" s="60">
        <f t="shared" si="1"/>
        <v>1.3094287719184791E-4</v>
      </c>
      <c r="I53" s="6"/>
      <c r="J53" s="125" t="s">
        <v>34</v>
      </c>
      <c r="K53" s="126"/>
      <c r="L53" s="61">
        <f>AVERAGE(Z7:Z8)</f>
        <v>36.808349658252098</v>
      </c>
      <c r="M53" s="60">
        <f t="shared" si="2"/>
        <v>4.6492736159485706E-3</v>
      </c>
      <c r="N53" s="60">
        <f>SUM(L53*(LOG($L$40)/LOG(2)))</f>
        <v>21.868740875321535</v>
      </c>
      <c r="O53" s="60">
        <f t="shared" si="3"/>
        <v>2.1843560784795302</v>
      </c>
      <c r="P53" s="6"/>
      <c r="Q53" s="125" t="s">
        <v>34</v>
      </c>
      <c r="R53" s="126"/>
      <c r="S53" s="61">
        <f>AVERAGE(W10:W11)</f>
        <v>31.306253781104349</v>
      </c>
      <c r="T53" s="60">
        <f t="shared" si="4"/>
        <v>1.2474875207573481E-24</v>
      </c>
      <c r="U53" s="60">
        <f>SUM(S53*(LOG($S$40)/LOG(2)))</f>
        <v>318.61863964805229</v>
      </c>
      <c r="V53" s="60">
        <f t="shared" si="5"/>
        <v>0</v>
      </c>
      <c r="W53" s="6"/>
      <c r="X53" s="125" t="s">
        <v>34</v>
      </c>
      <c r="Y53" s="126"/>
      <c r="Z53" s="61" t="e">
        <f>AVERAGE(Q13:Q14)</f>
        <v>#DIV/0!</v>
      </c>
      <c r="AA53" s="60" t="e">
        <f t="shared" si="6"/>
        <v>#DIV/0!</v>
      </c>
      <c r="AB53" s="60" t="e">
        <f>SUM(Z53*(LOG($Z$40)/LOG(2)))</f>
        <v>#DIV/0!</v>
      </c>
      <c r="AC53" s="60" t="e">
        <f t="shared" si="7"/>
        <v>#DIV/0!</v>
      </c>
      <c r="AD53" s="6"/>
      <c r="AE53" s="111" t="s">
        <v>34</v>
      </c>
      <c r="AF53" s="112"/>
      <c r="AG53" s="61">
        <f>AVERAGE(Z13:Z14)</f>
        <v>39.334296498518654</v>
      </c>
      <c r="AH53" s="60">
        <f t="shared" si="8"/>
        <v>4.7777005847675131E-6</v>
      </c>
      <c r="AI53" s="60">
        <f>SUM(AG53*(LOG($AG$40)/LOG(2)))</f>
        <v>40.427494394065384</v>
      </c>
      <c r="AJ53" s="60">
        <f t="shared" si="9"/>
        <v>2.1927416772691689E-6</v>
      </c>
      <c r="AK53" s="6"/>
      <c r="AL53" s="111" t="s">
        <v>34</v>
      </c>
      <c r="AM53" s="112"/>
      <c r="AN53" s="61">
        <f>AVERAGE(W16:W17)</f>
        <v>34.854492722654953</v>
      </c>
      <c r="AO53" s="60">
        <f t="shared" si="10"/>
        <v>2.0133788940483472E-4</v>
      </c>
      <c r="AP53" s="61">
        <f>SUM(AN53*(LOG($AN$40)/LOG(2)))</f>
        <v>32.286918548962561</v>
      </c>
      <c r="AQ53" s="60">
        <f t="shared" si="11"/>
        <v>1.0468996061030642E-3</v>
      </c>
      <c r="AR53" s="40"/>
      <c r="AS53" s="40"/>
      <c r="AT53" s="6"/>
      <c r="AU53" s="6"/>
      <c r="AV53" s="6"/>
      <c r="AW53" s="6"/>
      <c r="AX53" s="6"/>
      <c r="AY53" s="6"/>
      <c r="AZ53" s="6"/>
      <c r="BA53" s="6"/>
      <c r="BB53" s="6"/>
      <c r="BC53" s="6"/>
      <c r="BD53" s="6"/>
      <c r="BE53" s="6"/>
      <c r="BF53" s="6"/>
      <c r="BG53" s="6"/>
      <c r="BH53" s="6"/>
      <c r="BI53" s="6"/>
      <c r="BJ53" s="6"/>
      <c r="BK53" s="6"/>
      <c r="BL53" s="6"/>
      <c r="BM53" s="6"/>
      <c r="BN53" s="6"/>
      <c r="BO53" s="6"/>
      <c r="BP53" s="6"/>
      <c r="BQ53" s="6"/>
      <c r="BR53" s="6"/>
      <c r="BS53" s="6"/>
      <c r="BT53" s="6"/>
      <c r="BU53" s="6"/>
      <c r="BV53" s="6"/>
      <c r="BW53" s="6"/>
      <c r="BX53" s="6"/>
      <c r="BY53" s="6"/>
      <c r="BZ53" s="6"/>
      <c r="CA53" s="6"/>
      <c r="CB53" s="6"/>
      <c r="CC53" s="6"/>
      <c r="CD53" s="6"/>
      <c r="CE53" s="6"/>
      <c r="CF53" s="6"/>
      <c r="CG53" s="6"/>
      <c r="CH53" s="6"/>
      <c r="CI53" s="6"/>
      <c r="CJ53" s="6"/>
    </row>
    <row r="54" spans="1:88" x14ac:dyDescent="0.25">
      <c r="A54" s="6"/>
      <c r="B54" s="6"/>
      <c r="C54" s="109" t="s">
        <v>73</v>
      </c>
      <c r="D54" s="110"/>
      <c r="E54" s="84">
        <f>AVERAGE(E44:E52)</f>
        <v>20.360285836186947</v>
      </c>
      <c r="F54" s="84">
        <f>AVERAGE(F44:F52)</f>
        <v>11.060304655640529</v>
      </c>
      <c r="G54" s="84">
        <f>AVERAGE(G44:G52)</f>
        <v>20.284739087414643</v>
      </c>
      <c r="H54" s="84">
        <f>AVERAGE(H44:H52)</f>
        <v>11.645474063218943</v>
      </c>
      <c r="I54" s="6"/>
      <c r="J54" s="109" t="s">
        <v>73</v>
      </c>
      <c r="K54" s="110"/>
      <c r="L54" s="84">
        <f>AVERAGE(L44:L52)</f>
        <v>19.048845209560799</v>
      </c>
      <c r="M54" s="84">
        <f>AVERAGE(M44:M52)</f>
        <v>7.7806590790347467</v>
      </c>
      <c r="N54" s="84">
        <f>AVERAGE(N44:N52)</f>
        <v>11.317384879509339</v>
      </c>
      <c r="O54" s="84">
        <f>AVERAGE(O44:O52)</f>
        <v>175.10018078124702</v>
      </c>
      <c r="P54" s="6"/>
      <c r="Q54" s="109" t="s">
        <v>73</v>
      </c>
      <c r="R54" s="110"/>
      <c r="S54" s="84">
        <f>AVERAGE(S44:S52)</f>
        <v>23.915641111599118</v>
      </c>
      <c r="T54" s="84">
        <f>AVERAGE(T44:T52)</f>
        <v>1.4770198915094104</v>
      </c>
      <c r="U54" s="84">
        <f>AVERAGE(U44:U52)</f>
        <v>243.40085819811378</v>
      </c>
      <c r="V54" s="84">
        <f>AVERAGE(V44:V52)</f>
        <v>0</v>
      </c>
      <c r="W54" s="6"/>
      <c r="X54" s="109" t="s">
        <v>73</v>
      </c>
      <c r="Y54" s="110"/>
      <c r="Z54" s="84">
        <f>AVERAGE(Z44:Z52)</f>
        <v>18.282873227328167</v>
      </c>
      <c r="AA54" s="84">
        <f>AVERAGE(AA44:AA52)</f>
        <v>6.9416096771964302</v>
      </c>
      <c r="AB54" s="84">
        <f>AVERAGE(AB44:AB52)</f>
        <v>18.182860376362321</v>
      </c>
      <c r="AC54" s="84">
        <f>AVERAGE(AC44:AC52)</f>
        <v>7.4315245864956303</v>
      </c>
      <c r="AD54" s="6"/>
      <c r="AE54" s="109" t="s">
        <v>73</v>
      </c>
      <c r="AF54" s="110"/>
      <c r="AG54" s="84">
        <f>AVERAGE(AG44:AG52)</f>
        <v>19.443121218478609</v>
      </c>
      <c r="AH54" s="84">
        <f>AVERAGE(AH44:AH52)</f>
        <v>7.2076790188953845</v>
      </c>
      <c r="AI54" s="84">
        <f>AVERAGE(AI44:AI52)</f>
        <v>19.983493898073917</v>
      </c>
      <c r="AJ54" s="84">
        <f>AVERAGE(AJ44:AJ52)</f>
        <v>4.9194915257678877</v>
      </c>
      <c r="AK54" s="6"/>
      <c r="AL54" s="109" t="s">
        <v>73</v>
      </c>
      <c r="AM54" s="110"/>
      <c r="AN54" s="84">
        <f>AVERAGE(AN44:AN52)</f>
        <v>18.680555396670091</v>
      </c>
      <c r="AO54" s="84">
        <f>AVERAGE(AO44:AO52)</f>
        <v>6.9835877709654115</v>
      </c>
      <c r="AP54" s="84">
        <f>AVERAGE(AP44:AP52)</f>
        <v>17.304442653662232</v>
      </c>
      <c r="AQ54" s="84">
        <f>AVERAGE(AQ44:AQ52)</f>
        <v>16.739259430353087</v>
      </c>
      <c r="AR54" s="40"/>
      <c r="AS54" s="40"/>
      <c r="AT54" s="6"/>
      <c r="AU54" s="6"/>
      <c r="AV54" s="6"/>
      <c r="AW54" s="6"/>
      <c r="AX54" s="6"/>
      <c r="AY54" s="6"/>
      <c r="AZ54" s="6"/>
      <c r="BA54" s="6"/>
      <c r="BB54" s="6"/>
      <c r="BC54" s="6"/>
      <c r="BD54" s="6"/>
      <c r="BE54" s="6"/>
      <c r="BF54" s="6"/>
      <c r="BG54" s="6"/>
      <c r="BH54" s="6"/>
      <c r="BI54" s="6"/>
      <c r="BJ54" s="6"/>
      <c r="BK54" s="6"/>
      <c r="BL54" s="6"/>
      <c r="BM54" s="6"/>
      <c r="BN54" s="6"/>
      <c r="BO54" s="6"/>
      <c r="BP54" s="6"/>
      <c r="BQ54" s="6"/>
      <c r="BR54" s="6"/>
      <c r="BS54" s="6"/>
      <c r="BT54" s="6"/>
      <c r="BU54" s="6"/>
      <c r="BV54" s="6"/>
      <c r="BW54" s="6"/>
      <c r="BX54" s="6"/>
      <c r="BY54" s="6"/>
      <c r="BZ54" s="6"/>
      <c r="CA54" s="6"/>
      <c r="CB54" s="6"/>
      <c r="CC54" s="6"/>
      <c r="CD54" s="6"/>
      <c r="CE54" s="6"/>
      <c r="CF54" s="6"/>
      <c r="CG54" s="6"/>
      <c r="CH54" s="6"/>
      <c r="CI54" s="6"/>
      <c r="CJ54" s="6"/>
    </row>
    <row r="55" spans="1:88" x14ac:dyDescent="0.25">
      <c r="A55" s="6"/>
      <c r="B55" s="6"/>
      <c r="C55" s="109" t="s">
        <v>74</v>
      </c>
      <c r="D55" s="110"/>
      <c r="E55" s="84">
        <f>(E56/SQRT(9))</f>
        <v>0.20530441566852994</v>
      </c>
      <c r="F55" s="84">
        <f>(F56/SQRT(9))</f>
        <v>1.4602938693628256</v>
      </c>
      <c r="G55" s="84">
        <f>(G56/SQRT(9))</f>
        <v>0.20454263456009436</v>
      </c>
      <c r="H55" s="84">
        <f>(H56/SQRT(9))</f>
        <v>1.5323679448333591</v>
      </c>
      <c r="I55" s="6"/>
      <c r="J55" s="109" t="s">
        <v>74</v>
      </c>
      <c r="K55" s="110"/>
      <c r="L55" s="84">
        <f>(L56/SQRT(9))</f>
        <v>0.37830420912485069</v>
      </c>
      <c r="M55" s="84">
        <f>(M56/SQRT(9))</f>
        <v>1.1950101899764711</v>
      </c>
      <c r="N55" s="84">
        <f>(N56/SQRT(9))</f>
        <v>0.22475978407633032</v>
      </c>
      <c r="O55" s="84">
        <f>(O56/SQRT(9))</f>
        <v>16.308425969620888</v>
      </c>
      <c r="P55" s="6"/>
      <c r="Q55" s="109" t="s">
        <v>74</v>
      </c>
      <c r="R55" s="110"/>
      <c r="S55" s="84">
        <f>(S56/SQRT(9))</f>
        <v>0.16566407258197596</v>
      </c>
      <c r="T55" s="84">
        <f>(T56/SQRT(9))</f>
        <v>0.86211334570806708</v>
      </c>
      <c r="U55" s="84">
        <f>(U56/SQRT(9))</f>
        <v>1.6860420864691328</v>
      </c>
      <c r="V55" s="84">
        <f>(V56/SQRT(9))</f>
        <v>0</v>
      </c>
      <c r="W55" s="6"/>
      <c r="X55" s="109" t="s">
        <v>74</v>
      </c>
      <c r="Y55" s="110"/>
      <c r="Z55" s="84">
        <f>(Z56/SQRT(9))</f>
        <v>0.19824250237441662</v>
      </c>
      <c r="AA55" s="84">
        <f>(AA56/SQRT(9))</f>
        <v>0.78956979886446621</v>
      </c>
      <c r="AB55" s="84">
        <f>(AB56/SQRT(9))</f>
        <v>0.19715805587639967</v>
      </c>
      <c r="AC55" s="84">
        <f>(AC56/SQRT(9))</f>
        <v>0.84144474981866679</v>
      </c>
      <c r="AD55" s="6"/>
      <c r="AE55" s="109" t="s">
        <v>74</v>
      </c>
      <c r="AF55" s="110"/>
      <c r="AG55" s="84">
        <f>(AG56/SQRT(9))</f>
        <v>0.16212838814071176</v>
      </c>
      <c r="AH55" s="84">
        <f>(AH56/SQRT(9))</f>
        <v>0.75302591930230534</v>
      </c>
      <c r="AI55" s="84">
        <f>(AI56/SQRT(9))</f>
        <v>0.16663433914279688</v>
      </c>
      <c r="AJ55" s="84">
        <f>(AJ56/SQRT(9))</f>
        <v>0.52663562762453753</v>
      </c>
      <c r="AK55" s="6"/>
      <c r="AL55" s="109" t="s">
        <v>74</v>
      </c>
      <c r="AM55" s="110"/>
      <c r="AN55" s="84">
        <f>(AN56/SQRT(9))</f>
        <v>0.20154407028474311</v>
      </c>
      <c r="AO55" s="84">
        <f>(AO56/SQRT(9))</f>
        <v>0.8051222929874724</v>
      </c>
      <c r="AP55" s="84">
        <f>(AP56/SQRT(9))</f>
        <v>0.18669722245248077</v>
      </c>
      <c r="AQ55" s="84">
        <f>(AQ56/SQRT(9))</f>
        <v>1.8020121885060674</v>
      </c>
      <c r="AR55" s="40"/>
      <c r="AS55" s="40"/>
      <c r="AT55" s="6"/>
      <c r="AU55" s="6"/>
      <c r="AV55" s="6"/>
      <c r="AW55" s="6"/>
      <c r="AX55" s="6"/>
      <c r="AY55" s="6"/>
      <c r="AZ55" s="6"/>
      <c r="BA55" s="6"/>
      <c r="BB55" s="6"/>
      <c r="BC55" s="6"/>
      <c r="BD55" s="6"/>
      <c r="BE55" s="6"/>
      <c r="BF55" s="6"/>
      <c r="BG55" s="6"/>
      <c r="BH55" s="6"/>
      <c r="BI55" s="6"/>
      <c r="BJ55" s="6"/>
      <c r="BK55" s="6"/>
      <c r="BL55" s="6"/>
      <c r="BM55" s="6"/>
      <c r="BN55" s="6"/>
      <c r="BO55" s="6"/>
      <c r="BP55" s="6"/>
      <c r="BQ55" s="6"/>
      <c r="BR55" s="6"/>
      <c r="BS55" s="6"/>
      <c r="BT55" s="6"/>
      <c r="BU55" s="6"/>
      <c r="BV55" s="6"/>
      <c r="BW55" s="6"/>
      <c r="BX55" s="6"/>
      <c r="BY55" s="6"/>
      <c r="BZ55" s="6"/>
      <c r="CA55" s="6"/>
      <c r="CB55" s="6"/>
      <c r="CC55" s="6"/>
      <c r="CD55" s="6"/>
      <c r="CE55" s="6"/>
      <c r="CF55" s="6"/>
      <c r="CG55" s="6"/>
      <c r="CH55" s="6"/>
      <c r="CI55" s="6"/>
      <c r="CJ55" s="6"/>
    </row>
    <row r="56" spans="1:88" x14ac:dyDescent="0.25">
      <c r="A56" s="6"/>
      <c r="B56" s="6"/>
      <c r="C56" s="109" t="s">
        <v>75</v>
      </c>
      <c r="D56" s="110"/>
      <c r="E56" s="84">
        <f>_xlfn.STDEV.P(E44:E52)</f>
        <v>0.6159132470055898</v>
      </c>
      <c r="F56" s="84">
        <f>_xlfn.STDEV.P(F44:F52)</f>
        <v>4.3808816080884769</v>
      </c>
      <c r="G56" s="84">
        <f>_xlfn.STDEV.P(G44:G52)</f>
        <v>0.61362790368028308</v>
      </c>
      <c r="H56" s="84">
        <f>_xlfn.STDEV.P(H44:H52)</f>
        <v>4.5971038345000776</v>
      </c>
      <c r="I56" s="6"/>
      <c r="J56" s="109" t="s">
        <v>75</v>
      </c>
      <c r="K56" s="110"/>
      <c r="L56" s="84">
        <f>_xlfn.STDEV.P(L44:L52)</f>
        <v>1.134912627374552</v>
      </c>
      <c r="M56" s="84">
        <f>_xlfn.STDEV.P(M44:M52)</f>
        <v>3.5850305699294132</v>
      </c>
      <c r="N56" s="84">
        <f>_xlfn.STDEV.P(N44:N52)</f>
        <v>0.67427935222899094</v>
      </c>
      <c r="O56" s="84">
        <f>_xlfn.STDEV.P(O44:O52)</f>
        <v>48.925277908862661</v>
      </c>
      <c r="P56" s="6"/>
      <c r="Q56" s="109" t="s">
        <v>75</v>
      </c>
      <c r="R56" s="110"/>
      <c r="S56" s="84">
        <f>_xlfn.STDEV.P(S44:S52)</f>
        <v>0.49699221774592789</v>
      </c>
      <c r="T56" s="84">
        <f>_xlfn.STDEV.P(T44:T52)</f>
        <v>2.5863400371242014</v>
      </c>
      <c r="U56" s="84">
        <f>_xlfn.STDEV.P(U44:U52)</f>
        <v>5.0581262594073984</v>
      </c>
      <c r="V56" s="84">
        <f>_xlfn.STDEV.P(V44:V52)</f>
        <v>0</v>
      </c>
      <c r="W56" s="6"/>
      <c r="X56" s="109" t="s">
        <v>75</v>
      </c>
      <c r="Y56" s="110"/>
      <c r="Z56" s="84">
        <f>_xlfn.STDEV.P(Z44:Z52)</f>
        <v>0.59472750712324984</v>
      </c>
      <c r="AA56" s="84">
        <f>_xlfn.STDEV.P(AA44:AA52)</f>
        <v>2.3687093965933985</v>
      </c>
      <c r="AB56" s="84">
        <f>_xlfn.STDEV.P(AB44:AB52)</f>
        <v>0.59147416762919902</v>
      </c>
      <c r="AC56" s="84">
        <f>_xlfn.STDEV.P(AC44:AC52)</f>
        <v>2.5243342494560004</v>
      </c>
      <c r="AD56" s="6"/>
      <c r="AE56" s="109" t="s">
        <v>75</v>
      </c>
      <c r="AF56" s="110"/>
      <c r="AG56" s="84">
        <f>_xlfn.STDEV.P(AG44:AG52)</f>
        <v>0.48638516442213531</v>
      </c>
      <c r="AH56" s="84">
        <f>_xlfn.STDEV.P(AH44:AH52)</f>
        <v>2.2590777579069159</v>
      </c>
      <c r="AI56" s="84">
        <f>_xlfn.STDEV.P(AI44:AI52)</f>
        <v>0.49990301742839061</v>
      </c>
      <c r="AJ56" s="84">
        <f>_xlfn.STDEV.P(AJ44:AJ52)</f>
        <v>1.5799068828736127</v>
      </c>
      <c r="AK56" s="6"/>
      <c r="AL56" s="109" t="s">
        <v>75</v>
      </c>
      <c r="AM56" s="110"/>
      <c r="AN56" s="84">
        <f>_xlfn.STDEV.P(AN44:AN52)</f>
        <v>0.60463221085422936</v>
      </c>
      <c r="AO56" s="84">
        <f>_xlfn.STDEV.P(AO44:AO52)</f>
        <v>2.4153668789624172</v>
      </c>
      <c r="AP56" s="84">
        <f>_xlfn.STDEV.P(AP44:AP52)</f>
        <v>0.56009166735744231</v>
      </c>
      <c r="AQ56" s="84">
        <f>_xlfn.STDEV.P(AQ44:AQ52)</f>
        <v>5.4060365655182023</v>
      </c>
      <c r="AR56" s="40"/>
      <c r="AS56" s="40"/>
      <c r="AT56" s="6"/>
      <c r="AU56" s="6"/>
      <c r="AV56" s="6"/>
      <c r="AW56" s="6"/>
      <c r="AX56" s="6"/>
      <c r="AY56" s="6"/>
      <c r="AZ56" s="6"/>
      <c r="BA56" s="6"/>
      <c r="BB56" s="6"/>
      <c r="BC56" s="6"/>
      <c r="BD56" s="6"/>
      <c r="BE56" s="6"/>
      <c r="BF56" s="6"/>
      <c r="BG56" s="6"/>
      <c r="BH56" s="6"/>
      <c r="BI56" s="6"/>
      <c r="BJ56" s="6"/>
      <c r="BK56" s="6"/>
      <c r="BL56" s="6"/>
      <c r="BM56" s="6"/>
      <c r="BN56" s="6"/>
      <c r="BO56" s="6"/>
      <c r="BP56" s="6"/>
      <c r="BQ56" s="6"/>
      <c r="BR56" s="6"/>
      <c r="BS56" s="6"/>
      <c r="BT56" s="6"/>
      <c r="BU56" s="6"/>
      <c r="BV56" s="6"/>
      <c r="BW56" s="6"/>
      <c r="BX56" s="6"/>
      <c r="BY56" s="6"/>
      <c r="BZ56" s="6"/>
      <c r="CA56" s="6"/>
      <c r="CB56" s="6"/>
      <c r="CC56" s="6"/>
      <c r="CD56" s="6"/>
      <c r="CE56" s="6"/>
      <c r="CF56" s="6"/>
      <c r="CG56" s="6"/>
      <c r="CH56" s="6"/>
      <c r="CI56" s="6"/>
      <c r="CJ56" s="6"/>
    </row>
    <row r="57" spans="1:88" x14ac:dyDescent="0.25">
      <c r="A57" s="6"/>
      <c r="B57" s="6"/>
      <c r="C57" s="109" t="s">
        <v>76</v>
      </c>
      <c r="D57" s="110"/>
      <c r="E57" s="84">
        <f>SUM(E56/E54)</f>
        <v>3.0250717104909633E-2</v>
      </c>
      <c r="F57" s="84">
        <f>SUM(F56/F54)</f>
        <v>0.39609050062236006</v>
      </c>
      <c r="G57" s="84">
        <f>SUM(G56/G54)</f>
        <v>3.0250717104909629E-2</v>
      </c>
      <c r="H57" s="84">
        <f>SUM(H56/H54)</f>
        <v>0.39475454666285908</v>
      </c>
      <c r="I57" s="6"/>
      <c r="J57" s="109" t="s">
        <v>76</v>
      </c>
      <c r="K57" s="110"/>
      <c r="L57" s="84">
        <f>SUM(L56/L54)</f>
        <v>5.9579077623294896E-2</v>
      </c>
      <c r="M57" s="84">
        <f>SUM(M56/M54)</f>
        <v>0.46076181124416582</v>
      </c>
      <c r="N57" s="84">
        <f>SUM(N56/N54)</f>
        <v>5.9579077623294903E-2</v>
      </c>
      <c r="O57" s="84">
        <f>SUM(O56/O54)</f>
        <v>0.27941306337076316</v>
      </c>
      <c r="P57" s="6"/>
      <c r="Q57" s="109" t="s">
        <v>76</v>
      </c>
      <c r="R57" s="110"/>
      <c r="S57" s="84">
        <f>SUM(S56/S54)</f>
        <v>2.0781053513338012E-2</v>
      </c>
      <c r="T57" s="84">
        <f>SUM(T56/T54)</f>
        <v>1.7510529492471112</v>
      </c>
      <c r="U57" s="84">
        <f>SUM(U56/U54)</f>
        <v>2.0781053513338008E-2</v>
      </c>
      <c r="V57" s="84" t="e">
        <f>SUM(V56/V54)</f>
        <v>#DIV/0!</v>
      </c>
      <c r="W57" s="6"/>
      <c r="X57" s="109" t="s">
        <v>76</v>
      </c>
      <c r="Y57" s="110"/>
      <c r="Z57" s="84">
        <f>SUM(Z56/Z54)</f>
        <v>3.2529214622255657E-2</v>
      </c>
      <c r="AA57" s="84">
        <f>SUM(AA56/AA54)</f>
        <v>0.34123344681489931</v>
      </c>
      <c r="AB57" s="84">
        <f>SUM(AB56/AB54)</f>
        <v>3.2529214622255699E-2</v>
      </c>
      <c r="AC57" s="84">
        <f>SUM(AC56/AC54)</f>
        <v>0.33967918965687793</v>
      </c>
      <c r="AD57" s="6"/>
      <c r="AE57" s="109" t="s">
        <v>76</v>
      </c>
      <c r="AF57" s="110"/>
      <c r="AG57" s="84">
        <f>SUM(AG56/AG54)</f>
        <v>2.5015796535788615E-2</v>
      </c>
      <c r="AH57" s="84">
        <f>SUM(AH56/AH54)</f>
        <v>0.31342652079602895</v>
      </c>
      <c r="AI57" s="84">
        <f>SUM(AI56/AI54)</f>
        <v>2.5015796535788625E-2</v>
      </c>
      <c r="AJ57" s="84">
        <f>SUM(AJ56/AJ54)</f>
        <v>0.32115247573823263</v>
      </c>
      <c r="AK57" s="6"/>
      <c r="AL57" s="109" t="s">
        <v>76</v>
      </c>
      <c r="AM57" s="110"/>
      <c r="AN57" s="84">
        <f>SUM(AN56/AN54)</f>
        <v>3.2366929034776358E-2</v>
      </c>
      <c r="AO57" s="84">
        <f>SUM(AO56/AO54)</f>
        <v>0.34586332386404828</v>
      </c>
      <c r="AP57" s="84">
        <f>SUM(AP56/AP54)</f>
        <v>3.2366929034776344E-2</v>
      </c>
      <c r="AQ57" s="84">
        <f>SUM(AQ56/AQ54)</f>
        <v>0.32295553982008934</v>
      </c>
      <c r="AR57" s="40"/>
      <c r="AS57" s="40"/>
      <c r="AT57" s="6"/>
      <c r="AU57" s="6"/>
      <c r="AV57" s="6"/>
      <c r="AW57" s="6"/>
      <c r="AX57" s="6"/>
      <c r="AY57" s="6"/>
      <c r="AZ57" s="6"/>
      <c r="BA57" s="6"/>
      <c r="BB57" s="6"/>
      <c r="BC57" s="6"/>
      <c r="BD57" s="6"/>
      <c r="BE57" s="6"/>
      <c r="BF57" s="6"/>
      <c r="BG57" s="6"/>
      <c r="BH57" s="6"/>
      <c r="BI57" s="6"/>
      <c r="BJ57" s="6"/>
      <c r="BK57" s="6"/>
      <c r="BL57" s="6"/>
      <c r="BM57" s="6"/>
      <c r="BN57" s="6"/>
      <c r="BO57" s="6"/>
      <c r="BP57" s="6"/>
      <c r="BQ57" s="6"/>
      <c r="BR57" s="6"/>
      <c r="BS57" s="6"/>
      <c r="BT57" s="6"/>
      <c r="BU57" s="6"/>
      <c r="BV57" s="6"/>
      <c r="BW57" s="6"/>
      <c r="BX57" s="6"/>
      <c r="BY57" s="6"/>
      <c r="BZ57" s="6"/>
      <c r="CA57" s="6"/>
      <c r="CB57" s="6"/>
      <c r="CC57" s="6"/>
      <c r="CD57" s="6"/>
      <c r="CE57" s="6"/>
      <c r="CF57" s="6"/>
      <c r="CG57" s="6"/>
      <c r="CH57" s="6"/>
      <c r="CI57" s="6"/>
      <c r="CJ57" s="6"/>
    </row>
    <row r="58" spans="1:88" x14ac:dyDescent="0.25">
      <c r="A58" s="6"/>
      <c r="B58" s="6"/>
      <c r="C58" s="6"/>
      <c r="D58" s="6"/>
      <c r="E58" s="6"/>
      <c r="F58" s="6"/>
      <c r="G58" s="6"/>
      <c r="H58" s="6"/>
      <c r="I58" s="6"/>
      <c r="J58" s="6"/>
      <c r="K58" s="6"/>
      <c r="L58" s="6"/>
      <c r="M58" s="6"/>
      <c r="N58" s="6"/>
      <c r="O58" s="6"/>
      <c r="P58" s="6"/>
      <c r="Q58" s="6"/>
      <c r="R58" s="6"/>
      <c r="S58" s="6"/>
      <c r="T58" s="6"/>
      <c r="U58" s="6"/>
      <c r="V58" s="6"/>
      <c r="W58" s="6"/>
      <c r="X58" s="6"/>
      <c r="Y58" s="6"/>
      <c r="Z58" s="6"/>
      <c r="AA58" s="6"/>
      <c r="AB58" s="6"/>
      <c r="AC58" s="6"/>
      <c r="AD58" s="6"/>
      <c r="AE58" s="6"/>
      <c r="AF58" s="6"/>
      <c r="AG58" s="6"/>
      <c r="AH58" s="6"/>
      <c r="AI58" s="6"/>
      <c r="AJ58" s="6"/>
      <c r="AK58" s="6"/>
      <c r="AL58" s="6"/>
      <c r="AM58" s="6"/>
      <c r="AN58" s="6"/>
      <c r="AO58" s="6"/>
      <c r="AP58" s="6"/>
      <c r="AQ58" s="6"/>
      <c r="AR58" s="6"/>
      <c r="AS58" s="6"/>
      <c r="AT58" s="6"/>
      <c r="AU58" s="6"/>
      <c r="AV58" s="6"/>
      <c r="AW58" s="6"/>
      <c r="AX58" s="6"/>
      <c r="AY58" s="6"/>
      <c r="AZ58" s="6"/>
      <c r="BA58" s="6"/>
      <c r="BB58" s="6"/>
      <c r="BC58" s="6"/>
      <c r="BD58" s="6"/>
      <c r="BE58" s="6"/>
      <c r="BF58" s="6"/>
      <c r="BG58" s="6"/>
      <c r="BH58" s="6"/>
      <c r="BI58" s="6"/>
      <c r="BJ58" s="6"/>
      <c r="BK58" s="6"/>
      <c r="BL58" s="6"/>
      <c r="BM58" s="6"/>
      <c r="BN58" s="6"/>
      <c r="BO58" s="6"/>
      <c r="BP58" s="6"/>
      <c r="BQ58" s="6"/>
      <c r="BR58" s="6"/>
      <c r="BS58" s="6"/>
      <c r="BT58" s="6"/>
      <c r="BU58" s="6"/>
      <c r="BV58" s="6"/>
      <c r="BW58" s="6"/>
      <c r="BX58" s="6"/>
    </row>
    <row r="59" spans="1:88" x14ac:dyDescent="0.25">
      <c r="A59" s="6"/>
      <c r="B59" s="6"/>
      <c r="C59" s="124" t="s">
        <v>48</v>
      </c>
      <c r="D59" s="124"/>
      <c r="E59" s="124"/>
      <c r="F59" s="6"/>
      <c r="G59" s="6"/>
      <c r="H59" s="6"/>
      <c r="I59" s="6"/>
      <c r="J59" s="124" t="s">
        <v>23</v>
      </c>
      <c r="K59" s="124"/>
      <c r="L59" s="124"/>
      <c r="M59" s="6"/>
      <c r="N59" s="6"/>
      <c r="O59" s="6"/>
      <c r="P59" s="6"/>
      <c r="Q59" s="124" t="s">
        <v>27</v>
      </c>
      <c r="R59" s="124"/>
      <c r="S59" s="124"/>
      <c r="T59" s="6"/>
      <c r="U59" s="6"/>
      <c r="V59" s="6"/>
      <c r="W59" s="6"/>
      <c r="X59" s="124" t="s">
        <v>24</v>
      </c>
      <c r="Y59" s="124"/>
      <c r="Z59" s="124"/>
      <c r="AA59" s="6"/>
      <c r="AB59" s="6"/>
      <c r="AC59" s="6"/>
      <c r="AD59" s="6"/>
      <c r="AE59" s="124" t="s">
        <v>25</v>
      </c>
      <c r="AF59" s="124"/>
      <c r="AG59" s="124"/>
      <c r="AH59" s="6"/>
      <c r="AI59" s="6"/>
      <c r="AJ59" s="6"/>
      <c r="AK59" s="6"/>
      <c r="AL59" s="6"/>
      <c r="AM59" s="6"/>
      <c r="AN59" s="6"/>
      <c r="AO59" s="6"/>
      <c r="AP59" s="6"/>
      <c r="AQ59" s="6"/>
      <c r="AR59" s="6"/>
      <c r="AS59" s="6"/>
      <c r="AT59" s="6"/>
      <c r="AU59" s="6"/>
      <c r="AV59" s="6"/>
      <c r="AW59" s="6"/>
      <c r="AX59" s="6"/>
      <c r="AY59" s="6"/>
      <c r="AZ59" s="6"/>
      <c r="BA59" s="6"/>
      <c r="BB59" s="6"/>
      <c r="BC59" s="6"/>
      <c r="BD59" s="6"/>
      <c r="BE59" s="6"/>
      <c r="BF59" s="6"/>
      <c r="BG59" s="6"/>
      <c r="BH59" s="6"/>
      <c r="BI59" s="6"/>
      <c r="BJ59" s="6"/>
      <c r="BK59" s="6"/>
      <c r="BL59" s="6"/>
      <c r="BM59" s="6"/>
      <c r="BN59" s="6"/>
      <c r="BO59" s="6"/>
      <c r="BP59" s="6"/>
      <c r="BQ59" s="6"/>
      <c r="BR59" s="6"/>
      <c r="BS59" s="6"/>
      <c r="BT59" s="6"/>
    </row>
    <row r="60" spans="1:88" ht="15" customHeight="1" x14ac:dyDescent="0.25">
      <c r="A60" s="6"/>
      <c r="B60" s="6"/>
      <c r="C60" s="116" t="s">
        <v>47</v>
      </c>
      <c r="D60" s="117"/>
      <c r="E60" s="118"/>
      <c r="F60" s="6"/>
      <c r="G60" s="6"/>
      <c r="H60" s="6"/>
      <c r="I60" s="6"/>
      <c r="J60" s="119" t="s">
        <v>47</v>
      </c>
      <c r="K60" s="120"/>
      <c r="L60" s="121"/>
      <c r="M60" s="6"/>
      <c r="N60" s="6"/>
      <c r="O60" s="6"/>
      <c r="P60" s="6"/>
      <c r="Q60" s="119" t="s">
        <v>47</v>
      </c>
      <c r="R60" s="120"/>
      <c r="S60" s="121"/>
      <c r="T60" s="6"/>
      <c r="U60" s="6"/>
      <c r="V60" s="6"/>
      <c r="W60" s="6"/>
      <c r="X60" s="119" t="s">
        <v>47</v>
      </c>
      <c r="Y60" s="122"/>
      <c r="Z60" s="123"/>
      <c r="AA60" s="6"/>
      <c r="AB60" s="6"/>
      <c r="AC60" s="6"/>
      <c r="AD60" s="6"/>
      <c r="AE60" s="119" t="s">
        <v>47</v>
      </c>
      <c r="AF60" s="120"/>
      <c r="AG60" s="121"/>
      <c r="AH60" s="6"/>
      <c r="AI60" s="6"/>
      <c r="AJ60" s="6"/>
      <c r="AK60" s="6"/>
      <c r="AL60" s="6"/>
      <c r="AM60" s="6"/>
      <c r="AN60" s="6"/>
      <c r="AO60" s="6"/>
      <c r="AP60" s="6"/>
      <c r="AQ60" s="6"/>
      <c r="AR60" s="6"/>
      <c r="AS60" s="6"/>
      <c r="AT60" s="6"/>
      <c r="AU60" s="6"/>
      <c r="AV60" s="6"/>
      <c r="AW60" s="6"/>
      <c r="AX60" s="6"/>
      <c r="AY60" s="6"/>
      <c r="AZ60" s="6"/>
      <c r="BA60" s="6"/>
      <c r="BB60" s="6"/>
      <c r="BC60" s="6"/>
      <c r="BD60" s="6"/>
      <c r="BE60" s="6"/>
      <c r="BF60" s="6"/>
      <c r="BG60" s="6"/>
      <c r="BH60" s="6"/>
      <c r="BI60" s="6"/>
      <c r="BJ60" s="6"/>
      <c r="BK60" s="6"/>
      <c r="BL60" s="6"/>
      <c r="BM60" s="6"/>
      <c r="BN60" s="6"/>
      <c r="BO60" s="6"/>
      <c r="BP60" s="6"/>
      <c r="BQ60" s="6"/>
      <c r="BR60" s="6"/>
      <c r="BS60" s="6"/>
      <c r="BT60" s="6"/>
    </row>
    <row r="61" spans="1:88" x14ac:dyDescent="0.25">
      <c r="A61" s="6"/>
      <c r="B61" s="6"/>
      <c r="C61" s="35" t="s">
        <v>33</v>
      </c>
      <c r="D61" s="36" t="s">
        <v>45</v>
      </c>
      <c r="E61" s="68" t="s">
        <v>44</v>
      </c>
      <c r="F61" s="6"/>
      <c r="G61" s="6"/>
      <c r="H61" s="6"/>
      <c r="I61" s="6"/>
      <c r="J61" s="35" t="s">
        <v>33</v>
      </c>
      <c r="K61" s="36" t="s">
        <v>45</v>
      </c>
      <c r="L61" s="68" t="s">
        <v>44</v>
      </c>
      <c r="M61" s="6"/>
      <c r="N61" s="6"/>
      <c r="O61" s="6"/>
      <c r="P61" s="6"/>
      <c r="Q61" s="35" t="s">
        <v>33</v>
      </c>
      <c r="R61" s="36" t="s">
        <v>45</v>
      </c>
      <c r="S61" s="68" t="s">
        <v>44</v>
      </c>
      <c r="T61" s="6"/>
      <c r="U61" s="6"/>
      <c r="V61" s="6"/>
      <c r="W61" s="6"/>
      <c r="X61" s="35" t="s">
        <v>33</v>
      </c>
      <c r="Y61" s="36" t="s">
        <v>45</v>
      </c>
      <c r="Z61" s="68" t="s">
        <v>44</v>
      </c>
      <c r="AA61" s="6"/>
      <c r="AB61" s="6"/>
      <c r="AC61" s="6"/>
      <c r="AD61" s="6"/>
      <c r="AE61" s="35" t="s">
        <v>33</v>
      </c>
      <c r="AF61" s="36" t="s">
        <v>45</v>
      </c>
      <c r="AG61" s="68" t="s">
        <v>44</v>
      </c>
      <c r="AH61" s="6"/>
      <c r="AI61" s="6"/>
      <c r="AJ61" s="6"/>
      <c r="AK61" s="6"/>
      <c r="AL61" s="6"/>
      <c r="AM61" s="6"/>
      <c r="AN61" s="6"/>
      <c r="AO61" s="6"/>
      <c r="AP61" s="6"/>
      <c r="AQ61" s="6"/>
      <c r="AR61" s="6"/>
      <c r="AS61" s="6"/>
      <c r="AT61" s="6"/>
      <c r="AU61" s="6"/>
      <c r="AV61" s="6"/>
      <c r="AW61" s="6"/>
      <c r="AX61" s="6"/>
      <c r="AY61" s="6"/>
      <c r="AZ61" s="6"/>
      <c r="BA61" s="6"/>
      <c r="BB61" s="6"/>
      <c r="BC61" s="6"/>
      <c r="BD61" s="6"/>
      <c r="BE61" s="6"/>
      <c r="BF61" s="6"/>
      <c r="BG61" s="6"/>
      <c r="BH61" s="6"/>
      <c r="BI61" s="6"/>
      <c r="BJ61" s="6"/>
      <c r="BK61" s="6"/>
      <c r="BL61" s="6"/>
      <c r="BM61" s="6"/>
      <c r="BN61" s="6"/>
      <c r="BO61" s="6"/>
      <c r="BP61" s="6"/>
      <c r="BQ61" s="6"/>
      <c r="BR61" s="6"/>
      <c r="BS61" s="6"/>
      <c r="BT61" s="6"/>
    </row>
    <row r="62" spans="1:88" x14ac:dyDescent="0.25">
      <c r="A62" s="6"/>
      <c r="B62" s="6"/>
      <c r="C62" s="62">
        <v>3.2000000000000001E-2</v>
      </c>
      <c r="D62" s="63">
        <f>LOG(C62)</f>
        <v>-1.494850021680094</v>
      </c>
      <c r="E62" s="64">
        <f>AVERAGE(C19:C20)</f>
        <v>29.595208255040248</v>
      </c>
      <c r="F62" s="6"/>
      <c r="G62" s="6"/>
      <c r="H62" s="6"/>
      <c r="I62" s="6"/>
      <c r="J62" s="62">
        <v>3.2000000000000001E-2</v>
      </c>
      <c r="K62" s="63">
        <f>LOG(J62)</f>
        <v>-1.494850021680094</v>
      </c>
      <c r="L62" s="64">
        <f>AVERAGE(R19:R20)</f>
        <v>30.550144706628501</v>
      </c>
      <c r="M62" s="6"/>
      <c r="N62" s="6"/>
      <c r="O62" s="6"/>
      <c r="P62" s="6"/>
      <c r="Q62" s="62">
        <v>3.2000000000000001E-2</v>
      </c>
      <c r="R62" s="63">
        <f>LOG(Q62)</f>
        <v>-1.494850021680094</v>
      </c>
      <c r="S62" s="64">
        <f>AVERAGE(I22:I23)</f>
        <v>27.061548346036147</v>
      </c>
      <c r="T62" s="6"/>
      <c r="U62" s="6"/>
      <c r="V62" s="6"/>
      <c r="W62" s="6"/>
      <c r="X62" s="62">
        <v>3.2000000000000001E-2</v>
      </c>
      <c r="Y62" s="63">
        <f>LOG(X62)</f>
        <v>-1.494850021680094</v>
      </c>
      <c r="Z62" s="64">
        <f>AVERAGE(C25:C26)</f>
        <v>27.284618050441601</v>
      </c>
      <c r="AA62" s="6"/>
      <c r="AB62" s="6"/>
      <c r="AC62" s="6"/>
      <c r="AD62" s="6"/>
      <c r="AE62" s="62">
        <v>3.2000000000000001E-2</v>
      </c>
      <c r="AF62" s="63">
        <f>LOG(AE62)</f>
        <v>-1.494850021680094</v>
      </c>
      <c r="AG62" s="64">
        <f>AVERAGE(I28:I29)</f>
        <v>30.27493615784125</v>
      </c>
      <c r="AH62" s="6"/>
      <c r="AI62" s="6"/>
      <c r="AJ62" s="6"/>
      <c r="AK62" s="6"/>
      <c r="AL62" s="6"/>
      <c r="AM62" s="6"/>
      <c r="AN62" s="6"/>
      <c r="AO62" s="6"/>
      <c r="AP62" s="6"/>
      <c r="AQ62" s="6"/>
      <c r="AR62" s="6"/>
      <c r="AS62" s="6"/>
      <c r="AT62" s="6"/>
      <c r="AU62" s="6"/>
      <c r="AV62" s="6"/>
      <c r="AW62" s="6"/>
      <c r="AX62" s="6"/>
      <c r="AY62" s="6"/>
      <c r="AZ62" s="6"/>
      <c r="BA62" s="6"/>
      <c r="BB62" s="6"/>
      <c r="BC62" s="6"/>
      <c r="BD62" s="6"/>
      <c r="BE62" s="6"/>
      <c r="BF62" s="6"/>
      <c r="BG62" s="6"/>
      <c r="BH62" s="6"/>
      <c r="BI62" s="6"/>
      <c r="BJ62" s="6"/>
      <c r="BK62" s="6"/>
      <c r="BL62" s="6"/>
      <c r="BM62" s="6"/>
      <c r="BN62" s="6"/>
      <c r="BO62" s="6"/>
      <c r="BP62" s="6"/>
      <c r="BQ62" s="6"/>
      <c r="BR62" s="6"/>
      <c r="BS62" s="6"/>
      <c r="BT62" s="6"/>
    </row>
    <row r="63" spans="1:88" x14ac:dyDescent="0.25">
      <c r="A63" s="6"/>
      <c r="B63" s="6"/>
      <c r="C63" s="62">
        <v>0.16</v>
      </c>
      <c r="D63" s="63">
        <f>LOG(C63)</f>
        <v>-0.79588001734407521</v>
      </c>
      <c r="E63" s="64">
        <f>AVERAGE(D19:D20)</f>
        <v>28.1650282927897</v>
      </c>
      <c r="F63" s="6"/>
      <c r="G63" s="6"/>
      <c r="H63" s="6"/>
      <c r="I63" s="6"/>
      <c r="J63" s="62">
        <v>0.16</v>
      </c>
      <c r="K63" s="63">
        <f>LOG(J63)</f>
        <v>-0.79588001734407521</v>
      </c>
      <c r="L63" s="64">
        <f>AVERAGE(S19:S20)</f>
        <v>28.052281480249398</v>
      </c>
      <c r="M63" s="6"/>
      <c r="N63" s="6"/>
      <c r="O63" s="6"/>
      <c r="P63" s="6"/>
      <c r="Q63" s="62">
        <v>0.16</v>
      </c>
      <c r="R63" s="63">
        <f>LOG(Q63)</f>
        <v>-0.79588001734407521</v>
      </c>
      <c r="S63" s="64">
        <f>AVERAGE(J22:J23)</f>
        <v>25.508554256181199</v>
      </c>
      <c r="T63" s="6"/>
      <c r="U63" s="6"/>
      <c r="V63" s="6"/>
      <c r="W63" s="6"/>
      <c r="X63" s="62">
        <v>0.16</v>
      </c>
      <c r="Y63" s="63">
        <f>LOG(X63)</f>
        <v>-0.79588001734407521</v>
      </c>
      <c r="Z63" s="64">
        <f>AVERAGE(D25:D26)</f>
        <v>24.830457301471149</v>
      </c>
      <c r="AA63" s="6"/>
      <c r="AB63" s="6"/>
      <c r="AC63" s="6"/>
      <c r="AD63" s="6"/>
      <c r="AE63" s="62">
        <v>0.16</v>
      </c>
      <c r="AF63" s="63">
        <f>LOG(AE63)</f>
        <v>-0.79588001734407521</v>
      </c>
      <c r="AG63" s="64">
        <f>AVERAGE(J28:J29)</f>
        <v>28.553166460355399</v>
      </c>
      <c r="AH63" s="6"/>
      <c r="AI63" s="6"/>
      <c r="AJ63" s="6"/>
      <c r="AK63" s="6"/>
      <c r="AL63" s="6"/>
      <c r="AM63" s="6"/>
      <c r="AN63" s="6"/>
      <c r="AO63" s="6"/>
      <c r="AP63" s="6"/>
      <c r="AQ63" s="6"/>
      <c r="AR63" s="6"/>
      <c r="AS63" s="6"/>
      <c r="AT63" s="6"/>
      <c r="AU63" s="6"/>
      <c r="AV63" s="6"/>
      <c r="AW63" s="6"/>
      <c r="AX63" s="6"/>
      <c r="AY63" s="6"/>
      <c r="AZ63" s="6"/>
      <c r="BA63" s="6"/>
      <c r="BB63" s="6"/>
      <c r="BC63" s="6"/>
      <c r="BD63" s="6"/>
      <c r="BE63" s="6"/>
      <c r="BF63" s="6"/>
      <c r="BG63" s="6"/>
      <c r="BH63" s="6"/>
      <c r="BI63" s="6"/>
      <c r="BJ63" s="6"/>
      <c r="BK63" s="6"/>
      <c r="BL63" s="6"/>
      <c r="BM63" s="6"/>
      <c r="BN63" s="6"/>
      <c r="BO63" s="6"/>
      <c r="BP63" s="6"/>
      <c r="BQ63" s="6"/>
      <c r="BR63" s="6"/>
      <c r="BS63" s="6"/>
      <c r="BT63" s="6"/>
    </row>
    <row r="64" spans="1:88" x14ac:dyDescent="0.25">
      <c r="A64" s="6"/>
      <c r="B64" s="6"/>
      <c r="C64" s="62">
        <v>0.8</v>
      </c>
      <c r="D64" s="63">
        <f>LOG(C64)</f>
        <v>-9.6910013008056392E-2</v>
      </c>
      <c r="E64" s="64">
        <f>AVERAGE(E19:E20)</f>
        <v>26.52076482619065</v>
      </c>
      <c r="F64" s="6"/>
      <c r="G64" s="6"/>
      <c r="H64" s="6"/>
      <c r="I64" s="6"/>
      <c r="J64" s="62">
        <v>0.8</v>
      </c>
      <c r="K64" s="63">
        <f>LOG(J64)</f>
        <v>-9.6910013008056392E-2</v>
      </c>
      <c r="L64" s="64">
        <f>AVERAGE(T19:T20)</f>
        <v>27.074641670509251</v>
      </c>
      <c r="M64" s="6"/>
      <c r="N64" s="6"/>
      <c r="O64" s="6"/>
      <c r="P64" s="6"/>
      <c r="Q64" s="62">
        <v>0.8</v>
      </c>
      <c r="R64" s="63">
        <f>LOG(Q64)</f>
        <v>-9.6910013008056392E-2</v>
      </c>
      <c r="S64" s="64">
        <f>AVERAGE(K22:K23)</f>
        <v>23.470903462207048</v>
      </c>
      <c r="T64" s="6"/>
      <c r="U64" s="6"/>
      <c r="V64" s="6"/>
      <c r="W64" s="6"/>
      <c r="X64" s="62">
        <v>0.8</v>
      </c>
      <c r="Y64" s="63">
        <f>LOG(X64)</f>
        <v>-9.6910013008056392E-2</v>
      </c>
      <c r="Z64" s="64">
        <f>AVERAGE(E25:E26)</f>
        <v>22.2680144973822</v>
      </c>
      <c r="AA64" s="6"/>
      <c r="AB64" s="6"/>
      <c r="AC64" s="6"/>
      <c r="AD64" s="6"/>
      <c r="AE64" s="62">
        <v>0.8</v>
      </c>
      <c r="AF64" s="63">
        <f>LOG(AE64)</f>
        <v>-9.6910013008056392E-2</v>
      </c>
      <c r="AG64" s="64">
        <f>AVERAGE(K28:K29)</f>
        <v>28.647849442101602</v>
      </c>
      <c r="AH64" s="6"/>
      <c r="AI64" s="6"/>
      <c r="AJ64" s="6"/>
      <c r="AK64" s="6"/>
      <c r="AL64" s="6"/>
      <c r="AM64" s="6"/>
      <c r="AN64" s="6"/>
      <c r="AO64" s="6"/>
      <c r="AP64" s="6"/>
      <c r="AQ64" s="6"/>
      <c r="AR64" s="6"/>
      <c r="AS64" s="6"/>
      <c r="AT64" s="6"/>
      <c r="AU64" s="6"/>
      <c r="AV64" s="6"/>
      <c r="AW64" s="6"/>
      <c r="AX64" s="6"/>
      <c r="AY64" s="6"/>
      <c r="AZ64" s="6"/>
      <c r="BA64" s="6"/>
      <c r="BB64" s="6"/>
      <c r="BC64" s="6"/>
      <c r="BD64" s="6"/>
      <c r="BE64" s="6"/>
      <c r="BF64" s="6"/>
      <c r="BG64" s="6"/>
      <c r="BH64" s="6"/>
      <c r="BI64" s="6"/>
      <c r="BJ64" s="6"/>
      <c r="BK64" s="6"/>
      <c r="BL64" s="6"/>
      <c r="BM64" s="6"/>
      <c r="BN64" s="6"/>
      <c r="BO64" s="6"/>
      <c r="BP64" s="6"/>
      <c r="BQ64" s="6"/>
      <c r="BR64" s="6"/>
      <c r="BS64" s="6"/>
      <c r="BT64" s="6"/>
    </row>
    <row r="65" spans="1:81" x14ac:dyDescent="0.25">
      <c r="A65" s="6"/>
      <c r="B65" s="6"/>
      <c r="C65" s="62">
        <v>4</v>
      </c>
      <c r="D65" s="63">
        <f>LOG(C65)</f>
        <v>0.6020599913279624</v>
      </c>
      <c r="E65" s="64">
        <f>AVERAGE(F19:F20)</f>
        <v>24.4399617293052</v>
      </c>
      <c r="F65" s="6"/>
      <c r="G65" s="6"/>
      <c r="H65" s="6"/>
      <c r="I65" s="6"/>
      <c r="J65" s="62">
        <v>4</v>
      </c>
      <c r="K65" s="63">
        <f>LOG(J65)</f>
        <v>0.6020599913279624</v>
      </c>
      <c r="L65" s="64">
        <f>AVERAGE(U19:U20)</f>
        <v>25.292452105684351</v>
      </c>
      <c r="M65" s="6"/>
      <c r="N65" s="6"/>
      <c r="O65" s="6"/>
      <c r="P65" s="6"/>
      <c r="Q65" s="62">
        <v>4</v>
      </c>
      <c r="R65" s="63">
        <f>LOG(Q65)</f>
        <v>0.6020599913279624</v>
      </c>
      <c r="S65" s="64">
        <f>AVERAGE(L22:L23)</f>
        <v>21.2329016049747</v>
      </c>
      <c r="T65" s="6"/>
      <c r="U65" s="6"/>
      <c r="V65" s="6"/>
      <c r="W65" s="6"/>
      <c r="X65" s="62">
        <v>4</v>
      </c>
      <c r="Y65" s="63">
        <f>LOG(X65)</f>
        <v>0.6020599913279624</v>
      </c>
      <c r="Z65" s="64">
        <f>AVERAGE(F25:F26)</f>
        <v>20.01152425234455</v>
      </c>
      <c r="AA65" s="6"/>
      <c r="AB65" s="6"/>
      <c r="AC65" s="6"/>
      <c r="AD65" s="6"/>
      <c r="AE65" s="62">
        <v>4</v>
      </c>
      <c r="AF65" s="63">
        <f>LOG(AE65)</f>
        <v>0.6020599913279624</v>
      </c>
      <c r="AG65" s="64">
        <f>AVERAGE(L28:L29)</f>
        <v>27.281368984163301</v>
      </c>
      <c r="AH65" s="6"/>
      <c r="AI65" s="6"/>
      <c r="AJ65" s="6"/>
      <c r="AK65" s="6"/>
      <c r="AL65" s="6"/>
      <c r="AM65" s="6"/>
      <c r="AN65" s="6"/>
      <c r="AO65" s="6"/>
      <c r="AP65" s="6"/>
      <c r="AQ65" s="6"/>
      <c r="AR65" s="6"/>
      <c r="AS65" s="6"/>
      <c r="AT65" s="6"/>
      <c r="AU65" s="6"/>
      <c r="AV65" s="6"/>
      <c r="AW65" s="6"/>
      <c r="AX65" s="6"/>
      <c r="AY65" s="6"/>
      <c r="AZ65" s="6"/>
      <c r="BA65" s="6"/>
      <c r="BB65" s="6"/>
      <c r="BC65" s="6"/>
      <c r="BD65" s="6"/>
      <c r="BE65" s="6"/>
      <c r="BF65" s="6"/>
      <c r="BG65" s="6"/>
      <c r="BH65" s="6"/>
      <c r="BI65" s="6"/>
      <c r="BJ65" s="6"/>
      <c r="BK65" s="6"/>
      <c r="BL65" s="6"/>
      <c r="BM65" s="6"/>
      <c r="BN65" s="6"/>
      <c r="BO65" s="6"/>
      <c r="BP65" s="6"/>
      <c r="BQ65" s="6"/>
      <c r="BR65" s="6"/>
      <c r="BS65" s="6"/>
      <c r="BT65" s="6"/>
    </row>
    <row r="66" spans="1:81" x14ac:dyDescent="0.25">
      <c r="A66" s="6"/>
      <c r="B66" s="6"/>
      <c r="C66" s="65">
        <v>20</v>
      </c>
      <c r="D66" s="66">
        <f>LOG(C66)</f>
        <v>1.3010299956639813</v>
      </c>
      <c r="E66" s="67">
        <f>AVERAGE(G19:G20)</f>
        <v>22.203491990907199</v>
      </c>
      <c r="F66" s="6"/>
      <c r="G66" s="6"/>
      <c r="H66" s="6"/>
      <c r="I66" s="6"/>
      <c r="J66" s="65">
        <v>20</v>
      </c>
      <c r="K66" s="66">
        <f>LOG(J66)</f>
        <v>1.3010299956639813</v>
      </c>
      <c r="L66" s="67">
        <f>AVERAGE(V19:V20)</f>
        <v>23.146360048224651</v>
      </c>
      <c r="M66" s="6"/>
      <c r="N66" s="6"/>
      <c r="O66" s="6"/>
      <c r="P66" s="6"/>
      <c r="Q66" s="65">
        <v>20</v>
      </c>
      <c r="R66" s="66">
        <f>LOG(Q66)</f>
        <v>1.3010299956639813</v>
      </c>
      <c r="S66" s="67">
        <f>AVERAGE(M22:M23)</f>
        <v>19.03516969163455</v>
      </c>
      <c r="T66" s="6"/>
      <c r="U66" s="6"/>
      <c r="V66" s="6"/>
      <c r="W66" s="6"/>
      <c r="X66" s="65">
        <v>20</v>
      </c>
      <c r="Y66" s="66">
        <f>LOG(X66)</f>
        <v>1.3010299956639813</v>
      </c>
      <c r="Z66" s="67">
        <f>AVERAGE(G25:G26)</f>
        <v>17.751573329889251</v>
      </c>
      <c r="AA66" s="6"/>
      <c r="AB66" s="6"/>
      <c r="AC66" s="6"/>
      <c r="AD66" s="6"/>
      <c r="AE66" s="65">
        <v>20</v>
      </c>
      <c r="AF66" s="66">
        <f>LOG(AE66)</f>
        <v>1.3010299956639813</v>
      </c>
      <c r="AG66" s="67">
        <f>AVERAGE(M28:M29)</f>
        <v>25.689650895470599</v>
      </c>
      <c r="AH66" s="6"/>
      <c r="AI66" s="6"/>
      <c r="AJ66" s="6"/>
      <c r="AK66" s="6"/>
      <c r="AL66" s="6"/>
      <c r="AM66" s="6"/>
      <c r="AN66" s="6"/>
      <c r="AO66" s="6"/>
      <c r="AP66" s="6"/>
      <c r="AQ66" s="6"/>
      <c r="AR66" s="6"/>
      <c r="AS66" s="6"/>
      <c r="AT66" s="6"/>
      <c r="AU66" s="6"/>
      <c r="AV66" s="6"/>
      <c r="AW66" s="6"/>
      <c r="AX66" s="6"/>
      <c r="AY66" s="6"/>
      <c r="AZ66" s="6"/>
      <c r="BA66" s="6"/>
      <c r="BB66" s="6"/>
      <c r="BC66" s="6"/>
      <c r="BD66" s="6"/>
      <c r="BE66" s="6"/>
      <c r="BF66" s="6"/>
      <c r="BG66" s="6"/>
      <c r="BH66" s="6"/>
      <c r="BI66" s="6"/>
      <c r="BJ66" s="6"/>
      <c r="BK66" s="6"/>
      <c r="BL66" s="6"/>
      <c r="BM66" s="6"/>
      <c r="BN66" s="6"/>
      <c r="BO66" s="6"/>
      <c r="BP66" s="6"/>
      <c r="BQ66" s="6"/>
      <c r="BR66" s="6"/>
      <c r="BS66" s="6"/>
      <c r="BT66" s="6"/>
    </row>
    <row r="67" spans="1:81" x14ac:dyDescent="0.25">
      <c r="A67" s="6"/>
      <c r="B67" s="6"/>
      <c r="C67" s="107" t="s">
        <v>46</v>
      </c>
      <c r="D67" s="108"/>
      <c r="E67" s="37">
        <f>(10^(-1/-2.648)-1)*100</f>
        <v>138.58520256442733</v>
      </c>
      <c r="F67" s="6"/>
      <c r="G67" s="6"/>
      <c r="H67" s="6"/>
      <c r="I67" s="6"/>
      <c r="J67" s="107" t="s">
        <v>46</v>
      </c>
      <c r="K67" s="108"/>
      <c r="L67" s="37">
        <f>(10^(-1/-2.5133)-1)*100</f>
        <v>149.96733557766836</v>
      </c>
      <c r="M67" s="6"/>
      <c r="N67" s="6"/>
      <c r="O67" s="6"/>
      <c r="P67" s="6"/>
      <c r="Q67" s="107" t="s">
        <v>46</v>
      </c>
      <c r="R67" s="108"/>
      <c r="S67" s="37">
        <f>(10^(-1/-2.9083)-1)*100</f>
        <v>120.72091225622978</v>
      </c>
      <c r="T67" s="6"/>
      <c r="U67" s="6"/>
      <c r="V67" s="6"/>
      <c r="W67" s="6"/>
      <c r="X67" s="107" t="s">
        <v>46</v>
      </c>
      <c r="Y67" s="108"/>
      <c r="Z67" s="37">
        <f>(10^(-1/-3.4172)-1)*100</f>
        <v>96.172102569502442</v>
      </c>
      <c r="AA67" s="6"/>
      <c r="AB67" s="6"/>
      <c r="AC67" s="6"/>
      <c r="AD67" s="6"/>
      <c r="AE67" s="158" t="s">
        <v>46</v>
      </c>
      <c r="AF67" s="159"/>
      <c r="AG67" s="37">
        <f>(10^(-1/-1.494)-1)*100</f>
        <v>367.02920870099024</v>
      </c>
      <c r="AH67" s="6"/>
      <c r="AI67" s="6"/>
      <c r="AJ67" s="6"/>
      <c r="AK67" s="6"/>
      <c r="AL67" s="6"/>
      <c r="AM67" s="6"/>
      <c r="AN67" s="6"/>
      <c r="AO67" s="6"/>
      <c r="AP67" s="6"/>
      <c r="AQ67" s="6"/>
      <c r="AR67" s="6"/>
      <c r="AS67" s="6"/>
      <c r="AT67" s="6"/>
      <c r="AU67" s="6"/>
      <c r="AV67" s="6"/>
      <c r="AW67" s="6"/>
      <c r="AX67" s="6"/>
      <c r="AY67" s="6"/>
      <c r="AZ67" s="6"/>
      <c r="BA67" s="6"/>
      <c r="BB67" s="6"/>
      <c r="BC67" s="6"/>
      <c r="BD67" s="6"/>
      <c r="BE67" s="6"/>
      <c r="BF67" s="6"/>
      <c r="BG67" s="6"/>
      <c r="BH67" s="6"/>
      <c r="BI67" s="6"/>
      <c r="BJ67" s="6"/>
      <c r="BK67" s="6"/>
      <c r="BL67" s="6"/>
      <c r="BM67" s="6"/>
      <c r="BN67" s="6"/>
      <c r="BO67" s="6"/>
      <c r="BP67" s="6"/>
      <c r="BQ67" s="6"/>
      <c r="BR67" s="6"/>
      <c r="BS67" s="6"/>
      <c r="BT67" s="6"/>
    </row>
    <row r="68" spans="1:81" x14ac:dyDescent="0.25">
      <c r="A68" s="6"/>
      <c r="B68" s="6"/>
      <c r="C68" s="107" t="s">
        <v>50</v>
      </c>
      <c r="D68" s="108"/>
      <c r="E68" s="37">
        <f>SUM(E67/100)+1</f>
        <v>2.3858520256442732</v>
      </c>
      <c r="F68" s="6"/>
      <c r="G68" s="6"/>
      <c r="H68" s="6"/>
      <c r="I68" s="6"/>
      <c r="J68" s="107" t="s">
        <v>50</v>
      </c>
      <c r="K68" s="108"/>
      <c r="L68" s="37">
        <f>SUM(L67/100)+1</f>
        <v>2.4996733557766837</v>
      </c>
      <c r="M68" s="6"/>
      <c r="N68" s="6"/>
      <c r="O68" s="6"/>
      <c r="P68" s="6"/>
      <c r="Q68" s="107" t="s">
        <v>50</v>
      </c>
      <c r="R68" s="108"/>
      <c r="S68" s="37">
        <f>SUM(S67/100)+1</f>
        <v>2.2072091225622978</v>
      </c>
      <c r="T68" s="6"/>
      <c r="U68" s="6"/>
      <c r="V68" s="6"/>
      <c r="W68" s="6"/>
      <c r="X68" s="107" t="s">
        <v>50</v>
      </c>
      <c r="Y68" s="108"/>
      <c r="Z68" s="37">
        <f>SUM(Z67/100)+1</f>
        <v>1.9617210256950244</v>
      </c>
      <c r="AA68" s="6"/>
      <c r="AB68" s="6"/>
      <c r="AC68" s="6"/>
      <c r="AD68" s="6"/>
      <c r="AE68" s="107" t="s">
        <v>50</v>
      </c>
      <c r="AF68" s="108"/>
      <c r="AG68" s="37">
        <f>SUM(AG67/100)+1</f>
        <v>4.6702920870099023</v>
      </c>
      <c r="AH68" s="6"/>
      <c r="AI68" s="6"/>
      <c r="AJ68" s="6"/>
      <c r="AK68" s="6"/>
      <c r="AL68" s="6"/>
      <c r="AM68" s="6"/>
      <c r="AN68" s="6"/>
      <c r="AO68" s="6"/>
      <c r="AP68" s="6"/>
      <c r="AQ68" s="6"/>
      <c r="AR68" s="6"/>
      <c r="AS68" s="6"/>
      <c r="AT68" s="6"/>
      <c r="AU68" s="6"/>
      <c r="AV68" s="6"/>
      <c r="AW68" s="6"/>
      <c r="AX68" s="6"/>
      <c r="AY68" s="6"/>
      <c r="AZ68" s="6"/>
      <c r="BA68" s="6"/>
      <c r="BB68" s="6"/>
      <c r="BC68" s="6"/>
      <c r="BD68" s="6"/>
      <c r="BE68" s="6"/>
      <c r="BF68" s="6"/>
      <c r="BG68" s="6"/>
      <c r="BH68" s="6"/>
      <c r="BI68" s="6"/>
      <c r="BJ68" s="6"/>
      <c r="BK68" s="6"/>
      <c r="BL68" s="6"/>
      <c r="BM68" s="6"/>
      <c r="BN68" s="6"/>
      <c r="BO68" s="6"/>
      <c r="BP68" s="6"/>
      <c r="BQ68" s="6"/>
      <c r="BR68" s="6"/>
      <c r="BS68" s="6"/>
      <c r="BT68" s="6"/>
    </row>
    <row r="69" spans="1:81" x14ac:dyDescent="0.25">
      <c r="A69" s="6"/>
      <c r="B69" s="6"/>
      <c r="C69" s="42"/>
      <c r="D69" s="42"/>
      <c r="E69" s="42"/>
      <c r="F69" s="6"/>
      <c r="G69" s="6"/>
      <c r="H69" s="42"/>
      <c r="I69" s="42"/>
      <c r="J69" s="42"/>
      <c r="K69" s="6"/>
      <c r="L69" s="6"/>
      <c r="M69" s="42"/>
      <c r="N69" s="42"/>
      <c r="O69" s="42"/>
      <c r="P69" s="6"/>
      <c r="Q69" s="6"/>
      <c r="R69" s="42"/>
      <c r="S69" s="42"/>
      <c r="T69" s="42"/>
      <c r="U69" s="6"/>
      <c r="V69" s="6"/>
      <c r="W69" s="42"/>
      <c r="X69" s="42"/>
      <c r="Y69" s="42"/>
      <c r="Z69" s="6"/>
      <c r="AA69" s="6"/>
      <c r="AB69" s="42"/>
      <c r="AC69" s="42"/>
      <c r="AD69" s="42"/>
      <c r="AE69" s="6"/>
      <c r="AF69" s="6"/>
      <c r="AG69" s="6"/>
      <c r="AH69" s="6"/>
      <c r="AI69" s="6"/>
      <c r="AJ69" s="6"/>
      <c r="AK69" s="6"/>
      <c r="AL69" s="6"/>
      <c r="AM69" s="6"/>
      <c r="AN69" s="6"/>
      <c r="AO69" s="6"/>
      <c r="AP69" s="6"/>
      <c r="AQ69" s="6"/>
      <c r="AR69" s="6"/>
      <c r="AS69" s="6"/>
      <c r="AT69" s="6"/>
      <c r="AU69" s="6"/>
      <c r="AV69" s="6"/>
      <c r="AW69" s="6"/>
      <c r="AX69" s="6"/>
      <c r="AY69" s="6"/>
      <c r="AZ69" s="6"/>
      <c r="BA69" s="6"/>
      <c r="BB69" s="6"/>
      <c r="BC69" s="6"/>
      <c r="BD69" s="6"/>
      <c r="BE69" s="6"/>
      <c r="BF69" s="6"/>
      <c r="BG69" s="6"/>
      <c r="BH69" s="6"/>
      <c r="BI69" s="6"/>
      <c r="BJ69" s="6"/>
      <c r="BK69" s="6"/>
      <c r="BL69" s="6"/>
      <c r="BM69" s="6"/>
      <c r="BN69" s="6"/>
      <c r="BO69" s="6"/>
      <c r="BP69" s="6"/>
      <c r="BQ69" s="6"/>
      <c r="BR69" s="6"/>
      <c r="BS69" s="6"/>
      <c r="BT69" s="6"/>
      <c r="BU69" s="6"/>
      <c r="BV69" s="6"/>
      <c r="BW69" s="6"/>
      <c r="BX69" s="6"/>
    </row>
    <row r="70" spans="1:81" x14ac:dyDescent="0.25">
      <c r="A70" s="6"/>
      <c r="B70" s="6"/>
      <c r="C70" s="104" t="s">
        <v>111</v>
      </c>
      <c r="D70" s="105"/>
      <c r="E70" s="105"/>
      <c r="F70" s="105"/>
      <c r="G70" s="105"/>
      <c r="H70" s="106"/>
      <c r="I70" s="6"/>
      <c r="J70" s="104" t="s">
        <v>112</v>
      </c>
      <c r="K70" s="105"/>
      <c r="L70" s="105"/>
      <c r="M70" s="105"/>
      <c r="N70" s="105"/>
      <c r="O70" s="106"/>
      <c r="P70" s="6"/>
      <c r="Q70" s="104" t="s">
        <v>113</v>
      </c>
      <c r="R70" s="105"/>
      <c r="S70" s="105"/>
      <c r="T70" s="105"/>
      <c r="U70" s="105"/>
      <c r="V70" s="106"/>
      <c r="W70" s="6"/>
      <c r="X70" s="104" t="s">
        <v>114</v>
      </c>
      <c r="Y70" s="105"/>
      <c r="Z70" s="105"/>
      <c r="AA70" s="105"/>
      <c r="AB70" s="105"/>
      <c r="AC70" s="106"/>
      <c r="AD70" s="6"/>
      <c r="AE70" s="104" t="s">
        <v>115</v>
      </c>
      <c r="AF70" s="105"/>
      <c r="AG70" s="105"/>
      <c r="AH70" s="105"/>
      <c r="AI70" s="105"/>
      <c r="AJ70" s="106"/>
      <c r="AK70" s="6"/>
      <c r="AL70" s="6"/>
      <c r="AM70" s="6"/>
      <c r="AN70" s="6"/>
      <c r="AO70" s="6"/>
      <c r="AP70" s="6"/>
      <c r="AQ70" s="6"/>
      <c r="AR70" s="6"/>
      <c r="AS70" s="6"/>
      <c r="AT70" s="6"/>
      <c r="AU70" s="6"/>
      <c r="AV70" s="6"/>
      <c r="AW70" s="6"/>
      <c r="AX70" s="6"/>
      <c r="AY70" s="6"/>
      <c r="AZ70" s="6"/>
      <c r="BA70" s="6"/>
      <c r="BB70" s="6"/>
      <c r="BC70" s="6"/>
      <c r="BD70" s="6"/>
      <c r="BE70" s="6"/>
      <c r="BF70" s="6"/>
      <c r="BG70" s="6"/>
      <c r="BH70" s="6"/>
      <c r="BI70" s="6"/>
      <c r="BJ70" s="6"/>
      <c r="BK70" s="6"/>
      <c r="BL70" s="6"/>
      <c r="BM70" s="6"/>
      <c r="BN70" s="6"/>
      <c r="BO70" s="6"/>
      <c r="BP70" s="6"/>
      <c r="BQ70" s="6"/>
      <c r="BR70" s="6"/>
      <c r="BS70" s="6"/>
      <c r="BT70" s="6"/>
      <c r="BU70" s="6"/>
      <c r="BV70" s="6"/>
      <c r="BW70" s="6"/>
      <c r="BX70" s="6"/>
      <c r="BY70" s="6"/>
      <c r="BZ70" s="6"/>
      <c r="CA70" s="6"/>
      <c r="CB70" s="6"/>
      <c r="CC70" s="6"/>
    </row>
    <row r="71" spans="1:81" ht="15" customHeight="1" x14ac:dyDescent="0.25">
      <c r="A71" s="6"/>
      <c r="B71" s="6"/>
      <c r="C71" s="113" t="s">
        <v>48</v>
      </c>
      <c r="D71" s="80" t="s">
        <v>51</v>
      </c>
      <c r="E71" s="80" t="s">
        <v>53</v>
      </c>
      <c r="F71" s="80" t="s">
        <v>55</v>
      </c>
      <c r="G71" s="81" t="s">
        <v>57</v>
      </c>
      <c r="H71" s="79" t="s">
        <v>59</v>
      </c>
      <c r="I71" s="6"/>
      <c r="J71" s="113" t="s">
        <v>23</v>
      </c>
      <c r="K71" s="80" t="s">
        <v>51</v>
      </c>
      <c r="L71" s="80" t="s">
        <v>53</v>
      </c>
      <c r="M71" s="80" t="s">
        <v>55</v>
      </c>
      <c r="N71" s="81" t="s">
        <v>57</v>
      </c>
      <c r="O71" s="79" t="s">
        <v>59</v>
      </c>
      <c r="P71" s="6"/>
      <c r="Q71" s="113" t="s">
        <v>27</v>
      </c>
      <c r="R71" s="80" t="s">
        <v>51</v>
      </c>
      <c r="S71" s="80" t="s">
        <v>53</v>
      </c>
      <c r="T71" s="80" t="s">
        <v>55</v>
      </c>
      <c r="U71" s="81" t="s">
        <v>57</v>
      </c>
      <c r="V71" s="79" t="s">
        <v>59</v>
      </c>
      <c r="W71" s="6"/>
      <c r="X71" s="113" t="s">
        <v>24</v>
      </c>
      <c r="Y71" s="80" t="s">
        <v>51</v>
      </c>
      <c r="Z71" s="80" t="s">
        <v>53</v>
      </c>
      <c r="AA71" s="80" t="s">
        <v>55</v>
      </c>
      <c r="AB71" s="81" t="s">
        <v>57</v>
      </c>
      <c r="AC71" s="79" t="s">
        <v>59</v>
      </c>
      <c r="AD71" s="6"/>
      <c r="AE71" s="113" t="s">
        <v>25</v>
      </c>
      <c r="AF71" s="80" t="s">
        <v>51</v>
      </c>
      <c r="AG71" s="80" t="s">
        <v>53</v>
      </c>
      <c r="AH71" s="80" t="s">
        <v>55</v>
      </c>
      <c r="AI71" s="81" t="s">
        <v>57</v>
      </c>
      <c r="AJ71" s="79" t="s">
        <v>59</v>
      </c>
      <c r="AK71" s="6"/>
      <c r="AL71" s="6"/>
      <c r="AM71" s="6"/>
      <c r="AN71" s="6"/>
      <c r="AO71" s="6"/>
      <c r="AP71" s="6"/>
      <c r="AQ71" s="6"/>
      <c r="AR71" s="6"/>
      <c r="AS71" s="6"/>
      <c r="AT71" s="6"/>
      <c r="AU71" s="6"/>
      <c r="AV71" s="6"/>
      <c r="AW71" s="6"/>
      <c r="AX71" s="6"/>
      <c r="AY71" s="6"/>
      <c r="AZ71" s="6"/>
      <c r="BA71" s="6"/>
      <c r="BB71" s="6"/>
      <c r="BC71" s="6"/>
      <c r="BD71" s="6"/>
      <c r="BE71" s="6"/>
      <c r="BF71" s="6"/>
      <c r="BG71" s="6"/>
      <c r="BH71" s="6"/>
      <c r="BI71" s="6"/>
      <c r="BJ71" s="6"/>
      <c r="BK71" s="6"/>
      <c r="BL71" s="6"/>
      <c r="BM71" s="6"/>
      <c r="BN71" s="6"/>
      <c r="BO71" s="6"/>
      <c r="BP71" s="6"/>
      <c r="BQ71" s="6"/>
      <c r="BR71" s="6"/>
      <c r="BS71" s="6"/>
      <c r="BT71" s="6"/>
      <c r="BU71" s="6"/>
      <c r="BV71" s="6"/>
      <c r="BW71" s="6"/>
      <c r="BX71" s="6"/>
      <c r="BY71" s="6"/>
      <c r="BZ71" s="6"/>
      <c r="CA71" s="6"/>
      <c r="CB71" s="6"/>
      <c r="CC71" s="6"/>
    </row>
    <row r="72" spans="1:81" ht="15" customHeight="1" x14ac:dyDescent="0.25">
      <c r="A72" s="6"/>
      <c r="B72" s="6"/>
      <c r="C72" s="114"/>
      <c r="D72" s="46" t="s">
        <v>35</v>
      </c>
      <c r="E72" s="46">
        <f>AVERAGE(H19:H20)</f>
        <v>23.42621554490055</v>
      </c>
      <c r="F72" s="53">
        <f t="shared" ref="F72:F81" si="12">10^((E72-25.928)/-2.648)</f>
        <v>8.8060804594625335</v>
      </c>
      <c r="G72" s="54">
        <f>SUM(E72*(LOG(E68)/LOG(2)))</f>
        <v>29.388294401620925</v>
      </c>
      <c r="H72" s="53">
        <f t="shared" ref="H72:H81" si="13">10^((G72-25.928)/-2.648)</f>
        <v>4.9344902530403564E-2</v>
      </c>
      <c r="I72" s="6"/>
      <c r="J72" s="114"/>
      <c r="K72" s="46" t="s">
        <v>35</v>
      </c>
      <c r="L72" s="46">
        <f>AVERAGE(W19:W20)</f>
        <v>24.3106715075652</v>
      </c>
      <c r="M72" s="53">
        <f t="shared" ref="M72:M81" si="14">10^((L72- 26.58)/-2.5133)</f>
        <v>7.9970133490595829</v>
      </c>
      <c r="N72" s="54">
        <f>SUM(L72*(LOG($L$68)/LOG(2)))</f>
        <v>32.132376829888415</v>
      </c>
      <c r="O72" s="53">
        <f t="shared" ref="O72:O81" si="15">10^((N72- 26.58)/-2.5133)</f>
        <v>6.1773498831776685E-3</v>
      </c>
      <c r="P72" s="6"/>
      <c r="Q72" s="114"/>
      <c r="R72" s="46" t="s">
        <v>35</v>
      </c>
      <c r="S72" s="46">
        <f>AVERAGE(N22:N23)</f>
        <v>20.138721119962</v>
      </c>
      <c r="T72" s="53">
        <f t="shared" ref="T72:T81" si="16">10^((S72-22.98)/-2.9083)</f>
        <v>9.4832068743691327</v>
      </c>
      <c r="U72" s="54">
        <f>SUM(S72*(LOG($S$68)/LOG(2)))</f>
        <v>23.002916990511043</v>
      </c>
      <c r="V72" s="53">
        <f t="shared" ref="V72:V81" si="17">10^((U72-22.98)/-2.9083)</f>
        <v>0.98201956896661702</v>
      </c>
      <c r="W72" s="6"/>
      <c r="X72" s="114"/>
      <c r="Y72" s="46" t="s">
        <v>35</v>
      </c>
      <c r="Z72" s="46">
        <f>AVERAGE(H25:H26)</f>
        <v>21.146990160136902</v>
      </c>
      <c r="AA72" s="53">
        <f t="shared" ref="AA72:AA81" si="18">10^((Z72-22.098)/-3.4172)</f>
        <v>1.8980205107956651</v>
      </c>
      <c r="AB72" s="54">
        <f>SUM(Z72*(LOG($Z$68)/LOG(2)))</f>
        <v>20.557409790256752</v>
      </c>
      <c r="AC72" s="53">
        <f t="shared" ref="AC72:AC81" si="19">10^((AB72-22.098)/-3.4172)</f>
        <v>2.8238009339613348</v>
      </c>
      <c r="AD72" s="6"/>
      <c r="AE72" s="114"/>
      <c r="AF72" s="46" t="s">
        <v>35</v>
      </c>
      <c r="AG72" s="46">
        <f>AVERAGE(N28:N29)</f>
        <v>25.703781306066549</v>
      </c>
      <c r="AH72" s="53">
        <f t="shared" ref="AH72:AH81" si="20">10^((AG72-27.945)/-1.494)</f>
        <v>31.633437038977846</v>
      </c>
      <c r="AI72" s="54">
        <f>SUM(AG72*(LOG($AG$68)/LOG(2)))</f>
        <v>57.152686255330025</v>
      </c>
      <c r="AJ72" s="53">
        <f t="shared" ref="AJ72:AJ81" si="21">10^((AI72-27.945)/-1.494)</f>
        <v>2.8184426353440427E-20</v>
      </c>
      <c r="AK72" s="6"/>
      <c r="AL72" s="6"/>
      <c r="AM72" s="6"/>
      <c r="AN72" s="6"/>
      <c r="AO72" s="6"/>
      <c r="AP72" s="6"/>
      <c r="AQ72" s="6"/>
      <c r="AR72" s="6"/>
      <c r="AS72" s="6"/>
      <c r="AT72" s="6"/>
      <c r="AU72" s="6"/>
      <c r="AV72" s="6"/>
      <c r="AW72" s="6"/>
      <c r="AX72" s="6"/>
      <c r="AY72" s="6"/>
      <c r="AZ72" s="6"/>
      <c r="BA72" s="6"/>
      <c r="BB72" s="6"/>
      <c r="BC72" s="6"/>
      <c r="BD72" s="6"/>
      <c r="BE72" s="6"/>
      <c r="BF72" s="6"/>
      <c r="BG72" s="6"/>
      <c r="BH72" s="6"/>
      <c r="BI72" s="6"/>
      <c r="BJ72" s="6"/>
      <c r="BK72" s="6"/>
      <c r="BL72" s="6"/>
      <c r="BM72" s="6"/>
      <c r="BN72" s="6"/>
      <c r="BO72" s="6"/>
      <c r="BP72" s="6"/>
      <c r="BQ72" s="6"/>
      <c r="BR72" s="6"/>
      <c r="BS72" s="6"/>
      <c r="BT72" s="6"/>
      <c r="BU72" s="6"/>
      <c r="BV72" s="6"/>
      <c r="BW72" s="6"/>
      <c r="BX72" s="6"/>
      <c r="BY72" s="6"/>
      <c r="BZ72" s="6"/>
      <c r="CA72" s="6"/>
      <c r="CB72" s="6"/>
      <c r="CC72" s="6"/>
    </row>
    <row r="73" spans="1:81" x14ac:dyDescent="0.25">
      <c r="A73" s="6"/>
      <c r="B73" s="6"/>
      <c r="C73" s="114"/>
      <c r="D73" s="47" t="s">
        <v>36</v>
      </c>
      <c r="E73" s="47">
        <f>AVERAGE(I19:I20)</f>
        <v>24.1860621237971</v>
      </c>
      <c r="F73" s="54">
        <f t="shared" si="12"/>
        <v>4.5481159097204742</v>
      </c>
      <c r="G73" s="54">
        <f>SUM(E73*(LOG(E68)/LOG(2)))</f>
        <v>30.341525405488181</v>
      </c>
      <c r="H73" s="54">
        <f t="shared" si="13"/>
        <v>2.1540748916688633E-2</v>
      </c>
      <c r="I73" s="6"/>
      <c r="J73" s="114"/>
      <c r="K73" s="47" t="s">
        <v>36</v>
      </c>
      <c r="L73" s="47">
        <f>AVERAGE(X19:X20)</f>
        <v>25.060412446703552</v>
      </c>
      <c r="M73" s="54">
        <f t="shared" si="14"/>
        <v>4.0236338318121971</v>
      </c>
      <c r="N73" s="54">
        <f>SUM(L73*(LOG($L$68)/LOG(2)))</f>
        <v>33.123339106421632</v>
      </c>
      <c r="O73" s="54">
        <f t="shared" si="15"/>
        <v>2.4918098496083192E-3</v>
      </c>
      <c r="P73" s="6"/>
      <c r="Q73" s="114"/>
      <c r="R73" s="47" t="s">
        <v>36</v>
      </c>
      <c r="S73" s="47">
        <f>AVERAGE(O22:O23)</f>
        <v>20.989311618147099</v>
      </c>
      <c r="T73" s="54">
        <f t="shared" si="16"/>
        <v>4.8359881241479661</v>
      </c>
      <c r="U73" s="54">
        <f>SUM(S73*(LOG($S$68)/LOG(2)))</f>
        <v>23.974481297207504</v>
      </c>
      <c r="V73" s="54">
        <f t="shared" si="17"/>
        <v>0.45504472842101884</v>
      </c>
      <c r="W73" s="6"/>
      <c r="X73" s="114"/>
      <c r="Y73" s="47" t="s">
        <v>36</v>
      </c>
      <c r="Z73" s="47">
        <f>AVERAGE(I25:I26)</f>
        <v>22.099104274358048</v>
      </c>
      <c r="AA73" s="54">
        <f t="shared" si="18"/>
        <v>0.99925619222654183</v>
      </c>
      <c r="AB73" s="54">
        <f>SUM(Z73*(LOG($Z$68)/LOG(2)))</f>
        <v>21.482978860129755</v>
      </c>
      <c r="AC73" s="54">
        <f t="shared" si="19"/>
        <v>1.5134849026778889</v>
      </c>
      <c r="AD73" s="6"/>
      <c r="AE73" s="114"/>
      <c r="AF73" s="47" t="s">
        <v>36</v>
      </c>
      <c r="AG73" s="47">
        <f>AVERAGE(O28:O29)</f>
        <v>26.433501106055147</v>
      </c>
      <c r="AH73" s="54">
        <f t="shared" si="20"/>
        <v>10.273366468572258</v>
      </c>
      <c r="AI73" s="54">
        <f>SUM(AG73*(LOG($AG$68)/LOG(2)))</f>
        <v>58.775227557189268</v>
      </c>
      <c r="AJ73" s="54">
        <f t="shared" si="21"/>
        <v>2.3119095835127671E-21</v>
      </c>
      <c r="AK73" s="6"/>
      <c r="AL73" s="6"/>
      <c r="AM73" s="6"/>
      <c r="AN73" s="6"/>
      <c r="AO73" s="6"/>
      <c r="AP73" s="6"/>
      <c r="AQ73" s="6"/>
      <c r="AR73" s="6"/>
      <c r="AS73" s="6"/>
      <c r="AT73" s="6"/>
      <c r="AU73" s="6"/>
      <c r="AV73" s="6"/>
      <c r="AW73" s="6"/>
      <c r="AX73" s="6"/>
      <c r="AY73" s="6"/>
      <c r="AZ73" s="6"/>
      <c r="BA73" s="6"/>
      <c r="BB73" s="6"/>
      <c r="BC73" s="6"/>
      <c r="BD73" s="6"/>
      <c r="BE73" s="6"/>
      <c r="BF73" s="6"/>
      <c r="BG73" s="6"/>
      <c r="BH73" s="6"/>
      <c r="BI73" s="6"/>
      <c r="BJ73" s="6"/>
      <c r="BK73" s="6"/>
      <c r="BL73" s="6"/>
      <c r="BM73" s="6"/>
      <c r="BN73" s="6"/>
      <c r="BO73" s="6"/>
      <c r="BP73" s="6"/>
      <c r="BQ73" s="6"/>
      <c r="BR73" s="6"/>
      <c r="BS73" s="6"/>
      <c r="BT73" s="6"/>
      <c r="BU73" s="6"/>
      <c r="BV73" s="6"/>
      <c r="BW73" s="6"/>
      <c r="BX73" s="6"/>
      <c r="BY73" s="6"/>
      <c r="BZ73" s="6"/>
      <c r="CA73" s="6"/>
      <c r="CB73" s="6"/>
      <c r="CC73" s="6"/>
    </row>
    <row r="74" spans="1:81" x14ac:dyDescent="0.25">
      <c r="A74" s="6"/>
      <c r="B74" s="6"/>
      <c r="C74" s="114"/>
      <c r="D74" s="48" t="s">
        <v>37</v>
      </c>
      <c r="E74" s="48">
        <f>AVERAGE(J19:J20)</f>
        <v>22.290825552323298</v>
      </c>
      <c r="F74" s="55">
        <f t="shared" si="12"/>
        <v>23.634983585087078</v>
      </c>
      <c r="G74" s="55">
        <f>SUM(E74*(LOG(E68)/LOG(2)))</f>
        <v>27.963942469975784</v>
      </c>
      <c r="H74" s="55">
        <f t="shared" si="13"/>
        <v>0.17027055460421758</v>
      </c>
      <c r="I74" s="6"/>
      <c r="J74" s="114"/>
      <c r="K74" s="48" t="s">
        <v>37</v>
      </c>
      <c r="L74" s="48">
        <f>AVERAGE(Y19:Y20)</f>
        <v>23.304511976400647</v>
      </c>
      <c r="M74" s="55">
        <f t="shared" si="14"/>
        <v>20.103045534795687</v>
      </c>
      <c r="N74" s="55">
        <f>SUM(L74*(LOG($L$68)/LOG(2)))</f>
        <v>30.802495950361806</v>
      </c>
      <c r="O74" s="55">
        <f t="shared" si="15"/>
        <v>2.0890052984005428E-2</v>
      </c>
      <c r="P74" s="6"/>
      <c r="Q74" s="114"/>
      <c r="R74" s="48" t="s">
        <v>37</v>
      </c>
      <c r="S74" s="48">
        <f>AVERAGE(P22:P23)</f>
        <v>19.170838702231151</v>
      </c>
      <c r="T74" s="55">
        <f t="shared" si="16"/>
        <v>20.405878000254319</v>
      </c>
      <c r="U74" s="55">
        <f>SUM(S74*(LOG($S$68)/LOG(2)))</f>
        <v>21.897379117524206</v>
      </c>
      <c r="V74" s="55">
        <f t="shared" si="17"/>
        <v>2.3564169304165667</v>
      </c>
      <c r="W74" s="6"/>
      <c r="X74" s="114"/>
      <c r="Y74" s="48" t="s">
        <v>37</v>
      </c>
      <c r="Z74" s="48">
        <f>AVERAGE(J25:J26)</f>
        <v>19.581056952695398</v>
      </c>
      <c r="AA74" s="55">
        <f t="shared" si="18"/>
        <v>5.4519427143571617</v>
      </c>
      <c r="AB74" s="55">
        <f>SUM(Z74*(LOG($Z$68)/LOG(2)))</f>
        <v>19.035134969784725</v>
      </c>
      <c r="AC74" s="55">
        <f t="shared" si="19"/>
        <v>7.8760486478404941</v>
      </c>
      <c r="AD74" s="6"/>
      <c r="AE74" s="114"/>
      <c r="AF74" s="48" t="s">
        <v>37</v>
      </c>
      <c r="AG74" s="48">
        <f>AVERAGE(P28:P29)</f>
        <v>24.233110665269649</v>
      </c>
      <c r="AH74" s="55">
        <f t="shared" si="20"/>
        <v>305.16239441975546</v>
      </c>
      <c r="AI74" s="55">
        <f>SUM(AG74*(LOG($AG$68)/LOG(2)))</f>
        <v>53.88263128880444</v>
      </c>
      <c r="AJ74" s="55">
        <f t="shared" si="21"/>
        <v>4.3531237310895673E-18</v>
      </c>
      <c r="AK74" s="6"/>
      <c r="AL74" s="6"/>
      <c r="AM74" s="6"/>
      <c r="AN74" s="6"/>
      <c r="AO74" s="6"/>
      <c r="AP74" s="6"/>
      <c r="AQ74" s="6"/>
      <c r="AR74" s="6"/>
      <c r="AS74" s="6"/>
      <c r="AT74" s="6"/>
      <c r="AU74" s="6"/>
      <c r="AV74" s="6"/>
      <c r="AW74" s="6"/>
      <c r="AX74" s="6"/>
      <c r="AY74" s="6"/>
      <c r="AZ74" s="6"/>
      <c r="BA74" s="6"/>
      <c r="BB74" s="6"/>
      <c r="BC74" s="6"/>
      <c r="BD74" s="6"/>
      <c r="BE74" s="6"/>
      <c r="BF74" s="6"/>
      <c r="BG74" s="6"/>
      <c r="BH74" s="6"/>
      <c r="BI74" s="6"/>
      <c r="BJ74" s="6"/>
      <c r="BK74" s="6"/>
      <c r="BL74" s="6"/>
      <c r="BM74" s="6"/>
      <c r="BN74" s="6"/>
      <c r="BO74" s="6"/>
      <c r="BP74" s="6"/>
      <c r="BQ74" s="6"/>
      <c r="BR74" s="6"/>
      <c r="BS74" s="6"/>
      <c r="BT74" s="6"/>
      <c r="BU74" s="6"/>
      <c r="BV74" s="6"/>
      <c r="BW74" s="6"/>
      <c r="BX74" s="6"/>
      <c r="BY74" s="6"/>
      <c r="BZ74" s="6"/>
      <c r="CA74" s="6"/>
      <c r="CB74" s="6"/>
      <c r="CC74" s="6"/>
    </row>
    <row r="75" spans="1:81" x14ac:dyDescent="0.25">
      <c r="A75" s="6"/>
      <c r="B75" s="6"/>
      <c r="C75" s="114"/>
      <c r="D75" s="49" t="s">
        <v>38</v>
      </c>
      <c r="E75" s="49">
        <f>AVERAGE(K19:K20)</f>
        <v>22.674193739479797</v>
      </c>
      <c r="F75" s="56">
        <f t="shared" si="12"/>
        <v>16.934750372535632</v>
      </c>
      <c r="G75" s="56">
        <f>SUM(E75*(LOG(E68)/LOG(2)))</f>
        <v>28.444879611819143</v>
      </c>
      <c r="H75" s="56">
        <f t="shared" si="13"/>
        <v>0.1120770684833889</v>
      </c>
      <c r="I75" s="6"/>
      <c r="J75" s="114"/>
      <c r="K75" s="49" t="s">
        <v>38</v>
      </c>
      <c r="L75" s="49">
        <f>AVERAGE(C22:C23)</f>
        <v>23.627345982460902</v>
      </c>
      <c r="M75" s="56">
        <f t="shared" si="14"/>
        <v>14.955867511823955</v>
      </c>
      <c r="N75" s="56">
        <f>SUM(L75*(LOG($L$68)/LOG(2)))</f>
        <v>31.22919843503001</v>
      </c>
      <c r="O75" s="56">
        <f t="shared" si="15"/>
        <v>1.4130637826152327E-2</v>
      </c>
      <c r="P75" s="6"/>
      <c r="Q75" s="114"/>
      <c r="R75" s="49" t="s">
        <v>38</v>
      </c>
      <c r="S75" s="49">
        <f>AVERAGE(Q22:Q23)</f>
        <v>19.197736919948802</v>
      </c>
      <c r="T75" s="56">
        <f t="shared" si="16"/>
        <v>19.975907070455069</v>
      </c>
      <c r="U75" s="56">
        <f>SUM(S75*(LOG($S$68)/LOG(2)))</f>
        <v>21.928102889191045</v>
      </c>
      <c r="V75" s="56">
        <f t="shared" si="17"/>
        <v>2.299788858952442</v>
      </c>
      <c r="W75" s="6"/>
      <c r="X75" s="114"/>
      <c r="Y75" s="49" t="s">
        <v>38</v>
      </c>
      <c r="Z75" s="49">
        <f>AVERAGE(K25:K26)</f>
        <v>17.997738053149149</v>
      </c>
      <c r="AA75" s="56">
        <f t="shared" si="18"/>
        <v>15.844895072531962</v>
      </c>
      <c r="AB75" s="56">
        <f>SUM(Z75*(LOG($Z$68)/LOG(2)))</f>
        <v>17.495959172181767</v>
      </c>
      <c r="AC75" s="56">
        <f t="shared" si="19"/>
        <v>22.219207145846916</v>
      </c>
      <c r="AD75" s="6"/>
      <c r="AE75" s="114"/>
      <c r="AF75" s="49" t="s">
        <v>38</v>
      </c>
      <c r="AG75" s="49">
        <f>AVERAGE(Q28:Q29)</f>
        <v>24.6389449584739</v>
      </c>
      <c r="AH75" s="56">
        <f t="shared" si="20"/>
        <v>163.26317850132054</v>
      </c>
      <c r="AI75" s="56">
        <f>SUM(AG75*(LOG($AG$68)/LOG(2)))</f>
        <v>54.785009026732126</v>
      </c>
      <c r="AJ75" s="56">
        <f t="shared" si="21"/>
        <v>1.083427483552343E-18</v>
      </c>
      <c r="AK75" s="6"/>
      <c r="AL75" s="6"/>
      <c r="AM75" s="6"/>
      <c r="AN75" s="6"/>
      <c r="AO75" s="6"/>
      <c r="AP75" s="6"/>
      <c r="AQ75" s="6"/>
      <c r="AR75" s="6"/>
      <c r="AS75" s="6"/>
      <c r="AT75" s="6"/>
      <c r="AU75" s="6"/>
      <c r="AV75" s="6"/>
      <c r="AW75" s="6"/>
      <c r="AX75" s="6"/>
      <c r="AY75" s="6"/>
      <c r="AZ75" s="6"/>
      <c r="BA75" s="6"/>
      <c r="BB75" s="6"/>
      <c r="BC75" s="6"/>
      <c r="BD75" s="6"/>
      <c r="BE75" s="6"/>
      <c r="BF75" s="6"/>
      <c r="BG75" s="6"/>
      <c r="BH75" s="6"/>
      <c r="BI75" s="6"/>
      <c r="BJ75" s="6"/>
      <c r="BK75" s="6"/>
      <c r="BL75" s="6"/>
      <c r="BM75" s="6"/>
      <c r="BN75" s="6"/>
      <c r="BO75" s="6"/>
      <c r="BP75" s="6"/>
      <c r="BQ75" s="6"/>
      <c r="BR75" s="6"/>
      <c r="BS75" s="6"/>
      <c r="BT75" s="6"/>
      <c r="BU75" s="6"/>
      <c r="BV75" s="6"/>
      <c r="BW75" s="6"/>
      <c r="BX75" s="6"/>
      <c r="BY75" s="6"/>
      <c r="BZ75" s="6"/>
      <c r="CA75" s="6"/>
      <c r="CB75" s="6"/>
      <c r="CC75" s="6"/>
    </row>
    <row r="76" spans="1:81" x14ac:dyDescent="0.25">
      <c r="A76" s="6"/>
      <c r="B76" s="6"/>
      <c r="C76" s="114"/>
      <c r="D76" s="49" t="s">
        <v>39</v>
      </c>
      <c r="E76" s="49">
        <f>AVERAGE(L19:L20)</f>
        <v>23.5380196120067</v>
      </c>
      <c r="F76" s="56">
        <f t="shared" si="12"/>
        <v>7.990253710814458</v>
      </c>
      <c r="G76" s="56">
        <f>SUM(E76*(LOG(E68)/LOG(2)))</f>
        <v>29.528553114476885</v>
      </c>
      <c r="H76" s="56">
        <f t="shared" si="13"/>
        <v>4.3679182709528079E-2</v>
      </c>
      <c r="I76" s="6"/>
      <c r="J76" s="114"/>
      <c r="K76" s="49" t="s">
        <v>39</v>
      </c>
      <c r="L76" s="49">
        <f>AVERAGE(D22:D23)</f>
        <v>24.344846117213848</v>
      </c>
      <c r="M76" s="56">
        <f t="shared" si="14"/>
        <v>7.7505106226438159</v>
      </c>
      <c r="N76" s="56">
        <f>SUM(L76*(LOG($L$68)/LOG(2)))</f>
        <v>32.1775467642073</v>
      </c>
      <c r="O76" s="56">
        <f t="shared" si="15"/>
        <v>5.926930566849088E-3</v>
      </c>
      <c r="P76" s="6"/>
      <c r="Q76" s="114"/>
      <c r="R76" s="49" t="s">
        <v>39</v>
      </c>
      <c r="S76" s="49">
        <f>AVERAGE(R22:R23)</f>
        <v>20.001081311937149</v>
      </c>
      <c r="T76" s="56">
        <f t="shared" si="16"/>
        <v>10.575034079655666</v>
      </c>
      <c r="U76" s="56">
        <f>SUM(S76*(LOG($S$68)/LOG(2)))</f>
        <v>22.845701591393805</v>
      </c>
      <c r="V76" s="56">
        <f t="shared" si="17"/>
        <v>1.112186534073345</v>
      </c>
      <c r="W76" s="6"/>
      <c r="X76" s="114"/>
      <c r="Y76" s="49" t="s">
        <v>39</v>
      </c>
      <c r="Z76" s="49">
        <f>AVERAGE(L25:L26)</f>
        <v>19.187580240151</v>
      </c>
      <c r="AA76" s="56">
        <f t="shared" si="18"/>
        <v>7.1071785437453423</v>
      </c>
      <c r="AB76" s="56">
        <f>SUM(Z76*(LOG($Z$68)/LOG(2)))</f>
        <v>18.652628430487887</v>
      </c>
      <c r="AC76" s="56">
        <f t="shared" si="19"/>
        <v>10.191639434292618</v>
      </c>
      <c r="AD76" s="6"/>
      <c r="AE76" s="114"/>
      <c r="AF76" s="49" t="s">
        <v>39</v>
      </c>
      <c r="AG76" s="49">
        <f>AVERAGE(R28:R29)</f>
        <v>25.697084946338851</v>
      </c>
      <c r="AH76" s="56">
        <f t="shared" si="20"/>
        <v>31.961602794727586</v>
      </c>
      <c r="AI76" s="56">
        <f>SUM(AG76*(LOG($AG$68)/LOG(2)))</f>
        <v>57.13779681388899</v>
      </c>
      <c r="AJ76" s="56">
        <f t="shared" si="21"/>
        <v>2.8838678725468607E-20</v>
      </c>
      <c r="AK76" s="6"/>
      <c r="AL76" s="6"/>
      <c r="AM76" s="6"/>
      <c r="AN76" s="6"/>
      <c r="AO76" s="6"/>
      <c r="AP76" s="6"/>
      <c r="AQ76" s="6"/>
      <c r="AR76" s="6"/>
      <c r="AS76" s="6"/>
      <c r="AT76" s="6"/>
      <c r="AU76" s="6"/>
      <c r="AV76" s="6"/>
      <c r="AW76" s="6"/>
      <c r="AX76" s="6"/>
      <c r="AY76" s="6"/>
      <c r="AZ76" s="6"/>
      <c r="BA76" s="6"/>
      <c r="BB76" s="6"/>
      <c r="BC76" s="6"/>
      <c r="BD76" s="6"/>
      <c r="BE76" s="6"/>
      <c r="BF76" s="6"/>
      <c r="BG76" s="6"/>
      <c r="BH76" s="6"/>
      <c r="BI76" s="6"/>
      <c r="BJ76" s="6"/>
      <c r="BK76" s="6"/>
      <c r="BL76" s="6"/>
      <c r="BM76" s="6"/>
      <c r="BN76" s="6"/>
      <c r="BO76" s="6"/>
      <c r="BP76" s="6"/>
      <c r="BQ76" s="6"/>
      <c r="BR76" s="6"/>
      <c r="BS76" s="6"/>
      <c r="BT76" s="6"/>
      <c r="BU76" s="6"/>
      <c r="BV76" s="6"/>
      <c r="BW76" s="6"/>
      <c r="BX76" s="6"/>
      <c r="BY76" s="6"/>
      <c r="BZ76" s="6"/>
      <c r="CA76" s="6"/>
      <c r="CB76" s="6"/>
      <c r="CC76" s="6"/>
    </row>
    <row r="77" spans="1:81" x14ac:dyDescent="0.25">
      <c r="A77" s="6"/>
      <c r="B77" s="6"/>
      <c r="C77" s="114"/>
      <c r="D77" s="49" t="s">
        <v>40</v>
      </c>
      <c r="E77" s="49">
        <f>AVERAGE(M19:M20)</f>
        <v>23.588318270544448</v>
      </c>
      <c r="F77" s="56">
        <f t="shared" si="12"/>
        <v>7.6483122088556623</v>
      </c>
      <c r="G77" s="56">
        <f>SUM(E77*(LOG(E68)/LOG(2)))</f>
        <v>29.591653011354413</v>
      </c>
      <c r="H77" s="56">
        <f t="shared" si="13"/>
        <v>4.1347117419045301E-2</v>
      </c>
      <c r="I77" s="6"/>
      <c r="J77" s="114"/>
      <c r="K77" s="49" t="s">
        <v>40</v>
      </c>
      <c r="L77" s="49">
        <f>AVERAGE(E22:E23)</f>
        <v>24.39425124652195</v>
      </c>
      <c r="M77" s="56">
        <f t="shared" si="14"/>
        <v>7.4075201559216337</v>
      </c>
      <c r="N77" s="56">
        <f>SUM(L77*(LOG($L$68)/LOG(2)))</f>
        <v>32.242847479235401</v>
      </c>
      <c r="O77" s="56">
        <f t="shared" si="15"/>
        <v>5.5827448310250037E-3</v>
      </c>
      <c r="P77" s="6"/>
      <c r="Q77" s="114"/>
      <c r="R77" s="49" t="s">
        <v>40</v>
      </c>
      <c r="S77" s="49">
        <f>AVERAGE(S22:S23)</f>
        <v>19.959453340494399</v>
      </c>
      <c r="T77" s="56">
        <f t="shared" si="16"/>
        <v>10.929373865380189</v>
      </c>
      <c r="U77" s="56">
        <f>SUM(S77*(LOG($S$68)/LOG(2)))</f>
        <v>22.798153151456784</v>
      </c>
      <c r="V77" s="56">
        <f t="shared" si="17"/>
        <v>1.1548533903835956</v>
      </c>
      <c r="W77" s="6"/>
      <c r="X77" s="114"/>
      <c r="Y77" s="49" t="s">
        <v>40</v>
      </c>
      <c r="Z77" s="49">
        <f>AVERAGE(M25:M26)</f>
        <v>19.435392158854849</v>
      </c>
      <c r="AA77" s="56">
        <f t="shared" si="18"/>
        <v>6.0142050105146279</v>
      </c>
      <c r="AB77" s="56">
        <f>SUM(Z77*(LOG($Z$68)/LOG(2)))</f>
        <v>18.893531326130596</v>
      </c>
      <c r="AC77" s="56">
        <f t="shared" si="19"/>
        <v>8.6645675204129606</v>
      </c>
      <c r="AD77" s="6"/>
      <c r="AE77" s="114"/>
      <c r="AF77" s="49" t="s">
        <v>40</v>
      </c>
      <c r="AG77" s="49">
        <f>AVERAGE(S28:S29)</f>
        <v>26.203287664305101</v>
      </c>
      <c r="AH77" s="56">
        <f t="shared" si="20"/>
        <v>14.648891969180429</v>
      </c>
      <c r="AI77" s="56">
        <f>SUM(AG77*(LOG($AG$68)/LOG(2)))</f>
        <v>58.263345027088739</v>
      </c>
      <c r="AJ77" s="56">
        <f t="shared" si="21"/>
        <v>5.0885771967600329E-21</v>
      </c>
      <c r="AK77" s="6"/>
      <c r="AL77" s="6"/>
      <c r="AM77" s="6"/>
      <c r="AN77" s="6"/>
      <c r="AO77" s="6"/>
      <c r="AP77" s="6"/>
      <c r="AQ77" s="6"/>
      <c r="AR77" s="6"/>
      <c r="AS77" s="6"/>
      <c r="AT77" s="6"/>
      <c r="AU77" s="6"/>
      <c r="AV77" s="6"/>
      <c r="AW77" s="6"/>
      <c r="AX77" s="6"/>
      <c r="AY77" s="6"/>
      <c r="AZ77" s="6"/>
      <c r="BA77" s="6"/>
      <c r="BB77" s="6"/>
      <c r="BC77" s="6"/>
      <c r="BD77" s="6"/>
      <c r="BE77" s="6"/>
      <c r="BF77" s="6"/>
      <c r="BG77" s="6"/>
      <c r="BH77" s="6"/>
      <c r="BI77" s="6"/>
      <c r="BJ77" s="6"/>
      <c r="BK77" s="6"/>
      <c r="BL77" s="6"/>
      <c r="BM77" s="6"/>
      <c r="BN77" s="6"/>
      <c r="BO77" s="6"/>
      <c r="BP77" s="6"/>
      <c r="BQ77" s="6"/>
      <c r="BR77" s="6"/>
      <c r="BS77" s="6"/>
      <c r="BT77" s="6"/>
      <c r="BU77" s="6"/>
      <c r="BV77" s="6"/>
      <c r="BW77" s="6"/>
      <c r="BX77" s="6"/>
      <c r="BY77" s="6"/>
      <c r="BZ77" s="6"/>
      <c r="CA77" s="6"/>
      <c r="CB77" s="6"/>
      <c r="CC77" s="6"/>
    </row>
    <row r="78" spans="1:81" x14ac:dyDescent="0.25">
      <c r="A78" s="6"/>
      <c r="B78" s="6"/>
      <c r="C78" s="114"/>
      <c r="D78" s="50" t="s">
        <v>41</v>
      </c>
      <c r="E78" s="50">
        <f>AVERAGE(N19:N20)</f>
        <v>22.550734414455597</v>
      </c>
      <c r="F78" s="57">
        <f t="shared" si="12"/>
        <v>18.853952624124979</v>
      </c>
      <c r="G78" s="57">
        <f>SUM(E78*(LOG(E68)/LOG(2)))</f>
        <v>28.289999324668944</v>
      </c>
      <c r="H78" s="57">
        <f t="shared" si="13"/>
        <v>0.12823491767628323</v>
      </c>
      <c r="I78" s="6"/>
      <c r="J78" s="114"/>
      <c r="K78" s="50" t="s">
        <v>41</v>
      </c>
      <c r="L78" s="50">
        <f>AVERAGE(F22:F23)</f>
        <v>23.632074460172902</v>
      </c>
      <c r="M78" s="57">
        <f t="shared" si="14"/>
        <v>14.891218191773921</v>
      </c>
      <c r="N78" s="57">
        <f>SUM(L78*(LOG($L$68)/LOG(2)))</f>
        <v>31.235448251191052</v>
      </c>
      <c r="O78" s="57">
        <f t="shared" si="15"/>
        <v>1.4049959364207623E-2</v>
      </c>
      <c r="P78" s="6"/>
      <c r="Q78" s="114"/>
      <c r="R78" s="50" t="s">
        <v>41</v>
      </c>
      <c r="S78" s="50">
        <f>AVERAGE(T22:T23)</f>
        <v>19.1082935668157</v>
      </c>
      <c r="T78" s="57">
        <f t="shared" si="16"/>
        <v>21.441789247714894</v>
      </c>
      <c r="U78" s="57">
        <f>SUM(S78*(LOG($S$68)/LOG(2)))</f>
        <v>21.82593860501342</v>
      </c>
      <c r="V78" s="57">
        <f t="shared" si="17"/>
        <v>2.4935408594333555</v>
      </c>
      <c r="W78" s="6"/>
      <c r="X78" s="114"/>
      <c r="Y78" s="50" t="s">
        <v>41</v>
      </c>
      <c r="Z78" s="50">
        <f>AVERAGE(N25:N26)</f>
        <v>17.5141898168613</v>
      </c>
      <c r="AA78" s="57">
        <f t="shared" si="18"/>
        <v>21.947931301881052</v>
      </c>
      <c r="AB78" s="57">
        <f>SUM(Z78*(LOG($Z$68)/LOG(2)))</f>
        <v>17.025892312952621</v>
      </c>
      <c r="AC78" s="57">
        <f t="shared" si="19"/>
        <v>30.499142518747206</v>
      </c>
      <c r="AD78" s="6"/>
      <c r="AE78" s="114"/>
      <c r="AF78" s="50" t="s">
        <v>41</v>
      </c>
      <c r="AG78" s="50">
        <f>AVERAGE(T28:T29)</f>
        <v>25.041990851382899</v>
      </c>
      <c r="AH78" s="57">
        <f t="shared" si="20"/>
        <v>87.722677711356397</v>
      </c>
      <c r="AI78" s="57">
        <f>SUM(AG78*(LOG($AG$68)/LOG(2)))</f>
        <v>55.681186720964632</v>
      </c>
      <c r="AJ78" s="57">
        <f t="shared" si="21"/>
        <v>2.7223793839930244E-19</v>
      </c>
      <c r="AK78" s="6"/>
      <c r="AL78" s="6"/>
      <c r="AM78" s="6"/>
      <c r="AN78" s="6"/>
      <c r="AO78" s="6"/>
      <c r="AP78" s="6"/>
      <c r="AQ78" s="6"/>
      <c r="AR78" s="6"/>
      <c r="AS78" s="6"/>
      <c r="AT78" s="6"/>
      <c r="AU78" s="6"/>
      <c r="AV78" s="6"/>
      <c r="AW78" s="6"/>
      <c r="AX78" s="6"/>
      <c r="AY78" s="6"/>
      <c r="AZ78" s="6"/>
      <c r="BA78" s="6"/>
      <c r="BB78" s="6"/>
      <c r="BC78" s="6"/>
      <c r="BD78" s="6"/>
      <c r="BE78" s="6"/>
      <c r="BF78" s="6"/>
      <c r="BG78" s="6"/>
      <c r="BH78" s="6"/>
      <c r="BI78" s="6"/>
      <c r="BJ78" s="6"/>
      <c r="BK78" s="6"/>
      <c r="BL78" s="6"/>
      <c r="BM78" s="6"/>
      <c r="BN78" s="6"/>
      <c r="BO78" s="6"/>
      <c r="BP78" s="6"/>
      <c r="BQ78" s="6"/>
      <c r="BR78" s="6"/>
      <c r="BS78" s="6"/>
      <c r="BT78" s="6"/>
      <c r="BU78" s="6"/>
      <c r="BV78" s="6"/>
      <c r="BW78" s="6"/>
      <c r="BX78" s="6"/>
      <c r="BY78" s="6"/>
      <c r="BZ78" s="6"/>
      <c r="CA78" s="6"/>
      <c r="CB78" s="6"/>
      <c r="CC78" s="6"/>
    </row>
    <row r="79" spans="1:81" x14ac:dyDescent="0.25">
      <c r="A79" s="6"/>
      <c r="B79" s="6"/>
      <c r="C79" s="114"/>
      <c r="D79" s="51" t="s">
        <v>42</v>
      </c>
      <c r="E79" s="51">
        <f>AVERAGE(O19:O20)</f>
        <v>23.747613559868498</v>
      </c>
      <c r="F79" s="58">
        <f t="shared" si="12"/>
        <v>6.6589963445140947</v>
      </c>
      <c r="G79" s="58">
        <f>SUM(E79*(LOG(E68)/LOG(2)))</f>
        <v>29.791489679401533</v>
      </c>
      <c r="H79" s="58">
        <f t="shared" si="13"/>
        <v>3.475187310348235E-2</v>
      </c>
      <c r="I79" s="6"/>
      <c r="J79" s="114"/>
      <c r="K79" s="51" t="s">
        <v>42</v>
      </c>
      <c r="L79" s="51">
        <f>AVERAGE(G22:G23)</f>
        <v>24.725000363443947</v>
      </c>
      <c r="M79" s="58">
        <f t="shared" si="14"/>
        <v>5.4710830160694801</v>
      </c>
      <c r="N79" s="58">
        <f>SUM(L79*(LOG($L$68)/LOG(2)))</f>
        <v>32.680011679236344</v>
      </c>
      <c r="O79" s="58">
        <f t="shared" si="15"/>
        <v>3.7403088135183823E-3</v>
      </c>
      <c r="P79" s="6"/>
      <c r="Q79" s="114"/>
      <c r="R79" s="51" t="s">
        <v>42</v>
      </c>
      <c r="S79" s="51">
        <f>AVERAGE(U22:U23)</f>
        <v>20.328919854740597</v>
      </c>
      <c r="T79" s="58">
        <f t="shared" si="16"/>
        <v>8.1574914898680255</v>
      </c>
      <c r="U79" s="58">
        <f>SUM(S79*(LOG($S$68)/LOG(2)))</f>
        <v>23.220166421681505</v>
      </c>
      <c r="V79" s="58">
        <f t="shared" si="17"/>
        <v>0.82683783510325781</v>
      </c>
      <c r="W79" s="6"/>
      <c r="X79" s="114"/>
      <c r="Y79" s="51" t="s">
        <v>42</v>
      </c>
      <c r="Z79" s="51">
        <f>AVERAGE(O25:O26)</f>
        <v>19.04844937968355</v>
      </c>
      <c r="AA79" s="58">
        <f t="shared" si="18"/>
        <v>7.8057043475014556</v>
      </c>
      <c r="AB79" s="58">
        <f>SUM(Z79*(LOG($Z$68)/LOG(2)))</f>
        <v>18.517376553438645</v>
      </c>
      <c r="AC79" s="58">
        <f t="shared" si="19"/>
        <v>11.164101787693943</v>
      </c>
      <c r="AD79" s="6"/>
      <c r="AE79" s="114"/>
      <c r="AF79" s="51" t="s">
        <v>42</v>
      </c>
      <c r="AG79" s="51">
        <f>AVERAGE(U28:U29)</f>
        <v>26.614327386496498</v>
      </c>
      <c r="AH79" s="58">
        <f t="shared" si="20"/>
        <v>7.7745952169707042</v>
      </c>
      <c r="AI79" s="58">
        <f>SUM(AG79*(LOG($AG$68)/LOG(2)))</f>
        <v>59.177297102900184</v>
      </c>
      <c r="AJ79" s="58">
        <f t="shared" si="21"/>
        <v>1.2440790880957458E-21</v>
      </c>
      <c r="AK79" s="6"/>
      <c r="AL79" s="6"/>
      <c r="AM79" s="6"/>
      <c r="AN79" s="6"/>
      <c r="AO79" s="6"/>
      <c r="AP79" s="6"/>
      <c r="AQ79" s="6"/>
      <c r="AR79" s="6"/>
      <c r="AS79" s="6"/>
      <c r="AT79" s="6"/>
      <c r="AU79" s="6"/>
      <c r="AV79" s="6"/>
      <c r="AW79" s="6"/>
      <c r="AX79" s="6"/>
      <c r="AY79" s="6"/>
      <c r="AZ79" s="6"/>
      <c r="BA79" s="6"/>
      <c r="BB79" s="6"/>
      <c r="BC79" s="6"/>
      <c r="BD79" s="6"/>
      <c r="BE79" s="6"/>
      <c r="BF79" s="6"/>
      <c r="BG79" s="6"/>
      <c r="BH79" s="6"/>
      <c r="BI79" s="6"/>
      <c r="BJ79" s="6"/>
      <c r="BK79" s="6"/>
      <c r="BL79" s="6"/>
      <c r="BM79" s="6"/>
      <c r="BN79" s="6"/>
      <c r="BO79" s="6"/>
      <c r="BP79" s="6"/>
      <c r="BQ79" s="6"/>
      <c r="BR79" s="6"/>
      <c r="BS79" s="6"/>
      <c r="BT79" s="6"/>
      <c r="BU79" s="6"/>
      <c r="BV79" s="6"/>
      <c r="BW79" s="6"/>
      <c r="BX79" s="6"/>
      <c r="BY79" s="6"/>
      <c r="BZ79" s="6"/>
      <c r="CA79" s="6"/>
      <c r="CB79" s="6"/>
      <c r="CC79" s="6"/>
    </row>
    <row r="80" spans="1:81" x14ac:dyDescent="0.25">
      <c r="A80" s="6"/>
      <c r="B80" s="6"/>
      <c r="C80" s="115"/>
      <c r="D80" s="52" t="s">
        <v>43</v>
      </c>
      <c r="E80" s="52">
        <f>AVERAGE(P19:P20)</f>
        <v>22.69867072782985</v>
      </c>
      <c r="F80" s="59">
        <f t="shared" si="12"/>
        <v>16.578117888905496</v>
      </c>
      <c r="G80" s="59">
        <f>SUM(E80*(LOG(E68)/LOG(2)))</f>
        <v>28.475586105504288</v>
      </c>
      <c r="H80" s="59">
        <f t="shared" si="13"/>
        <v>0.10912409500790334</v>
      </c>
      <c r="I80" s="6"/>
      <c r="J80" s="115"/>
      <c r="K80" s="52" t="s">
        <v>43</v>
      </c>
      <c r="L80" s="52">
        <f>AVERAGE(H22:H23)</f>
        <v>23.681585376226352</v>
      </c>
      <c r="M80" s="59">
        <f t="shared" si="14"/>
        <v>14.230844147084561</v>
      </c>
      <c r="N80" s="59">
        <f>SUM(L80*(LOG($L$68)/LOG(2)))</f>
        <v>31.300888788747873</v>
      </c>
      <c r="O80" s="59">
        <f t="shared" si="15"/>
        <v>1.3232362007104813E-2</v>
      </c>
      <c r="P80" s="6"/>
      <c r="Q80" s="115"/>
      <c r="R80" s="52" t="s">
        <v>43</v>
      </c>
      <c r="S80" s="52">
        <f>AVERAGE(V22:V23)</f>
        <v>19.4113935382303</v>
      </c>
      <c r="T80" s="59">
        <f t="shared" si="16"/>
        <v>16.867164220851869</v>
      </c>
      <c r="U80" s="59">
        <f>SUM(S80*(LOG($S$68)/LOG(2)))</f>
        <v>22.172146462043891</v>
      </c>
      <c r="V80" s="59">
        <f t="shared" si="17"/>
        <v>1.8957242858265333</v>
      </c>
      <c r="W80" s="6"/>
      <c r="X80" s="115"/>
      <c r="Y80" s="52" t="s">
        <v>43</v>
      </c>
      <c r="Z80" s="52">
        <f>AVERAGE(P25:P26)</f>
        <v>17.440946808539948</v>
      </c>
      <c r="AA80" s="59">
        <f t="shared" si="18"/>
        <v>23.058296771768735</v>
      </c>
      <c r="AB80" s="59">
        <f>SUM(Z80*(LOG($Z$68)/LOG(2)))</f>
        <v>16.954691327614693</v>
      </c>
      <c r="AC80" s="59">
        <f t="shared" si="19"/>
        <v>31.998063040285949</v>
      </c>
      <c r="AD80" s="6"/>
      <c r="AE80" s="115"/>
      <c r="AF80" s="52" t="s">
        <v>43</v>
      </c>
      <c r="AG80" s="52">
        <f>AVERAGE(V28:V29)</f>
        <v>25.128344442994351</v>
      </c>
      <c r="AH80" s="59">
        <f t="shared" si="20"/>
        <v>76.791228916410219</v>
      </c>
      <c r="AI80" s="59">
        <f>SUM(AG80*(LOG($AG$68)/LOG(2)))</f>
        <v>55.873195035602187</v>
      </c>
      <c r="AJ80" s="59">
        <f t="shared" si="21"/>
        <v>2.0250186424020742E-19</v>
      </c>
      <c r="AK80" s="6"/>
      <c r="AL80" s="6"/>
      <c r="AM80" s="6"/>
      <c r="AN80" s="6"/>
      <c r="AO80" s="6"/>
      <c r="AP80" s="6"/>
      <c r="AQ80" s="6"/>
      <c r="AR80" s="6"/>
      <c r="AS80" s="6"/>
      <c r="AT80" s="6"/>
      <c r="AU80" s="6"/>
      <c r="AV80" s="6"/>
      <c r="AW80" s="6"/>
      <c r="AX80" s="6"/>
      <c r="AY80" s="6"/>
      <c r="AZ80" s="6"/>
      <c r="BA80" s="6"/>
      <c r="BB80" s="6"/>
      <c r="BC80" s="6"/>
      <c r="BD80" s="6"/>
      <c r="BE80" s="6"/>
      <c r="BF80" s="6"/>
      <c r="BG80" s="6"/>
      <c r="BH80" s="6"/>
      <c r="BI80" s="6"/>
      <c r="BJ80" s="6"/>
      <c r="BK80" s="6"/>
      <c r="BL80" s="6"/>
      <c r="BM80" s="6"/>
      <c r="BN80" s="6"/>
      <c r="BO80" s="6"/>
      <c r="BP80" s="6"/>
      <c r="BQ80" s="6"/>
      <c r="BR80" s="6"/>
      <c r="BS80" s="6"/>
      <c r="BT80" s="6"/>
      <c r="BU80" s="6"/>
      <c r="BV80" s="6"/>
      <c r="BW80" s="6"/>
      <c r="BX80" s="6"/>
      <c r="BY80" s="6"/>
      <c r="BZ80" s="6"/>
      <c r="CA80" s="6"/>
      <c r="CB80" s="6"/>
      <c r="CC80" s="6"/>
    </row>
    <row r="81" spans="1:81" x14ac:dyDescent="0.25">
      <c r="A81" s="6"/>
      <c r="B81" s="6"/>
      <c r="C81" s="111" t="s">
        <v>34</v>
      </c>
      <c r="D81" s="112"/>
      <c r="E81" s="61">
        <f>AVERAGE(Q19:Q20)</f>
        <v>30.653683327328999</v>
      </c>
      <c r="F81" s="60">
        <f t="shared" si="12"/>
        <v>1.6420122279662951E-2</v>
      </c>
      <c r="G81" s="60">
        <f>SUM(E81*(LOG(E68)/LOG(2)))</f>
        <v>38.455185746538717</v>
      </c>
      <c r="H81" s="60">
        <f t="shared" si="13"/>
        <v>1.8586160054729993E-5</v>
      </c>
      <c r="I81" s="6"/>
      <c r="J81" s="111" t="s">
        <v>34</v>
      </c>
      <c r="K81" s="112"/>
      <c r="L81" s="61">
        <f>AVERAGE(Z19:Z20)</f>
        <v>35.6995515424479</v>
      </c>
      <c r="M81" s="60">
        <f t="shared" si="14"/>
        <v>2.3522479188681775E-4</v>
      </c>
      <c r="N81" s="60">
        <f>SUM(L81*(LOG($L$68)/LOG(2)))</f>
        <v>47.185510382261235</v>
      </c>
      <c r="O81" s="60">
        <f t="shared" si="15"/>
        <v>6.330125691371903E-9</v>
      </c>
      <c r="P81" s="6"/>
      <c r="Q81" s="111" t="s">
        <v>34</v>
      </c>
      <c r="R81" s="112"/>
      <c r="S81" s="61">
        <f>AVERAGE(W22:W23)</f>
        <v>32.214544069648547</v>
      </c>
      <c r="T81" s="60">
        <f t="shared" si="16"/>
        <v>6.6797807560469097E-4</v>
      </c>
      <c r="U81" s="60">
        <f>SUM(S81*(LOG($S$68)/LOG(2)))</f>
        <v>36.796203627188596</v>
      </c>
      <c r="V81" s="60">
        <f t="shared" si="17"/>
        <v>1.775777016192702E-5</v>
      </c>
      <c r="W81" s="6"/>
      <c r="X81" s="111" t="s">
        <v>34</v>
      </c>
      <c r="Y81" s="112"/>
      <c r="Z81" s="61">
        <f>AVERAGE(Q25:Q26)</f>
        <v>34.564623306795198</v>
      </c>
      <c r="AA81" s="60">
        <f t="shared" si="18"/>
        <v>2.2480278008379221E-4</v>
      </c>
      <c r="AB81" s="60">
        <f>SUM(Z81*(LOG($Z$68)/LOG(2)))</f>
        <v>33.600957875465731</v>
      </c>
      <c r="AC81" s="60">
        <f t="shared" si="19"/>
        <v>4.3033441233207234E-4</v>
      </c>
      <c r="AD81" s="6"/>
      <c r="AE81" s="111" t="s">
        <v>34</v>
      </c>
      <c r="AF81" s="112"/>
      <c r="AG81" s="61">
        <f>AVERAGE(W28:W29)</f>
        <v>35.989669447036903</v>
      </c>
      <c r="AH81" s="60">
        <f t="shared" si="20"/>
        <v>4.1242827243873059E-6</v>
      </c>
      <c r="AI81" s="60">
        <f>SUM(AG81*(LOG($AG$68)/LOG(2)))</f>
        <v>80.023490001219031</v>
      </c>
      <c r="AJ81" s="60">
        <f t="shared" si="21"/>
        <v>1.3853929002997214E-35</v>
      </c>
      <c r="AK81" s="6"/>
      <c r="AL81" s="6"/>
      <c r="AM81" s="6"/>
      <c r="AN81" s="6"/>
      <c r="AO81" s="6"/>
      <c r="AP81" s="6"/>
      <c r="AQ81" s="6"/>
      <c r="AR81" s="6"/>
      <c r="AS81" s="6"/>
      <c r="AT81" s="6"/>
      <c r="AU81" s="6"/>
      <c r="AV81" s="6"/>
      <c r="AW81" s="6"/>
      <c r="AX81" s="6"/>
      <c r="AY81" s="6"/>
      <c r="AZ81" s="6"/>
      <c r="BA81" s="6"/>
      <c r="BB81" s="6"/>
      <c r="BC81" s="6"/>
      <c r="BD81" s="6"/>
      <c r="BE81" s="6"/>
      <c r="BF81" s="6"/>
      <c r="BG81" s="6"/>
      <c r="BH81" s="6"/>
      <c r="BI81" s="6"/>
      <c r="BJ81" s="6"/>
      <c r="BK81" s="6"/>
      <c r="BL81" s="6"/>
      <c r="BM81" s="6"/>
      <c r="BN81" s="6"/>
      <c r="BO81" s="6"/>
      <c r="BP81" s="6"/>
      <c r="BQ81" s="6"/>
      <c r="BR81" s="6"/>
      <c r="BS81" s="6"/>
      <c r="BT81" s="6"/>
      <c r="BU81" s="6"/>
      <c r="BV81" s="6"/>
      <c r="BW81" s="6"/>
      <c r="BX81" s="6"/>
      <c r="BY81" s="6"/>
      <c r="BZ81" s="6"/>
      <c r="CA81" s="6"/>
      <c r="CB81" s="6"/>
      <c r="CC81" s="6"/>
    </row>
    <row r="82" spans="1:81" x14ac:dyDescent="0.25">
      <c r="A82" s="6"/>
      <c r="B82" s="6"/>
      <c r="C82" s="109" t="s">
        <v>73</v>
      </c>
      <c r="D82" s="110"/>
      <c r="E82" s="84">
        <f>AVERAGE(E72:E80)</f>
        <v>23.188961505022874</v>
      </c>
      <c r="F82" s="84">
        <f>AVERAGE(F72:F80)</f>
        <v>12.405951456002267</v>
      </c>
      <c r="G82" s="84">
        <f>AVERAGE(G72:G80)</f>
        <v>29.090658124923348</v>
      </c>
      <c r="H82" s="84">
        <f>AVERAGE(H72:H80)</f>
        <v>7.8930051161215667E-2</v>
      </c>
      <c r="I82" s="6"/>
      <c r="J82" s="109" t="s">
        <v>73</v>
      </c>
      <c r="K82" s="110"/>
      <c r="L82" s="84">
        <f>AVERAGE(L72:L80)</f>
        <v>24.120077719634367</v>
      </c>
      <c r="M82" s="84">
        <f>AVERAGE(M72:M80)</f>
        <v>10.758970706776093</v>
      </c>
      <c r="N82" s="84">
        <f>AVERAGE(N72:N80)</f>
        <v>31.880461476035538</v>
      </c>
      <c r="O82" s="84">
        <f>AVERAGE(O72:O80)</f>
        <v>9.5802395695165164E-3</v>
      </c>
      <c r="P82" s="6"/>
      <c r="Q82" s="109" t="s">
        <v>73</v>
      </c>
      <c r="R82" s="110"/>
      <c r="S82" s="84">
        <f>AVERAGE(S72:S80)</f>
        <v>19.811749996945245</v>
      </c>
      <c r="T82" s="84">
        <f>AVERAGE(T72:T80)</f>
        <v>13.630203663633015</v>
      </c>
      <c r="U82" s="84">
        <f>AVERAGE(U72:U80)</f>
        <v>22.62944294733591</v>
      </c>
      <c r="V82" s="84">
        <f>AVERAGE(V72:V80)</f>
        <v>1.5084903323974146</v>
      </c>
      <c r="W82" s="6"/>
      <c r="X82" s="109" t="s">
        <v>73</v>
      </c>
      <c r="Y82" s="110"/>
      <c r="Z82" s="84">
        <f>AVERAGE(Z72:Z80)</f>
        <v>19.272383093825567</v>
      </c>
      <c r="AA82" s="84">
        <f>AVERAGE(AA72:AA80)</f>
        <v>10.014158940591393</v>
      </c>
      <c r="AB82" s="84">
        <f>AVERAGE(AB72:AB80)</f>
        <v>18.735066971441938</v>
      </c>
      <c r="AC82" s="84">
        <f>AVERAGE(AC72:AC80)</f>
        <v>14.105561770195477</v>
      </c>
      <c r="AD82" s="6"/>
      <c r="AE82" s="109" t="s">
        <v>73</v>
      </c>
      <c r="AF82" s="110"/>
      <c r="AG82" s="84">
        <f>AVERAGE(AG72:AG80)</f>
        <v>25.52159703637588</v>
      </c>
      <c r="AH82" s="84">
        <f>AVERAGE(AH72:AH80)</f>
        <v>81.025708115252371</v>
      </c>
      <c r="AI82" s="84">
        <f>AVERAGE(AI72:AI80)</f>
        <v>56.747597203166734</v>
      </c>
      <c r="AJ82" s="84">
        <f>AVERAGE(AJ72:AJ80)</f>
        <v>6.6410652091429967E-19</v>
      </c>
      <c r="AK82" s="6"/>
      <c r="AL82" s="6"/>
      <c r="AM82" s="6"/>
      <c r="AN82" s="6"/>
      <c r="AO82" s="6"/>
      <c r="AP82" s="6"/>
      <c r="AQ82" s="6"/>
      <c r="AR82" s="6"/>
      <c r="AS82" s="6"/>
      <c r="AT82" s="6"/>
      <c r="AU82" s="6"/>
      <c r="AV82" s="6"/>
      <c r="AW82" s="6"/>
      <c r="AX82" s="6"/>
      <c r="AY82" s="6"/>
      <c r="AZ82" s="6"/>
      <c r="BA82" s="6"/>
      <c r="BB82" s="6"/>
      <c r="BC82" s="6"/>
      <c r="BD82" s="6"/>
      <c r="BE82" s="6"/>
      <c r="BF82" s="6"/>
      <c r="BG82" s="6"/>
      <c r="BH82" s="6"/>
      <c r="BI82" s="6"/>
      <c r="BJ82" s="6"/>
      <c r="BK82" s="6"/>
      <c r="BL82" s="6"/>
      <c r="BM82" s="6"/>
      <c r="BN82" s="6"/>
      <c r="BO82" s="6"/>
      <c r="BP82" s="6"/>
      <c r="BQ82" s="6"/>
      <c r="BR82" s="6"/>
      <c r="BS82" s="6"/>
      <c r="BT82" s="6"/>
      <c r="BU82" s="6"/>
      <c r="BV82" s="6"/>
      <c r="BW82" s="6"/>
      <c r="BX82" s="6"/>
      <c r="BY82" s="6"/>
      <c r="BZ82" s="6"/>
      <c r="CA82" s="6"/>
      <c r="CB82" s="6"/>
      <c r="CC82" s="6"/>
    </row>
    <row r="83" spans="1:81" x14ac:dyDescent="0.25">
      <c r="A83" s="6"/>
      <c r="B83" s="6"/>
      <c r="C83" s="109" t="s">
        <v>74</v>
      </c>
      <c r="D83" s="110"/>
      <c r="E83" s="84">
        <f>(E84/SQRT(9))</f>
        <v>0.20376916064746442</v>
      </c>
      <c r="F83" s="84">
        <f>(F84/SQRT(9))</f>
        <v>2.0948217623310974</v>
      </c>
      <c r="G83" s="84">
        <f>(G84/SQRT(9))</f>
        <v>0.25562934275922528</v>
      </c>
      <c r="H83" s="84">
        <f>(H84/SQRT(9))</f>
        <v>1.631483743230663E-2</v>
      </c>
      <c r="I83" s="6"/>
      <c r="J83" s="109" t="s">
        <v>74</v>
      </c>
      <c r="K83" s="110"/>
      <c r="L83" s="84">
        <f>(L84/SQRT(9))</f>
        <v>0.18427480532714444</v>
      </c>
      <c r="M83" s="84">
        <f>(M84/SQRT(9))</f>
        <v>1.7043627099550089</v>
      </c>
      <c r="N83" s="84">
        <f>(N84/SQRT(9))</f>
        <v>0.24356330441894769</v>
      </c>
      <c r="O83" s="84">
        <f>(O84/SQRT(9))</f>
        <v>1.9474304479134702E-3</v>
      </c>
      <c r="P83" s="6"/>
      <c r="Q83" s="109" t="s">
        <v>74</v>
      </c>
      <c r="R83" s="110"/>
      <c r="S83" s="84">
        <f>(S84/SQRT(9))</f>
        <v>0.20066569345459564</v>
      </c>
      <c r="T83" s="84">
        <f>(T84/SQRT(9))</f>
        <v>1.9206204889793836</v>
      </c>
      <c r="U83" s="84">
        <f>(U84/SQRT(9))</f>
        <v>0.22920503550764246</v>
      </c>
      <c r="V83" s="84">
        <f>(V84/SQRT(9))</f>
        <v>0.23828327806230534</v>
      </c>
      <c r="W83" s="6"/>
      <c r="X83" s="109" t="s">
        <v>74</v>
      </c>
      <c r="Y83" s="110"/>
      <c r="Z83" s="84">
        <f>(Z84/SQRT(9))</f>
        <v>0.49383628104058386</v>
      </c>
      <c r="AA83" s="84">
        <f>(AA84/SQRT(9))</f>
        <v>2.591161062981612</v>
      </c>
      <c r="AB83" s="84">
        <f>(AB84/SQRT(9))</f>
        <v>0.48006807218290043</v>
      </c>
      <c r="AC83" s="84">
        <f>(AC84/SQRT(9))</f>
        <v>3.5710479963873314</v>
      </c>
      <c r="AD83" s="6"/>
      <c r="AE83" s="109" t="s">
        <v>74</v>
      </c>
      <c r="AF83" s="110"/>
      <c r="AG83" s="84">
        <f>(AG84/SQRT(9))</f>
        <v>0.25767860619361888</v>
      </c>
      <c r="AH83" s="84">
        <f>(AH84/SQRT(9))</f>
        <v>30.769437274012336</v>
      </c>
      <c r="AI83" s="84">
        <f>(AI84/SQRT(9))</f>
        <v>0.5729516742744305</v>
      </c>
      <c r="AJ83" s="84">
        <f>(AJ84/SQRT(9))</f>
        <v>4.4819174974756387E-19</v>
      </c>
      <c r="AK83" s="6"/>
      <c r="AL83" s="6"/>
      <c r="AM83" s="6"/>
      <c r="AN83" s="6"/>
      <c r="AO83" s="6"/>
      <c r="AP83" s="6"/>
      <c r="AQ83" s="6"/>
      <c r="AR83" s="6"/>
      <c r="AS83" s="6"/>
      <c r="AT83" s="6"/>
      <c r="AU83" s="6"/>
      <c r="AV83" s="6"/>
      <c r="AW83" s="6"/>
      <c r="AX83" s="6"/>
      <c r="AY83" s="6"/>
      <c r="AZ83" s="6"/>
      <c r="BA83" s="6"/>
      <c r="BB83" s="6"/>
      <c r="BC83" s="6"/>
      <c r="BD83" s="6"/>
      <c r="BE83" s="6"/>
      <c r="BF83" s="6"/>
      <c r="BG83" s="6"/>
      <c r="BH83" s="6"/>
      <c r="BI83" s="6"/>
      <c r="BJ83" s="6"/>
      <c r="BK83" s="6"/>
      <c r="BL83" s="6"/>
      <c r="BM83" s="6"/>
      <c r="BN83" s="6"/>
      <c r="BO83" s="6"/>
      <c r="BP83" s="6"/>
      <c r="BQ83" s="6"/>
      <c r="BR83" s="6"/>
      <c r="BS83" s="6"/>
      <c r="BT83" s="6"/>
      <c r="BU83" s="6"/>
      <c r="BV83" s="6"/>
      <c r="BW83" s="6"/>
      <c r="BX83" s="6"/>
      <c r="BY83" s="6"/>
      <c r="BZ83" s="6"/>
      <c r="CA83" s="6"/>
      <c r="CB83" s="6"/>
      <c r="CC83" s="6"/>
    </row>
    <row r="84" spans="1:81" x14ac:dyDescent="0.25">
      <c r="A84" s="6"/>
      <c r="B84" s="6"/>
      <c r="C84" s="109" t="s">
        <v>75</v>
      </c>
      <c r="D84" s="110"/>
      <c r="E84" s="84">
        <f>_xlfn.STDEV.P(E72:E80)</f>
        <v>0.61130748194239326</v>
      </c>
      <c r="F84" s="84">
        <f>_xlfn.STDEV.P(F72:F80)</f>
        <v>6.2844652869932922</v>
      </c>
      <c r="G84" s="84">
        <f>_xlfn.STDEV.P(G72:G80)</f>
        <v>0.76688802827767588</v>
      </c>
      <c r="H84" s="84">
        <f>_xlfn.STDEV.P(H72:H80)</f>
        <v>4.8944512296919894E-2</v>
      </c>
      <c r="I84" s="6"/>
      <c r="J84" s="109" t="s">
        <v>75</v>
      </c>
      <c r="K84" s="110"/>
      <c r="L84" s="84">
        <f>_xlfn.STDEV.P(L72:L80)</f>
        <v>0.55282441598143328</v>
      </c>
      <c r="M84" s="84">
        <f>_xlfn.STDEV.P(M72:M80)</f>
        <v>5.1130881298650266</v>
      </c>
      <c r="N84" s="84">
        <f>_xlfn.STDEV.P(N72:N80)</f>
        <v>0.73068991325684307</v>
      </c>
      <c r="O84" s="84">
        <f>_xlfn.STDEV.P(O72:O80)</f>
        <v>5.8422913437404106E-3</v>
      </c>
      <c r="P84" s="6"/>
      <c r="Q84" s="109" t="s">
        <v>75</v>
      </c>
      <c r="R84" s="110"/>
      <c r="S84" s="84">
        <f>_xlfn.STDEV.P(S72:S80)</f>
        <v>0.60199708036378696</v>
      </c>
      <c r="T84" s="84">
        <f>_xlfn.STDEV.P(T72:T80)</f>
        <v>5.7618614669381509</v>
      </c>
      <c r="U84" s="84">
        <f>_xlfn.STDEV.P(U72:U80)</f>
        <v>0.68761510652292734</v>
      </c>
      <c r="V84" s="84">
        <f>_xlfn.STDEV.P(V72:V80)</f>
        <v>0.71484983418691606</v>
      </c>
      <c r="W84" s="6"/>
      <c r="X84" s="109" t="s">
        <v>75</v>
      </c>
      <c r="Y84" s="110"/>
      <c r="Z84" s="84">
        <f>_xlfn.STDEV.P(Z72:Z80)</f>
        <v>1.4815088431217516</v>
      </c>
      <c r="AA84" s="84">
        <f>_xlfn.STDEV.P(AA72:AA80)</f>
        <v>7.7734831889448364</v>
      </c>
      <c r="AB84" s="84">
        <f>_xlfn.STDEV.P(AB72:AB80)</f>
        <v>1.4402042165487012</v>
      </c>
      <c r="AC84" s="84">
        <f>_xlfn.STDEV.P(AC72:AC80)</f>
        <v>10.713143989161994</v>
      </c>
      <c r="AD84" s="6"/>
      <c r="AE84" s="109" t="s">
        <v>75</v>
      </c>
      <c r="AF84" s="110"/>
      <c r="AG84" s="84">
        <f>_xlfn.STDEV.P(AG72:AG80)</f>
        <v>0.77303581858085657</v>
      </c>
      <c r="AH84" s="84">
        <f>_xlfn.STDEV.P(AH72:AH80)</f>
        <v>92.308311822037012</v>
      </c>
      <c r="AI84" s="84">
        <f>_xlfn.STDEV.P(AI72:AI80)</f>
        <v>1.7188550228232915</v>
      </c>
      <c r="AJ84" s="84">
        <f>_xlfn.STDEV.P(AJ72:AJ80)</f>
        <v>1.3445752492426915E-18</v>
      </c>
      <c r="AK84" s="6"/>
      <c r="AL84" s="6"/>
      <c r="AM84" s="6"/>
      <c r="AN84" s="6"/>
      <c r="AO84" s="6"/>
      <c r="AP84" s="6"/>
      <c r="AQ84" s="6"/>
      <c r="AR84" s="6"/>
      <c r="AS84" s="6"/>
      <c r="AT84" s="6"/>
      <c r="AU84" s="6"/>
      <c r="AV84" s="6"/>
      <c r="AW84" s="6"/>
      <c r="AX84" s="6"/>
      <c r="AY84" s="6"/>
      <c r="AZ84" s="6"/>
      <c r="BA84" s="6"/>
      <c r="BB84" s="6"/>
      <c r="BC84" s="6"/>
      <c r="BD84" s="6"/>
      <c r="BE84" s="6"/>
      <c r="BF84" s="6"/>
      <c r="BG84" s="6"/>
      <c r="BH84" s="6"/>
      <c r="BI84" s="6"/>
      <c r="BJ84" s="6"/>
      <c r="BK84" s="6"/>
      <c r="BL84" s="6"/>
      <c r="BM84" s="6"/>
      <c r="BN84" s="6"/>
      <c r="BO84" s="6"/>
      <c r="BP84" s="6"/>
      <c r="BQ84" s="6"/>
      <c r="BR84" s="6"/>
      <c r="BS84" s="6"/>
      <c r="BT84" s="6"/>
      <c r="BU84" s="6"/>
      <c r="BV84" s="6"/>
      <c r="BW84" s="6"/>
      <c r="BX84" s="6"/>
      <c r="BY84" s="6"/>
      <c r="BZ84" s="6"/>
      <c r="CA84" s="6"/>
      <c r="CB84" s="6"/>
      <c r="CC84" s="6"/>
    </row>
    <row r="85" spans="1:81" x14ac:dyDescent="0.25">
      <c r="A85" s="6"/>
      <c r="B85" s="6"/>
      <c r="C85" s="109" t="s">
        <v>76</v>
      </c>
      <c r="D85" s="110"/>
      <c r="E85" s="84">
        <f>SUM(E84/E82)</f>
        <v>2.6362003395882141E-2</v>
      </c>
      <c r="F85" s="84">
        <f>SUM(F84/F82)</f>
        <v>0.5065685859952912</v>
      </c>
      <c r="G85" s="84">
        <f>SUM(G84/G82)</f>
        <v>2.6362003395882148E-2</v>
      </c>
      <c r="H85" s="84">
        <f>SUM(H84/H82)</f>
        <v>0.62009984254222872</v>
      </c>
      <c r="I85" s="6"/>
      <c r="J85" s="109" t="s">
        <v>76</v>
      </c>
      <c r="K85" s="110"/>
      <c r="L85" s="84">
        <f>SUM(L84/L82)</f>
        <v>2.2919678054412734E-2</v>
      </c>
      <c r="M85" s="84">
        <f>SUM(M84/M82)</f>
        <v>0.47523952515687762</v>
      </c>
      <c r="N85" s="84">
        <f>SUM(N84/N82)</f>
        <v>2.2919678054412758E-2</v>
      </c>
      <c r="O85" s="84">
        <f>SUM(O84/O82)</f>
        <v>0.60982727011650839</v>
      </c>
      <c r="P85" s="6"/>
      <c r="Q85" s="109" t="s">
        <v>76</v>
      </c>
      <c r="R85" s="110"/>
      <c r="S85" s="84">
        <f>SUM(S84/S82)</f>
        <v>3.0385860938917982E-2</v>
      </c>
      <c r="T85" s="84">
        <f>SUM(T84/T82)</f>
        <v>0.42272746681779044</v>
      </c>
      <c r="U85" s="84">
        <f>SUM(U84/U82)</f>
        <v>3.0385860938917986E-2</v>
      </c>
      <c r="V85" s="84">
        <f>SUM(V84/V82)</f>
        <v>0.47388426616617357</v>
      </c>
      <c r="W85" s="6"/>
      <c r="X85" s="109" t="s">
        <v>76</v>
      </c>
      <c r="Y85" s="110"/>
      <c r="Z85" s="84">
        <f>SUM(Z84/Z82)</f>
        <v>7.687211466839268E-2</v>
      </c>
      <c r="AA85" s="84">
        <f>SUM(AA84/AA82)</f>
        <v>0.77624923221817443</v>
      </c>
      <c r="AB85" s="84">
        <f>SUM(AB84/AB82)</f>
        <v>7.6872114668392694E-2</v>
      </c>
      <c r="AC85" s="84">
        <f>SUM(AC84/AC82)</f>
        <v>0.75949786075152748</v>
      </c>
      <c r="AD85" s="6"/>
      <c r="AE85" s="109" t="s">
        <v>76</v>
      </c>
      <c r="AF85" s="110"/>
      <c r="AG85" s="84">
        <f>SUM(AG84/AG82)</f>
        <v>3.0289476692193291E-2</v>
      </c>
      <c r="AH85" s="84">
        <f>SUM(AH84/AH82)</f>
        <v>1.1392472089319612</v>
      </c>
      <c r="AI85" s="84">
        <f>SUM(AI84/AI82)</f>
        <v>3.0289476692193281E-2</v>
      </c>
      <c r="AJ85" s="84">
        <f>SUM(AJ84/AJ82)</f>
        <v>2.0246379261440857</v>
      </c>
      <c r="AK85" s="6"/>
      <c r="AL85" s="6"/>
      <c r="AM85" s="6"/>
      <c r="AN85" s="6"/>
      <c r="AO85" s="6"/>
      <c r="AP85" s="6"/>
      <c r="AQ85" s="6"/>
      <c r="AR85" s="6"/>
      <c r="AS85" s="6"/>
      <c r="AT85" s="6"/>
      <c r="AU85" s="6"/>
      <c r="AV85" s="6"/>
      <c r="AW85" s="6"/>
      <c r="AX85" s="6"/>
      <c r="AY85" s="6"/>
      <c r="AZ85" s="6"/>
      <c r="BA85" s="6"/>
      <c r="BB85" s="6"/>
      <c r="BC85" s="6"/>
      <c r="BD85" s="6"/>
      <c r="BE85" s="6"/>
      <c r="BF85" s="6"/>
      <c r="BG85" s="6"/>
      <c r="BH85" s="6"/>
      <c r="BI85" s="6"/>
      <c r="BJ85" s="6"/>
      <c r="BK85" s="6"/>
      <c r="BL85" s="6"/>
      <c r="BM85" s="6"/>
      <c r="BN85" s="6"/>
      <c r="BO85" s="6"/>
      <c r="BP85" s="6"/>
      <c r="BQ85" s="6"/>
      <c r="BR85" s="6"/>
      <c r="BS85" s="6"/>
      <c r="BT85" s="6"/>
      <c r="BU85" s="6"/>
      <c r="BV85" s="6"/>
      <c r="BW85" s="6"/>
      <c r="BX85" s="6"/>
      <c r="BY85" s="6"/>
      <c r="BZ85" s="6"/>
      <c r="CA85" s="6"/>
      <c r="CB85" s="6"/>
      <c r="CC85" s="6"/>
    </row>
    <row r="86" spans="1:81" x14ac:dyDescent="0.25">
      <c r="A86" s="6"/>
      <c r="B86" s="6"/>
      <c r="C86" s="6"/>
      <c r="D86" s="6"/>
      <c r="E86" s="6"/>
      <c r="F86" s="6"/>
      <c r="G86" s="6"/>
      <c r="H86" s="6"/>
      <c r="I86" s="6"/>
      <c r="J86" s="6"/>
      <c r="K86" s="6"/>
      <c r="L86" s="6"/>
      <c r="M86" s="6"/>
      <c r="N86" s="6"/>
      <c r="O86" s="6"/>
      <c r="P86" s="6"/>
      <c r="Q86" s="6"/>
      <c r="R86" s="6"/>
      <c r="S86" s="6"/>
      <c r="T86" s="6"/>
      <c r="U86" s="6"/>
      <c r="V86" s="6"/>
      <c r="W86" s="6"/>
      <c r="X86" s="6"/>
      <c r="Y86" s="6"/>
      <c r="Z86" s="6"/>
      <c r="AA86" s="6"/>
      <c r="AB86" s="6"/>
      <c r="AC86" s="6"/>
      <c r="AD86" s="6"/>
      <c r="AE86" s="6"/>
      <c r="AF86" s="6"/>
      <c r="AG86" s="6"/>
      <c r="AH86" s="6"/>
      <c r="AI86" s="6"/>
      <c r="AJ86" s="6"/>
      <c r="AK86" s="6"/>
      <c r="AL86" s="6"/>
      <c r="AM86" s="6"/>
      <c r="AN86" s="6"/>
      <c r="AO86" s="6"/>
      <c r="AP86" s="6"/>
      <c r="AQ86" s="6"/>
      <c r="AR86" s="6"/>
      <c r="AS86" s="6"/>
      <c r="AT86" s="6"/>
      <c r="AU86" s="6"/>
      <c r="AV86" s="6"/>
      <c r="AW86" s="6"/>
      <c r="AX86" s="6"/>
      <c r="AY86" s="6"/>
      <c r="AZ86" s="6"/>
      <c r="BA86" s="6"/>
      <c r="BB86" s="6"/>
      <c r="BC86" s="6"/>
      <c r="BD86" s="6"/>
      <c r="BE86" s="6"/>
      <c r="BF86" s="6"/>
      <c r="BG86" s="6"/>
      <c r="BH86" s="6"/>
      <c r="BI86" s="6"/>
      <c r="BJ86" s="6"/>
      <c r="BK86" s="6"/>
      <c r="BL86" s="6"/>
      <c r="BM86" s="6"/>
      <c r="BN86" s="6"/>
      <c r="BO86" s="6"/>
      <c r="BP86" s="6"/>
      <c r="BQ86" s="6"/>
      <c r="BR86" s="6"/>
      <c r="BS86" s="6"/>
      <c r="BT86" s="6"/>
      <c r="BU86" s="6"/>
      <c r="BV86" s="6"/>
      <c r="BW86" s="6"/>
      <c r="BX86" s="6"/>
    </row>
    <row r="87" spans="1:81" s="6" customFormat="1" x14ac:dyDescent="0.25"/>
    <row r="88" spans="1:81" s="6" customFormat="1" x14ac:dyDescent="0.25"/>
    <row r="89" spans="1:81" s="6" customFormat="1" x14ac:dyDescent="0.25"/>
    <row r="90" spans="1:81" s="6" customFormat="1" x14ac:dyDescent="0.25"/>
    <row r="91" spans="1:81" s="6" customFormat="1" x14ac:dyDescent="0.25"/>
    <row r="92" spans="1:81" s="6" customFormat="1" x14ac:dyDescent="0.25"/>
    <row r="93" spans="1:81" s="6" customFormat="1" x14ac:dyDescent="0.25"/>
    <row r="94" spans="1:81" s="6" customFormat="1" x14ac:dyDescent="0.25"/>
    <row r="95" spans="1:81" s="6" customFormat="1" x14ac:dyDescent="0.25"/>
    <row r="96" spans="1:81" s="6" customFormat="1" x14ac:dyDescent="0.25"/>
    <row r="97" s="6" customFormat="1" x14ac:dyDescent="0.25"/>
    <row r="98" s="6" customFormat="1" x14ac:dyDescent="0.25"/>
    <row r="99" s="6" customFormat="1" x14ac:dyDescent="0.25"/>
    <row r="100" s="6" customFormat="1" x14ac:dyDescent="0.25"/>
    <row r="101" s="6" customFormat="1" x14ac:dyDescent="0.25"/>
    <row r="102" s="6" customFormat="1" x14ac:dyDescent="0.25"/>
    <row r="103" s="6" customFormat="1" x14ac:dyDescent="0.25"/>
    <row r="104" s="6" customFormat="1" x14ac:dyDescent="0.25"/>
    <row r="105" s="6" customFormat="1" x14ac:dyDescent="0.25"/>
    <row r="106" s="6" customFormat="1" x14ac:dyDescent="0.25"/>
    <row r="107" s="6" customFormat="1" x14ac:dyDescent="0.25"/>
    <row r="108" s="6" customFormat="1" x14ac:dyDescent="0.25"/>
    <row r="109" s="6" customFormat="1" x14ac:dyDescent="0.25"/>
    <row r="110" s="6" customFormat="1" x14ac:dyDescent="0.25"/>
    <row r="111" s="6" customFormat="1" x14ac:dyDescent="0.25"/>
    <row r="112" s="6" customFormat="1" x14ac:dyDescent="0.25"/>
    <row r="113" s="6" customFormat="1" x14ac:dyDescent="0.25"/>
    <row r="114" s="6" customFormat="1" x14ac:dyDescent="0.25"/>
    <row r="115" s="6" customFormat="1" x14ac:dyDescent="0.25"/>
    <row r="116" s="6" customFormat="1" x14ac:dyDescent="0.25"/>
    <row r="117" s="6" customFormat="1" x14ac:dyDescent="0.25"/>
    <row r="118" s="6" customFormat="1" x14ac:dyDescent="0.25"/>
  </sheetData>
  <mergeCells count="149">
    <mergeCell ref="B1:Z4"/>
    <mergeCell ref="J59:L59"/>
    <mergeCell ref="J60:L60"/>
    <mergeCell ref="J67:K67"/>
    <mergeCell ref="J68:K68"/>
    <mergeCell ref="J31:L31"/>
    <mergeCell ref="J32:L32"/>
    <mergeCell ref="J39:K39"/>
    <mergeCell ref="J40:K40"/>
    <mergeCell ref="C85:D85"/>
    <mergeCell ref="J85:K85"/>
    <mergeCell ref="Q85:R85"/>
    <mergeCell ref="X85:Y85"/>
    <mergeCell ref="AE85:AF85"/>
    <mergeCell ref="C84:D84"/>
    <mergeCell ref="J84:K84"/>
    <mergeCell ref="Q84:R84"/>
    <mergeCell ref="X84:Y84"/>
    <mergeCell ref="AE84:AF84"/>
    <mergeCell ref="C83:D83"/>
    <mergeCell ref="J83:K83"/>
    <mergeCell ref="Q83:R83"/>
    <mergeCell ref="X83:Y83"/>
    <mergeCell ref="AE83:AF83"/>
    <mergeCell ref="C82:D82"/>
    <mergeCell ref="J82:K82"/>
    <mergeCell ref="Q82:R82"/>
    <mergeCell ref="X82:Y82"/>
    <mergeCell ref="AE82:AF82"/>
    <mergeCell ref="C81:D81"/>
    <mergeCell ref="J81:K81"/>
    <mergeCell ref="Q81:R81"/>
    <mergeCell ref="X81:Y81"/>
    <mergeCell ref="AE81:AF81"/>
    <mergeCell ref="C71:C80"/>
    <mergeCell ref="J71:J80"/>
    <mergeCell ref="Q71:Q80"/>
    <mergeCell ref="X71:X80"/>
    <mergeCell ref="AE71:AE80"/>
    <mergeCell ref="C70:H70"/>
    <mergeCell ref="J70:O70"/>
    <mergeCell ref="Q70:V70"/>
    <mergeCell ref="X70:AC70"/>
    <mergeCell ref="AE70:AJ70"/>
    <mergeCell ref="C68:D68"/>
    <mergeCell ref="Q68:R68"/>
    <mergeCell ref="X68:Y68"/>
    <mergeCell ref="AE68:AF68"/>
    <mergeCell ref="C67:D67"/>
    <mergeCell ref="Q67:R67"/>
    <mergeCell ref="X67:Y67"/>
    <mergeCell ref="AE67:AF67"/>
    <mergeCell ref="C60:E60"/>
    <mergeCell ref="Q60:S60"/>
    <mergeCell ref="X60:Z60"/>
    <mergeCell ref="AE60:AG60"/>
    <mergeCell ref="C59:E59"/>
    <mergeCell ref="Q59:S59"/>
    <mergeCell ref="X59:Z59"/>
    <mergeCell ref="AE59:AG59"/>
    <mergeCell ref="C57:D57"/>
    <mergeCell ref="J57:K57"/>
    <mergeCell ref="Q57:R57"/>
    <mergeCell ref="X57:Y57"/>
    <mergeCell ref="AE57:AF57"/>
    <mergeCell ref="AL57:AM57"/>
    <mergeCell ref="C56:D56"/>
    <mergeCell ref="J56:K56"/>
    <mergeCell ref="Q56:R56"/>
    <mergeCell ref="X56:Y56"/>
    <mergeCell ref="AE56:AF56"/>
    <mergeCell ref="AL56:AM56"/>
    <mergeCell ref="C55:D55"/>
    <mergeCell ref="J55:K55"/>
    <mergeCell ref="Q55:R55"/>
    <mergeCell ref="X55:Y55"/>
    <mergeCell ref="AE55:AF55"/>
    <mergeCell ref="AL55:AM55"/>
    <mergeCell ref="C54:D54"/>
    <mergeCell ref="J54:K54"/>
    <mergeCell ref="Q54:R54"/>
    <mergeCell ref="X54:Y54"/>
    <mergeCell ref="AE54:AF54"/>
    <mergeCell ref="AL54:AM54"/>
    <mergeCell ref="C53:D53"/>
    <mergeCell ref="J53:K53"/>
    <mergeCell ref="Q53:R53"/>
    <mergeCell ref="X53:Y53"/>
    <mergeCell ref="AE53:AF53"/>
    <mergeCell ref="AL53:AM53"/>
    <mergeCell ref="C43:C52"/>
    <mergeCell ref="J43:J52"/>
    <mergeCell ref="Q43:Q52"/>
    <mergeCell ref="X43:X52"/>
    <mergeCell ref="AE43:AE52"/>
    <mergeCell ref="AL43:AL52"/>
    <mergeCell ref="C42:H42"/>
    <mergeCell ref="J42:O42"/>
    <mergeCell ref="Q42:V42"/>
    <mergeCell ref="X42:AC42"/>
    <mergeCell ref="AE42:AJ42"/>
    <mergeCell ref="AL42:AQ42"/>
    <mergeCell ref="C40:D40"/>
    <mergeCell ref="Q40:R40"/>
    <mergeCell ref="X40:Y40"/>
    <mergeCell ref="AE40:AF40"/>
    <mergeCell ref="AL40:AM40"/>
    <mergeCell ref="C39:D39"/>
    <mergeCell ref="Q39:R39"/>
    <mergeCell ref="X39:Y39"/>
    <mergeCell ref="AE39:AF39"/>
    <mergeCell ref="AL39:AM39"/>
    <mergeCell ref="C32:E32"/>
    <mergeCell ref="Q32:S32"/>
    <mergeCell ref="X32:Z32"/>
    <mergeCell ref="AE32:AG32"/>
    <mergeCell ref="AL32:AN32"/>
    <mergeCell ref="C31:E31"/>
    <mergeCell ref="Q31:S31"/>
    <mergeCell ref="X31:Z31"/>
    <mergeCell ref="AE31:AG31"/>
    <mergeCell ref="AL31:AN31"/>
    <mergeCell ref="C24:Q24"/>
    <mergeCell ref="AG26:AK28"/>
    <mergeCell ref="I27:W27"/>
    <mergeCell ref="X27:Z29"/>
    <mergeCell ref="C15:H15"/>
    <mergeCell ref="I15:W15"/>
    <mergeCell ref="X15:Z17"/>
    <mergeCell ref="C18:Q18"/>
    <mergeCell ref="R18:Z18"/>
    <mergeCell ref="C21:H21"/>
    <mergeCell ref="I21:W21"/>
    <mergeCell ref="X21:Z23"/>
    <mergeCell ref="C27:H29"/>
    <mergeCell ref="R24:Z26"/>
    <mergeCell ref="C6:Q6"/>
    <mergeCell ref="R6:Z6"/>
    <mergeCell ref="C9:H9"/>
    <mergeCell ref="I9:W9"/>
    <mergeCell ref="X9:Z11"/>
    <mergeCell ref="C12:Q12"/>
    <mergeCell ref="R12:Z12"/>
    <mergeCell ref="AH5:AL6"/>
    <mergeCell ref="AK7:AL7"/>
    <mergeCell ref="AK8:AL8"/>
    <mergeCell ref="AK9:AL9"/>
    <mergeCell ref="AK10:AL10"/>
    <mergeCell ref="AK11:AL11"/>
  </mergeCells>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M468 (R1)</vt:lpstr>
      <vt:lpstr>M468 (R2)</vt:lpstr>
      <vt:lpstr>M468 (R3)</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Jodie Malcolm</dc:creator>
  <cp:lastModifiedBy>Jodie Mason</cp:lastModifiedBy>
  <dcterms:created xsi:type="dcterms:W3CDTF">2023-07-11T07:42:53Z</dcterms:created>
  <dcterms:modified xsi:type="dcterms:W3CDTF">2024-12-30T00:56:39Z</dcterms:modified>
</cp:coreProperties>
</file>