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wb554/Downloads/"/>
    </mc:Choice>
  </mc:AlternateContent>
  <xr:revisionPtr revIDLastSave="0" documentId="13_ncr:1_{7A308A65-A511-8842-BBE8-07CE58668A89}" xr6:coauthVersionLast="47" xr6:coauthVersionMax="47" xr10:uidLastSave="{00000000-0000-0000-0000-000000000000}"/>
  <bookViews>
    <workbookView xWindow="6180" yWindow="500" windowWidth="21060" windowHeight="15580" xr2:uid="{A55148EB-0761-401F-A6F4-B90678A96BA9}"/>
  </bookViews>
  <sheets>
    <sheet name="T47D (R1)" sheetId="1" r:id="rId1"/>
    <sheet name="T47D (R2)" sheetId="2" r:id="rId2"/>
    <sheet name="T47D (R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9" i="1" l="1"/>
  <c r="L40" i="1" s="1"/>
  <c r="AG67" i="3" l="1"/>
  <c r="Z67" i="3"/>
  <c r="S67" i="3"/>
  <c r="L67" i="3"/>
  <c r="E67" i="3"/>
  <c r="AN39" i="3"/>
  <c r="AG39" i="3"/>
  <c r="Z39" i="3"/>
  <c r="S39" i="3"/>
  <c r="L39" i="3"/>
  <c r="E39" i="3"/>
  <c r="AG67" i="2"/>
  <c r="Z67" i="2"/>
  <c r="S67" i="2"/>
  <c r="L67" i="2"/>
  <c r="E67" i="2"/>
  <c r="AN39" i="2"/>
  <c r="AG39" i="2"/>
  <c r="Z39" i="2"/>
  <c r="S39" i="2"/>
  <c r="L39" i="2"/>
  <c r="E39" i="2"/>
  <c r="S65" i="2" l="1"/>
  <c r="L65" i="2"/>
  <c r="AG81" i="3"/>
  <c r="AH81" i="3" s="1"/>
  <c r="Z81" i="3"/>
  <c r="AA81" i="3" s="1"/>
  <c r="S81" i="3"/>
  <c r="T81" i="3" s="1"/>
  <c r="L81" i="3"/>
  <c r="M81" i="3" s="1"/>
  <c r="E81" i="3"/>
  <c r="F81" i="3" s="1"/>
  <c r="AG80" i="3"/>
  <c r="AH80" i="3" s="1"/>
  <c r="Z80" i="3"/>
  <c r="AA80" i="3" s="1"/>
  <c r="S80" i="3"/>
  <c r="T80" i="3" s="1"/>
  <c r="L80" i="3"/>
  <c r="M80" i="3" s="1"/>
  <c r="E80" i="3"/>
  <c r="F80" i="3" s="1"/>
  <c r="AG79" i="3"/>
  <c r="AH79" i="3" s="1"/>
  <c r="Z79" i="3"/>
  <c r="AA79" i="3" s="1"/>
  <c r="S79" i="3"/>
  <c r="T79" i="3" s="1"/>
  <c r="L79" i="3"/>
  <c r="M79" i="3" s="1"/>
  <c r="E79" i="3"/>
  <c r="F79" i="3" s="1"/>
  <c r="AG78" i="3"/>
  <c r="AH78" i="3" s="1"/>
  <c r="Z78" i="3"/>
  <c r="AA78" i="3" s="1"/>
  <c r="S78" i="3"/>
  <c r="T78" i="3" s="1"/>
  <c r="L78" i="3"/>
  <c r="M78" i="3" s="1"/>
  <c r="E78" i="3"/>
  <c r="F78" i="3" s="1"/>
  <c r="AG77" i="3"/>
  <c r="AH77" i="3" s="1"/>
  <c r="Z77" i="3"/>
  <c r="AA77" i="3" s="1"/>
  <c r="S77" i="3"/>
  <c r="T77" i="3" s="1"/>
  <c r="L77" i="3"/>
  <c r="M77" i="3" s="1"/>
  <c r="E77" i="3"/>
  <c r="F77" i="3" s="1"/>
  <c r="AG76" i="3"/>
  <c r="AH76" i="3" s="1"/>
  <c r="Z76" i="3"/>
  <c r="AA76" i="3" s="1"/>
  <c r="S76" i="3"/>
  <c r="T76" i="3" s="1"/>
  <c r="L76" i="3"/>
  <c r="M76" i="3" s="1"/>
  <c r="E76" i="3"/>
  <c r="F76" i="3" s="1"/>
  <c r="AG75" i="3"/>
  <c r="AH75" i="3" s="1"/>
  <c r="Z75" i="3"/>
  <c r="AA75" i="3" s="1"/>
  <c r="S75" i="3"/>
  <c r="T75" i="3" s="1"/>
  <c r="L75" i="3"/>
  <c r="M75" i="3" s="1"/>
  <c r="E75" i="3"/>
  <c r="F75" i="3" s="1"/>
  <c r="AG74" i="3"/>
  <c r="AH74" i="3" s="1"/>
  <c r="Z74" i="3"/>
  <c r="AA74" i="3" s="1"/>
  <c r="S74" i="3"/>
  <c r="T74" i="3" s="1"/>
  <c r="L74" i="3"/>
  <c r="E74" i="3"/>
  <c r="F74" i="3" s="1"/>
  <c r="AG73" i="3"/>
  <c r="AH73" i="3" s="1"/>
  <c r="Z73" i="3"/>
  <c r="AA73" i="3" s="1"/>
  <c r="S73" i="3"/>
  <c r="T73" i="3" s="1"/>
  <c r="L73" i="3"/>
  <c r="M73" i="3" s="1"/>
  <c r="E73" i="3"/>
  <c r="F73" i="3" s="1"/>
  <c r="AG72" i="3"/>
  <c r="Z72" i="3"/>
  <c r="S72" i="3"/>
  <c r="T72" i="3" s="1"/>
  <c r="L72" i="3"/>
  <c r="M72" i="3" s="1"/>
  <c r="E72" i="3"/>
  <c r="F72" i="3" s="1"/>
  <c r="AG68" i="3"/>
  <c r="L68" i="3"/>
  <c r="E68" i="3"/>
  <c r="Z68" i="3"/>
  <c r="S68" i="3"/>
  <c r="U73" i="3" s="1"/>
  <c r="V73" i="3" s="1"/>
  <c r="AG66" i="3"/>
  <c r="AF66" i="3"/>
  <c r="Z66" i="3"/>
  <c r="Y66" i="3"/>
  <c r="S66" i="3"/>
  <c r="R66" i="3"/>
  <c r="L66" i="3"/>
  <c r="K66" i="3"/>
  <c r="E66" i="3"/>
  <c r="D66" i="3"/>
  <c r="AG65" i="3"/>
  <c r="AF65" i="3"/>
  <c r="Z65" i="3"/>
  <c r="Y65" i="3"/>
  <c r="S65" i="3"/>
  <c r="R65" i="3"/>
  <c r="L65" i="3"/>
  <c r="K65" i="3"/>
  <c r="E65" i="3"/>
  <c r="D65" i="3"/>
  <c r="AG64" i="3"/>
  <c r="AF64" i="3"/>
  <c r="Z64" i="3"/>
  <c r="Y64" i="3"/>
  <c r="S64" i="3"/>
  <c r="R64" i="3"/>
  <c r="L64" i="3"/>
  <c r="K64" i="3"/>
  <c r="E64" i="3"/>
  <c r="D64" i="3"/>
  <c r="AG63" i="3"/>
  <c r="AF63" i="3"/>
  <c r="Z63" i="3"/>
  <c r="Y63" i="3"/>
  <c r="S63" i="3"/>
  <c r="R63" i="3"/>
  <c r="L63" i="3"/>
  <c r="K63" i="3"/>
  <c r="E63" i="3"/>
  <c r="D63" i="3"/>
  <c r="AG62" i="3"/>
  <c r="AF62" i="3"/>
  <c r="Z62" i="3"/>
  <c r="Y62" i="3"/>
  <c r="S62" i="3"/>
  <c r="R62" i="3"/>
  <c r="L62" i="3"/>
  <c r="K62" i="3"/>
  <c r="E62" i="3"/>
  <c r="D62" i="3"/>
  <c r="AN53" i="3"/>
  <c r="AG53" i="3"/>
  <c r="AH53" i="3" s="1"/>
  <c r="Z53" i="3"/>
  <c r="AA53" i="3" s="1"/>
  <c r="S53" i="3"/>
  <c r="T53" i="3" s="1"/>
  <c r="L53" i="3"/>
  <c r="E53" i="3"/>
  <c r="F53" i="3" s="1"/>
  <c r="AN52" i="3"/>
  <c r="AO52" i="3" s="1"/>
  <c r="AG52" i="3"/>
  <c r="AH52" i="3" s="1"/>
  <c r="Z52" i="3"/>
  <c r="AA52" i="3" s="1"/>
  <c r="S52" i="3"/>
  <c r="T52" i="3" s="1"/>
  <c r="L52" i="3"/>
  <c r="M52" i="3" s="1"/>
  <c r="E52" i="3"/>
  <c r="F52" i="3" s="1"/>
  <c r="AN51" i="3"/>
  <c r="AG51" i="3"/>
  <c r="AH51" i="3" s="1"/>
  <c r="Z51" i="3"/>
  <c r="AA51" i="3" s="1"/>
  <c r="S51" i="3"/>
  <c r="T51" i="3" s="1"/>
  <c r="L51" i="3"/>
  <c r="E51" i="3"/>
  <c r="F51" i="3" s="1"/>
  <c r="AN50" i="3"/>
  <c r="AO50" i="3" s="1"/>
  <c r="AG50" i="3"/>
  <c r="AH50" i="3" s="1"/>
  <c r="Z50" i="3"/>
  <c r="AA50" i="3" s="1"/>
  <c r="S50" i="3"/>
  <c r="T50" i="3" s="1"/>
  <c r="L50" i="3"/>
  <c r="M50" i="3" s="1"/>
  <c r="E50" i="3"/>
  <c r="F50" i="3" s="1"/>
  <c r="AN49" i="3"/>
  <c r="AO49" i="3" s="1"/>
  <c r="AG49" i="3"/>
  <c r="AH49" i="3" s="1"/>
  <c r="Z49" i="3"/>
  <c r="AA49" i="3" s="1"/>
  <c r="S49" i="3"/>
  <c r="T49" i="3" s="1"/>
  <c r="L49" i="3"/>
  <c r="M49" i="3" s="1"/>
  <c r="E49" i="3"/>
  <c r="F49" i="3" s="1"/>
  <c r="AN48" i="3"/>
  <c r="AG48" i="3"/>
  <c r="AH48" i="3" s="1"/>
  <c r="Z48" i="3"/>
  <c r="AA48" i="3" s="1"/>
  <c r="S48" i="3"/>
  <c r="T48" i="3" s="1"/>
  <c r="L48" i="3"/>
  <c r="M48" i="3" s="1"/>
  <c r="E48" i="3"/>
  <c r="F48" i="3" s="1"/>
  <c r="AN47" i="3"/>
  <c r="AG47" i="3"/>
  <c r="Z47" i="3"/>
  <c r="AA47" i="3" s="1"/>
  <c r="S47" i="3"/>
  <c r="T47" i="3" s="1"/>
  <c r="L47" i="3"/>
  <c r="M47" i="3" s="1"/>
  <c r="E47" i="3"/>
  <c r="F47" i="3" s="1"/>
  <c r="AN46" i="3"/>
  <c r="AO46" i="3" s="1"/>
  <c r="AG46" i="3"/>
  <c r="AH46" i="3" s="1"/>
  <c r="Z46" i="3"/>
  <c r="AA46" i="3" s="1"/>
  <c r="S46" i="3"/>
  <c r="T46" i="3" s="1"/>
  <c r="L46" i="3"/>
  <c r="M46" i="3" s="1"/>
  <c r="E46" i="3"/>
  <c r="AN45" i="3"/>
  <c r="AG45" i="3"/>
  <c r="AH45" i="3" s="1"/>
  <c r="Z45" i="3"/>
  <c r="AA45" i="3" s="1"/>
  <c r="S45" i="3"/>
  <c r="T45" i="3" s="1"/>
  <c r="L45" i="3"/>
  <c r="M45" i="3" s="1"/>
  <c r="E45" i="3"/>
  <c r="F45" i="3" s="1"/>
  <c r="AN44" i="3"/>
  <c r="AO44" i="3" s="1"/>
  <c r="AG44" i="3"/>
  <c r="Z44" i="3"/>
  <c r="AA44" i="3" s="1"/>
  <c r="S44" i="3"/>
  <c r="T44" i="3" s="1"/>
  <c r="L44" i="3"/>
  <c r="M44" i="3" s="1"/>
  <c r="E44" i="3"/>
  <c r="F44" i="3" s="1"/>
  <c r="AN40" i="3"/>
  <c r="AG40" i="3"/>
  <c r="AI49" i="3" s="1"/>
  <c r="AJ49" i="3" s="1"/>
  <c r="L40" i="3"/>
  <c r="E40" i="3"/>
  <c r="Z40" i="3"/>
  <c r="S40" i="3"/>
  <c r="AN38" i="3"/>
  <c r="AM38" i="3"/>
  <c r="AG38" i="3"/>
  <c r="AF38" i="3"/>
  <c r="Z38" i="3"/>
  <c r="Y38" i="3"/>
  <c r="S38" i="3"/>
  <c r="R38" i="3"/>
  <c r="L38" i="3"/>
  <c r="K38" i="3"/>
  <c r="E38" i="3"/>
  <c r="D38" i="3"/>
  <c r="AN37" i="3"/>
  <c r="AM37" i="3"/>
  <c r="AG37" i="3"/>
  <c r="AF37" i="3"/>
  <c r="Z37" i="3"/>
  <c r="Y37" i="3"/>
  <c r="S37" i="3"/>
  <c r="R37" i="3"/>
  <c r="L37" i="3"/>
  <c r="K37" i="3"/>
  <c r="E37" i="3"/>
  <c r="D37" i="3"/>
  <c r="AN36" i="3"/>
  <c r="AM36" i="3"/>
  <c r="AG36" i="3"/>
  <c r="AF36" i="3"/>
  <c r="Z36" i="3"/>
  <c r="Y36" i="3"/>
  <c r="S36" i="3"/>
  <c r="R36" i="3"/>
  <c r="L36" i="3"/>
  <c r="K36" i="3"/>
  <c r="E36" i="3"/>
  <c r="D36" i="3"/>
  <c r="AN35" i="3"/>
  <c r="AM35" i="3"/>
  <c r="AG35" i="3"/>
  <c r="AF35" i="3"/>
  <c r="Z35" i="3"/>
  <c r="Y35" i="3"/>
  <c r="S35" i="3"/>
  <c r="R35" i="3"/>
  <c r="L35" i="3"/>
  <c r="K35" i="3"/>
  <c r="E35" i="3"/>
  <c r="D35" i="3"/>
  <c r="AN34" i="3"/>
  <c r="AM34" i="3"/>
  <c r="AG34" i="3"/>
  <c r="AF34" i="3"/>
  <c r="Z34" i="3"/>
  <c r="Y34" i="3"/>
  <c r="S34" i="3"/>
  <c r="R34" i="3"/>
  <c r="L34" i="3"/>
  <c r="K34" i="3"/>
  <c r="E34" i="3"/>
  <c r="D34" i="3"/>
  <c r="AG81" i="2"/>
  <c r="AH81" i="2" s="1"/>
  <c r="Z81" i="2"/>
  <c r="AA81" i="2" s="1"/>
  <c r="S81" i="2"/>
  <c r="T81" i="2" s="1"/>
  <c r="L81" i="2"/>
  <c r="M81" i="2" s="1"/>
  <c r="E81" i="2"/>
  <c r="F81" i="2" s="1"/>
  <c r="AG80" i="2"/>
  <c r="AH80" i="2" s="1"/>
  <c r="Z80" i="2"/>
  <c r="AA80" i="2" s="1"/>
  <c r="S80" i="2"/>
  <c r="T80" i="2" s="1"/>
  <c r="L80" i="2"/>
  <c r="M80" i="2" s="1"/>
  <c r="E80" i="2"/>
  <c r="F80" i="2" s="1"/>
  <c r="AG79" i="2"/>
  <c r="AH79" i="2" s="1"/>
  <c r="Z79" i="2"/>
  <c r="AA79" i="2" s="1"/>
  <c r="S79" i="2"/>
  <c r="T79" i="2" s="1"/>
  <c r="L79" i="2"/>
  <c r="M79" i="2" s="1"/>
  <c r="E79" i="2"/>
  <c r="F79" i="2" s="1"/>
  <c r="AG78" i="2"/>
  <c r="AH78" i="2" s="1"/>
  <c r="Z78" i="2"/>
  <c r="AA78" i="2" s="1"/>
  <c r="S78" i="2"/>
  <c r="T78" i="2" s="1"/>
  <c r="L78" i="2"/>
  <c r="M78" i="2" s="1"/>
  <c r="E78" i="2"/>
  <c r="F78" i="2" s="1"/>
  <c r="AG77" i="2"/>
  <c r="AH77" i="2" s="1"/>
  <c r="Z77" i="2"/>
  <c r="AA77" i="2" s="1"/>
  <c r="S77" i="2"/>
  <c r="T77" i="2" s="1"/>
  <c r="L77" i="2"/>
  <c r="M77" i="2" s="1"/>
  <c r="E77" i="2"/>
  <c r="F77" i="2" s="1"/>
  <c r="AG76" i="2"/>
  <c r="AH76" i="2" s="1"/>
  <c r="Z76" i="2"/>
  <c r="AA76" i="2" s="1"/>
  <c r="S76" i="2"/>
  <c r="T76" i="2" s="1"/>
  <c r="L76" i="2"/>
  <c r="M76" i="2" s="1"/>
  <c r="E76" i="2"/>
  <c r="F76" i="2" s="1"/>
  <c r="AG75" i="2"/>
  <c r="AH75" i="2" s="1"/>
  <c r="Z75" i="2"/>
  <c r="AA75" i="2" s="1"/>
  <c r="S75" i="2"/>
  <c r="T75" i="2" s="1"/>
  <c r="L75" i="2"/>
  <c r="M75" i="2" s="1"/>
  <c r="E75" i="2"/>
  <c r="F75" i="2" s="1"/>
  <c r="AG74" i="2"/>
  <c r="AH74" i="2" s="1"/>
  <c r="Z74" i="2"/>
  <c r="AA74" i="2" s="1"/>
  <c r="S74" i="2"/>
  <c r="T74" i="2" s="1"/>
  <c r="L74" i="2"/>
  <c r="M74" i="2" s="1"/>
  <c r="E74" i="2"/>
  <c r="F74" i="2" s="1"/>
  <c r="AG73" i="2"/>
  <c r="AH73" i="2" s="1"/>
  <c r="Z73" i="2"/>
  <c r="AA73" i="2" s="1"/>
  <c r="S73" i="2"/>
  <c r="T73" i="2" s="1"/>
  <c r="L73" i="2"/>
  <c r="M73" i="2" s="1"/>
  <c r="E73" i="2"/>
  <c r="F73" i="2" s="1"/>
  <c r="AG72" i="2"/>
  <c r="AH72" i="2" s="1"/>
  <c r="Z72" i="2"/>
  <c r="AA72" i="2" s="1"/>
  <c r="S72" i="2"/>
  <c r="T72" i="2" s="1"/>
  <c r="L72" i="2"/>
  <c r="M72" i="2" s="1"/>
  <c r="E72" i="2"/>
  <c r="F72" i="2" s="1"/>
  <c r="AG68" i="2"/>
  <c r="Z68" i="2"/>
  <c r="S68" i="2"/>
  <c r="L68" i="2"/>
  <c r="E68" i="2"/>
  <c r="AG66" i="2"/>
  <c r="AF66" i="2"/>
  <c r="Z66" i="2"/>
  <c r="Y66" i="2"/>
  <c r="S66" i="2"/>
  <c r="R66" i="2"/>
  <c r="L66" i="2"/>
  <c r="K66" i="2"/>
  <c r="E66" i="2"/>
  <c r="D66" i="2"/>
  <c r="AG65" i="2"/>
  <c r="AF65" i="2"/>
  <c r="Z65" i="2"/>
  <c r="Y65" i="2"/>
  <c r="R65" i="2"/>
  <c r="K65" i="2"/>
  <c r="E65" i="2"/>
  <c r="D65" i="2"/>
  <c r="AG64" i="2"/>
  <c r="AF64" i="2"/>
  <c r="Z64" i="2"/>
  <c r="Y64" i="2"/>
  <c r="S64" i="2"/>
  <c r="R64" i="2"/>
  <c r="L64" i="2"/>
  <c r="K64" i="2"/>
  <c r="E64" i="2"/>
  <c r="D64" i="2"/>
  <c r="AG63" i="2"/>
  <c r="AF63" i="2"/>
  <c r="Z63" i="2"/>
  <c r="Y63" i="2"/>
  <c r="S63" i="2"/>
  <c r="R63" i="2"/>
  <c r="L63" i="2"/>
  <c r="K63" i="2"/>
  <c r="E63" i="2"/>
  <c r="D63" i="2"/>
  <c r="AG62" i="2"/>
  <c r="AF62" i="2"/>
  <c r="Z62" i="2"/>
  <c r="Y62" i="2"/>
  <c r="S62" i="2"/>
  <c r="R62" i="2"/>
  <c r="L62" i="2"/>
  <c r="K62" i="2"/>
  <c r="E62" i="2"/>
  <c r="D62" i="2"/>
  <c r="AN53" i="2"/>
  <c r="AO53" i="2" s="1"/>
  <c r="AG53" i="2"/>
  <c r="AH53" i="2" s="1"/>
  <c r="Z53" i="2"/>
  <c r="AA53" i="2" s="1"/>
  <c r="S53" i="2"/>
  <c r="T53" i="2" s="1"/>
  <c r="L53" i="2"/>
  <c r="M53" i="2" s="1"/>
  <c r="E53" i="2"/>
  <c r="F53" i="2" s="1"/>
  <c r="AN52" i="2"/>
  <c r="AO52" i="2" s="1"/>
  <c r="AG52" i="2"/>
  <c r="AH52" i="2" s="1"/>
  <c r="Z52" i="2"/>
  <c r="AA52" i="2" s="1"/>
  <c r="S52" i="2"/>
  <c r="T52" i="2" s="1"/>
  <c r="L52" i="2"/>
  <c r="M52" i="2" s="1"/>
  <c r="E52" i="2"/>
  <c r="F52" i="2" s="1"/>
  <c r="AN51" i="2"/>
  <c r="AO51" i="2" s="1"/>
  <c r="AG51" i="2"/>
  <c r="AH51" i="2" s="1"/>
  <c r="Z51" i="2"/>
  <c r="AA51" i="2" s="1"/>
  <c r="S51" i="2"/>
  <c r="T51" i="2" s="1"/>
  <c r="L51" i="2"/>
  <c r="M51" i="2" s="1"/>
  <c r="E51" i="2"/>
  <c r="F51" i="2" s="1"/>
  <c r="AN50" i="2"/>
  <c r="AO50" i="2" s="1"/>
  <c r="AG50" i="2"/>
  <c r="AH50" i="2" s="1"/>
  <c r="Z50" i="2"/>
  <c r="AA50" i="2" s="1"/>
  <c r="S50" i="2"/>
  <c r="T50" i="2" s="1"/>
  <c r="L50" i="2"/>
  <c r="M50" i="2" s="1"/>
  <c r="E50" i="2"/>
  <c r="F50" i="2" s="1"/>
  <c r="AN49" i="2"/>
  <c r="AO49" i="2" s="1"/>
  <c r="AG49" i="2"/>
  <c r="AH49" i="2" s="1"/>
  <c r="Z49" i="2"/>
  <c r="AA49" i="2" s="1"/>
  <c r="S49" i="2"/>
  <c r="T49" i="2" s="1"/>
  <c r="L49" i="2"/>
  <c r="M49" i="2" s="1"/>
  <c r="E49" i="2"/>
  <c r="F49" i="2" s="1"/>
  <c r="AN48" i="2"/>
  <c r="AO48" i="2" s="1"/>
  <c r="AG48" i="2"/>
  <c r="AH48" i="2" s="1"/>
  <c r="Z48" i="2"/>
  <c r="AA48" i="2" s="1"/>
  <c r="S48" i="2"/>
  <c r="T48" i="2" s="1"/>
  <c r="L48" i="2"/>
  <c r="M48" i="2" s="1"/>
  <c r="E48" i="2"/>
  <c r="F48" i="2" s="1"/>
  <c r="AN47" i="2"/>
  <c r="AO47" i="2" s="1"/>
  <c r="AG47" i="2"/>
  <c r="AH47" i="2" s="1"/>
  <c r="Z47" i="2"/>
  <c r="AA47" i="2" s="1"/>
  <c r="S47" i="2"/>
  <c r="T47" i="2" s="1"/>
  <c r="L47" i="2"/>
  <c r="M47" i="2" s="1"/>
  <c r="E47" i="2"/>
  <c r="F47" i="2" s="1"/>
  <c r="AN46" i="2"/>
  <c r="AO46" i="2" s="1"/>
  <c r="AG46" i="2"/>
  <c r="AH46" i="2" s="1"/>
  <c r="Z46" i="2"/>
  <c r="AA46" i="2" s="1"/>
  <c r="S46" i="2"/>
  <c r="T46" i="2" s="1"/>
  <c r="L46" i="2"/>
  <c r="M46" i="2" s="1"/>
  <c r="E46" i="2"/>
  <c r="F46" i="2" s="1"/>
  <c r="AN45" i="2"/>
  <c r="AO45" i="2" s="1"/>
  <c r="AG45" i="2"/>
  <c r="AH45" i="2" s="1"/>
  <c r="Z45" i="2"/>
  <c r="AA45" i="2" s="1"/>
  <c r="S45" i="2"/>
  <c r="T45" i="2" s="1"/>
  <c r="L45" i="2"/>
  <c r="M45" i="2" s="1"/>
  <c r="E45" i="2"/>
  <c r="F45" i="2" s="1"/>
  <c r="AN44" i="2"/>
  <c r="AO44" i="2" s="1"/>
  <c r="AG44" i="2"/>
  <c r="AH44" i="2" s="1"/>
  <c r="Z44" i="2"/>
  <c r="AA44" i="2" s="1"/>
  <c r="S44" i="2"/>
  <c r="T44" i="2" s="1"/>
  <c r="L44" i="2"/>
  <c r="M44" i="2" s="1"/>
  <c r="E44" i="2"/>
  <c r="F44" i="2" s="1"/>
  <c r="AN40" i="2"/>
  <c r="AP53" i="2" s="1"/>
  <c r="AQ53" i="2" s="1"/>
  <c r="AG40" i="2"/>
  <c r="AI53" i="2" s="1"/>
  <c r="AJ53" i="2" s="1"/>
  <c r="Z40" i="2"/>
  <c r="S40" i="2"/>
  <c r="L40" i="2"/>
  <c r="E40" i="2"/>
  <c r="AN38" i="2"/>
  <c r="AM38" i="2"/>
  <c r="AG38" i="2"/>
  <c r="AF38" i="2"/>
  <c r="Z38" i="2"/>
  <c r="Y38" i="2"/>
  <c r="S38" i="2"/>
  <c r="R38" i="2"/>
  <c r="L38" i="2"/>
  <c r="K38" i="2"/>
  <c r="E38" i="2"/>
  <c r="D38" i="2"/>
  <c r="AN37" i="2"/>
  <c r="AM37" i="2"/>
  <c r="AG37" i="2"/>
  <c r="AF37" i="2"/>
  <c r="Z37" i="2"/>
  <c r="Y37" i="2"/>
  <c r="S37" i="2"/>
  <c r="R37" i="2"/>
  <c r="L37" i="2"/>
  <c r="K37" i="2"/>
  <c r="E37" i="2"/>
  <c r="D37" i="2"/>
  <c r="AN36" i="2"/>
  <c r="AM36" i="2"/>
  <c r="AG36" i="2"/>
  <c r="AF36" i="2"/>
  <c r="Z36" i="2"/>
  <c r="Y36" i="2"/>
  <c r="S36" i="2"/>
  <c r="R36" i="2"/>
  <c r="L36" i="2"/>
  <c r="K36" i="2"/>
  <c r="E36" i="2"/>
  <c r="D36" i="2"/>
  <c r="AN35" i="2"/>
  <c r="AM35" i="2"/>
  <c r="AG35" i="2"/>
  <c r="AF35" i="2"/>
  <c r="Z35" i="2"/>
  <c r="Y35" i="2"/>
  <c r="S35" i="2"/>
  <c r="R35" i="2"/>
  <c r="L35" i="2"/>
  <c r="K35" i="2"/>
  <c r="E35" i="2"/>
  <c r="D35" i="2"/>
  <c r="AN34" i="2"/>
  <c r="AM34" i="2"/>
  <c r="AG34" i="2"/>
  <c r="AF34" i="2"/>
  <c r="Z34" i="2"/>
  <c r="Y34" i="2"/>
  <c r="S34" i="2"/>
  <c r="R34" i="2"/>
  <c r="L34" i="2"/>
  <c r="K34" i="2"/>
  <c r="E34" i="2"/>
  <c r="D34" i="2"/>
  <c r="G72" i="3" l="1"/>
  <c r="H72" i="3" s="1"/>
  <c r="N75" i="3"/>
  <c r="O75" i="3" s="1"/>
  <c r="G53" i="3"/>
  <c r="H53" i="3" s="1"/>
  <c r="N50" i="3"/>
  <c r="O50" i="3" s="1"/>
  <c r="AP49" i="3"/>
  <c r="AQ49" i="3" s="1"/>
  <c r="AP53" i="3"/>
  <c r="AQ53" i="3" s="1"/>
  <c r="AI75" i="3"/>
  <c r="AJ75" i="3" s="1"/>
  <c r="N81" i="2"/>
  <c r="O81" i="2" s="1"/>
  <c r="AG56" i="3"/>
  <c r="AG55" i="3" s="1"/>
  <c r="AH44" i="3"/>
  <c r="AG84" i="3"/>
  <c r="AG83" i="3" s="1"/>
  <c r="AH72" i="3"/>
  <c r="AH82" i="3" s="1"/>
  <c r="M74" i="3"/>
  <c r="N44" i="3"/>
  <c r="O44" i="3" s="1"/>
  <c r="AP48" i="3"/>
  <c r="AQ48" i="3" s="1"/>
  <c r="AO48" i="3"/>
  <c r="N51" i="3"/>
  <c r="O51" i="3" s="1"/>
  <c r="M51" i="3"/>
  <c r="M56" i="3" s="1"/>
  <c r="M55" i="3" s="1"/>
  <c r="AP51" i="3"/>
  <c r="AQ51" i="3" s="1"/>
  <c r="AO51" i="3"/>
  <c r="AP52" i="3"/>
  <c r="AQ52" i="3" s="1"/>
  <c r="AB76" i="3"/>
  <c r="AC76" i="3" s="1"/>
  <c r="AI72" i="3"/>
  <c r="AJ72" i="3" s="1"/>
  <c r="Z84" i="3"/>
  <c r="Z83" i="3" s="1"/>
  <c r="AA72" i="3"/>
  <c r="AA84" i="3" s="1"/>
  <c r="AI74" i="3"/>
  <c r="AJ74" i="3" s="1"/>
  <c r="N77" i="3"/>
  <c r="O77" i="3" s="1"/>
  <c r="AH82" i="2"/>
  <c r="AP46" i="3"/>
  <c r="AQ46" i="3" s="1"/>
  <c r="AH47" i="3"/>
  <c r="AB72" i="3"/>
  <c r="AC72" i="3" s="1"/>
  <c r="G46" i="3"/>
  <c r="H46" i="3" s="1"/>
  <c r="F46" i="3"/>
  <c r="F56" i="3" s="1"/>
  <c r="F55" i="3" s="1"/>
  <c r="N52" i="3"/>
  <c r="O52" i="3" s="1"/>
  <c r="G52" i="2"/>
  <c r="H52" i="2" s="1"/>
  <c r="AP45" i="3"/>
  <c r="AQ45" i="3" s="1"/>
  <c r="AO45" i="3"/>
  <c r="AP47" i="3"/>
  <c r="AQ47" i="3" s="1"/>
  <c r="AO47" i="3"/>
  <c r="N53" i="3"/>
  <c r="O53" i="3" s="1"/>
  <c r="M53" i="3"/>
  <c r="AI73" i="3"/>
  <c r="AJ73" i="3" s="1"/>
  <c r="AI76" i="3"/>
  <c r="AJ76" i="3" s="1"/>
  <c r="AI77" i="3"/>
  <c r="AJ77" i="3" s="1"/>
  <c r="AB74" i="3"/>
  <c r="AC74" i="3" s="1"/>
  <c r="U77" i="3"/>
  <c r="V77" i="3" s="1"/>
  <c r="U75" i="3"/>
  <c r="V75" i="3" s="1"/>
  <c r="N76" i="3"/>
  <c r="O76" i="3" s="1"/>
  <c r="N78" i="3"/>
  <c r="O78" i="3" s="1"/>
  <c r="G74" i="3"/>
  <c r="H74" i="3" s="1"/>
  <c r="AP50" i="3"/>
  <c r="AQ50" i="3" s="1"/>
  <c r="AI45" i="3"/>
  <c r="AJ45" i="3" s="1"/>
  <c r="AI51" i="3"/>
  <c r="AJ51" i="3" s="1"/>
  <c r="AI53" i="3"/>
  <c r="AJ53" i="3" s="1"/>
  <c r="N45" i="3"/>
  <c r="O45" i="3" s="1"/>
  <c r="N46" i="3"/>
  <c r="N48" i="3"/>
  <c r="O48" i="3" s="1"/>
  <c r="N49" i="3"/>
  <c r="O49" i="3" s="1"/>
  <c r="N47" i="3"/>
  <c r="O47" i="3" s="1"/>
  <c r="AG82" i="3"/>
  <c r="AG85" i="3" s="1"/>
  <c r="Z82" i="3"/>
  <c r="L82" i="3"/>
  <c r="U78" i="3"/>
  <c r="V78" i="3" s="1"/>
  <c r="S84" i="3"/>
  <c r="S83" i="3" s="1"/>
  <c r="T84" i="3"/>
  <c r="G78" i="3"/>
  <c r="H78" i="3" s="1"/>
  <c r="E84" i="3"/>
  <c r="E83" i="3" s="1"/>
  <c r="N73" i="3"/>
  <c r="O73" i="3" s="1"/>
  <c r="N74" i="3"/>
  <c r="O74" i="3" s="1"/>
  <c r="G76" i="3"/>
  <c r="H76" i="3" s="1"/>
  <c r="L84" i="3"/>
  <c r="N72" i="3"/>
  <c r="O72" i="3" s="1"/>
  <c r="AN56" i="3"/>
  <c r="AN55" i="3" s="1"/>
  <c r="AO53" i="3"/>
  <c r="AI52" i="3"/>
  <c r="AJ52" i="3" s="1"/>
  <c r="AP44" i="3"/>
  <c r="AI47" i="3"/>
  <c r="AJ47" i="3" s="1"/>
  <c r="AB52" i="3"/>
  <c r="AC52" i="3" s="1"/>
  <c r="AA56" i="3"/>
  <c r="AA55" i="3" s="1"/>
  <c r="Z56" i="3"/>
  <c r="Z55" i="3" s="1"/>
  <c r="T56" i="3"/>
  <c r="T55" i="3" s="1"/>
  <c r="U52" i="3"/>
  <c r="V52" i="3" s="1"/>
  <c r="S56" i="3"/>
  <c r="S55" i="3" s="1"/>
  <c r="E56" i="3"/>
  <c r="E55" i="3" s="1"/>
  <c r="L56" i="3"/>
  <c r="L55" i="3" s="1"/>
  <c r="U74" i="2"/>
  <c r="V74" i="2" s="1"/>
  <c r="G78" i="2"/>
  <c r="H78" i="2" s="1"/>
  <c r="N48" i="2"/>
  <c r="O48" i="2" s="1"/>
  <c r="N46" i="2"/>
  <c r="O46" i="2" s="1"/>
  <c r="G49" i="2"/>
  <c r="H49" i="2" s="1"/>
  <c r="AI49" i="2"/>
  <c r="AJ49" i="2" s="1"/>
  <c r="G51" i="2"/>
  <c r="H51" i="2" s="1"/>
  <c r="N52" i="2"/>
  <c r="O52" i="2" s="1"/>
  <c r="AP52" i="2"/>
  <c r="AQ52" i="2" s="1"/>
  <c r="U77" i="2"/>
  <c r="V77" i="2" s="1"/>
  <c r="U78" i="2"/>
  <c r="V78" i="2" s="1"/>
  <c r="U79" i="2"/>
  <c r="V79" i="2" s="1"/>
  <c r="AP49" i="2"/>
  <c r="AQ49" i="2" s="1"/>
  <c r="N51" i="2"/>
  <c r="O51" i="2" s="1"/>
  <c r="AI51" i="2"/>
  <c r="AJ51" i="2" s="1"/>
  <c r="G53" i="2"/>
  <c r="H53" i="2" s="1"/>
  <c r="AI47" i="2"/>
  <c r="AJ47" i="2" s="1"/>
  <c r="N50" i="2"/>
  <c r="O50" i="2" s="1"/>
  <c r="AP44" i="2"/>
  <c r="AQ44" i="2" s="1"/>
  <c r="N47" i="2"/>
  <c r="O47" i="2" s="1"/>
  <c r="AI81" i="2"/>
  <c r="AJ81" i="2" s="1"/>
  <c r="U75" i="2"/>
  <c r="V75" i="2" s="1"/>
  <c r="U76" i="2"/>
  <c r="V76" i="2" s="1"/>
  <c r="G74" i="2"/>
  <c r="H74" i="2" s="1"/>
  <c r="G76" i="2"/>
  <c r="H76" i="2" s="1"/>
  <c r="G80" i="2"/>
  <c r="H80" i="2" s="1"/>
  <c r="G72" i="2"/>
  <c r="H72" i="2" s="1"/>
  <c r="AP45" i="2"/>
  <c r="AQ45" i="2" s="1"/>
  <c r="AP48" i="2"/>
  <c r="AQ48" i="2" s="1"/>
  <c r="AP50" i="2"/>
  <c r="AQ50" i="2" s="1"/>
  <c r="N44" i="2"/>
  <c r="O44" i="2" s="1"/>
  <c r="U44" i="3"/>
  <c r="V44" i="3" s="1"/>
  <c r="U46" i="3"/>
  <c r="V46" i="3" s="1"/>
  <c r="G47" i="3"/>
  <c r="H47" i="3" s="1"/>
  <c r="U50" i="3"/>
  <c r="V50" i="3" s="1"/>
  <c r="G51" i="3"/>
  <c r="H51" i="3" s="1"/>
  <c r="AB45" i="3"/>
  <c r="AC45" i="3" s="1"/>
  <c r="AB51" i="3"/>
  <c r="AC51" i="3" s="1"/>
  <c r="G44" i="3"/>
  <c r="H44" i="3" s="1"/>
  <c r="AI44" i="3"/>
  <c r="AJ44" i="3" s="1"/>
  <c r="U45" i="3"/>
  <c r="V45" i="3" s="1"/>
  <c r="AI46" i="3"/>
  <c r="AJ46" i="3" s="1"/>
  <c r="U47" i="3"/>
  <c r="V47" i="3" s="1"/>
  <c r="G48" i="3"/>
  <c r="H48" i="3" s="1"/>
  <c r="AI48" i="3"/>
  <c r="AJ48" i="3" s="1"/>
  <c r="U49" i="3"/>
  <c r="V49" i="3" s="1"/>
  <c r="G50" i="3"/>
  <c r="H50" i="3" s="1"/>
  <c r="AI50" i="3"/>
  <c r="AJ50" i="3" s="1"/>
  <c r="U51" i="3"/>
  <c r="V51" i="3" s="1"/>
  <c r="G52" i="3"/>
  <c r="H52" i="3" s="1"/>
  <c r="U53" i="3"/>
  <c r="V53" i="3" s="1"/>
  <c r="U72" i="3"/>
  <c r="V72" i="3" s="1"/>
  <c r="G73" i="3"/>
  <c r="H73" i="3" s="1"/>
  <c r="U74" i="3"/>
  <c r="V74" i="3" s="1"/>
  <c r="G75" i="3"/>
  <c r="H75" i="3" s="1"/>
  <c r="U76" i="3"/>
  <c r="V76" i="3" s="1"/>
  <c r="G77" i="3"/>
  <c r="H77" i="3" s="1"/>
  <c r="G45" i="3"/>
  <c r="H45" i="3" s="1"/>
  <c r="U48" i="3"/>
  <c r="V48" i="3" s="1"/>
  <c r="G49" i="3"/>
  <c r="H49" i="3" s="1"/>
  <c r="AB47" i="3"/>
  <c r="AC47" i="3" s="1"/>
  <c r="AB49" i="3"/>
  <c r="AC49" i="3" s="1"/>
  <c r="AB53" i="3"/>
  <c r="AC53" i="3" s="1"/>
  <c r="AB44" i="3"/>
  <c r="AC44" i="3" s="1"/>
  <c r="AB46" i="3"/>
  <c r="AC46" i="3" s="1"/>
  <c r="AB48" i="3"/>
  <c r="AC48" i="3" s="1"/>
  <c r="AB50" i="3"/>
  <c r="AC50" i="3" s="1"/>
  <c r="AB78" i="3"/>
  <c r="AC78" i="3" s="1"/>
  <c r="AB77" i="3"/>
  <c r="AC77" i="3" s="1"/>
  <c r="AB73" i="3"/>
  <c r="AC73" i="3" s="1"/>
  <c r="AB75" i="3"/>
  <c r="AC75" i="3" s="1"/>
  <c r="AI78" i="3"/>
  <c r="AJ78" i="3" s="1"/>
  <c r="AB79" i="3"/>
  <c r="AC79" i="3" s="1"/>
  <c r="N80" i="3"/>
  <c r="O80" i="3" s="1"/>
  <c r="AI80" i="3"/>
  <c r="AJ80" i="3" s="1"/>
  <c r="AB81" i="3"/>
  <c r="AC81" i="3" s="1"/>
  <c r="E54" i="3"/>
  <c r="L54" i="3"/>
  <c r="S54" i="3"/>
  <c r="Z54" i="3"/>
  <c r="AG54" i="3"/>
  <c r="AN54" i="3"/>
  <c r="N79" i="3"/>
  <c r="O79" i="3" s="1"/>
  <c r="AI79" i="3"/>
  <c r="AJ79" i="3" s="1"/>
  <c r="AB80" i="3"/>
  <c r="AC80" i="3" s="1"/>
  <c r="N81" i="3"/>
  <c r="O81" i="3" s="1"/>
  <c r="AI81" i="3"/>
  <c r="AJ81" i="3" s="1"/>
  <c r="T54" i="3"/>
  <c r="AA54" i="3"/>
  <c r="G79" i="3"/>
  <c r="H79" i="3" s="1"/>
  <c r="F82" i="3"/>
  <c r="U79" i="3"/>
  <c r="V79" i="3" s="1"/>
  <c r="T82" i="3"/>
  <c r="G80" i="3"/>
  <c r="H80" i="3" s="1"/>
  <c r="F84" i="3"/>
  <c r="U80" i="3"/>
  <c r="V80" i="3" s="1"/>
  <c r="G81" i="3"/>
  <c r="H81" i="3" s="1"/>
  <c r="U81" i="3"/>
  <c r="V81" i="3" s="1"/>
  <c r="E82" i="3"/>
  <c r="S82" i="3"/>
  <c r="AB81" i="2"/>
  <c r="AC81" i="2" s="1"/>
  <c r="U72" i="2"/>
  <c r="V72" i="2" s="1"/>
  <c r="U73" i="2"/>
  <c r="V73" i="2" s="1"/>
  <c r="U80" i="2"/>
  <c r="V80" i="2" s="1"/>
  <c r="U81" i="2"/>
  <c r="V81" i="2" s="1"/>
  <c r="G73" i="2"/>
  <c r="H73" i="2" s="1"/>
  <c r="G77" i="2"/>
  <c r="H77" i="2" s="1"/>
  <c r="G81" i="2"/>
  <c r="H81" i="2" s="1"/>
  <c r="G75" i="2"/>
  <c r="H75" i="2" s="1"/>
  <c r="G79" i="2"/>
  <c r="H79" i="2" s="1"/>
  <c r="AP46" i="2"/>
  <c r="AQ46" i="2" s="1"/>
  <c r="N45" i="2"/>
  <c r="O45" i="2" s="1"/>
  <c r="AB49" i="2"/>
  <c r="AC49" i="2" s="1"/>
  <c r="AB46" i="2"/>
  <c r="AC46" i="2" s="1"/>
  <c r="AB45" i="2"/>
  <c r="AC45" i="2" s="1"/>
  <c r="AB53" i="2"/>
  <c r="AC53" i="2" s="1"/>
  <c r="AB51" i="2"/>
  <c r="AC51" i="2" s="1"/>
  <c r="AB47" i="2"/>
  <c r="AC47" i="2" s="1"/>
  <c r="AB44" i="2"/>
  <c r="AC44" i="2" s="1"/>
  <c r="U44" i="2"/>
  <c r="V44" i="2" s="1"/>
  <c r="U53" i="2"/>
  <c r="V53" i="2" s="1"/>
  <c r="U51" i="2"/>
  <c r="V51" i="2" s="1"/>
  <c r="U49" i="2"/>
  <c r="V49" i="2" s="1"/>
  <c r="U46" i="2"/>
  <c r="V46" i="2" s="1"/>
  <c r="U47" i="2"/>
  <c r="V47" i="2" s="1"/>
  <c r="U45" i="2"/>
  <c r="V45" i="2" s="1"/>
  <c r="U48" i="2"/>
  <c r="V48" i="2" s="1"/>
  <c r="U50" i="2"/>
  <c r="V50" i="2" s="1"/>
  <c r="U52" i="2"/>
  <c r="V52" i="2" s="1"/>
  <c r="AB52" i="2"/>
  <c r="AC52" i="2" s="1"/>
  <c r="AI45" i="2"/>
  <c r="AJ45" i="2" s="1"/>
  <c r="G46" i="2"/>
  <c r="H46" i="2" s="1"/>
  <c r="G44" i="2"/>
  <c r="H44" i="2" s="1"/>
  <c r="AI46" i="2"/>
  <c r="AJ46" i="2" s="1"/>
  <c r="G47" i="2"/>
  <c r="H47" i="2" s="1"/>
  <c r="AI50" i="2"/>
  <c r="AJ50" i="2" s="1"/>
  <c r="AA84" i="2"/>
  <c r="AA82" i="2"/>
  <c r="E56" i="2"/>
  <c r="E54" i="2"/>
  <c r="L56" i="2"/>
  <c r="L54" i="2"/>
  <c r="S56" i="2"/>
  <c r="S54" i="2"/>
  <c r="Z56" i="2"/>
  <c r="Z54" i="2"/>
  <c r="AG56" i="2"/>
  <c r="AG54" i="2"/>
  <c r="AN56" i="2"/>
  <c r="AN54" i="2"/>
  <c r="AP47" i="2"/>
  <c r="AQ47" i="2" s="1"/>
  <c r="AB48" i="2"/>
  <c r="AC48" i="2" s="1"/>
  <c r="N49" i="2"/>
  <c r="O49" i="2" s="1"/>
  <c r="AB50" i="2"/>
  <c r="AC50" i="2" s="1"/>
  <c r="AP51" i="2"/>
  <c r="AQ51" i="2" s="1"/>
  <c r="N53" i="2"/>
  <c r="O53" i="2" s="1"/>
  <c r="N72" i="2"/>
  <c r="O72" i="2" s="1"/>
  <c r="AB72" i="2"/>
  <c r="AC72" i="2" s="1"/>
  <c r="AI72" i="2"/>
  <c r="AJ72" i="2" s="1"/>
  <c r="N73" i="2"/>
  <c r="O73" i="2" s="1"/>
  <c r="AB73" i="2"/>
  <c r="AC73" i="2" s="1"/>
  <c r="AI73" i="2"/>
  <c r="AJ73" i="2" s="1"/>
  <c r="N74" i="2"/>
  <c r="O74" i="2" s="1"/>
  <c r="AB74" i="2"/>
  <c r="AC74" i="2" s="1"/>
  <c r="AI74" i="2"/>
  <c r="AJ74" i="2" s="1"/>
  <c r="N75" i="2"/>
  <c r="O75" i="2" s="1"/>
  <c r="AB75" i="2"/>
  <c r="AC75" i="2" s="1"/>
  <c r="AI75" i="2"/>
  <c r="AJ75" i="2" s="1"/>
  <c r="N76" i="2"/>
  <c r="O76" i="2" s="1"/>
  <c r="AB76" i="2"/>
  <c r="AC76" i="2" s="1"/>
  <c r="AI76" i="2"/>
  <c r="AJ76" i="2" s="1"/>
  <c r="N77" i="2"/>
  <c r="O77" i="2" s="1"/>
  <c r="AB77" i="2"/>
  <c r="AC77" i="2" s="1"/>
  <c r="AI77" i="2"/>
  <c r="AJ77" i="2" s="1"/>
  <c r="N78" i="2"/>
  <c r="O78" i="2" s="1"/>
  <c r="AB78" i="2"/>
  <c r="AC78" i="2" s="1"/>
  <c r="AI78" i="2"/>
  <c r="AJ78" i="2" s="1"/>
  <c r="N79" i="2"/>
  <c r="O79" i="2" s="1"/>
  <c r="AB79" i="2"/>
  <c r="AC79" i="2" s="1"/>
  <c r="AI79" i="2"/>
  <c r="AJ79" i="2" s="1"/>
  <c r="N80" i="2"/>
  <c r="O80" i="2" s="1"/>
  <c r="AB80" i="2"/>
  <c r="AC80" i="2" s="1"/>
  <c r="AI80" i="2"/>
  <c r="AJ80" i="2" s="1"/>
  <c r="AI44" i="2"/>
  <c r="AJ44" i="2" s="1"/>
  <c r="G45" i="2"/>
  <c r="H45" i="2" s="1"/>
  <c r="G48" i="2"/>
  <c r="H48" i="2" s="1"/>
  <c r="AI48" i="2"/>
  <c r="AJ48" i="2" s="1"/>
  <c r="G50" i="2"/>
  <c r="H50" i="2" s="1"/>
  <c r="AI52" i="2"/>
  <c r="AJ52" i="2" s="1"/>
  <c r="M84" i="2"/>
  <c r="M82" i="2"/>
  <c r="AH84" i="2"/>
  <c r="F84" i="2"/>
  <c r="F82" i="2"/>
  <c r="T84" i="2"/>
  <c r="T82" i="2"/>
  <c r="E82" i="2"/>
  <c r="L82" i="2"/>
  <c r="S82" i="2"/>
  <c r="Z82" i="2"/>
  <c r="AG82" i="2"/>
  <c r="E84" i="2"/>
  <c r="L84" i="2"/>
  <c r="S84" i="2"/>
  <c r="Z84" i="2"/>
  <c r="AG84" i="2"/>
  <c r="AH54" i="3" l="1"/>
  <c r="E85" i="3"/>
  <c r="E57" i="3"/>
  <c r="T57" i="3"/>
  <c r="AG57" i="3"/>
  <c r="AA82" i="3"/>
  <c r="AA85" i="3" s="1"/>
  <c r="S57" i="3"/>
  <c r="Z85" i="3"/>
  <c r="AO54" i="3"/>
  <c r="F54" i="3"/>
  <c r="F57" i="3" s="1"/>
  <c r="Z57" i="3"/>
  <c r="AP56" i="3"/>
  <c r="AP55" i="3" s="1"/>
  <c r="AQ44" i="3"/>
  <c r="AQ54" i="3" s="1"/>
  <c r="O46" i="3"/>
  <c r="O56" i="3" s="1"/>
  <c r="O55" i="3" s="1"/>
  <c r="O82" i="2"/>
  <c r="S85" i="3"/>
  <c r="AC54" i="2"/>
  <c r="AN57" i="3"/>
  <c r="AA57" i="3"/>
  <c r="N56" i="3"/>
  <c r="N54" i="3"/>
  <c r="AI82" i="3"/>
  <c r="AH84" i="3"/>
  <c r="AH85" i="3" s="1"/>
  <c r="AI84" i="3"/>
  <c r="AI83" i="3" s="1"/>
  <c r="AB82" i="3"/>
  <c r="AB84" i="3"/>
  <c r="AB83" i="3" s="1"/>
  <c r="N82" i="3"/>
  <c r="M84" i="3"/>
  <c r="M83" i="3" s="1"/>
  <c r="G82" i="3"/>
  <c r="M82" i="3"/>
  <c r="G84" i="3"/>
  <c r="G83" i="3" s="1"/>
  <c r="N84" i="3"/>
  <c r="L85" i="3"/>
  <c r="L83" i="3"/>
  <c r="AO56" i="3"/>
  <c r="AO55" i="3" s="1"/>
  <c r="AP54" i="3"/>
  <c r="AH56" i="3"/>
  <c r="AH55" i="3" s="1"/>
  <c r="M54" i="3"/>
  <c r="M57" i="3" s="1"/>
  <c r="L57" i="3"/>
  <c r="H82" i="2"/>
  <c r="V84" i="2"/>
  <c r="V83" i="2" s="1"/>
  <c r="AP54" i="2"/>
  <c r="T56" i="2"/>
  <c r="T55" i="2" s="1"/>
  <c r="V82" i="2"/>
  <c r="G82" i="2"/>
  <c r="M56" i="2"/>
  <c r="M55" i="2" s="1"/>
  <c r="H84" i="2"/>
  <c r="U84" i="2"/>
  <c r="U83" i="2" s="1"/>
  <c r="U82" i="2"/>
  <c r="G84" i="2"/>
  <c r="G83" i="2" s="1"/>
  <c r="AO56" i="2"/>
  <c r="AO55" i="2" s="1"/>
  <c r="AH56" i="2"/>
  <c r="AH55" i="2" s="1"/>
  <c r="T54" i="2"/>
  <c r="M54" i="2"/>
  <c r="O56" i="2"/>
  <c r="O54" i="2"/>
  <c r="N56" i="2"/>
  <c r="N55" i="2" s="1"/>
  <c r="F54" i="2"/>
  <c r="N54" i="2"/>
  <c r="AI56" i="3"/>
  <c r="AI54" i="3"/>
  <c r="AA83" i="3"/>
  <c r="O84" i="3"/>
  <c r="O82" i="3"/>
  <c r="H84" i="3"/>
  <c r="H82" i="3"/>
  <c r="U84" i="3"/>
  <c r="U82" i="3"/>
  <c r="G56" i="3"/>
  <c r="G54" i="3"/>
  <c r="U56" i="3"/>
  <c r="U54" i="3"/>
  <c r="AJ84" i="3"/>
  <c r="AJ82" i="3"/>
  <c r="AC84" i="3"/>
  <c r="AC82" i="3"/>
  <c r="T85" i="3"/>
  <c r="T83" i="3"/>
  <c r="F85" i="3"/>
  <c r="F83" i="3"/>
  <c r="AB56" i="3"/>
  <c r="AB54" i="3"/>
  <c r="G85" i="3"/>
  <c r="S57" i="2"/>
  <c r="S55" i="2"/>
  <c r="S85" i="2"/>
  <c r="S83" i="2"/>
  <c r="AH54" i="2"/>
  <c r="M85" i="2"/>
  <c r="M83" i="2"/>
  <c r="AA54" i="2"/>
  <c r="AA56" i="2"/>
  <c r="AB84" i="2"/>
  <c r="AB82" i="2"/>
  <c r="AQ56" i="2"/>
  <c r="AQ54" i="2"/>
  <c r="AO54" i="2"/>
  <c r="AO57" i="2" s="1"/>
  <c r="AB56" i="2"/>
  <c r="AB54" i="2"/>
  <c r="E57" i="2"/>
  <c r="E55" i="2"/>
  <c r="F56" i="2"/>
  <c r="AG85" i="2"/>
  <c r="AG83" i="2"/>
  <c r="L85" i="2"/>
  <c r="L83" i="2"/>
  <c r="T85" i="2"/>
  <c r="T83" i="2"/>
  <c r="AI56" i="2"/>
  <c r="AI54" i="2"/>
  <c r="N82" i="2"/>
  <c r="N84" i="2"/>
  <c r="AN57" i="2"/>
  <c r="AN55" i="2"/>
  <c r="Z57" i="2"/>
  <c r="Z55" i="2"/>
  <c r="L57" i="2"/>
  <c r="L55" i="2"/>
  <c r="G56" i="2"/>
  <c r="G54" i="2"/>
  <c r="U56" i="2"/>
  <c r="U54" i="2"/>
  <c r="Z85" i="2"/>
  <c r="Z83" i="2"/>
  <c r="F85" i="2"/>
  <c r="F83" i="2"/>
  <c r="AI84" i="2"/>
  <c r="AI82" i="2"/>
  <c r="AG57" i="2"/>
  <c r="AG55" i="2"/>
  <c r="AA85" i="2"/>
  <c r="AA83" i="2"/>
  <c r="E85" i="2"/>
  <c r="E83" i="2"/>
  <c r="AH85" i="2"/>
  <c r="AH83" i="2"/>
  <c r="AP56" i="2"/>
  <c r="AI85" i="3" l="1"/>
  <c r="AQ56" i="3"/>
  <c r="N85" i="3"/>
  <c r="N83" i="3"/>
  <c r="V85" i="2"/>
  <c r="N57" i="3"/>
  <c r="AP57" i="3"/>
  <c r="AB85" i="3"/>
  <c r="O54" i="3"/>
  <c r="O57" i="3" s="1"/>
  <c r="G85" i="2"/>
  <c r="AH83" i="3"/>
  <c r="M85" i="3"/>
  <c r="N55" i="3"/>
  <c r="AO57" i="3"/>
  <c r="AH57" i="3"/>
  <c r="AH57" i="2"/>
  <c r="M57" i="2"/>
  <c r="H85" i="2"/>
  <c r="U85" i="2"/>
  <c r="N57" i="2"/>
  <c r="O57" i="2"/>
  <c r="T57" i="2"/>
  <c r="H83" i="2"/>
  <c r="O55" i="2"/>
  <c r="H85" i="3"/>
  <c r="H83" i="3"/>
  <c r="AC85" i="3"/>
  <c r="AC83" i="3"/>
  <c r="U57" i="3"/>
  <c r="U55" i="3"/>
  <c r="AJ56" i="3"/>
  <c r="AJ54" i="3"/>
  <c r="AB57" i="3"/>
  <c r="AB55" i="3"/>
  <c r="V56" i="3"/>
  <c r="V54" i="3"/>
  <c r="G57" i="3"/>
  <c r="G55" i="3"/>
  <c r="U85" i="3"/>
  <c r="U83" i="3"/>
  <c r="O85" i="3"/>
  <c r="O83" i="3"/>
  <c r="V84" i="3"/>
  <c r="V82" i="3"/>
  <c r="AJ85" i="3"/>
  <c r="AJ83" i="3"/>
  <c r="AC56" i="3"/>
  <c r="AC54" i="3"/>
  <c r="H54" i="3"/>
  <c r="H56" i="3"/>
  <c r="AI57" i="3"/>
  <c r="AI55" i="3"/>
  <c r="G57" i="2"/>
  <c r="G55" i="2"/>
  <c r="F57" i="2"/>
  <c r="F55" i="2"/>
  <c r="V56" i="2"/>
  <c r="V54" i="2"/>
  <c r="O84" i="2"/>
  <c r="AC56" i="2"/>
  <c r="AC84" i="2"/>
  <c r="AC82" i="2"/>
  <c r="AP57" i="2"/>
  <c r="AP55" i="2"/>
  <c r="U57" i="2"/>
  <c r="U55" i="2"/>
  <c r="AB83" i="2"/>
  <c r="AB85" i="2"/>
  <c r="H56" i="2"/>
  <c r="H54" i="2"/>
  <c r="AQ57" i="2"/>
  <c r="AQ55" i="2"/>
  <c r="AA57" i="2"/>
  <c r="AA55" i="2"/>
  <c r="AJ84" i="2"/>
  <c r="AJ82" i="2"/>
  <c r="AJ56" i="2"/>
  <c r="AJ54" i="2"/>
  <c r="AI85" i="2"/>
  <c r="AI83" i="2"/>
  <c r="N85" i="2"/>
  <c r="N83" i="2"/>
  <c r="AI57" i="2"/>
  <c r="AI55" i="2"/>
  <c r="AB57" i="2"/>
  <c r="AB55" i="2"/>
  <c r="AQ55" i="3" l="1"/>
  <c r="AQ57" i="3"/>
  <c r="H57" i="3"/>
  <c r="H55" i="3"/>
  <c r="V85" i="3"/>
  <c r="V83" i="3"/>
  <c r="AJ57" i="3"/>
  <c r="AJ55" i="3"/>
  <c r="AC57" i="3"/>
  <c r="AC55" i="3"/>
  <c r="V57" i="3"/>
  <c r="V55" i="3"/>
  <c r="AC57" i="2"/>
  <c r="AC55" i="2"/>
  <c r="V57" i="2"/>
  <c r="V55" i="2"/>
  <c r="AJ85" i="2"/>
  <c r="AJ83" i="2"/>
  <c r="H57" i="2"/>
  <c r="H55" i="2"/>
  <c r="AC85" i="2"/>
  <c r="AC83" i="2"/>
  <c r="O85" i="2"/>
  <c r="O83" i="2"/>
  <c r="AJ57" i="2"/>
  <c r="AJ55" i="2"/>
  <c r="AG81" i="1"/>
  <c r="AH81" i="1" s="1"/>
  <c r="Z81" i="1"/>
  <c r="AA81" i="1" s="1"/>
  <c r="S81" i="1"/>
  <c r="T81" i="1" s="1"/>
  <c r="L81" i="1"/>
  <c r="M81" i="1" s="1"/>
  <c r="E81" i="1"/>
  <c r="F81" i="1" s="1"/>
  <c r="AG80" i="1"/>
  <c r="AH80" i="1" s="1"/>
  <c r="Z80" i="1"/>
  <c r="AA80" i="1" s="1"/>
  <c r="S80" i="1"/>
  <c r="T80" i="1" s="1"/>
  <c r="L80" i="1"/>
  <c r="M80" i="1" s="1"/>
  <c r="E80" i="1"/>
  <c r="F80" i="1" s="1"/>
  <c r="AG79" i="1"/>
  <c r="AH79" i="1" s="1"/>
  <c r="Z79" i="1"/>
  <c r="AA79" i="1" s="1"/>
  <c r="S79" i="1"/>
  <c r="T79" i="1" s="1"/>
  <c r="L79" i="1"/>
  <c r="M79" i="1" s="1"/>
  <c r="E79" i="1"/>
  <c r="F79" i="1" s="1"/>
  <c r="AG78" i="1"/>
  <c r="AH78" i="1" s="1"/>
  <c r="Z78" i="1"/>
  <c r="AA78" i="1" s="1"/>
  <c r="S78" i="1"/>
  <c r="T78" i="1" s="1"/>
  <c r="L78" i="1"/>
  <c r="M78" i="1" s="1"/>
  <c r="E78" i="1"/>
  <c r="F78" i="1" s="1"/>
  <c r="AG77" i="1"/>
  <c r="AH77" i="1" s="1"/>
  <c r="Z77" i="1"/>
  <c r="AA77" i="1" s="1"/>
  <c r="S77" i="1"/>
  <c r="T77" i="1" s="1"/>
  <c r="L77" i="1"/>
  <c r="M77" i="1" s="1"/>
  <c r="E77" i="1"/>
  <c r="F77" i="1" s="1"/>
  <c r="AG76" i="1"/>
  <c r="AH76" i="1" s="1"/>
  <c r="Z76" i="1"/>
  <c r="AA76" i="1" s="1"/>
  <c r="S76" i="1"/>
  <c r="T76" i="1" s="1"/>
  <c r="L76" i="1"/>
  <c r="M76" i="1" s="1"/>
  <c r="E76" i="1"/>
  <c r="F76" i="1" s="1"/>
  <c r="AG75" i="1"/>
  <c r="AH75" i="1" s="1"/>
  <c r="Z75" i="1"/>
  <c r="AA75" i="1" s="1"/>
  <c r="S75" i="1"/>
  <c r="T75" i="1" s="1"/>
  <c r="L75" i="1"/>
  <c r="M75" i="1" s="1"/>
  <c r="E75" i="1"/>
  <c r="F75" i="1" s="1"/>
  <c r="AG74" i="1"/>
  <c r="AH74" i="1" s="1"/>
  <c r="Z74" i="1"/>
  <c r="AA74" i="1" s="1"/>
  <c r="S74" i="1"/>
  <c r="T74" i="1" s="1"/>
  <c r="L74" i="1"/>
  <c r="M74" i="1" s="1"/>
  <c r="E74" i="1"/>
  <c r="F74" i="1" s="1"/>
  <c r="AG73" i="1"/>
  <c r="AH73" i="1" s="1"/>
  <c r="Z73" i="1"/>
  <c r="AA73" i="1" s="1"/>
  <c r="S73" i="1"/>
  <c r="T73" i="1" s="1"/>
  <c r="L73" i="1"/>
  <c r="M73" i="1" s="1"/>
  <c r="E73" i="1"/>
  <c r="F73" i="1" s="1"/>
  <c r="AG72" i="1"/>
  <c r="Z72" i="1"/>
  <c r="S72" i="1"/>
  <c r="L72" i="1"/>
  <c r="E72" i="1"/>
  <c r="AG67" i="1"/>
  <c r="AG68" i="1" s="1"/>
  <c r="Z67" i="1"/>
  <c r="Z68" i="1" s="1"/>
  <c r="S67" i="1"/>
  <c r="S68" i="1" s="1"/>
  <c r="L67" i="1"/>
  <c r="L68" i="1" s="1"/>
  <c r="E67" i="1"/>
  <c r="E68" i="1" s="1"/>
  <c r="AG66" i="1"/>
  <c r="AF66" i="1"/>
  <c r="Z66" i="1"/>
  <c r="Y66" i="1"/>
  <c r="S66" i="1"/>
  <c r="R66" i="1"/>
  <c r="L66" i="1"/>
  <c r="K66" i="1"/>
  <c r="E66" i="1"/>
  <c r="D66" i="1"/>
  <c r="AG65" i="1"/>
  <c r="AF65" i="1"/>
  <c r="Z65" i="1"/>
  <c r="Y65" i="1"/>
  <c r="S65" i="1"/>
  <c r="R65" i="1"/>
  <c r="L65" i="1"/>
  <c r="K65" i="1"/>
  <c r="E65" i="1"/>
  <c r="D65" i="1"/>
  <c r="AG64" i="1"/>
  <c r="AF64" i="1"/>
  <c r="Z64" i="1"/>
  <c r="Y64" i="1"/>
  <c r="S64" i="1"/>
  <c r="R64" i="1"/>
  <c r="L64" i="1"/>
  <c r="K64" i="1"/>
  <c r="E64" i="1"/>
  <c r="D64" i="1"/>
  <c r="AG63" i="1"/>
  <c r="AF63" i="1"/>
  <c r="Z63" i="1"/>
  <c r="Y63" i="1"/>
  <c r="S63" i="1"/>
  <c r="R63" i="1"/>
  <c r="L63" i="1"/>
  <c r="K63" i="1"/>
  <c r="E63" i="1"/>
  <c r="D63" i="1"/>
  <c r="AG62" i="1"/>
  <c r="AF62" i="1"/>
  <c r="Z62" i="1"/>
  <c r="Y62" i="1"/>
  <c r="S62" i="1"/>
  <c r="R62" i="1"/>
  <c r="L62" i="1"/>
  <c r="K62" i="1"/>
  <c r="E62" i="1"/>
  <c r="D62" i="1"/>
  <c r="AN53" i="1"/>
  <c r="AO53" i="1" s="1"/>
  <c r="AG53" i="1"/>
  <c r="AH53" i="1" s="1"/>
  <c r="Z53" i="1"/>
  <c r="AA53" i="1" s="1"/>
  <c r="S53" i="1"/>
  <c r="T53" i="1" s="1"/>
  <c r="L53" i="1"/>
  <c r="M53" i="1" s="1"/>
  <c r="E53" i="1"/>
  <c r="F53" i="1" s="1"/>
  <c r="AN52" i="1"/>
  <c r="AO52" i="1" s="1"/>
  <c r="AG52" i="1"/>
  <c r="AH52" i="1" s="1"/>
  <c r="Z52" i="1"/>
  <c r="AA52" i="1" s="1"/>
  <c r="S52" i="1"/>
  <c r="T52" i="1" s="1"/>
  <c r="L52" i="1"/>
  <c r="M52" i="1" s="1"/>
  <c r="E52" i="1"/>
  <c r="F52" i="1" s="1"/>
  <c r="AN51" i="1"/>
  <c r="AO51" i="1" s="1"/>
  <c r="AG51" i="1"/>
  <c r="AH51" i="1" s="1"/>
  <c r="Z51" i="1"/>
  <c r="AA51" i="1" s="1"/>
  <c r="S51" i="1"/>
  <c r="T51" i="1" s="1"/>
  <c r="L51" i="1"/>
  <c r="M51" i="1" s="1"/>
  <c r="E51" i="1"/>
  <c r="F51" i="1" s="1"/>
  <c r="AN50" i="1"/>
  <c r="AO50" i="1" s="1"/>
  <c r="AG50" i="1"/>
  <c r="AH50" i="1" s="1"/>
  <c r="Z50" i="1"/>
  <c r="AA50" i="1" s="1"/>
  <c r="S50" i="1"/>
  <c r="T50" i="1" s="1"/>
  <c r="L50" i="1"/>
  <c r="M50" i="1" s="1"/>
  <c r="E50" i="1"/>
  <c r="F50" i="1" s="1"/>
  <c r="AN49" i="1"/>
  <c r="AO49" i="1" s="1"/>
  <c r="AG49" i="1"/>
  <c r="AH49" i="1" s="1"/>
  <c r="Z49" i="1"/>
  <c r="AA49" i="1" s="1"/>
  <c r="S49" i="1"/>
  <c r="T49" i="1" s="1"/>
  <c r="L49" i="1"/>
  <c r="M49" i="1" s="1"/>
  <c r="E49" i="1"/>
  <c r="F49" i="1" s="1"/>
  <c r="AN48" i="1"/>
  <c r="AO48" i="1" s="1"/>
  <c r="AG48" i="1"/>
  <c r="AH48" i="1" s="1"/>
  <c r="Z48" i="1"/>
  <c r="AA48" i="1" s="1"/>
  <c r="S48" i="1"/>
  <c r="T48" i="1" s="1"/>
  <c r="L48" i="1"/>
  <c r="M48" i="1" s="1"/>
  <c r="E48" i="1"/>
  <c r="F48" i="1" s="1"/>
  <c r="AN47" i="1"/>
  <c r="AO47" i="1" s="1"/>
  <c r="AG47" i="1"/>
  <c r="AH47" i="1" s="1"/>
  <c r="Z47" i="1"/>
  <c r="AA47" i="1" s="1"/>
  <c r="S47" i="1"/>
  <c r="T47" i="1" s="1"/>
  <c r="L47" i="1"/>
  <c r="M47" i="1" s="1"/>
  <c r="E47" i="1"/>
  <c r="F47" i="1" s="1"/>
  <c r="AN46" i="1"/>
  <c r="AO46" i="1" s="1"/>
  <c r="AG46" i="1"/>
  <c r="AH46" i="1" s="1"/>
  <c r="Z46" i="1"/>
  <c r="AA46" i="1" s="1"/>
  <c r="S46" i="1"/>
  <c r="T46" i="1" s="1"/>
  <c r="L46" i="1"/>
  <c r="M46" i="1" s="1"/>
  <c r="E46" i="1"/>
  <c r="F46" i="1" s="1"/>
  <c r="AN45" i="1"/>
  <c r="AO45" i="1" s="1"/>
  <c r="AG45" i="1"/>
  <c r="AH45" i="1" s="1"/>
  <c r="Z45" i="1"/>
  <c r="AA45" i="1" s="1"/>
  <c r="S45" i="1"/>
  <c r="T45" i="1" s="1"/>
  <c r="L45" i="1"/>
  <c r="M45" i="1" s="1"/>
  <c r="E45" i="1"/>
  <c r="F45" i="1" s="1"/>
  <c r="AN44" i="1"/>
  <c r="AO44" i="1" s="1"/>
  <c r="AG44" i="1"/>
  <c r="AH44" i="1" s="1"/>
  <c r="Z44" i="1"/>
  <c r="AA44" i="1" s="1"/>
  <c r="S44" i="1"/>
  <c r="T44" i="1" s="1"/>
  <c r="L44" i="1"/>
  <c r="M44" i="1" s="1"/>
  <c r="E44" i="1"/>
  <c r="F44" i="1" s="1"/>
  <c r="AN39" i="1"/>
  <c r="AN40" i="1" s="1"/>
  <c r="AG39" i="1"/>
  <c r="AG40" i="1" s="1"/>
  <c r="Z39" i="1"/>
  <c r="Z40" i="1" s="1"/>
  <c r="S39" i="1"/>
  <c r="S40" i="1" s="1"/>
  <c r="E39" i="1"/>
  <c r="E40" i="1" s="1"/>
  <c r="AN38" i="1"/>
  <c r="AM38" i="1"/>
  <c r="AG38" i="1"/>
  <c r="AF38" i="1"/>
  <c r="Z38" i="1"/>
  <c r="Y38" i="1"/>
  <c r="S38" i="1"/>
  <c r="R38" i="1"/>
  <c r="L38" i="1"/>
  <c r="K38" i="1"/>
  <c r="E38" i="1"/>
  <c r="D38" i="1"/>
  <c r="AN37" i="1"/>
  <c r="AM37" i="1"/>
  <c r="AG37" i="1"/>
  <c r="AF37" i="1"/>
  <c r="Z37" i="1"/>
  <c r="Y37" i="1"/>
  <c r="S37" i="1"/>
  <c r="R37" i="1"/>
  <c r="L37" i="1"/>
  <c r="K37" i="1"/>
  <c r="E37" i="1"/>
  <c r="D37" i="1"/>
  <c r="AN36" i="1"/>
  <c r="AM36" i="1"/>
  <c r="AG36" i="1"/>
  <c r="AF36" i="1"/>
  <c r="Z36" i="1"/>
  <c r="Y36" i="1"/>
  <c r="S36" i="1"/>
  <c r="R36" i="1"/>
  <c r="L36" i="1"/>
  <c r="K36" i="1"/>
  <c r="E36" i="1"/>
  <c r="D36" i="1"/>
  <c r="AN35" i="1"/>
  <c r="AM35" i="1"/>
  <c r="AG35" i="1"/>
  <c r="AF35" i="1"/>
  <c r="Z35" i="1"/>
  <c r="Y35" i="1"/>
  <c r="S35" i="1"/>
  <c r="R35" i="1"/>
  <c r="L35" i="1"/>
  <c r="K35" i="1"/>
  <c r="E35" i="1"/>
  <c r="D35" i="1"/>
  <c r="AN34" i="1"/>
  <c r="AM34" i="1"/>
  <c r="AG34" i="1"/>
  <c r="AF34" i="1"/>
  <c r="Z34" i="1"/>
  <c r="Y34" i="1"/>
  <c r="S34" i="1"/>
  <c r="R34" i="1"/>
  <c r="L34" i="1"/>
  <c r="K34" i="1"/>
  <c r="E34" i="1"/>
  <c r="D34" i="1"/>
  <c r="AI48" i="1" l="1"/>
  <c r="AJ48" i="1" s="1"/>
  <c r="G48" i="1"/>
  <c r="H48" i="1" s="1"/>
  <c r="T56" i="1"/>
  <c r="Z84" i="1"/>
  <c r="Z83" i="1" s="1"/>
  <c r="L84" i="1"/>
  <c r="AH56" i="1"/>
  <c r="AH55" i="1" s="1"/>
  <c r="M72" i="1"/>
  <c r="M82" i="1" s="1"/>
  <c r="AA72" i="1"/>
  <c r="AA84" i="1" s="1"/>
  <c r="AA83" i="1" s="1"/>
  <c r="E84" i="1"/>
  <c r="E83" i="1" s="1"/>
  <c r="S84" i="1"/>
  <c r="S83" i="1" s="1"/>
  <c r="AG84" i="1"/>
  <c r="AG83" i="1" s="1"/>
  <c r="F56" i="1"/>
  <c r="F55" i="1" s="1"/>
  <c r="F72" i="1"/>
  <c r="F84" i="1" s="1"/>
  <c r="F83" i="1" s="1"/>
  <c r="T72" i="1"/>
  <c r="T84" i="1" s="1"/>
  <c r="T83" i="1" s="1"/>
  <c r="AH72" i="1"/>
  <c r="M54" i="1"/>
  <c r="M56" i="1"/>
  <c r="AO54" i="1"/>
  <c r="AO56" i="1"/>
  <c r="AA56" i="1"/>
  <c r="AA55" i="1" s="1"/>
  <c r="M84" i="1"/>
  <c r="M85" i="1" s="1"/>
  <c r="U73" i="1"/>
  <c r="V73" i="1" s="1"/>
  <c r="U74" i="1"/>
  <c r="V74" i="1" s="1"/>
  <c r="U75" i="1"/>
  <c r="V75" i="1" s="1"/>
  <c r="U76" i="1"/>
  <c r="V76" i="1" s="1"/>
  <c r="U77" i="1"/>
  <c r="V77" i="1" s="1"/>
  <c r="U78" i="1"/>
  <c r="V78" i="1" s="1"/>
  <c r="U79" i="1"/>
  <c r="V79" i="1" s="1"/>
  <c r="U80" i="1"/>
  <c r="V80" i="1" s="1"/>
  <c r="U81" i="1"/>
  <c r="V81" i="1" s="1"/>
  <c r="AP47" i="1"/>
  <c r="AQ47" i="1" s="1"/>
  <c r="AP46" i="1"/>
  <c r="AQ46" i="1" s="1"/>
  <c r="AP45" i="1"/>
  <c r="AQ45" i="1" s="1"/>
  <c r="AP44" i="1"/>
  <c r="T55" i="1"/>
  <c r="U48" i="1"/>
  <c r="V48" i="1" s="1"/>
  <c r="U47" i="1"/>
  <c r="V47" i="1" s="1"/>
  <c r="U46" i="1"/>
  <c r="V46" i="1" s="1"/>
  <c r="U45" i="1"/>
  <c r="V45" i="1" s="1"/>
  <c r="U44" i="1"/>
  <c r="AB48" i="1"/>
  <c r="AC48" i="1" s="1"/>
  <c r="AB47" i="1"/>
  <c r="AC47" i="1" s="1"/>
  <c r="AB46" i="1"/>
  <c r="AC46" i="1" s="1"/>
  <c r="AB45" i="1"/>
  <c r="AC45" i="1" s="1"/>
  <c r="AB44" i="1"/>
  <c r="N48" i="1"/>
  <c r="O48" i="1" s="1"/>
  <c r="N47" i="1"/>
  <c r="O47" i="1" s="1"/>
  <c r="N46" i="1"/>
  <c r="O46" i="1" s="1"/>
  <c r="N45" i="1"/>
  <c r="O45" i="1" s="1"/>
  <c r="N44" i="1"/>
  <c r="E56" i="1"/>
  <c r="E54" i="1"/>
  <c r="L56" i="1"/>
  <c r="L54" i="1"/>
  <c r="S56" i="1"/>
  <c r="S54" i="1"/>
  <c r="Z56" i="1"/>
  <c r="Z54" i="1"/>
  <c r="AG56" i="1"/>
  <c r="AG54" i="1"/>
  <c r="AN56" i="1"/>
  <c r="AN54" i="1"/>
  <c r="AP48" i="1"/>
  <c r="AQ48" i="1" s="1"/>
  <c r="N49" i="1"/>
  <c r="O49" i="1" s="1"/>
  <c r="AB49" i="1"/>
  <c r="AC49" i="1" s="1"/>
  <c r="AP49" i="1"/>
  <c r="AQ49" i="1" s="1"/>
  <c r="N50" i="1"/>
  <c r="O50" i="1" s="1"/>
  <c r="AB50" i="1"/>
  <c r="AC50" i="1" s="1"/>
  <c r="AP50" i="1"/>
  <c r="AQ50" i="1" s="1"/>
  <c r="N51" i="1"/>
  <c r="O51" i="1" s="1"/>
  <c r="AB51" i="1"/>
  <c r="AC51" i="1" s="1"/>
  <c r="AP51" i="1"/>
  <c r="AQ51" i="1" s="1"/>
  <c r="N52" i="1"/>
  <c r="O52" i="1" s="1"/>
  <c r="AB52" i="1"/>
  <c r="AC52" i="1" s="1"/>
  <c r="AP52" i="1"/>
  <c r="AQ52" i="1" s="1"/>
  <c r="N53" i="1"/>
  <c r="O53" i="1" s="1"/>
  <c r="AB53" i="1"/>
  <c r="AC53" i="1" s="1"/>
  <c r="AP53" i="1"/>
  <c r="AQ53" i="1" s="1"/>
  <c r="T54" i="1"/>
  <c r="L83" i="1"/>
  <c r="N73" i="1"/>
  <c r="O73" i="1" s="1"/>
  <c r="AB73" i="1"/>
  <c r="AC73" i="1" s="1"/>
  <c r="AI73" i="1"/>
  <c r="AJ73" i="1" s="1"/>
  <c r="N74" i="1"/>
  <c r="O74" i="1" s="1"/>
  <c r="AB74" i="1"/>
  <c r="AC74" i="1" s="1"/>
  <c r="AI74" i="1"/>
  <c r="AJ74" i="1" s="1"/>
  <c r="N75" i="1"/>
  <c r="O75" i="1" s="1"/>
  <c r="AB75" i="1"/>
  <c r="AC75" i="1" s="1"/>
  <c r="AI75" i="1"/>
  <c r="AJ75" i="1" s="1"/>
  <c r="N76" i="1"/>
  <c r="O76" i="1" s="1"/>
  <c r="AB76" i="1"/>
  <c r="AC76" i="1" s="1"/>
  <c r="AI76" i="1"/>
  <c r="AJ76" i="1" s="1"/>
  <c r="N77" i="1"/>
  <c r="O77" i="1" s="1"/>
  <c r="AB77" i="1"/>
  <c r="AC77" i="1" s="1"/>
  <c r="AI77" i="1"/>
  <c r="AJ77" i="1" s="1"/>
  <c r="N78" i="1"/>
  <c r="O78" i="1" s="1"/>
  <c r="AB78" i="1"/>
  <c r="AC78" i="1" s="1"/>
  <c r="AI78" i="1"/>
  <c r="AJ78" i="1" s="1"/>
  <c r="N79" i="1"/>
  <c r="O79" i="1" s="1"/>
  <c r="AB79" i="1"/>
  <c r="AC79" i="1" s="1"/>
  <c r="AI79" i="1"/>
  <c r="AJ79" i="1" s="1"/>
  <c r="N80" i="1"/>
  <c r="O80" i="1" s="1"/>
  <c r="AB80" i="1"/>
  <c r="AC80" i="1" s="1"/>
  <c r="AI80" i="1"/>
  <c r="AJ80" i="1" s="1"/>
  <c r="N81" i="1"/>
  <c r="O81" i="1" s="1"/>
  <c r="AB81" i="1"/>
  <c r="AC81" i="1" s="1"/>
  <c r="AI81" i="1"/>
  <c r="AJ81" i="1" s="1"/>
  <c r="AA54" i="1"/>
  <c r="G44" i="1"/>
  <c r="AI44" i="1"/>
  <c r="G45" i="1"/>
  <c r="H45" i="1" s="1"/>
  <c r="AI45" i="1"/>
  <c r="AJ45" i="1" s="1"/>
  <c r="G46" i="1"/>
  <c r="H46" i="1" s="1"/>
  <c r="AI46" i="1"/>
  <c r="AJ46" i="1" s="1"/>
  <c r="G47" i="1"/>
  <c r="H47" i="1" s="1"/>
  <c r="AI47" i="1"/>
  <c r="AJ47" i="1" s="1"/>
  <c r="G49" i="1"/>
  <c r="H49" i="1" s="1"/>
  <c r="U49" i="1"/>
  <c r="V49" i="1" s="1"/>
  <c r="AI49" i="1"/>
  <c r="AJ49" i="1" s="1"/>
  <c r="G50" i="1"/>
  <c r="H50" i="1" s="1"/>
  <c r="U50" i="1"/>
  <c r="V50" i="1" s="1"/>
  <c r="AI50" i="1"/>
  <c r="AJ50" i="1" s="1"/>
  <c r="G51" i="1"/>
  <c r="H51" i="1" s="1"/>
  <c r="U51" i="1"/>
  <c r="V51" i="1" s="1"/>
  <c r="AI51" i="1"/>
  <c r="AJ51" i="1" s="1"/>
  <c r="G52" i="1"/>
  <c r="H52" i="1" s="1"/>
  <c r="U52" i="1"/>
  <c r="V52" i="1" s="1"/>
  <c r="AI52" i="1"/>
  <c r="AJ52" i="1" s="1"/>
  <c r="G53" i="1"/>
  <c r="H53" i="1" s="1"/>
  <c r="U53" i="1"/>
  <c r="V53" i="1" s="1"/>
  <c r="AI53" i="1"/>
  <c r="AJ53" i="1" s="1"/>
  <c r="F54" i="1"/>
  <c r="AH54" i="1"/>
  <c r="AH57" i="1" s="1"/>
  <c r="G73" i="1"/>
  <c r="H73" i="1" s="1"/>
  <c r="G74" i="1"/>
  <c r="H74" i="1" s="1"/>
  <c r="G75" i="1"/>
  <c r="H75" i="1" s="1"/>
  <c r="G76" i="1"/>
  <c r="H76" i="1" s="1"/>
  <c r="G77" i="1"/>
  <c r="H77" i="1" s="1"/>
  <c r="G78" i="1"/>
  <c r="H78" i="1" s="1"/>
  <c r="G79" i="1"/>
  <c r="H79" i="1" s="1"/>
  <c r="G80" i="1"/>
  <c r="H80" i="1" s="1"/>
  <c r="G81" i="1"/>
  <c r="H81" i="1" s="1"/>
  <c r="G72" i="1"/>
  <c r="N72" i="1"/>
  <c r="U72" i="1"/>
  <c r="AB72" i="1"/>
  <c r="AI72" i="1"/>
  <c r="E82" i="1"/>
  <c r="L82" i="1"/>
  <c r="L85" i="1" s="1"/>
  <c r="S82" i="1"/>
  <c r="Z82" i="1"/>
  <c r="AG82" i="1"/>
  <c r="Z85" i="1" l="1"/>
  <c r="T57" i="1"/>
  <c r="E85" i="1"/>
  <c r="M57" i="1"/>
  <c r="AA82" i="1"/>
  <c r="AA85" i="1" s="1"/>
  <c r="M83" i="1"/>
  <c r="M55" i="1"/>
  <c r="AA57" i="1"/>
  <c r="F57" i="1"/>
  <c r="F82" i="1"/>
  <c r="F85" i="1" s="1"/>
  <c r="AG85" i="1"/>
  <c r="S85" i="1"/>
  <c r="T82" i="1"/>
  <c r="T85" i="1" s="1"/>
  <c r="AO57" i="1"/>
  <c r="AH84" i="1"/>
  <c r="AH82" i="1"/>
  <c r="AO55" i="1"/>
  <c r="AP56" i="1"/>
  <c r="AP54" i="1"/>
  <c r="AQ44" i="1"/>
  <c r="AJ72" i="1"/>
  <c r="AI84" i="1"/>
  <c r="AI82" i="1"/>
  <c r="O72" i="1"/>
  <c r="N84" i="1"/>
  <c r="N82" i="1"/>
  <c r="G56" i="1"/>
  <c r="G54" i="1"/>
  <c r="H44" i="1"/>
  <c r="AN57" i="1"/>
  <c r="AN55" i="1"/>
  <c r="Z57" i="1"/>
  <c r="Z55" i="1"/>
  <c r="L57" i="1"/>
  <c r="L55" i="1"/>
  <c r="N56" i="1"/>
  <c r="N54" i="1"/>
  <c r="O44" i="1"/>
  <c r="U56" i="1"/>
  <c r="U54" i="1"/>
  <c r="V44" i="1"/>
  <c r="H72" i="1"/>
  <c r="G84" i="1"/>
  <c r="G82" i="1"/>
  <c r="AB56" i="1"/>
  <c r="AB54" i="1"/>
  <c r="AC44" i="1"/>
  <c r="V72" i="1"/>
  <c r="U84" i="1"/>
  <c r="U82" i="1"/>
  <c r="AI56" i="1"/>
  <c r="AI54" i="1"/>
  <c r="AJ44" i="1"/>
  <c r="AC72" i="1"/>
  <c r="AB84" i="1"/>
  <c r="AB82" i="1"/>
  <c r="AG57" i="1"/>
  <c r="AG55" i="1"/>
  <c r="S57" i="1"/>
  <c r="S55" i="1"/>
  <c r="E57" i="1"/>
  <c r="E55" i="1"/>
  <c r="AH85" i="1" l="1"/>
  <c r="AH83" i="1"/>
  <c r="AB85" i="1"/>
  <c r="AB83" i="1"/>
  <c r="AB57" i="1"/>
  <c r="AB55" i="1"/>
  <c r="AI85" i="1"/>
  <c r="AI83" i="1"/>
  <c r="AC84" i="1"/>
  <c r="AC82" i="1"/>
  <c r="AJ56" i="1"/>
  <c r="AJ54" i="1"/>
  <c r="U85" i="1"/>
  <c r="U83" i="1"/>
  <c r="V56" i="1"/>
  <c r="V54" i="1"/>
  <c r="H56" i="1"/>
  <c r="H54" i="1"/>
  <c r="N85" i="1"/>
  <c r="N83" i="1"/>
  <c r="AJ84" i="1"/>
  <c r="AJ82" i="1"/>
  <c r="O56" i="1"/>
  <c r="O54" i="1"/>
  <c r="AP57" i="1"/>
  <c r="AP55" i="1"/>
  <c r="V84" i="1"/>
  <c r="V82" i="1"/>
  <c r="AC56" i="1"/>
  <c r="AC54" i="1"/>
  <c r="G85" i="1"/>
  <c r="G83" i="1"/>
  <c r="N57" i="1"/>
  <c r="N55" i="1"/>
  <c r="O84" i="1"/>
  <c r="O82" i="1"/>
  <c r="AQ56" i="1"/>
  <c r="AQ54" i="1"/>
  <c r="AI57" i="1"/>
  <c r="AI55" i="1"/>
  <c r="H84" i="1"/>
  <c r="H82" i="1"/>
  <c r="U57" i="1"/>
  <c r="U55" i="1"/>
  <c r="G57" i="1"/>
  <c r="G55" i="1"/>
  <c r="O85" i="1" l="1"/>
  <c r="O83" i="1"/>
  <c r="V85" i="1"/>
  <c r="V83" i="1"/>
  <c r="V57" i="1"/>
  <c r="V55" i="1"/>
  <c r="AC57" i="1"/>
  <c r="AC55" i="1"/>
  <c r="O57" i="1"/>
  <c r="O55" i="1"/>
  <c r="AC85" i="1"/>
  <c r="AC83" i="1"/>
  <c r="AJ85" i="1"/>
  <c r="AJ83" i="1"/>
  <c r="H57" i="1"/>
  <c r="H55" i="1"/>
  <c r="AJ57" i="1"/>
  <c r="AJ55" i="1"/>
  <c r="H85" i="1"/>
  <c r="H83" i="1"/>
  <c r="AQ57" i="1"/>
  <c r="AQ55" i="1"/>
</calcChain>
</file>

<file path=xl/sharedStrings.xml><?xml version="1.0" encoding="utf-8"?>
<sst xmlns="http://schemas.openxmlformats.org/spreadsheetml/2006/main" count="1169" uniqueCount="117">
  <si>
    <t>A</t>
  </si>
  <si>
    <t>B</t>
  </si>
  <si>
    <t>C</t>
  </si>
  <si>
    <t>D</t>
  </si>
  <si>
    <t>E</t>
  </si>
  <si>
    <t>F</t>
  </si>
  <si>
    <t>G</t>
  </si>
  <si>
    <t>H</t>
  </si>
  <si>
    <t>I</t>
  </si>
  <si>
    <t>J</t>
  </si>
  <si>
    <t>K</t>
  </si>
  <si>
    <t>L</t>
  </si>
  <si>
    <t>M</t>
  </si>
  <si>
    <t>N</t>
  </si>
  <si>
    <t>O</t>
  </si>
  <si>
    <t>P</t>
  </si>
  <si>
    <t>Empty</t>
  </si>
  <si>
    <t>OAZ1</t>
  </si>
  <si>
    <t>ACTB</t>
  </si>
  <si>
    <t>RPL27</t>
  </si>
  <si>
    <t>RPL30</t>
  </si>
  <si>
    <t>RPLP1</t>
  </si>
  <si>
    <t>CCSSER2</t>
  </si>
  <si>
    <t>GUSB</t>
  </si>
  <si>
    <t>PGK1</t>
  </si>
  <si>
    <t>EPAS1</t>
  </si>
  <si>
    <t>TBP</t>
  </si>
  <si>
    <t>TFRC</t>
  </si>
  <si>
    <t>Standard</t>
  </si>
  <si>
    <t xml:space="preserve">Normoxia </t>
  </si>
  <si>
    <t>Hypoxia 8 hours</t>
  </si>
  <si>
    <t>Hypoxia 48 hours</t>
  </si>
  <si>
    <r>
      <t>dH</t>
    </r>
    <r>
      <rPr>
        <vertAlign val="subscript"/>
        <sz val="11"/>
        <color theme="1"/>
        <rFont val="Calibri"/>
        <family val="2"/>
        <scheme val="minor"/>
      </rPr>
      <t>2</t>
    </r>
    <r>
      <rPr>
        <sz val="11"/>
        <color theme="1"/>
        <rFont val="Calibri"/>
        <family val="2"/>
        <scheme val="minor"/>
      </rPr>
      <t>O</t>
    </r>
  </si>
  <si>
    <t>ng / ul</t>
  </si>
  <si>
    <t>Water</t>
  </si>
  <si>
    <t>0hr T1</t>
  </si>
  <si>
    <t>0hr T2</t>
  </si>
  <si>
    <t>0hr T3</t>
  </si>
  <si>
    <t>8hr T1</t>
  </si>
  <si>
    <t>8hr T2</t>
  </si>
  <si>
    <t>8hr T3</t>
  </si>
  <si>
    <t>48hr T1</t>
  </si>
  <si>
    <t>48hr T2</t>
  </si>
  <si>
    <t>48hr T3</t>
  </si>
  <si>
    <t>Avg Ct</t>
  </si>
  <si>
    <t>Log</t>
  </si>
  <si>
    <t>P. efficiency (%)</t>
  </si>
  <si>
    <t>cDNA Pool Standard</t>
  </si>
  <si>
    <t>CCSER2</t>
  </si>
  <si>
    <t>Undetermined</t>
  </si>
  <si>
    <t>P. efficiency</t>
  </si>
  <si>
    <t>10^((Average Ct - 23.329)/-3.2213)</t>
  </si>
  <si>
    <t>10^((Average Ct - 20.141)/-3.6697)</t>
  </si>
  <si>
    <t>10^((Average Ct - 23.983)/-1.1588)</t>
  </si>
  <si>
    <t>10^((Average Ct - 21.119)/-3.2007)</t>
  </si>
  <si>
    <t>10^((Average Ct - 21.128)/-3.227)</t>
  </si>
  <si>
    <t>10^((Average Ct - 22.41)/-3.3733)</t>
  </si>
  <si>
    <t>10^((Average Ct - 25.018)/-2.8732)</t>
  </si>
  <si>
    <t>10^((Average Ct - 25.426)/-3.2283)</t>
  </si>
  <si>
    <t>10^((Average Ct - 21.723)/-3.1779)</t>
  </si>
  <si>
    <t>10^((Average Ct - 22.878)/-3.3545)</t>
  </si>
  <si>
    <t>10^((Average Ct - 28.106)/-1.8319)</t>
  </si>
  <si>
    <t>TP</t>
  </si>
  <si>
    <t>Time point</t>
  </si>
  <si>
    <t>Ct</t>
  </si>
  <si>
    <t>Cycle threshold</t>
  </si>
  <si>
    <t>RE</t>
  </si>
  <si>
    <t>Relative expression</t>
  </si>
  <si>
    <t>ECCt</t>
  </si>
  <si>
    <t>Efficiency corrected cycle threshold</t>
  </si>
  <si>
    <t>ECRE</t>
  </si>
  <si>
    <t>Efficiency corrected relative expression</t>
  </si>
  <si>
    <t>Ct Mean</t>
  </si>
  <si>
    <t>Mean Ct for this gene</t>
  </si>
  <si>
    <t>Ct SD</t>
  </si>
  <si>
    <t>Standard deviation of Ct in this gene</t>
  </si>
  <si>
    <t>Ct CV</t>
  </si>
  <si>
    <t>Coefficient of variation for this gene</t>
  </si>
  <si>
    <t>Formulas</t>
  </si>
  <si>
    <r>
      <rPr>
        <sz val="11"/>
        <color theme="0"/>
        <rFont val="Calibri"/>
        <family val="2"/>
        <scheme val="minor"/>
      </rPr>
      <t xml:space="preserve"> *</t>
    </r>
    <r>
      <rPr>
        <sz val="11"/>
        <color theme="1"/>
        <rFont val="Calibri"/>
        <family val="2"/>
        <scheme val="minor"/>
      </rPr>
      <t>=SUM(Ct*(log(p.efficiency)/log(2)))</t>
    </r>
  </si>
  <si>
    <r>
      <rPr>
        <sz val="11"/>
        <color theme="0"/>
        <rFont val="Calibri"/>
        <family val="2"/>
        <scheme val="minor"/>
      </rPr>
      <t>*</t>
    </r>
    <r>
      <rPr>
        <sz val="11"/>
        <color theme="1"/>
        <rFont val="Calibri"/>
        <family val="2"/>
        <scheme val="minor"/>
      </rPr>
      <t xml:space="preserve"> =AVERAGE(0hrT1:48hrT3)</t>
    </r>
  </si>
  <si>
    <t>** Water samples not included in calculations **</t>
  </si>
  <si>
    <r>
      <rPr>
        <sz val="11"/>
        <color theme="0"/>
        <rFont val="Calibri"/>
        <family val="2"/>
        <scheme val="minor"/>
      </rPr>
      <t>*</t>
    </r>
    <r>
      <rPr>
        <sz val="11"/>
        <color theme="1"/>
        <rFont val="Calibri"/>
        <family val="2"/>
        <scheme val="minor"/>
      </rPr>
      <t xml:space="preserve"> =STDEV(0hrT1:48hrT3)</t>
    </r>
  </si>
  <si>
    <r>
      <rPr>
        <sz val="11"/>
        <color theme="0"/>
        <rFont val="Calibri"/>
        <family val="2"/>
        <scheme val="minor"/>
      </rPr>
      <t>*</t>
    </r>
    <r>
      <rPr>
        <sz val="11"/>
        <color theme="1"/>
        <rFont val="Calibri"/>
        <family val="2"/>
        <scheme val="minor"/>
      </rPr>
      <t xml:space="preserve"> =SUM(Ct SD / Ct Mean)</t>
    </r>
  </si>
  <si>
    <t>Mean</t>
  </si>
  <si>
    <t>SE</t>
  </si>
  <si>
    <t>SD</t>
  </si>
  <si>
    <t>CV</t>
  </si>
  <si>
    <t>Experiment  information</t>
  </si>
  <si>
    <t>Seeded</t>
  </si>
  <si>
    <t>RNA extraction</t>
  </si>
  <si>
    <t>RNA integrity check</t>
  </si>
  <si>
    <t>cDNA synthesis</t>
  </si>
  <si>
    <t>RT-qPCR</t>
  </si>
  <si>
    <t>10^((Average Ct - 23.578)/-3.3169)</t>
  </si>
  <si>
    <t>10^((Average Ct - 22.536)/-5.7478)</t>
  </si>
  <si>
    <t>10^((Average Ct - 24.117)/-0.4852)</t>
  </si>
  <si>
    <t>10^((Average Ct - 21.74)/-3.1276)</t>
  </si>
  <si>
    <t>10^((Average Ct - 21.438)/-3.3256)</t>
  </si>
  <si>
    <t>10^((Average Ct - 22.636)/-3.4232)</t>
  </si>
  <si>
    <t>10^((Average Ct - 25.526)/-2.4929)</t>
  </si>
  <si>
    <t>10^((Average Ct - 23.926)/-2.8548)</t>
  </si>
  <si>
    <t>10^((Average Ct - 20.889)/-2.6001)</t>
  </si>
  <si>
    <t>10^((Average Ct - 21.415)/-3.438)</t>
  </si>
  <si>
    <t>10^((Average Ct - 27.812)/-1.7543)</t>
  </si>
  <si>
    <t>10^((Average Ct - 23.023)/-3.3917)</t>
  </si>
  <si>
    <t>10^((Average Ct - 21.744)/-5.2219)</t>
  </si>
  <si>
    <t>10^((Average Ct - 24.959)/-1.1895)</t>
  </si>
  <si>
    <t>10^((Average Ct - 21.563)/-3.2201)</t>
  </si>
  <si>
    <t>10^((Average Ct - 20.368)/-3.2306)</t>
  </si>
  <si>
    <t>10^((Average Ct - 22.567)/-3.3477)</t>
  </si>
  <si>
    <t>10^((Average Ct - 24.853)/-2.7602)</t>
  </si>
  <si>
    <t>10^((Average Ct - 24.648)/-2.9459)</t>
  </si>
  <si>
    <t>10^((Average Ct - 20.952)/-3.1179)</t>
  </si>
  <si>
    <t>10^((Average Ct - 22.651)/-3.3732)</t>
  </si>
  <si>
    <t>10^((Average Ct - 27.871)/-0.8606)</t>
  </si>
  <si>
    <r>
      <rPr>
        <b/>
        <sz val="11"/>
        <color theme="1"/>
        <rFont val="Calibri"/>
        <family val="2"/>
        <scheme val="minor"/>
      </rPr>
      <t xml:space="preserve">Supplementary Excel File Information: </t>
    </r>
    <r>
      <rPr>
        <sz val="11"/>
        <color theme="1"/>
        <rFont val="Calibri"/>
        <family val="2"/>
        <scheme val="minor"/>
      </rPr>
      <t>Each sheet in the excel file contains raw qPCR Ct values (B4:B28 - Z4:Z28) for individual biological replicates (R1, R2 &amp; R3) carried out in a 384-well plate. Tables generated in row 31 and row 59 pertain to average Ct values extracted from specified wells in the 384-well reaction plate, against a standard curve of known cDNA amount in ng / ul and Log10. Corresponding standard curve plots are displayed in column AS and BA. Details outlining calculations for primer efficiency are outlined in materials and methods.Tables generated in row 42 and 70 pertain to average ct values extracted from specified wells in the 384-well reaction plate and correspond to a specified technical replicate (T1, T2 &amp; T3) and a normoxic (0 hr) or hypoxic time course (8 hr &amp; 48 hr).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</si>
</sst>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FF0000"/>
      <name val="Calibri"/>
      <family val="2"/>
      <scheme val="minor"/>
    </font>
    <font>
      <b/>
      <sz val="11"/>
      <color theme="1"/>
      <name val="Calibri"/>
      <family val="2"/>
      <scheme val="minor"/>
    </font>
    <font>
      <vertAlign val="subscript"/>
      <sz val="11"/>
      <color theme="1"/>
      <name val="Calibri"/>
      <family val="2"/>
      <scheme val="minor"/>
    </font>
    <font>
      <b/>
      <sz val="11"/>
      <color theme="8" tint="-0.249977111117893"/>
      <name val="Calibri"/>
      <family val="2"/>
      <scheme val="minor"/>
    </font>
    <font>
      <sz val="11"/>
      <color theme="1"/>
      <name val="Calibri"/>
      <family val="2"/>
    </font>
    <font>
      <sz val="11"/>
      <name val="Arial"/>
      <family val="2"/>
    </font>
    <font>
      <sz val="11"/>
      <color rgb="FF222222"/>
      <name val="Calibri"/>
      <family val="2"/>
      <scheme val="minor"/>
    </font>
    <font>
      <sz val="11"/>
      <color theme="1"/>
      <name val="Arial"/>
      <family val="2"/>
    </font>
    <font>
      <b/>
      <sz val="11"/>
      <color theme="1"/>
      <name val="Calibri"/>
      <family val="2"/>
    </font>
    <font>
      <sz val="11"/>
      <color theme="0"/>
      <name val="Calibri"/>
      <family val="2"/>
      <scheme val="minor"/>
    </font>
    <font>
      <sz val="11"/>
      <name val="Calibri"/>
      <family val="2"/>
      <scheme val="minor"/>
    </font>
    <font>
      <b/>
      <u/>
      <sz val="11"/>
      <color theme="1"/>
      <name val="Calibri"/>
      <family val="2"/>
      <scheme val="minor"/>
    </font>
    <font>
      <sz val="11"/>
      <color rgb="FFFF0000"/>
      <name val="Calibri"/>
      <family val="2"/>
    </font>
  </fonts>
  <fills count="19">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1" tint="0.499984740745262"/>
        <bgColor indexed="64"/>
      </patternFill>
    </fill>
    <fill>
      <patternFill patternType="solid">
        <fgColor theme="0"/>
        <bgColor indexed="64"/>
      </patternFill>
    </fill>
    <fill>
      <patternFill patternType="solid">
        <fgColor theme="2"/>
        <bgColor indexed="64"/>
      </patternFill>
    </fill>
    <fill>
      <patternFill patternType="solid">
        <fgColor theme="2" tint="-0.499984740745262"/>
        <bgColor indexed="64"/>
      </patternFill>
    </fill>
    <fill>
      <patternFill patternType="solid">
        <fgColor theme="0"/>
        <bgColor theme="0"/>
      </patternFill>
    </fill>
    <fill>
      <patternFill patternType="solid">
        <fgColor theme="8" tint="0.79998168889431442"/>
        <bgColor theme="0"/>
      </patternFill>
    </fill>
    <fill>
      <patternFill patternType="solid">
        <fgColor theme="5" tint="0.59999389629810485"/>
        <bgColor theme="0"/>
      </patternFill>
    </fill>
    <fill>
      <patternFill patternType="solid">
        <fgColor theme="5" tint="0.39997558519241921"/>
        <bgColor theme="0"/>
      </patternFill>
    </fill>
    <fill>
      <patternFill patternType="solid">
        <fgColor theme="8" tint="0.39997558519241921"/>
        <bgColor theme="0"/>
      </patternFill>
    </fill>
    <fill>
      <patternFill patternType="solid">
        <fgColor theme="9" tint="0.59999389629810485"/>
        <bgColor theme="0"/>
      </patternFill>
    </fill>
    <fill>
      <patternFill patternType="solid">
        <fgColor theme="4" tint="0.79998168889431442"/>
        <bgColor theme="0"/>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style="thin">
        <color indexed="64"/>
      </left>
      <right/>
      <top style="thin">
        <color rgb="FF000000"/>
      </top>
      <bottom style="thin">
        <color indexed="64"/>
      </bottom>
      <diagonal/>
    </border>
    <border>
      <left/>
      <right style="thin">
        <color rgb="FF000000"/>
      </right>
      <top/>
      <bottom style="thin">
        <color indexed="64"/>
      </bottom>
      <diagonal/>
    </border>
    <border>
      <left/>
      <right/>
      <top/>
      <bottom style="thin">
        <color rgb="FF000000"/>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rgb="FF000000"/>
      </bottom>
      <diagonal/>
    </border>
    <border>
      <left style="thin">
        <color indexed="64"/>
      </left>
      <right style="thin">
        <color indexed="64"/>
      </right>
      <top/>
      <bottom style="thin">
        <color rgb="FF000000"/>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rgb="FF000000"/>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s>
  <cellStyleXfs count="1">
    <xf numFmtId="0" fontId="0" fillId="0" borderId="0"/>
  </cellStyleXfs>
  <cellXfs count="171">
    <xf numFmtId="0" fontId="0" fillId="0" borderId="0" xfId="0"/>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9" borderId="0" xfId="0" applyFill="1"/>
    <xf numFmtId="0" fontId="1" fillId="9" borderId="0" xfId="0" applyFont="1" applyFill="1"/>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4" borderId="22" xfId="0" applyFill="1" applyBorder="1" applyAlignment="1">
      <alignment horizontal="center" vertical="center"/>
    </xf>
    <xf numFmtId="0" fontId="0" fillId="5" borderId="22" xfId="0" applyFill="1" applyBorder="1" applyAlignment="1">
      <alignment horizontal="center" vertical="center"/>
    </xf>
    <xf numFmtId="0" fontId="0" fillId="6" borderId="22" xfId="0" applyFill="1" applyBorder="1" applyAlignment="1">
      <alignment horizontal="center" vertical="center"/>
    </xf>
    <xf numFmtId="0" fontId="0" fillId="7" borderId="23" xfId="0" applyFill="1" applyBorder="1" applyAlignment="1">
      <alignment horizontal="center" vertical="center"/>
    </xf>
    <xf numFmtId="0" fontId="0" fillId="5" borderId="21" xfId="0" applyFill="1" applyBorder="1" applyAlignment="1">
      <alignment horizontal="center" vertical="center"/>
    </xf>
    <xf numFmtId="0" fontId="0" fillId="6" borderId="23"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7" borderId="24" xfId="0" applyFill="1" applyBorder="1" applyAlignment="1">
      <alignment horizontal="center" vertical="center"/>
    </xf>
    <xf numFmtId="0" fontId="0" fillId="11" borderId="1" xfId="0"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1" fillId="8" borderId="28" xfId="0" applyFont="1" applyFill="1" applyBorder="1" applyAlignment="1">
      <alignment horizontal="center" vertical="center"/>
    </xf>
    <xf numFmtId="0" fontId="0" fillId="2" borderId="11" xfId="0" applyFill="1" applyBorder="1" applyAlignment="1">
      <alignment horizontal="center" vertical="center"/>
    </xf>
    <xf numFmtId="0" fontId="0" fillId="4" borderId="9" xfId="0" applyFill="1" applyBorder="1" applyAlignment="1">
      <alignment horizontal="center" vertical="center"/>
    </xf>
    <xf numFmtId="0" fontId="0" fillId="5" borderId="9" xfId="0" applyFill="1" applyBorder="1" applyAlignment="1">
      <alignment horizontal="center" vertical="center"/>
    </xf>
    <xf numFmtId="0" fontId="0" fillId="6" borderId="9" xfId="0" applyFill="1" applyBorder="1" applyAlignment="1">
      <alignment horizontal="center" vertical="center"/>
    </xf>
    <xf numFmtId="0" fontId="0" fillId="7" borderId="25" xfId="0" applyFill="1" applyBorder="1" applyAlignment="1">
      <alignment horizontal="center" vertical="center"/>
    </xf>
    <xf numFmtId="0" fontId="0" fillId="5" borderId="29" xfId="0" applyFill="1" applyBorder="1" applyAlignment="1">
      <alignment horizontal="center" vertical="center"/>
    </xf>
    <xf numFmtId="0" fontId="0" fillId="6" borderId="25" xfId="0" applyFill="1" applyBorder="1" applyAlignment="1">
      <alignment horizontal="center" vertical="center"/>
    </xf>
    <xf numFmtId="0" fontId="4" fillId="10" borderId="11" xfId="0" applyFont="1" applyFill="1" applyBorder="1" applyAlignment="1">
      <alignment horizontal="center" vertical="center"/>
    </xf>
    <xf numFmtId="0" fontId="5" fillId="12" borderId="35" xfId="0" applyFont="1" applyFill="1" applyBorder="1" applyAlignment="1">
      <alignment horizontal="center" vertical="center" wrapText="1"/>
    </xf>
    <xf numFmtId="0" fontId="5" fillId="12" borderId="38" xfId="0" applyFont="1" applyFill="1" applyBorder="1" applyAlignment="1">
      <alignment horizontal="center" vertical="center" wrapText="1"/>
    </xf>
    <xf numFmtId="2" fontId="7" fillId="9" borderId="1" xfId="0" applyNumberFormat="1" applyFont="1" applyFill="1" applyBorder="1" applyAlignment="1">
      <alignment vertical="center"/>
    </xf>
    <xf numFmtId="0" fontId="5" fillId="12" borderId="0" xfId="0" applyFont="1" applyFill="1" applyAlignment="1">
      <alignment horizontal="center" vertical="center" wrapText="1"/>
    </xf>
    <xf numFmtId="0" fontId="5" fillId="12" borderId="0" xfId="0" applyFont="1" applyFill="1" applyAlignment="1">
      <alignment horizontal="center"/>
    </xf>
    <xf numFmtId="2" fontId="5" fillId="12" borderId="0" xfId="0" applyNumberFormat="1" applyFont="1" applyFill="1" applyAlignment="1">
      <alignment horizontal="center" vertical="center"/>
    </xf>
    <xf numFmtId="0" fontId="5" fillId="12" borderId="0" xfId="0" applyFont="1" applyFill="1" applyAlignment="1">
      <alignment vertical="center" wrapText="1"/>
    </xf>
    <xf numFmtId="0" fontId="6" fillId="9" borderId="0" xfId="0" applyFont="1" applyFill="1"/>
    <xf numFmtId="0" fontId="5" fillId="12" borderId="0" xfId="0" applyFont="1" applyFill="1"/>
    <xf numFmtId="0" fontId="5" fillId="12" borderId="0" xfId="0" applyFont="1" applyFill="1" applyAlignment="1">
      <alignment vertical="center" textRotation="90" wrapText="1"/>
    </xf>
    <xf numFmtId="0" fontId="5" fillId="12" borderId="0" xfId="0" applyFont="1" applyFill="1" applyAlignment="1">
      <alignment vertical="center"/>
    </xf>
    <xf numFmtId="2" fontId="5" fillId="13" borderId="7" xfId="0" applyNumberFormat="1" applyFont="1" applyFill="1" applyBorder="1" applyAlignment="1">
      <alignment horizontal="center" vertical="center"/>
    </xf>
    <xf numFmtId="2" fontId="5" fillId="13" borderId="8" xfId="0" applyNumberFormat="1" applyFont="1" applyFill="1" applyBorder="1" applyAlignment="1">
      <alignment horizontal="center" vertical="center"/>
    </xf>
    <xf numFmtId="2" fontId="5" fillId="13" borderId="9" xfId="0" applyNumberFormat="1" applyFont="1" applyFill="1" applyBorder="1" applyAlignment="1">
      <alignment horizontal="center" vertical="center"/>
    </xf>
    <xf numFmtId="2" fontId="5" fillId="14" borderId="8" xfId="0" applyNumberFormat="1" applyFont="1" applyFill="1" applyBorder="1" applyAlignment="1">
      <alignment horizontal="center" vertical="center"/>
    </xf>
    <xf numFmtId="2" fontId="5" fillId="15" borderId="47" xfId="0" applyNumberFormat="1" applyFont="1" applyFill="1" applyBorder="1" applyAlignment="1">
      <alignment horizontal="center" vertical="center"/>
    </xf>
    <xf numFmtId="2" fontId="5" fillId="15" borderId="8" xfId="0" applyNumberFormat="1" applyFont="1" applyFill="1" applyBorder="1" applyAlignment="1">
      <alignment horizontal="center" vertical="center"/>
    </xf>
    <xf numFmtId="2" fontId="5" fillId="15" borderId="9" xfId="0" applyNumberFormat="1" applyFont="1" applyFill="1" applyBorder="1" applyAlignment="1">
      <alignment horizontal="center" vertical="center"/>
    </xf>
    <xf numFmtId="2" fontId="5" fillId="13" borderId="48" xfId="0" applyNumberFormat="1" applyFont="1" applyFill="1" applyBorder="1" applyAlignment="1">
      <alignment horizontal="center" vertical="center"/>
    </xf>
    <xf numFmtId="2" fontId="5" fillId="13" borderId="10" xfId="0" applyNumberFormat="1" applyFont="1" applyFill="1" applyBorder="1" applyAlignment="1">
      <alignment horizontal="center" vertical="center"/>
    </xf>
    <xf numFmtId="2" fontId="5" fillId="13" borderId="5" xfId="0" applyNumberFormat="1" applyFont="1" applyFill="1" applyBorder="1" applyAlignment="1">
      <alignment horizontal="center" vertical="center"/>
    </xf>
    <xf numFmtId="2" fontId="5" fillId="14" borderId="10" xfId="0" applyNumberFormat="1" applyFont="1" applyFill="1" applyBorder="1" applyAlignment="1">
      <alignment horizontal="center" vertical="center"/>
    </xf>
    <xf numFmtId="2" fontId="5" fillId="15" borderId="48" xfId="0" applyNumberFormat="1" applyFont="1" applyFill="1" applyBorder="1" applyAlignment="1">
      <alignment horizontal="center" vertical="center"/>
    </xf>
    <xf numFmtId="2" fontId="5" fillId="15" borderId="10" xfId="0" applyNumberFormat="1" applyFont="1" applyFill="1" applyBorder="1" applyAlignment="1">
      <alignment horizontal="center" vertical="center"/>
    </xf>
    <xf numFmtId="2" fontId="5" fillId="15" borderId="5" xfId="0" applyNumberFormat="1" applyFont="1" applyFill="1" applyBorder="1" applyAlignment="1">
      <alignment horizontal="center" vertical="center"/>
    </xf>
    <xf numFmtId="2" fontId="5" fillId="16" borderId="1" xfId="0" applyNumberFormat="1" applyFont="1" applyFill="1" applyBorder="1" applyAlignment="1">
      <alignment horizontal="center" vertical="center"/>
    </xf>
    <xf numFmtId="2" fontId="5" fillId="16" borderId="45" xfId="0" applyNumberFormat="1" applyFont="1" applyFill="1" applyBorder="1" applyAlignment="1">
      <alignment horizontal="center" vertical="center"/>
    </xf>
    <xf numFmtId="0" fontId="5" fillId="17" borderId="39" xfId="0" applyFont="1" applyFill="1" applyBorder="1" applyAlignment="1">
      <alignment horizontal="center"/>
    </xf>
    <xf numFmtId="2" fontId="5" fillId="17" borderId="40" xfId="0" applyNumberFormat="1" applyFont="1" applyFill="1" applyBorder="1" applyAlignment="1">
      <alignment horizontal="center"/>
    </xf>
    <xf numFmtId="2" fontId="5" fillId="17" borderId="41" xfId="0" applyNumberFormat="1" applyFont="1" applyFill="1" applyBorder="1" applyAlignment="1">
      <alignment horizontal="center"/>
    </xf>
    <xf numFmtId="0" fontId="5" fillId="17" borderId="42" xfId="0" applyFont="1" applyFill="1" applyBorder="1" applyAlignment="1">
      <alignment horizontal="center"/>
    </xf>
    <xf numFmtId="2" fontId="5" fillId="17" borderId="43" xfId="0" applyNumberFormat="1" applyFont="1" applyFill="1" applyBorder="1" applyAlignment="1">
      <alignment horizontal="center"/>
    </xf>
    <xf numFmtId="2" fontId="5" fillId="17" borderId="44" xfId="0" applyNumberFormat="1" applyFont="1" applyFill="1" applyBorder="1" applyAlignment="1">
      <alignment horizontal="center"/>
    </xf>
    <xf numFmtId="0" fontId="5" fillId="12" borderId="37" xfId="0" applyFont="1" applyFill="1" applyBorder="1" applyAlignment="1">
      <alignment horizontal="center" vertical="center" wrapText="1"/>
    </xf>
    <xf numFmtId="0" fontId="0" fillId="3" borderId="29" xfId="0" applyFill="1" applyBorder="1" applyAlignment="1">
      <alignment horizontal="center" vertical="center"/>
    </xf>
    <xf numFmtId="0" fontId="0" fillId="3" borderId="9" xfId="0"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11" fillId="3" borderId="9" xfId="0" applyFont="1" applyFill="1" applyBorder="1" applyAlignment="1">
      <alignment horizontal="center" vertical="center"/>
    </xf>
    <xf numFmtId="0" fontId="11" fillId="3" borderId="22" xfId="0" applyFont="1" applyFill="1" applyBorder="1" applyAlignment="1">
      <alignment horizontal="center" vertical="center"/>
    </xf>
    <xf numFmtId="0" fontId="12" fillId="9" borderId="0" xfId="0" applyFont="1" applyFill="1"/>
    <xf numFmtId="0" fontId="0" fillId="9" borderId="2" xfId="0" applyFill="1" applyBorder="1"/>
    <xf numFmtId="0" fontId="0" fillId="9" borderId="3" xfId="0" applyFill="1" applyBorder="1"/>
    <xf numFmtId="0" fontId="1" fillId="9" borderId="4" xfId="0" applyFont="1" applyFill="1" applyBorder="1" applyAlignment="1">
      <alignment horizontal="center" vertical="center"/>
    </xf>
    <xf numFmtId="0" fontId="0" fillId="9" borderId="6" xfId="0" applyFill="1" applyBorder="1"/>
    <xf numFmtId="0" fontId="1" fillId="9" borderId="10" xfId="0" applyFont="1" applyFill="1" applyBorder="1" applyAlignment="1">
      <alignment horizontal="center" vertical="center"/>
    </xf>
    <xf numFmtId="0" fontId="0" fillId="9" borderId="52" xfId="0" applyFill="1" applyBorder="1"/>
    <xf numFmtId="0" fontId="0" fillId="9" borderId="53" xfId="0" applyFill="1" applyBorder="1"/>
    <xf numFmtId="0" fontId="2" fillId="9" borderId="53" xfId="0" applyFont="1" applyFill="1" applyBorder="1"/>
    <xf numFmtId="0" fontId="1" fillId="9" borderId="5" xfId="0" applyFont="1" applyFill="1" applyBorder="1" applyAlignment="1">
      <alignment horizontal="center" vertical="center"/>
    </xf>
    <xf numFmtId="0" fontId="5" fillId="12" borderId="20" xfId="0" applyFont="1" applyFill="1" applyBorder="1" applyAlignment="1">
      <alignment horizontal="center"/>
    </xf>
    <xf numFmtId="0" fontId="5" fillId="12" borderId="9" xfId="0" applyFont="1" applyFill="1" applyBorder="1" applyAlignment="1">
      <alignment horizontal="center"/>
    </xf>
    <xf numFmtId="0" fontId="5" fillId="12" borderId="1" xfId="0" applyFont="1" applyFill="1" applyBorder="1" applyAlignment="1">
      <alignment horizontal="center"/>
    </xf>
    <xf numFmtId="0" fontId="5" fillId="12" borderId="5" xfId="0" applyFont="1" applyFill="1" applyBorder="1" applyAlignment="1">
      <alignment horizontal="center"/>
    </xf>
    <xf numFmtId="0" fontId="5" fillId="12" borderId="6" xfId="0" applyFont="1" applyFill="1" applyBorder="1" applyAlignment="1">
      <alignment horizontal="center"/>
    </xf>
    <xf numFmtId="2" fontId="5" fillId="18" borderId="20" xfId="0" applyNumberFormat="1" applyFont="1" applyFill="1" applyBorder="1" applyAlignment="1">
      <alignment horizontal="center" vertical="center" wrapText="1"/>
    </xf>
    <xf numFmtId="0" fontId="0" fillId="9" borderId="15" xfId="0" applyFill="1" applyBorder="1" applyAlignment="1">
      <alignment horizontal="left" vertical="center"/>
    </xf>
    <xf numFmtId="0" fontId="0" fillId="9" borderId="0" xfId="0" applyFill="1" applyAlignment="1">
      <alignment horizontal="center" vertical="center"/>
    </xf>
    <xf numFmtId="0" fontId="0" fillId="9" borderId="17" xfId="0" applyFill="1" applyBorder="1" applyAlignment="1">
      <alignment horizontal="left" vertical="center"/>
    </xf>
    <xf numFmtId="0" fontId="0" fillId="9" borderId="18" xfId="0" applyFill="1" applyBorder="1" applyAlignment="1">
      <alignment horizontal="center" vertical="center"/>
    </xf>
    <xf numFmtId="0" fontId="1" fillId="3" borderId="22" xfId="0" applyFont="1" applyFill="1" applyBorder="1" applyAlignment="1">
      <alignment horizontal="center" vertical="center"/>
    </xf>
    <xf numFmtId="0" fontId="1" fillId="3" borderId="9" xfId="0" applyFont="1" applyFill="1" applyBorder="1" applyAlignment="1">
      <alignment horizontal="center" vertical="center"/>
    </xf>
    <xf numFmtId="2" fontId="13" fillId="17" borderId="41" xfId="0" applyNumberFormat="1" applyFont="1" applyFill="1" applyBorder="1" applyAlignment="1">
      <alignment horizontal="center"/>
    </xf>
    <xf numFmtId="0" fontId="0" fillId="9" borderId="0" xfId="0" applyFill="1" applyAlignment="1">
      <alignment horizontal="left" vertical="center" wrapText="1"/>
    </xf>
    <xf numFmtId="0" fontId="0" fillId="9" borderId="18" xfId="0" applyFill="1" applyBorder="1" applyAlignment="1">
      <alignment horizontal="left" vertical="center" wrapText="1"/>
    </xf>
    <xf numFmtId="0" fontId="0" fillId="9" borderId="59" xfId="0" applyFill="1" applyBorder="1" applyAlignment="1">
      <alignment horizontal="center"/>
    </xf>
    <xf numFmtId="0" fontId="0" fillId="9" borderId="60" xfId="0" applyFill="1" applyBorder="1" applyAlignment="1">
      <alignment horizontal="center"/>
    </xf>
    <xf numFmtId="0" fontId="0" fillId="9" borderId="61" xfId="0" applyFill="1" applyBorder="1" applyAlignment="1">
      <alignment horizontal="center"/>
    </xf>
    <xf numFmtId="0" fontId="5" fillId="12" borderId="35" xfId="0" applyFont="1" applyFill="1" applyBorder="1" applyAlignment="1">
      <alignment horizontal="center" vertical="center" wrapText="1"/>
    </xf>
    <xf numFmtId="0" fontId="6" fillId="9" borderId="36" xfId="0" applyFont="1" applyFill="1" applyBorder="1"/>
    <xf numFmtId="0" fontId="6" fillId="9" borderId="37" xfId="0" applyFont="1" applyFill="1" applyBorder="1"/>
    <xf numFmtId="0" fontId="5" fillId="12" borderId="46" xfId="0" applyFont="1" applyFill="1" applyBorder="1" applyAlignment="1">
      <alignment horizontal="center" vertical="center"/>
    </xf>
    <xf numFmtId="0" fontId="5" fillId="12" borderId="20" xfId="0" applyFont="1" applyFill="1" applyBorder="1" applyAlignment="1">
      <alignment horizontal="center" vertical="center"/>
    </xf>
    <xf numFmtId="0" fontId="5" fillId="18" borderId="46" xfId="0" applyFont="1" applyFill="1" applyBorder="1" applyAlignment="1">
      <alignment horizontal="center" vertical="center" wrapText="1"/>
    </xf>
    <xf numFmtId="0" fontId="5" fillId="18" borderId="20" xfId="0" applyFont="1" applyFill="1" applyBorder="1" applyAlignment="1">
      <alignment horizontal="center" vertical="center" wrapText="1"/>
    </xf>
    <xf numFmtId="0" fontId="2" fillId="9" borderId="12" xfId="0" applyFont="1" applyFill="1" applyBorder="1" applyAlignment="1">
      <alignment horizontal="center" vertical="center"/>
    </xf>
    <xf numFmtId="0" fontId="2" fillId="9" borderId="13" xfId="0" applyFont="1" applyFill="1" applyBorder="1" applyAlignment="1">
      <alignment horizontal="center" vertical="center"/>
    </xf>
    <xf numFmtId="0" fontId="2" fillId="9" borderId="14" xfId="0" applyFont="1" applyFill="1" applyBorder="1" applyAlignment="1">
      <alignment horizontal="center" vertical="center"/>
    </xf>
    <xf numFmtId="0" fontId="2" fillId="9" borderId="57" xfId="0" applyFont="1" applyFill="1" applyBorder="1" applyAlignment="1">
      <alignment horizontal="center" vertical="center"/>
    </xf>
    <xf numFmtId="0" fontId="2" fillId="9" borderId="53" xfId="0" applyFont="1" applyFill="1" applyBorder="1" applyAlignment="1">
      <alignment horizontal="center" vertical="center"/>
    </xf>
    <xf numFmtId="0" fontId="2" fillId="9" borderId="58" xfId="0" applyFont="1" applyFill="1" applyBorder="1" applyAlignment="1">
      <alignment horizontal="center" vertical="center"/>
    </xf>
    <xf numFmtId="14" fontId="0" fillId="9" borderId="0" xfId="0" applyNumberFormat="1" applyFill="1" applyAlignment="1">
      <alignment horizontal="right" vertical="center"/>
    </xf>
    <xf numFmtId="14" fontId="0" fillId="9" borderId="16" xfId="0" applyNumberFormat="1" applyFill="1" applyBorder="1" applyAlignment="1">
      <alignment horizontal="right" vertical="center"/>
    </xf>
    <xf numFmtId="14" fontId="0" fillId="9" borderId="18" xfId="0" applyNumberFormat="1" applyFill="1" applyBorder="1" applyAlignment="1">
      <alignment horizontal="right" vertical="center"/>
    </xf>
    <xf numFmtId="14" fontId="0" fillId="9" borderId="19" xfId="0" applyNumberFormat="1" applyFill="1" applyBorder="1" applyAlignment="1">
      <alignment horizontal="right" vertical="center"/>
    </xf>
    <xf numFmtId="0" fontId="5" fillId="12" borderId="46" xfId="0" applyFont="1" applyFill="1" applyBorder="1" applyAlignment="1">
      <alignment horizontal="center"/>
    </xf>
    <xf numFmtId="0" fontId="5" fillId="12" borderId="54" xfId="0" applyFont="1" applyFill="1" applyBorder="1" applyAlignment="1">
      <alignment horizontal="center"/>
    </xf>
    <xf numFmtId="0" fontId="5" fillId="12" borderId="20" xfId="0" applyFont="1" applyFill="1" applyBorder="1" applyAlignment="1">
      <alignment horizontal="center"/>
    </xf>
    <xf numFmtId="0" fontId="9" fillId="12" borderId="7" xfId="0" applyFont="1" applyFill="1" applyBorder="1" applyAlignment="1">
      <alignment horizontal="center" vertical="center" textRotation="90" wrapText="1"/>
    </xf>
    <xf numFmtId="0" fontId="9" fillId="12" borderId="8" xfId="0" applyFont="1" applyFill="1" applyBorder="1" applyAlignment="1">
      <alignment horizontal="center" vertical="center" textRotation="90" wrapText="1"/>
    </xf>
    <xf numFmtId="0" fontId="9" fillId="12" borderId="56" xfId="0" applyFont="1" applyFill="1" applyBorder="1" applyAlignment="1">
      <alignment horizontal="center" vertical="center" textRotation="90" wrapText="1"/>
    </xf>
    <xf numFmtId="0" fontId="5" fillId="16" borderId="52" xfId="0" applyFont="1" applyFill="1" applyBorder="1" applyAlignment="1">
      <alignment horizontal="center" vertical="center" wrapText="1"/>
    </xf>
    <xf numFmtId="0" fontId="5" fillId="16" borderId="50" xfId="0" applyFont="1" applyFill="1" applyBorder="1" applyAlignment="1">
      <alignment horizontal="center" vertical="center" wrapText="1"/>
    </xf>
    <xf numFmtId="0" fontId="5" fillId="16" borderId="49" xfId="0" applyFont="1" applyFill="1" applyBorder="1" applyAlignment="1">
      <alignment horizontal="center" vertical="center" wrapText="1"/>
    </xf>
    <xf numFmtId="0" fontId="8" fillId="7" borderId="50" xfId="0" applyFont="1" applyFill="1" applyBorder="1"/>
    <xf numFmtId="0" fontId="1" fillId="9" borderId="3" xfId="0" applyFont="1" applyFill="1" applyBorder="1" applyAlignment="1">
      <alignment horizontal="center" vertical="center"/>
    </xf>
    <xf numFmtId="0" fontId="1" fillId="9" borderId="0" xfId="0" applyFont="1" applyFill="1" applyAlignment="1">
      <alignment horizontal="center" vertical="center"/>
    </xf>
    <xf numFmtId="0" fontId="1" fillId="9" borderId="53" xfId="0" applyFont="1" applyFill="1" applyBorder="1" applyAlignment="1">
      <alignment horizontal="center" vertical="center"/>
    </xf>
    <xf numFmtId="0" fontId="9" fillId="12" borderId="6" xfId="0" applyFont="1" applyFill="1" applyBorder="1" applyAlignment="1">
      <alignment horizontal="center" vertical="center" textRotation="90" wrapText="1"/>
    </xf>
    <xf numFmtId="0" fontId="9" fillId="12" borderId="55" xfId="0" applyFont="1" applyFill="1" applyBorder="1" applyAlignment="1">
      <alignment horizontal="center" vertical="center" textRotation="90" wrapText="1"/>
    </xf>
    <xf numFmtId="0" fontId="0" fillId="9" borderId="1" xfId="0" applyFill="1" applyBorder="1" applyAlignment="1">
      <alignment horizontal="center"/>
    </xf>
    <xf numFmtId="0" fontId="5" fillId="12" borderId="42" xfId="0" applyFont="1" applyFill="1" applyBorder="1" applyAlignment="1">
      <alignment horizontal="center" vertical="center" wrapText="1"/>
    </xf>
    <xf numFmtId="0" fontId="6" fillId="9" borderId="51" xfId="0" applyFont="1" applyFill="1" applyBorder="1"/>
    <xf numFmtId="0" fontId="6" fillId="9" borderId="44" xfId="0" applyFont="1" applyFill="1" applyBorder="1"/>
    <xf numFmtId="0" fontId="0" fillId="11" borderId="12" xfId="0"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horizontal="center" vertical="center"/>
    </xf>
    <xf numFmtId="0" fontId="0" fillId="11" borderId="0" xfId="0" applyFill="1" applyAlignment="1">
      <alignment horizontal="center" vertical="center"/>
    </xf>
    <xf numFmtId="0" fontId="0" fillId="11" borderId="16" xfId="0" applyFill="1" applyBorder="1" applyAlignment="1">
      <alignment horizontal="center" vertical="center"/>
    </xf>
    <xf numFmtId="0" fontId="0" fillId="11" borderId="17" xfId="0" applyFill="1" applyBorder="1" applyAlignment="1">
      <alignment horizontal="center" vertical="center"/>
    </xf>
    <xf numFmtId="0" fontId="0" fillId="11" borderId="18" xfId="0" applyFill="1" applyBorder="1" applyAlignment="1">
      <alignment horizontal="center" vertical="center"/>
    </xf>
    <xf numFmtId="0" fontId="0" fillId="11" borderId="19" xfId="0" applyFill="1" applyBorder="1" applyAlignment="1">
      <alignment horizontal="center" vertical="center"/>
    </xf>
    <xf numFmtId="0" fontId="4" fillId="10" borderId="28" xfId="0" applyFont="1" applyFill="1" applyBorder="1" applyAlignment="1">
      <alignment horizontal="center" vertical="center"/>
    </xf>
    <xf numFmtId="0" fontId="4" fillId="10" borderId="33" xfId="0" applyFont="1" applyFill="1" applyBorder="1" applyAlignment="1">
      <alignment horizontal="center" vertical="center"/>
    </xf>
    <xf numFmtId="0" fontId="4" fillId="10" borderId="34" xfId="0" applyFont="1" applyFill="1" applyBorder="1" applyAlignment="1">
      <alignment horizontal="center" vertical="center"/>
    </xf>
    <xf numFmtId="0" fontId="4" fillId="10" borderId="30" xfId="0" applyFont="1" applyFill="1" applyBorder="1" applyAlignment="1">
      <alignment horizontal="center" vertical="center"/>
    </xf>
    <xf numFmtId="0" fontId="4" fillId="10" borderId="31" xfId="0" applyFont="1" applyFill="1" applyBorder="1" applyAlignment="1">
      <alignment horizontal="center" vertical="center"/>
    </xf>
    <xf numFmtId="0" fontId="4" fillId="10" borderId="32"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13" xfId="0" applyFont="1" applyFill="1" applyBorder="1" applyAlignment="1">
      <alignment horizontal="center" vertical="center"/>
    </xf>
    <xf numFmtId="0" fontId="4" fillId="11" borderId="14" xfId="0" applyFont="1" applyFill="1" applyBorder="1" applyAlignment="1">
      <alignment horizontal="center" vertical="center"/>
    </xf>
    <xf numFmtId="0" fontId="4" fillId="11" borderId="15" xfId="0" applyFont="1" applyFill="1" applyBorder="1" applyAlignment="1">
      <alignment horizontal="center" vertical="center"/>
    </xf>
    <xf numFmtId="0" fontId="4" fillId="11" borderId="0" xfId="0" applyFont="1" applyFill="1" applyAlignment="1">
      <alignment horizontal="center" vertical="center"/>
    </xf>
    <xf numFmtId="0" fontId="4" fillId="11" borderId="16"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6" fillId="9" borderId="36" xfId="0" applyFont="1" applyFill="1" applyBorder="1" applyAlignment="1">
      <alignment wrapText="1"/>
    </xf>
    <xf numFmtId="0" fontId="6" fillId="9" borderId="37" xfId="0" applyFont="1" applyFill="1" applyBorder="1" applyAlignment="1">
      <alignment wrapText="1"/>
    </xf>
    <xf numFmtId="0" fontId="5" fillId="12" borderId="49" xfId="0" applyFont="1" applyFill="1" applyBorder="1" applyAlignment="1">
      <alignment horizontal="center" vertical="center"/>
    </xf>
    <xf numFmtId="0" fontId="5" fillId="12" borderId="62" xfId="0" applyFont="1" applyFill="1" applyBorder="1" applyAlignment="1">
      <alignment horizontal="center" vertical="center"/>
    </xf>
    <xf numFmtId="0" fontId="5" fillId="12" borderId="63" xfId="0" applyFont="1" applyFill="1" applyBorder="1" applyAlignment="1">
      <alignment horizontal="center" vertical="center" wrapText="1"/>
    </xf>
    <xf numFmtId="0" fontId="5" fillId="12" borderId="60" xfId="0" applyFont="1" applyFill="1" applyBorder="1" applyAlignment="1">
      <alignment horizontal="center" vertical="center" wrapText="1"/>
    </xf>
    <xf numFmtId="0" fontId="5" fillId="12" borderId="64" xfId="0" applyFont="1" applyFill="1" applyBorder="1" applyAlignment="1">
      <alignment horizontal="center" vertical="center" wrapText="1"/>
    </xf>
    <xf numFmtId="0" fontId="0" fillId="9" borderId="46" xfId="0" applyFill="1" applyBorder="1" applyAlignment="1">
      <alignment horizontal="center"/>
    </xf>
    <xf numFmtId="0" fontId="0" fillId="9" borderId="54" xfId="0" applyFill="1" applyBorder="1" applyAlignment="1">
      <alignment horizontal="center"/>
    </xf>
    <xf numFmtId="0" fontId="0" fillId="9" borderId="20" xfId="0" applyFill="1" applyBorder="1" applyAlignment="1">
      <alignment horizontal="center"/>
    </xf>
    <xf numFmtId="0" fontId="5" fillId="12" borderId="36" xfId="0" applyFont="1" applyFill="1" applyBorder="1" applyAlignment="1">
      <alignment horizontal="center" vertical="center" wrapText="1"/>
    </xf>
    <xf numFmtId="0" fontId="5" fillId="1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599556595650671E-2"/>
                  <c:y val="-0.3877844207371710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28.362712865742651</c:v>
              </c:pt>
              <c:pt idx="1">
                <c:v>25.539523183324299</c:v>
              </c:pt>
              <c:pt idx="2">
                <c:v>23.721203789059452</c:v>
              </c:pt>
              <c:pt idx="3">
                <c:v>21.4106787444098</c:v>
              </c:pt>
              <c:pt idx="4">
                <c:v>19.1692933148063</c:v>
              </c:pt>
            </c:numLit>
          </c:yVal>
          <c:smooth val="0"/>
          <c:extLst>
            <c:ext xmlns:c16="http://schemas.microsoft.com/office/drawing/2014/chart" uri="{C3380CC4-5D6E-409C-BE32-E72D297353CC}">
              <c16:uniqueId val="{00000001-E278-4190-B555-F342639AE45A}"/>
            </c:ext>
          </c:extLst>
        </c:ser>
        <c:dLbls>
          <c:showLegendKey val="0"/>
          <c:showVal val="0"/>
          <c:showCatName val="0"/>
          <c:showSerName val="0"/>
          <c:showPercent val="0"/>
          <c:showBubbleSize val="0"/>
        </c:dLbls>
        <c:axId val="1747114416"/>
        <c:axId val="1747115376"/>
      </c:scatterChart>
      <c:valAx>
        <c:axId val="174711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15376"/>
        <c:crosses val="autoZero"/>
        <c:crossBetween val="midCat"/>
      </c:valAx>
      <c:valAx>
        <c:axId val="174711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1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256663036725228E-2"/>
                  <c:y val="-0.375529673374161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27.886368560801898</c:v>
              </c:pt>
              <c:pt idx="1">
                <c:v>25.629594683265452</c:v>
              </c:pt>
              <c:pt idx="2">
                <c:v>23.113756652200152</c:v>
              </c:pt>
              <c:pt idx="3">
                <c:v>20.813842319714301</c:v>
              </c:pt>
              <c:pt idx="4">
                <c:v>18.570624310112748</c:v>
              </c:pt>
            </c:numLit>
          </c:yVal>
          <c:smooth val="0"/>
          <c:extLst>
            <c:ext xmlns:c16="http://schemas.microsoft.com/office/drawing/2014/chart" uri="{C3380CC4-5D6E-409C-BE32-E72D297353CC}">
              <c16:uniqueId val="{00000001-B888-4FBE-8822-1FB7855AAA5D}"/>
            </c:ext>
          </c:extLst>
        </c:ser>
        <c:dLbls>
          <c:showLegendKey val="0"/>
          <c:showVal val="0"/>
          <c:showCatName val="0"/>
          <c:showSerName val="0"/>
          <c:showPercent val="0"/>
          <c:showBubbleSize val="0"/>
        </c:dLbls>
        <c:axId val="1754591424"/>
        <c:axId val="1749165632"/>
      </c:scatterChart>
      <c:valAx>
        <c:axId val="175459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165632"/>
        <c:crosses val="autoZero"/>
        <c:crossBetween val="midCat"/>
      </c:valAx>
      <c:valAx>
        <c:axId val="174916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9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9929790026246719E-2"/>
                  <c:y val="-0.441011522560734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31.356164168265899</c:v>
              </c:pt>
              <c:pt idx="1">
                <c:v>29.2039881577434</c:v>
              </c:pt>
              <c:pt idx="2">
                <c:v>27.791629331400451</c:v>
              </c:pt>
              <c:pt idx="3">
                <c:v>27.022297383686151</c:v>
              </c:pt>
              <c:pt idx="4">
                <c:v>26.044812138343801</c:v>
              </c:pt>
            </c:numLit>
          </c:yVal>
          <c:smooth val="0"/>
          <c:extLst>
            <c:ext xmlns:c16="http://schemas.microsoft.com/office/drawing/2014/chart" uri="{C3380CC4-5D6E-409C-BE32-E72D297353CC}">
              <c16:uniqueId val="{00000001-D197-4756-8C5C-9BFC73D65EF4}"/>
            </c:ext>
          </c:extLst>
        </c:ser>
        <c:dLbls>
          <c:showLegendKey val="0"/>
          <c:showVal val="0"/>
          <c:showCatName val="0"/>
          <c:showSerName val="0"/>
          <c:showPercent val="0"/>
          <c:showBubbleSize val="0"/>
        </c:dLbls>
        <c:axId val="2085642576"/>
        <c:axId val="1994334448"/>
      </c:scatterChart>
      <c:valAx>
        <c:axId val="2085642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34448"/>
        <c:crosses val="autoZero"/>
        <c:crossBetween val="midCat"/>
      </c:valAx>
      <c:valAx>
        <c:axId val="199433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42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866883221275888E-2"/>
                  <c:y val="-0.32416026023824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(R2)'!$D$34:$D$38</c:f>
              <c:numCache>
                <c:formatCode>0.00</c:formatCode>
                <c:ptCount val="5"/>
                <c:pt idx="0">
                  <c:v>-1.494850021680094</c:v>
                </c:pt>
                <c:pt idx="1">
                  <c:v>-0.79588001734407521</c:v>
                </c:pt>
                <c:pt idx="2">
                  <c:v>-9.6910013008056392E-2</c:v>
                </c:pt>
                <c:pt idx="3">
                  <c:v>0.6020599913279624</c:v>
                </c:pt>
                <c:pt idx="4">
                  <c:v>1.3010299956639813</c:v>
                </c:pt>
              </c:numCache>
            </c:numRef>
          </c:xVal>
          <c:yVal>
            <c:numRef>
              <c:f>'T47D (R2)'!$E$34:$E$38</c:f>
              <c:numCache>
                <c:formatCode>0.00</c:formatCode>
                <c:ptCount val="5"/>
                <c:pt idx="0">
                  <c:v>28.48888906868925</c:v>
                </c:pt>
                <c:pt idx="1">
                  <c:v>26.263599490578549</c:v>
                </c:pt>
                <c:pt idx="2">
                  <c:v>23.967078994068</c:v>
                </c:pt>
                <c:pt idx="3">
                  <c:v>21.500907997181951</c:v>
                </c:pt>
                <c:pt idx="4">
                  <c:v>19.2780300667741</c:v>
                </c:pt>
              </c:numCache>
            </c:numRef>
          </c:yVal>
          <c:smooth val="0"/>
          <c:extLst>
            <c:ext xmlns:c16="http://schemas.microsoft.com/office/drawing/2014/chart" uri="{C3380CC4-5D6E-409C-BE32-E72D297353CC}">
              <c16:uniqueId val="{00000000-433A-45D2-BDBE-C858D032FECA}"/>
            </c:ext>
          </c:extLst>
        </c:ser>
        <c:dLbls>
          <c:showLegendKey val="0"/>
          <c:showVal val="0"/>
          <c:showCatName val="0"/>
          <c:showSerName val="0"/>
          <c:showPercent val="0"/>
          <c:showBubbleSize val="0"/>
        </c:dLbls>
        <c:axId val="1886744672"/>
        <c:axId val="1884185664"/>
      </c:scatterChart>
      <c:valAx>
        <c:axId val="18867446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85664"/>
        <c:crosses val="autoZero"/>
        <c:crossBetween val="midCat"/>
      </c:valAx>
      <c:valAx>
        <c:axId val="1884185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4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7762451180899306E-2"/>
                  <c:y val="-0.483645292827192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(R2)'!$K$34:$K$38</c:f>
              <c:numCache>
                <c:formatCode>0.00</c:formatCode>
                <c:ptCount val="5"/>
                <c:pt idx="0">
                  <c:v>-1.494850021680094</c:v>
                </c:pt>
                <c:pt idx="1">
                  <c:v>-0.79588001734407521</c:v>
                </c:pt>
                <c:pt idx="2">
                  <c:v>-9.6910013008056392E-2</c:v>
                </c:pt>
                <c:pt idx="3">
                  <c:v>0.6020599913279624</c:v>
                </c:pt>
                <c:pt idx="4">
                  <c:v>1.3010299956639813</c:v>
                </c:pt>
              </c:numCache>
            </c:numRef>
          </c:xVal>
          <c:yVal>
            <c:numRef>
              <c:f>'T47D (R2)'!$L$34:$L$38</c:f>
              <c:numCache>
                <c:formatCode>0.00</c:formatCode>
                <c:ptCount val="5"/>
                <c:pt idx="0">
                  <c:v>31.945953272746749</c:v>
                </c:pt>
                <c:pt idx="1">
                  <c:v>27.067183974416551</c:v>
                </c:pt>
                <c:pt idx="2">
                  <c:v>21.795432904692248</c:v>
                </c:pt>
                <c:pt idx="3">
                  <c:v>18.5337561597491</c:v>
                </c:pt>
                <c:pt idx="4">
                  <c:v>16.124990615771448</c:v>
                </c:pt>
              </c:numCache>
            </c:numRef>
          </c:yVal>
          <c:smooth val="0"/>
          <c:extLst>
            <c:ext xmlns:c16="http://schemas.microsoft.com/office/drawing/2014/chart" uri="{C3380CC4-5D6E-409C-BE32-E72D297353CC}">
              <c16:uniqueId val="{00000000-D058-4E5D-BB3F-C29F3367A0BF}"/>
            </c:ext>
          </c:extLst>
        </c:ser>
        <c:dLbls>
          <c:showLegendKey val="0"/>
          <c:showVal val="0"/>
          <c:showCatName val="0"/>
          <c:showSerName val="0"/>
          <c:showPercent val="0"/>
          <c:showBubbleSize val="0"/>
        </c:dLbls>
        <c:axId val="511424208"/>
        <c:axId val="1884191424"/>
      </c:scatterChart>
      <c:valAx>
        <c:axId val="5114242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91424"/>
        <c:crosses val="autoZero"/>
        <c:crossBetween val="midCat"/>
      </c:valAx>
      <c:valAx>
        <c:axId val="1884191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2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9478261285523632E-2"/>
                  <c:y val="-0.673117310117185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(R2)'!$R$34:$R$38</c:f>
              <c:numCache>
                <c:formatCode>0.00</c:formatCode>
                <c:ptCount val="5"/>
                <c:pt idx="0">
                  <c:v>-1.494850021680094</c:v>
                </c:pt>
                <c:pt idx="1">
                  <c:v>-0.79588001734407521</c:v>
                </c:pt>
                <c:pt idx="2">
                  <c:v>-9.6910013008056392E-2</c:v>
                </c:pt>
                <c:pt idx="3">
                  <c:v>0.6020599913279624</c:v>
                </c:pt>
                <c:pt idx="4">
                  <c:v>1.3010299956639813</c:v>
                </c:pt>
              </c:numCache>
            </c:numRef>
          </c:xVal>
          <c:yVal>
            <c:numRef>
              <c:f>'T47D (R2)'!$S$34:$S$38</c:f>
              <c:numCache>
                <c:formatCode>0.00</c:formatCode>
                <c:ptCount val="5"/>
                <c:pt idx="0">
                  <c:v>25.221671752446699</c:v>
                </c:pt>
                <c:pt idx="1">
                  <c:v>23.870656693319901</c:v>
                </c:pt>
                <c:pt idx="2">
                  <c:v>23.93498659356095</c:v>
                </c:pt>
                <c:pt idx="3">
                  <c:v>24.666780579453551</c:v>
                </c:pt>
                <c:pt idx="4">
                  <c:v>23.127790550416449</c:v>
                </c:pt>
              </c:numCache>
            </c:numRef>
          </c:yVal>
          <c:smooth val="0"/>
          <c:extLst>
            <c:ext xmlns:c16="http://schemas.microsoft.com/office/drawing/2014/chart" uri="{C3380CC4-5D6E-409C-BE32-E72D297353CC}">
              <c16:uniqueId val="{00000000-40D9-4678-B9D9-C8D67CB7BCCC}"/>
            </c:ext>
          </c:extLst>
        </c:ser>
        <c:dLbls>
          <c:showLegendKey val="0"/>
          <c:showVal val="0"/>
          <c:showCatName val="0"/>
          <c:showSerName val="0"/>
          <c:showPercent val="0"/>
          <c:showBubbleSize val="0"/>
        </c:dLbls>
        <c:axId val="557150864"/>
        <c:axId val="1888532544"/>
      </c:scatterChart>
      <c:valAx>
        <c:axId val="5571508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532544"/>
        <c:crosses val="autoZero"/>
        <c:crossBetween val="midCat"/>
      </c:valAx>
      <c:valAx>
        <c:axId val="1888532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50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9647689276344486E-2"/>
                  <c:y val="-0.364693842168308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(R2)'!$Y$34:$Y$38</c:f>
              <c:numCache>
                <c:formatCode>0.00</c:formatCode>
                <c:ptCount val="5"/>
                <c:pt idx="0">
                  <c:v>-1.494850021680094</c:v>
                </c:pt>
                <c:pt idx="1">
                  <c:v>-0.79588001734407521</c:v>
                </c:pt>
                <c:pt idx="2">
                  <c:v>-9.6910013008056392E-2</c:v>
                </c:pt>
                <c:pt idx="3">
                  <c:v>0.6020599913279624</c:v>
                </c:pt>
                <c:pt idx="4">
                  <c:v>1.3010299956639813</c:v>
                </c:pt>
              </c:numCache>
            </c:numRef>
          </c:xVal>
          <c:yVal>
            <c:numRef>
              <c:f>'T47D (R2)'!$Z$34:$Z$38</c:f>
              <c:numCache>
                <c:formatCode>0.00</c:formatCode>
                <c:ptCount val="5"/>
                <c:pt idx="0">
                  <c:v>26.41969186216145</c:v>
                </c:pt>
                <c:pt idx="1">
                  <c:v>24.234180038529502</c:v>
                </c:pt>
                <c:pt idx="2">
                  <c:v>22.001024850057</c:v>
                </c:pt>
                <c:pt idx="3">
                  <c:v>19.91038383255605</c:v>
                </c:pt>
                <c:pt idx="4">
                  <c:v>17.650963212248801</c:v>
                </c:pt>
              </c:numCache>
            </c:numRef>
          </c:yVal>
          <c:smooth val="0"/>
          <c:extLst>
            <c:ext xmlns:c16="http://schemas.microsoft.com/office/drawing/2014/chart" uri="{C3380CC4-5D6E-409C-BE32-E72D297353CC}">
              <c16:uniqueId val="{00000000-D7BE-4AEC-9263-ECA8FB1E0E41}"/>
            </c:ext>
          </c:extLst>
        </c:ser>
        <c:dLbls>
          <c:showLegendKey val="0"/>
          <c:showVal val="0"/>
          <c:showCatName val="0"/>
          <c:showSerName val="0"/>
          <c:showPercent val="0"/>
          <c:showBubbleSize val="0"/>
        </c:dLbls>
        <c:axId val="1994615248"/>
        <c:axId val="1884186624"/>
      </c:scatterChart>
      <c:valAx>
        <c:axId val="19946152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86624"/>
        <c:crosses val="autoZero"/>
        <c:crossBetween val="midCat"/>
      </c:valAx>
      <c:valAx>
        <c:axId val="1884186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15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6716864653731736E-2"/>
                  <c:y val="-0.391889045547550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(R2)'!$AF$34:$AF$38</c:f>
              <c:numCache>
                <c:formatCode>0.00</c:formatCode>
                <c:ptCount val="5"/>
                <c:pt idx="0">
                  <c:v>-1.494850021680094</c:v>
                </c:pt>
                <c:pt idx="1">
                  <c:v>-0.79588001734407521</c:v>
                </c:pt>
                <c:pt idx="2">
                  <c:v>-9.6910013008056392E-2</c:v>
                </c:pt>
                <c:pt idx="3">
                  <c:v>0.6020599913279624</c:v>
                </c:pt>
                <c:pt idx="4">
                  <c:v>1.3010299956639813</c:v>
                </c:pt>
              </c:numCache>
            </c:numRef>
          </c:xVal>
          <c:yVal>
            <c:numRef>
              <c:f>'T47D (R2)'!$AG$34:$AG$38</c:f>
              <c:numCache>
                <c:formatCode>0.00</c:formatCode>
                <c:ptCount val="5"/>
                <c:pt idx="0">
                  <c:v>26.384009168675401</c:v>
                </c:pt>
                <c:pt idx="1">
                  <c:v>24.034032469352201</c:v>
                </c:pt>
                <c:pt idx="2">
                  <c:v>21.872038334001303</c:v>
                </c:pt>
                <c:pt idx="3">
                  <c:v>19.46314992242085</c:v>
                </c:pt>
                <c:pt idx="4">
                  <c:v>17.046849519788552</c:v>
                </c:pt>
              </c:numCache>
            </c:numRef>
          </c:yVal>
          <c:smooth val="0"/>
          <c:extLst>
            <c:ext xmlns:c16="http://schemas.microsoft.com/office/drawing/2014/chart" uri="{C3380CC4-5D6E-409C-BE32-E72D297353CC}">
              <c16:uniqueId val="{00000000-E53C-442F-AA92-0A98356FA9D1}"/>
            </c:ext>
          </c:extLst>
        </c:ser>
        <c:dLbls>
          <c:showLegendKey val="0"/>
          <c:showVal val="0"/>
          <c:showCatName val="0"/>
          <c:showSerName val="0"/>
          <c:showPercent val="0"/>
          <c:showBubbleSize val="0"/>
        </c:dLbls>
        <c:axId val="1998760112"/>
        <c:axId val="1884192384"/>
      </c:scatterChart>
      <c:valAx>
        <c:axId val="19987601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92384"/>
        <c:crosses val="autoZero"/>
        <c:crossBetween val="midCat"/>
      </c:valAx>
      <c:valAx>
        <c:axId val="1884192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760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500105454910741E-2"/>
                  <c:y val="-0.374991275993043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(R2)'!$AM$34:$AM$38</c:f>
              <c:numCache>
                <c:formatCode>0.00</c:formatCode>
                <c:ptCount val="5"/>
                <c:pt idx="0">
                  <c:v>-1.494850021680094</c:v>
                </c:pt>
                <c:pt idx="1">
                  <c:v>-0.79588001734407521</c:v>
                </c:pt>
                <c:pt idx="2">
                  <c:v>-9.6910013008056392E-2</c:v>
                </c:pt>
                <c:pt idx="3">
                  <c:v>0.6020599913279624</c:v>
                </c:pt>
                <c:pt idx="4">
                  <c:v>1.3010299956639813</c:v>
                </c:pt>
              </c:numCache>
            </c:numRef>
          </c:xVal>
          <c:yVal>
            <c:numRef>
              <c:f>'T47D (R2)'!$AN$34:$AN$38</c:f>
              <c:numCache>
                <c:formatCode>0.00</c:formatCode>
                <c:ptCount val="5"/>
                <c:pt idx="0">
                  <c:v>27.806037511664151</c:v>
                </c:pt>
                <c:pt idx="1">
                  <c:v>25.300101370363947</c:v>
                </c:pt>
                <c:pt idx="2">
                  <c:v>22.924149076354201</c:v>
                </c:pt>
                <c:pt idx="3">
                  <c:v>20.630432182372751</c:v>
                </c:pt>
                <c:pt idx="4">
                  <c:v>18.177436224487099</c:v>
                </c:pt>
              </c:numCache>
            </c:numRef>
          </c:yVal>
          <c:smooth val="0"/>
          <c:extLst>
            <c:ext xmlns:c16="http://schemas.microsoft.com/office/drawing/2014/chart" uri="{C3380CC4-5D6E-409C-BE32-E72D297353CC}">
              <c16:uniqueId val="{00000000-18E1-41FF-B4C5-596C0DDF7741}"/>
            </c:ext>
          </c:extLst>
        </c:ser>
        <c:dLbls>
          <c:showLegendKey val="0"/>
          <c:showVal val="0"/>
          <c:showCatName val="0"/>
          <c:showSerName val="0"/>
          <c:showPercent val="0"/>
          <c:showBubbleSize val="0"/>
        </c:dLbls>
        <c:axId val="1994605968"/>
        <c:axId val="1765475536"/>
      </c:scatterChart>
      <c:valAx>
        <c:axId val="19946059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75536"/>
        <c:crosses val="autoZero"/>
        <c:crossBetween val="midCat"/>
      </c:valAx>
      <c:valAx>
        <c:axId val="1765475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05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0348507722251393E-2"/>
                  <c:y val="-0.35222329392997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(R2)'!$D$62:$D$66</c:f>
              <c:numCache>
                <c:formatCode>0.00</c:formatCode>
                <c:ptCount val="5"/>
                <c:pt idx="0">
                  <c:v>-1.494850021680094</c:v>
                </c:pt>
                <c:pt idx="1">
                  <c:v>-0.79588001734407521</c:v>
                </c:pt>
                <c:pt idx="2">
                  <c:v>-9.6910013008056392E-2</c:v>
                </c:pt>
                <c:pt idx="3">
                  <c:v>0.6020599913279624</c:v>
                </c:pt>
                <c:pt idx="4">
                  <c:v>1.3010299956639813</c:v>
                </c:pt>
              </c:numCache>
            </c:numRef>
          </c:xVal>
          <c:yVal>
            <c:numRef>
              <c:f>'T47D (R2)'!$E$62:$E$66</c:f>
              <c:numCache>
                <c:formatCode>0.00</c:formatCode>
                <c:ptCount val="5"/>
                <c:pt idx="0">
                  <c:v>28.978429465094351</c:v>
                </c:pt>
                <c:pt idx="1">
                  <c:v>27.435824873388349</c:v>
                </c:pt>
                <c:pt idx="2">
                  <c:v>26.311545100666951</c:v>
                </c:pt>
                <c:pt idx="3">
                  <c:v>24.252879548749149</c:v>
                </c:pt>
                <c:pt idx="4">
                  <c:v>21.857612367103648</c:v>
                </c:pt>
              </c:numCache>
            </c:numRef>
          </c:yVal>
          <c:smooth val="0"/>
          <c:extLst>
            <c:ext xmlns:c16="http://schemas.microsoft.com/office/drawing/2014/chart" uri="{C3380CC4-5D6E-409C-BE32-E72D297353CC}">
              <c16:uniqueId val="{00000000-E53B-4E2B-B605-EAF52DE15087}"/>
            </c:ext>
          </c:extLst>
        </c:ser>
        <c:dLbls>
          <c:showLegendKey val="0"/>
          <c:showVal val="0"/>
          <c:showCatName val="0"/>
          <c:showSerName val="0"/>
          <c:showPercent val="0"/>
          <c:showBubbleSize val="0"/>
        </c:dLbls>
        <c:axId val="1766004400"/>
        <c:axId val="555759808"/>
      </c:scatterChart>
      <c:valAx>
        <c:axId val="1766004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59808"/>
        <c:crosses val="autoZero"/>
        <c:crossBetween val="midCat"/>
      </c:valAx>
      <c:valAx>
        <c:axId val="555759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0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7589435752402184E-2"/>
                  <c:y val="-0.3113922947794630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(R2)'!$K$62:$K$66</c:f>
              <c:numCache>
                <c:formatCode>0.00</c:formatCode>
                <c:ptCount val="5"/>
                <c:pt idx="0">
                  <c:v>-1.494850021680094</c:v>
                </c:pt>
                <c:pt idx="1">
                  <c:v>-0.79588001734407521</c:v>
                </c:pt>
                <c:pt idx="2">
                  <c:v>-9.6910013008056392E-2</c:v>
                </c:pt>
                <c:pt idx="3">
                  <c:v>0.6020599913279624</c:v>
                </c:pt>
                <c:pt idx="4">
                  <c:v>1.3010299956639813</c:v>
                </c:pt>
              </c:numCache>
            </c:numRef>
          </c:xVal>
          <c:yVal>
            <c:numRef>
              <c:f>'T47D (R2)'!$L$62:$L$66</c:f>
              <c:numCache>
                <c:formatCode>0.00</c:formatCode>
                <c:ptCount val="5"/>
                <c:pt idx="0">
                  <c:v>28.177004356755653</c:v>
                </c:pt>
                <c:pt idx="1">
                  <c:v>26.1082192306122</c:v>
                </c:pt>
                <c:pt idx="2">
                  <c:v>24.377711036539299</c:v>
                </c:pt>
                <c:pt idx="3">
                  <c:v>22.1954667613029</c:v>
                </c:pt>
                <c:pt idx="4">
                  <c:v>20.156110285068102</c:v>
                </c:pt>
              </c:numCache>
            </c:numRef>
          </c:yVal>
          <c:smooth val="0"/>
          <c:extLst>
            <c:ext xmlns:c16="http://schemas.microsoft.com/office/drawing/2014/chart" uri="{C3380CC4-5D6E-409C-BE32-E72D297353CC}">
              <c16:uniqueId val="{00000000-D5A7-456D-9C92-78E7F0FA6DA6}"/>
            </c:ext>
          </c:extLst>
        </c:ser>
        <c:dLbls>
          <c:showLegendKey val="0"/>
          <c:showVal val="0"/>
          <c:showCatName val="0"/>
          <c:showSerName val="0"/>
          <c:showPercent val="0"/>
          <c:showBubbleSize val="0"/>
        </c:dLbls>
        <c:axId val="557128128"/>
        <c:axId val="1888532064"/>
      </c:scatterChart>
      <c:valAx>
        <c:axId val="557128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532064"/>
        <c:crosses val="autoZero"/>
        <c:crossBetween val="midCat"/>
      </c:valAx>
      <c:valAx>
        <c:axId val="1888532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28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6269845542563308E-2"/>
                  <c:y val="-0.390926536440173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25.692825412890798</c:v>
              </c:pt>
              <c:pt idx="1">
                <c:v>23.059812831187351</c:v>
              </c:pt>
              <c:pt idx="2">
                <c:v>20.444206528475199</c:v>
              </c:pt>
              <c:pt idx="3">
                <c:v>17.774320555843051</c:v>
              </c:pt>
              <c:pt idx="4">
                <c:v>15.510426589648201</c:v>
              </c:pt>
            </c:numLit>
          </c:yVal>
          <c:smooth val="0"/>
          <c:extLst>
            <c:ext xmlns:c16="http://schemas.microsoft.com/office/drawing/2014/chart" uri="{C3380CC4-5D6E-409C-BE32-E72D297353CC}">
              <c16:uniqueId val="{00000001-35CC-42B3-837A-7556A33134CD}"/>
            </c:ext>
          </c:extLst>
        </c:ser>
        <c:dLbls>
          <c:showLegendKey val="0"/>
          <c:showVal val="0"/>
          <c:showCatName val="0"/>
          <c:showSerName val="0"/>
          <c:showPercent val="0"/>
          <c:showBubbleSize val="0"/>
        </c:dLbls>
        <c:axId val="1994338768"/>
        <c:axId val="1994340208"/>
      </c:scatterChart>
      <c:valAx>
        <c:axId val="199433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40208"/>
        <c:crosses val="autoZero"/>
        <c:crossBetween val="midCat"/>
      </c:valAx>
      <c:valAx>
        <c:axId val="19943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3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866651661949813E-2"/>
                  <c:y val="-0.373184445295588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(R2)'!$R$62:$R$66</c:f>
              <c:numCache>
                <c:formatCode>0.00</c:formatCode>
                <c:ptCount val="5"/>
                <c:pt idx="0">
                  <c:v>-1.494850021680094</c:v>
                </c:pt>
                <c:pt idx="1">
                  <c:v>-0.79588001734407521</c:v>
                </c:pt>
                <c:pt idx="2">
                  <c:v>-9.6910013008056392E-2</c:v>
                </c:pt>
                <c:pt idx="3">
                  <c:v>0.6020599913279624</c:v>
                </c:pt>
                <c:pt idx="4">
                  <c:v>1.3010299956639813</c:v>
                </c:pt>
              </c:numCache>
            </c:numRef>
          </c:xVal>
          <c:yVal>
            <c:numRef>
              <c:f>'T47D (R2)'!$S$62:$S$66</c:f>
              <c:numCache>
                <c:formatCode>0.00</c:formatCode>
                <c:ptCount val="5"/>
                <c:pt idx="0">
                  <c:v>24.521476770681499</c:v>
                </c:pt>
                <c:pt idx="1">
                  <c:v>22.900029642085102</c:v>
                </c:pt>
                <c:pt idx="2">
                  <c:v>20.949955940353448</c:v>
                </c:pt>
                <c:pt idx="3">
                  <c:v>20.894966442976401</c:v>
                </c:pt>
                <c:pt idx="4">
                  <c:v>16.437200251011049</c:v>
                </c:pt>
              </c:numCache>
            </c:numRef>
          </c:yVal>
          <c:smooth val="0"/>
          <c:extLst>
            <c:ext xmlns:c16="http://schemas.microsoft.com/office/drawing/2014/chart" uri="{C3380CC4-5D6E-409C-BE32-E72D297353CC}">
              <c16:uniqueId val="{00000000-F1B2-4216-B323-7B328F9495EF}"/>
            </c:ext>
          </c:extLst>
        </c:ser>
        <c:dLbls>
          <c:showLegendKey val="0"/>
          <c:showVal val="0"/>
          <c:showCatName val="0"/>
          <c:showSerName val="0"/>
          <c:showPercent val="0"/>
          <c:showBubbleSize val="0"/>
        </c:dLbls>
        <c:axId val="511410288"/>
        <c:axId val="555951808"/>
      </c:scatterChart>
      <c:valAx>
        <c:axId val="511410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51808"/>
        <c:crosses val="autoZero"/>
        <c:crossBetween val="midCat"/>
      </c:valAx>
      <c:valAx>
        <c:axId val="555951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10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0348507722251393E-2"/>
                  <c:y val="-0.276493100299818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(R2)'!$AF$62:$AF$66</c:f>
              <c:numCache>
                <c:formatCode>0.00</c:formatCode>
                <c:ptCount val="5"/>
                <c:pt idx="0">
                  <c:v>-1.494850021680094</c:v>
                </c:pt>
                <c:pt idx="1">
                  <c:v>-0.79588001734407521</c:v>
                </c:pt>
                <c:pt idx="2">
                  <c:v>-9.6910013008056392E-2</c:v>
                </c:pt>
                <c:pt idx="3">
                  <c:v>0.6020599913279624</c:v>
                </c:pt>
                <c:pt idx="4">
                  <c:v>1.3010299956639813</c:v>
                </c:pt>
              </c:numCache>
            </c:numRef>
          </c:xVal>
          <c:yVal>
            <c:numRef>
              <c:f>'T47D (R2)'!$AG$62:$AG$66</c:f>
              <c:numCache>
                <c:formatCode>0.00</c:formatCode>
                <c:ptCount val="5"/>
                <c:pt idx="0">
                  <c:v>30.195730915036748</c:v>
                </c:pt>
                <c:pt idx="1">
                  <c:v>28.928250248561248</c:v>
                </c:pt>
                <c:pt idx="2">
                  <c:v>28.5400296166979</c:v>
                </c:pt>
                <c:pt idx="3">
                  <c:v>27.43156661078125</c:v>
                </c:pt>
                <c:pt idx="4">
                  <c:v>24.812957428591151</c:v>
                </c:pt>
              </c:numCache>
            </c:numRef>
          </c:yVal>
          <c:smooth val="0"/>
          <c:extLst>
            <c:ext xmlns:c16="http://schemas.microsoft.com/office/drawing/2014/chart" uri="{C3380CC4-5D6E-409C-BE32-E72D297353CC}">
              <c16:uniqueId val="{00000000-24F2-4C07-B0F2-96BC02F3141F}"/>
            </c:ext>
          </c:extLst>
        </c:ser>
        <c:dLbls>
          <c:showLegendKey val="0"/>
          <c:showVal val="0"/>
          <c:showCatName val="0"/>
          <c:showSerName val="0"/>
          <c:showPercent val="0"/>
          <c:showBubbleSize val="0"/>
        </c:dLbls>
        <c:axId val="558355120"/>
        <c:axId val="1888524864"/>
      </c:scatterChart>
      <c:valAx>
        <c:axId val="5583551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524864"/>
        <c:crosses val="autoZero"/>
        <c:crossBetween val="midCat"/>
      </c:valAx>
      <c:valAx>
        <c:axId val="1888524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55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8374234470691159E-2"/>
                  <c:y val="-0.3860174249052201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(R2)'!$Y$62:$Y$64,'T47D (R2)'!$Y$66)</c:f>
              <c:numCache>
                <c:formatCode>0.00</c:formatCode>
                <c:ptCount val="4"/>
                <c:pt idx="0">
                  <c:v>-1.494850021680094</c:v>
                </c:pt>
                <c:pt idx="1">
                  <c:v>-0.79588001734407521</c:v>
                </c:pt>
                <c:pt idx="2">
                  <c:v>-9.6910013008056392E-2</c:v>
                </c:pt>
                <c:pt idx="3">
                  <c:v>1.3010299956639813</c:v>
                </c:pt>
              </c:numCache>
            </c:numRef>
          </c:xVal>
          <c:yVal>
            <c:numRef>
              <c:f>('T47D (R2)'!$Z$62:$Z$64,'T47D (R2)'!$Z$66)</c:f>
              <c:numCache>
                <c:formatCode>0.00</c:formatCode>
                <c:ptCount val="4"/>
                <c:pt idx="0">
                  <c:v>26.567772319973251</c:v>
                </c:pt>
                <c:pt idx="1">
                  <c:v>24.038299205144298</c:v>
                </c:pt>
                <c:pt idx="2">
                  <c:v>21.8919944787479</c:v>
                </c:pt>
                <c:pt idx="3">
                  <c:v>16.898807639463449</c:v>
                </c:pt>
              </c:numCache>
            </c:numRef>
          </c:yVal>
          <c:smooth val="0"/>
          <c:extLst>
            <c:ext xmlns:c16="http://schemas.microsoft.com/office/drawing/2014/chart" uri="{C3380CC4-5D6E-409C-BE32-E72D297353CC}">
              <c16:uniqueId val="{00000000-F0BF-4A42-B8B7-B77425716C2A}"/>
            </c:ext>
          </c:extLst>
        </c:ser>
        <c:dLbls>
          <c:showLegendKey val="0"/>
          <c:showVal val="0"/>
          <c:showCatName val="0"/>
          <c:showSerName val="0"/>
          <c:showPercent val="0"/>
          <c:showBubbleSize val="0"/>
        </c:dLbls>
        <c:axId val="192878191"/>
        <c:axId val="192903631"/>
      </c:scatterChart>
      <c:valAx>
        <c:axId val="1928781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03631"/>
        <c:crosses val="autoZero"/>
        <c:crossBetween val="midCat"/>
      </c:valAx>
      <c:valAx>
        <c:axId val="192903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78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44302154538377E-2"/>
                  <c:y val="-0.350008171148417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(R3)'!$D$34:$D$38</c:f>
              <c:numCache>
                <c:formatCode>0.00</c:formatCode>
                <c:ptCount val="5"/>
                <c:pt idx="0">
                  <c:v>-1.494850021680094</c:v>
                </c:pt>
                <c:pt idx="1">
                  <c:v>-0.79588001734407521</c:v>
                </c:pt>
                <c:pt idx="2">
                  <c:v>-9.6910013008056392E-2</c:v>
                </c:pt>
                <c:pt idx="3">
                  <c:v>0.6020599913279624</c:v>
                </c:pt>
                <c:pt idx="4">
                  <c:v>1.3010299956639813</c:v>
                </c:pt>
              </c:numCache>
            </c:numRef>
          </c:xVal>
          <c:yVal>
            <c:numRef>
              <c:f>'T47D (R3)'!$E$34:$E$38</c:f>
              <c:numCache>
                <c:formatCode>0.00</c:formatCode>
                <c:ptCount val="5"/>
                <c:pt idx="0">
                  <c:v>28.120947068449802</c:v>
                </c:pt>
                <c:pt idx="1">
                  <c:v>25.78779312353165</c:v>
                </c:pt>
                <c:pt idx="2">
                  <c:v>23.190931839245202</c:v>
                </c:pt>
                <c:pt idx="3">
                  <c:v>20.997686942170247</c:v>
                </c:pt>
                <c:pt idx="4">
                  <c:v>18.662603349185147</c:v>
                </c:pt>
              </c:numCache>
            </c:numRef>
          </c:yVal>
          <c:smooth val="0"/>
          <c:extLst>
            <c:ext xmlns:c16="http://schemas.microsoft.com/office/drawing/2014/chart" uri="{C3380CC4-5D6E-409C-BE32-E72D297353CC}">
              <c16:uniqueId val="{00000000-1418-4FE8-A821-6C9D74EA7983}"/>
            </c:ext>
          </c:extLst>
        </c:ser>
        <c:dLbls>
          <c:showLegendKey val="0"/>
          <c:showVal val="0"/>
          <c:showCatName val="0"/>
          <c:showSerName val="0"/>
          <c:showPercent val="0"/>
          <c:showBubbleSize val="0"/>
        </c:dLbls>
        <c:axId val="1709884911"/>
        <c:axId val="1715826911"/>
      </c:scatterChart>
      <c:valAx>
        <c:axId val="17098849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826911"/>
        <c:crosses val="autoZero"/>
        <c:crossBetween val="midCat"/>
      </c:valAx>
      <c:valAx>
        <c:axId val="17158269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884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487169587672508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(R3)'!$K$34:$K$38</c:f>
              <c:numCache>
                <c:formatCode>0.00</c:formatCode>
                <c:ptCount val="5"/>
                <c:pt idx="0">
                  <c:v>-1.494850021680094</c:v>
                </c:pt>
                <c:pt idx="1">
                  <c:v>-0.79588001734407521</c:v>
                </c:pt>
                <c:pt idx="2">
                  <c:v>-9.6910013008056392E-2</c:v>
                </c:pt>
                <c:pt idx="3">
                  <c:v>0.6020599913279624</c:v>
                </c:pt>
                <c:pt idx="4">
                  <c:v>1.3010299956639813</c:v>
                </c:pt>
              </c:numCache>
            </c:numRef>
          </c:xVal>
          <c:yVal>
            <c:numRef>
              <c:f>'T47D (R3)'!$L$34:$L$38</c:f>
              <c:numCache>
                <c:formatCode>0.00</c:formatCode>
                <c:ptCount val="5"/>
                <c:pt idx="0">
                  <c:v>30.275070122923299</c:v>
                </c:pt>
                <c:pt idx="1">
                  <c:v>25.745756413202049</c:v>
                </c:pt>
                <c:pt idx="2">
                  <c:v>21.218483459108249</c:v>
                </c:pt>
                <c:pt idx="3">
                  <c:v>18.2208485859286</c:v>
                </c:pt>
                <c:pt idx="4">
                  <c:v>15.78775315420225</c:v>
                </c:pt>
              </c:numCache>
            </c:numRef>
          </c:yVal>
          <c:smooth val="0"/>
          <c:extLst>
            <c:ext xmlns:c16="http://schemas.microsoft.com/office/drawing/2014/chart" uri="{C3380CC4-5D6E-409C-BE32-E72D297353CC}">
              <c16:uniqueId val="{00000000-ABAE-44BC-965E-4262D65C2D83}"/>
            </c:ext>
          </c:extLst>
        </c:ser>
        <c:dLbls>
          <c:showLegendKey val="0"/>
          <c:showVal val="0"/>
          <c:showCatName val="0"/>
          <c:showSerName val="0"/>
          <c:showPercent val="0"/>
          <c:showBubbleSize val="0"/>
        </c:dLbls>
        <c:axId val="1709902111"/>
        <c:axId val="1715810687"/>
      </c:scatterChart>
      <c:valAx>
        <c:axId val="17099021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810687"/>
        <c:crosses val="autoZero"/>
        <c:crossBetween val="midCat"/>
      </c:valAx>
      <c:valAx>
        <c:axId val="1715810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02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657106299212598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(R3)'!$R$34:$R$38</c:f>
              <c:numCache>
                <c:formatCode>0.00</c:formatCode>
                <c:ptCount val="5"/>
                <c:pt idx="0">
                  <c:v>-1.494850021680094</c:v>
                </c:pt>
                <c:pt idx="1">
                  <c:v>-0.79588001734407521</c:v>
                </c:pt>
                <c:pt idx="2">
                  <c:v>-9.6910013008056392E-2</c:v>
                </c:pt>
                <c:pt idx="3">
                  <c:v>0.6020599913279624</c:v>
                </c:pt>
                <c:pt idx="4">
                  <c:v>1.3010299956639813</c:v>
                </c:pt>
              </c:numCache>
            </c:numRef>
          </c:xVal>
          <c:yVal>
            <c:numRef>
              <c:f>'T47D (R3)'!$S$34:$S$38</c:f>
              <c:numCache>
                <c:formatCode>0.00</c:formatCode>
                <c:ptCount val="5"/>
                <c:pt idx="0">
                  <c:v>27.0262149676097</c:v>
                </c:pt>
                <c:pt idx="1">
                  <c:v>25.517970573735951</c:v>
                </c:pt>
                <c:pt idx="2">
                  <c:v>24.6477539804206</c:v>
                </c:pt>
                <c:pt idx="3">
                  <c:v>25.102033916854602</c:v>
                </c:pt>
                <c:pt idx="4">
                  <c:v>23.077058684969749</c:v>
                </c:pt>
              </c:numCache>
            </c:numRef>
          </c:yVal>
          <c:smooth val="0"/>
          <c:extLst>
            <c:ext xmlns:c16="http://schemas.microsoft.com/office/drawing/2014/chart" uri="{C3380CC4-5D6E-409C-BE32-E72D297353CC}">
              <c16:uniqueId val="{00000000-5253-4DDA-AC3A-DB6A5A8AD983}"/>
            </c:ext>
          </c:extLst>
        </c:ser>
        <c:dLbls>
          <c:showLegendKey val="0"/>
          <c:showVal val="0"/>
          <c:showCatName val="0"/>
          <c:showSerName val="0"/>
          <c:showPercent val="0"/>
          <c:showBubbleSize val="0"/>
        </c:dLbls>
        <c:axId val="1469278735"/>
        <c:axId val="1586783167"/>
      </c:scatterChart>
      <c:valAx>
        <c:axId val="14692787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83167"/>
        <c:crosses val="autoZero"/>
        <c:crossBetween val="midCat"/>
      </c:valAx>
      <c:valAx>
        <c:axId val="15867831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278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374234470691169E-2"/>
                  <c:y val="-0.3849070428696412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(R3)'!$Y$34:$Y$38</c:f>
              <c:numCache>
                <c:formatCode>0.00</c:formatCode>
                <c:ptCount val="5"/>
                <c:pt idx="0">
                  <c:v>-1.494850021680094</c:v>
                </c:pt>
                <c:pt idx="1">
                  <c:v>-0.79588001734407521</c:v>
                </c:pt>
                <c:pt idx="2">
                  <c:v>-9.6910013008056392E-2</c:v>
                </c:pt>
                <c:pt idx="3">
                  <c:v>0.6020599913279624</c:v>
                </c:pt>
                <c:pt idx="4">
                  <c:v>1.3010299956639813</c:v>
                </c:pt>
              </c:numCache>
            </c:numRef>
          </c:xVal>
          <c:yVal>
            <c:numRef>
              <c:f>'T47D (R3)'!$Z$34:$Z$38</c:f>
              <c:numCache>
                <c:formatCode>0.00</c:formatCode>
                <c:ptCount val="5"/>
                <c:pt idx="0">
                  <c:v>26.41591926860745</c:v>
                </c:pt>
                <c:pt idx="1">
                  <c:v>24.00986272541255</c:v>
                </c:pt>
                <c:pt idx="2">
                  <c:v>21.954482844017551</c:v>
                </c:pt>
                <c:pt idx="3">
                  <c:v>19.658339829746652</c:v>
                </c:pt>
                <c:pt idx="4">
                  <c:v>17.3379371525475</c:v>
                </c:pt>
              </c:numCache>
            </c:numRef>
          </c:yVal>
          <c:smooth val="0"/>
          <c:extLst>
            <c:ext xmlns:c16="http://schemas.microsoft.com/office/drawing/2014/chart" uri="{C3380CC4-5D6E-409C-BE32-E72D297353CC}">
              <c16:uniqueId val="{00000000-E763-47A3-96A3-AB33E57ECE6F}"/>
            </c:ext>
          </c:extLst>
        </c:ser>
        <c:dLbls>
          <c:showLegendKey val="0"/>
          <c:showVal val="0"/>
          <c:showCatName val="0"/>
          <c:showSerName val="0"/>
          <c:showPercent val="0"/>
          <c:showBubbleSize val="0"/>
        </c:dLbls>
        <c:axId val="1763169151"/>
        <c:axId val="1684384031"/>
      </c:scatterChart>
      <c:valAx>
        <c:axId val="17631691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84031"/>
        <c:crosses val="autoZero"/>
        <c:crossBetween val="midCat"/>
      </c:valAx>
      <c:valAx>
        <c:axId val="1684384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69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8818678915135605E-2"/>
                  <c:y val="-0.413947944006999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(R3)'!$AF$34:$AF$38</c:f>
              <c:numCache>
                <c:formatCode>0.00</c:formatCode>
                <c:ptCount val="5"/>
                <c:pt idx="0">
                  <c:v>-1.494850021680094</c:v>
                </c:pt>
                <c:pt idx="1">
                  <c:v>-0.79588001734407521</c:v>
                </c:pt>
                <c:pt idx="2">
                  <c:v>-9.6910013008056392E-2</c:v>
                </c:pt>
                <c:pt idx="3">
                  <c:v>0.6020599913279624</c:v>
                </c:pt>
                <c:pt idx="4">
                  <c:v>1.3010299956639813</c:v>
                </c:pt>
              </c:numCache>
            </c:numRef>
          </c:xVal>
          <c:yVal>
            <c:numRef>
              <c:f>'T47D (R3)'!$AG$34:$AG$38</c:f>
              <c:numCache>
                <c:formatCode>0.00</c:formatCode>
                <c:ptCount val="5"/>
                <c:pt idx="0">
                  <c:v>25.212595372347</c:v>
                </c:pt>
                <c:pt idx="1">
                  <c:v>22.892250036563652</c:v>
                </c:pt>
                <c:pt idx="2">
                  <c:v>20.6044878844484</c:v>
                </c:pt>
                <c:pt idx="3">
                  <c:v>18.658889846705748</c:v>
                </c:pt>
                <c:pt idx="4">
                  <c:v>16.038873509006748</c:v>
                </c:pt>
              </c:numCache>
            </c:numRef>
          </c:yVal>
          <c:smooth val="0"/>
          <c:extLst>
            <c:ext xmlns:c16="http://schemas.microsoft.com/office/drawing/2014/chart" uri="{C3380CC4-5D6E-409C-BE32-E72D297353CC}">
              <c16:uniqueId val="{00000000-189D-4AB8-92E8-0F4AD30AC569}"/>
            </c:ext>
          </c:extLst>
        </c:ser>
        <c:dLbls>
          <c:showLegendKey val="0"/>
          <c:showVal val="0"/>
          <c:showCatName val="0"/>
          <c:showSerName val="0"/>
          <c:showPercent val="0"/>
          <c:showBubbleSize val="0"/>
        </c:dLbls>
        <c:axId val="1692519951"/>
        <c:axId val="1684384863"/>
      </c:scatterChart>
      <c:valAx>
        <c:axId val="16925199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84863"/>
        <c:crosses val="autoZero"/>
        <c:crossBetween val="midCat"/>
      </c:valAx>
      <c:valAx>
        <c:axId val="1684384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519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8818678915135605E-2"/>
                  <c:y val="-0.364666245987544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(R3)'!$AM$34:$AM$38</c:f>
              <c:numCache>
                <c:formatCode>0.00</c:formatCode>
                <c:ptCount val="5"/>
                <c:pt idx="0">
                  <c:v>-1.494850021680094</c:v>
                </c:pt>
                <c:pt idx="1">
                  <c:v>-0.79588001734407521</c:v>
                </c:pt>
                <c:pt idx="2">
                  <c:v>-9.6910013008056392E-2</c:v>
                </c:pt>
                <c:pt idx="3">
                  <c:v>0.6020599913279624</c:v>
                </c:pt>
                <c:pt idx="4">
                  <c:v>1.3010299956639813</c:v>
                </c:pt>
              </c:numCache>
            </c:numRef>
          </c:xVal>
          <c:yVal>
            <c:numRef>
              <c:f>'T47D (R3)'!$AN$34:$AN$38</c:f>
              <c:numCache>
                <c:formatCode>0.00</c:formatCode>
                <c:ptCount val="5"/>
                <c:pt idx="0">
                  <c:v>27.5692150832251</c:v>
                </c:pt>
                <c:pt idx="1">
                  <c:v>25.228502515566099</c:v>
                </c:pt>
                <c:pt idx="2">
                  <c:v>22.899106504971947</c:v>
                </c:pt>
                <c:pt idx="3">
                  <c:v>20.557692489774098</c:v>
                </c:pt>
                <c:pt idx="4">
                  <c:v>18.204981791791603</c:v>
                </c:pt>
              </c:numCache>
            </c:numRef>
          </c:yVal>
          <c:smooth val="0"/>
          <c:extLst>
            <c:ext xmlns:c16="http://schemas.microsoft.com/office/drawing/2014/chart" uri="{C3380CC4-5D6E-409C-BE32-E72D297353CC}">
              <c16:uniqueId val="{00000000-34FE-4D77-8CC4-7E82C826BEC7}"/>
            </c:ext>
          </c:extLst>
        </c:ser>
        <c:dLbls>
          <c:showLegendKey val="0"/>
          <c:showVal val="0"/>
          <c:showCatName val="0"/>
          <c:showSerName val="0"/>
          <c:showPercent val="0"/>
          <c:showBubbleSize val="0"/>
        </c:dLbls>
        <c:axId val="1765727183"/>
        <c:axId val="1684405663"/>
      </c:scatterChart>
      <c:valAx>
        <c:axId val="17657271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05663"/>
        <c:crosses val="autoZero"/>
        <c:crossBetween val="midCat"/>
      </c:valAx>
      <c:valAx>
        <c:axId val="1684405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27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358784936829132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(R3)'!$D$62:$D$66</c:f>
              <c:numCache>
                <c:formatCode>0.00</c:formatCode>
                <c:ptCount val="5"/>
                <c:pt idx="0">
                  <c:v>-1.494850021680094</c:v>
                </c:pt>
                <c:pt idx="1">
                  <c:v>-0.79588001734407521</c:v>
                </c:pt>
                <c:pt idx="2">
                  <c:v>-9.6910013008056392E-2</c:v>
                </c:pt>
                <c:pt idx="3">
                  <c:v>0.6020599913279624</c:v>
                </c:pt>
                <c:pt idx="4">
                  <c:v>1.3010299956639813</c:v>
                </c:pt>
              </c:numCache>
            </c:numRef>
          </c:xVal>
          <c:yVal>
            <c:numRef>
              <c:f>'T47D (R3)'!$E$62:$E$66</c:f>
              <c:numCache>
                <c:formatCode>0.00</c:formatCode>
                <c:ptCount val="5"/>
                <c:pt idx="0">
                  <c:v>28.735337851552849</c:v>
                </c:pt>
                <c:pt idx="1">
                  <c:v>27.03581209192885</c:v>
                </c:pt>
                <c:pt idx="2">
                  <c:v>25.546959901247348</c:v>
                </c:pt>
                <c:pt idx="3">
                  <c:v>23.353633480008298</c:v>
                </c:pt>
                <c:pt idx="4">
                  <c:v>20.929948623548551</c:v>
                </c:pt>
              </c:numCache>
            </c:numRef>
          </c:yVal>
          <c:smooth val="0"/>
          <c:extLst>
            <c:ext xmlns:c16="http://schemas.microsoft.com/office/drawing/2014/chart" uri="{C3380CC4-5D6E-409C-BE32-E72D297353CC}">
              <c16:uniqueId val="{00000000-86F4-4093-A30D-DD2B802B90A5}"/>
            </c:ext>
          </c:extLst>
        </c:ser>
        <c:dLbls>
          <c:showLegendKey val="0"/>
          <c:showVal val="0"/>
          <c:showCatName val="0"/>
          <c:showSerName val="0"/>
          <c:showPercent val="0"/>
          <c:showBubbleSize val="0"/>
        </c:dLbls>
        <c:axId val="1716701759"/>
        <c:axId val="1684433951"/>
      </c:scatterChart>
      <c:valAx>
        <c:axId val="17167017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33951"/>
        <c:crosses val="autoZero"/>
        <c:crossBetween val="midCat"/>
      </c:valAx>
      <c:valAx>
        <c:axId val="1684433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01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849492508622919E-2"/>
                  <c:y val="-0.731965436138664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26.59176087526555</c:v>
              </c:pt>
              <c:pt idx="1">
                <c:v>24.143945012427949</c:v>
              </c:pt>
              <c:pt idx="2">
                <c:v>23.177874737986052</c:v>
              </c:pt>
              <c:pt idx="3">
                <c:v>23.899399904952901</c:v>
              </c:pt>
              <c:pt idx="4">
                <c:v>22.664101231388848</c:v>
              </c:pt>
            </c:numLit>
          </c:yVal>
          <c:smooth val="0"/>
          <c:extLst>
            <c:ext xmlns:c16="http://schemas.microsoft.com/office/drawing/2014/chart" uri="{C3380CC4-5D6E-409C-BE32-E72D297353CC}">
              <c16:uniqueId val="{00000001-BA4B-4D5A-ACFB-E9C274023F52}"/>
            </c:ext>
          </c:extLst>
        </c:ser>
        <c:dLbls>
          <c:showLegendKey val="0"/>
          <c:showVal val="0"/>
          <c:showCatName val="0"/>
          <c:showSerName val="0"/>
          <c:showPercent val="0"/>
          <c:showBubbleSize val="0"/>
        </c:dLbls>
        <c:axId val="1994335888"/>
        <c:axId val="1994336368"/>
      </c:scatterChart>
      <c:valAx>
        <c:axId val="199433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36368"/>
        <c:crosses val="autoZero"/>
        <c:crossBetween val="midCat"/>
      </c:valAx>
      <c:valAx>
        <c:axId val="199433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3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8818678915135605E-2"/>
                  <c:y val="-0.372648096407303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(R3)'!$K$62:$K$66</c:f>
              <c:numCache>
                <c:formatCode>0.00</c:formatCode>
                <c:ptCount val="5"/>
                <c:pt idx="0">
                  <c:v>-1.494850021680094</c:v>
                </c:pt>
                <c:pt idx="1">
                  <c:v>-0.79588001734407521</c:v>
                </c:pt>
                <c:pt idx="2">
                  <c:v>-9.6910013008056392E-2</c:v>
                </c:pt>
                <c:pt idx="3">
                  <c:v>0.6020599913279624</c:v>
                </c:pt>
                <c:pt idx="4">
                  <c:v>1.3010299956639813</c:v>
                </c:pt>
              </c:numCache>
            </c:numRef>
          </c:xVal>
          <c:yVal>
            <c:numRef>
              <c:f>'T47D (R3)'!$L$62:$L$66</c:f>
              <c:numCache>
                <c:formatCode>0.00</c:formatCode>
                <c:ptCount val="5"/>
                <c:pt idx="0">
                  <c:v>28.943281695535649</c:v>
                </c:pt>
                <c:pt idx="1">
                  <c:v>26.917155855639102</c:v>
                </c:pt>
                <c:pt idx="2">
                  <c:v>25.209710708787398</c:v>
                </c:pt>
                <c:pt idx="3">
                  <c:v>22.979993995549748</c:v>
                </c:pt>
                <c:pt idx="4">
                  <c:v>20.616379278308699</c:v>
                </c:pt>
              </c:numCache>
            </c:numRef>
          </c:yVal>
          <c:smooth val="0"/>
          <c:extLst>
            <c:ext xmlns:c16="http://schemas.microsoft.com/office/drawing/2014/chart" uri="{C3380CC4-5D6E-409C-BE32-E72D297353CC}">
              <c16:uniqueId val="{00000000-6415-499A-A5BC-77FB369B7694}"/>
            </c:ext>
          </c:extLst>
        </c:ser>
        <c:dLbls>
          <c:showLegendKey val="0"/>
          <c:showVal val="0"/>
          <c:showCatName val="0"/>
          <c:showSerName val="0"/>
          <c:showPercent val="0"/>
          <c:showBubbleSize val="0"/>
        </c:dLbls>
        <c:axId val="1716694559"/>
        <c:axId val="1684426879"/>
      </c:scatterChart>
      <c:valAx>
        <c:axId val="17166945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26879"/>
        <c:crosses val="autoZero"/>
        <c:crossBetween val="midCat"/>
      </c:valAx>
      <c:valAx>
        <c:axId val="1684426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694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8818678915135605E-2"/>
                  <c:y val="-0.382504009915427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(R3)'!$R$62:$R$66</c:f>
              <c:numCache>
                <c:formatCode>0.00</c:formatCode>
                <c:ptCount val="5"/>
                <c:pt idx="0">
                  <c:v>-1.494850021680094</c:v>
                </c:pt>
                <c:pt idx="1">
                  <c:v>-0.79588001734407521</c:v>
                </c:pt>
                <c:pt idx="2">
                  <c:v>-9.6910013008056392E-2</c:v>
                </c:pt>
                <c:pt idx="3">
                  <c:v>0.6020599913279624</c:v>
                </c:pt>
                <c:pt idx="4">
                  <c:v>1.3010299956639813</c:v>
                </c:pt>
              </c:numCache>
            </c:numRef>
          </c:xVal>
          <c:yVal>
            <c:numRef>
              <c:f>'T47D (R3)'!$S$62:$S$66</c:f>
              <c:numCache>
                <c:formatCode>0.00</c:formatCode>
                <c:ptCount val="5"/>
                <c:pt idx="0">
                  <c:v>25.485717909244901</c:v>
                </c:pt>
                <c:pt idx="1">
                  <c:v>23.505777262038052</c:v>
                </c:pt>
                <c:pt idx="2">
                  <c:v>21.394862838796751</c:v>
                </c:pt>
                <c:pt idx="3">
                  <c:v>19.087943334501048</c:v>
                </c:pt>
                <c:pt idx="4">
                  <c:v>16.798009293458001</c:v>
                </c:pt>
              </c:numCache>
            </c:numRef>
          </c:yVal>
          <c:smooth val="0"/>
          <c:extLst>
            <c:ext xmlns:c16="http://schemas.microsoft.com/office/drawing/2014/chart" uri="{C3380CC4-5D6E-409C-BE32-E72D297353CC}">
              <c16:uniqueId val="{00000000-97F3-4E56-8E27-BFA330204AFA}"/>
            </c:ext>
          </c:extLst>
        </c:ser>
        <c:dLbls>
          <c:showLegendKey val="0"/>
          <c:showVal val="0"/>
          <c:showCatName val="0"/>
          <c:showSerName val="0"/>
          <c:showPercent val="0"/>
          <c:showBubbleSize val="0"/>
        </c:dLbls>
        <c:axId val="1720829087"/>
        <c:axId val="1684415231"/>
      </c:scatterChart>
      <c:valAx>
        <c:axId val="17208290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15231"/>
        <c:crosses val="autoZero"/>
        <c:crossBetween val="midCat"/>
      </c:valAx>
      <c:valAx>
        <c:axId val="1684415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829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58918416447944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(R3)'!$Y$62:$Y$66</c:f>
              <c:numCache>
                <c:formatCode>0.00</c:formatCode>
                <c:ptCount val="5"/>
                <c:pt idx="0">
                  <c:v>-1.494850021680094</c:v>
                </c:pt>
                <c:pt idx="1">
                  <c:v>-0.79588001734407521</c:v>
                </c:pt>
                <c:pt idx="2">
                  <c:v>-9.6910013008056392E-2</c:v>
                </c:pt>
                <c:pt idx="3">
                  <c:v>0.6020599913279624</c:v>
                </c:pt>
                <c:pt idx="4">
                  <c:v>1.3010299956639813</c:v>
                </c:pt>
              </c:numCache>
            </c:numRef>
          </c:xVal>
          <c:yVal>
            <c:numRef>
              <c:f>'T47D (R3)'!$Z$62:$Z$66</c:f>
              <c:numCache>
                <c:formatCode>0.00</c:formatCode>
                <c:ptCount val="5"/>
                <c:pt idx="0">
                  <c:v>27.662227400054249</c:v>
                </c:pt>
                <c:pt idx="1">
                  <c:v>25.266021773019752</c:v>
                </c:pt>
                <c:pt idx="2">
                  <c:v>23.083002117379749</c:v>
                </c:pt>
                <c:pt idx="3">
                  <c:v>20.746917344571749</c:v>
                </c:pt>
                <c:pt idx="4">
                  <c:v>18.132920319626599</c:v>
                </c:pt>
              </c:numCache>
            </c:numRef>
          </c:yVal>
          <c:smooth val="0"/>
          <c:extLst>
            <c:ext xmlns:c16="http://schemas.microsoft.com/office/drawing/2014/chart" uri="{C3380CC4-5D6E-409C-BE32-E72D297353CC}">
              <c16:uniqueId val="{00000000-21E6-4198-82E7-CF80D6062AA5}"/>
            </c:ext>
          </c:extLst>
        </c:ser>
        <c:dLbls>
          <c:showLegendKey val="0"/>
          <c:showVal val="0"/>
          <c:showCatName val="0"/>
          <c:showSerName val="0"/>
          <c:showPercent val="0"/>
          <c:showBubbleSize val="0"/>
        </c:dLbls>
        <c:axId val="1778190111"/>
        <c:axId val="1684372383"/>
      </c:scatterChart>
      <c:valAx>
        <c:axId val="17781901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72383"/>
        <c:crosses val="autoZero"/>
        <c:crossBetween val="midCat"/>
      </c:valAx>
      <c:valAx>
        <c:axId val="1684372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90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374234470691169E-2"/>
                  <c:y val="-0.642469203544678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'T47D (R3)'!$AF$62:$AF$66</c:f>
              <c:numCache>
                <c:formatCode>0.00</c:formatCode>
                <c:ptCount val="5"/>
                <c:pt idx="0">
                  <c:v>-1.494850021680094</c:v>
                </c:pt>
                <c:pt idx="1">
                  <c:v>-0.79588001734407521</c:v>
                </c:pt>
                <c:pt idx="2">
                  <c:v>-9.6910013008056392E-2</c:v>
                </c:pt>
                <c:pt idx="3">
                  <c:v>0.6020599913279624</c:v>
                </c:pt>
                <c:pt idx="4">
                  <c:v>1.3010299956639813</c:v>
                </c:pt>
              </c:numCache>
            </c:numRef>
          </c:xVal>
          <c:yVal>
            <c:numRef>
              <c:f>'T47D (R3)'!$AG$62:$AG$66</c:f>
              <c:numCache>
                <c:formatCode>0.00</c:formatCode>
                <c:ptCount val="5"/>
                <c:pt idx="0">
                  <c:v>29.34620773699465</c:v>
                </c:pt>
                <c:pt idx="1">
                  <c:v>27.94923086833905</c:v>
                </c:pt>
                <c:pt idx="2">
                  <c:v>28.34050506963575</c:v>
                </c:pt>
                <c:pt idx="3">
                  <c:v>27.64899031180525</c:v>
                </c:pt>
                <c:pt idx="4">
                  <c:v>26.488510903333349</c:v>
                </c:pt>
              </c:numCache>
            </c:numRef>
          </c:yVal>
          <c:smooth val="0"/>
          <c:extLst>
            <c:ext xmlns:c16="http://schemas.microsoft.com/office/drawing/2014/chart" uri="{C3380CC4-5D6E-409C-BE32-E72D297353CC}">
              <c16:uniqueId val="{00000000-9CF0-45AB-AFD6-7DBB62F1FD60}"/>
            </c:ext>
          </c:extLst>
        </c:ser>
        <c:dLbls>
          <c:showLegendKey val="0"/>
          <c:showVal val="0"/>
          <c:showCatName val="0"/>
          <c:showSerName val="0"/>
          <c:showPercent val="0"/>
          <c:showBubbleSize val="0"/>
        </c:dLbls>
        <c:axId val="1720835087"/>
        <c:axId val="1422501103"/>
      </c:scatterChart>
      <c:valAx>
        <c:axId val="17208350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01103"/>
        <c:crosses val="autoZero"/>
        <c:crossBetween val="midCat"/>
      </c:valAx>
      <c:valAx>
        <c:axId val="142250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835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599556595650671E-2"/>
                  <c:y val="-0.368214494021580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25.956960454387751</c:v>
              </c:pt>
              <c:pt idx="1">
                <c:v>23.615275368882799</c:v>
              </c:pt>
              <c:pt idx="2">
                <c:v>21.423367614946951</c:v>
              </c:pt>
              <c:pt idx="3">
                <c:v>19.14727095585685</c:v>
              </c:pt>
              <c:pt idx="4">
                <c:v>17.004907725662697</c:v>
              </c:pt>
            </c:numLit>
          </c:yVal>
          <c:smooth val="0"/>
          <c:extLst>
            <c:ext xmlns:c16="http://schemas.microsoft.com/office/drawing/2014/chart" uri="{C3380CC4-5D6E-409C-BE32-E72D297353CC}">
              <c16:uniqueId val="{00000001-1BC9-46BB-9B3F-B645AC83E2FB}"/>
            </c:ext>
          </c:extLst>
        </c:ser>
        <c:dLbls>
          <c:showLegendKey val="0"/>
          <c:showVal val="0"/>
          <c:showCatName val="0"/>
          <c:showSerName val="0"/>
          <c:showPercent val="0"/>
          <c:showBubbleSize val="0"/>
        </c:dLbls>
        <c:axId val="2085630576"/>
        <c:axId val="2085631056"/>
      </c:scatterChart>
      <c:valAx>
        <c:axId val="2085630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31056"/>
        <c:crosses val="autoZero"/>
        <c:crossBetween val="midCat"/>
      </c:valAx>
      <c:valAx>
        <c:axId val="208563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30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0711886649051E-2"/>
                  <c:y val="-0.351787693205016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25.95989774322085</c:v>
              </c:pt>
              <c:pt idx="1">
                <c:v>23.656833369636601</c:v>
              </c:pt>
              <c:pt idx="2">
                <c:v>21.510125976250251</c:v>
              </c:pt>
              <c:pt idx="3">
                <c:v>19.134797896907997</c:v>
              </c:pt>
              <c:pt idx="4">
                <c:v>16.94311620663315</c:v>
              </c:pt>
            </c:numLit>
          </c:yVal>
          <c:smooth val="0"/>
          <c:extLst>
            <c:ext xmlns:c16="http://schemas.microsoft.com/office/drawing/2014/chart" uri="{C3380CC4-5D6E-409C-BE32-E72D297353CC}">
              <c16:uniqueId val="{00000001-BC7B-40BD-830D-3B2AAF52330F}"/>
            </c:ext>
          </c:extLst>
        </c:ser>
        <c:dLbls>
          <c:showLegendKey val="0"/>
          <c:showVal val="0"/>
          <c:showCatName val="0"/>
          <c:showSerName val="0"/>
          <c:showPercent val="0"/>
          <c:showBubbleSize val="0"/>
        </c:dLbls>
        <c:axId val="2085642096"/>
        <c:axId val="2085645456"/>
      </c:scatterChart>
      <c:valAx>
        <c:axId val="208564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45456"/>
        <c:crosses val="autoZero"/>
        <c:crossBetween val="midCat"/>
      </c:valAx>
      <c:valAx>
        <c:axId val="208564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4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0711886649051E-2"/>
                  <c:y val="-0.365839165937591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27.557737747382447</c:v>
              </c:pt>
              <c:pt idx="1">
                <c:v>25.065440089441399</c:v>
              </c:pt>
              <c:pt idx="2">
                <c:v>22.588785260210351</c:v>
              </c:pt>
              <c:pt idx="3">
                <c:v>20.345660939751749</c:v>
              </c:pt>
              <c:pt idx="4">
                <c:v>18.128392605774202</c:v>
              </c:pt>
            </c:numLit>
          </c:yVal>
          <c:smooth val="0"/>
          <c:extLst>
            <c:ext xmlns:c16="http://schemas.microsoft.com/office/drawing/2014/chart" uri="{C3380CC4-5D6E-409C-BE32-E72D297353CC}">
              <c16:uniqueId val="{00000001-8445-4686-AC9C-B089FD57087B}"/>
            </c:ext>
          </c:extLst>
        </c:ser>
        <c:dLbls>
          <c:showLegendKey val="0"/>
          <c:showVal val="0"/>
          <c:showCatName val="0"/>
          <c:showSerName val="0"/>
          <c:showPercent val="0"/>
          <c:showBubbleSize val="0"/>
        </c:dLbls>
        <c:axId val="1585963680"/>
        <c:axId val="1935047600"/>
      </c:scatterChart>
      <c:valAx>
        <c:axId val="158596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047600"/>
        <c:crosses val="autoZero"/>
        <c:crossBetween val="midCat"/>
      </c:valAx>
      <c:valAx>
        <c:axId val="19350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63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027111125072428E-2"/>
                  <c:y val="-0.374460027002789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29.272165674932349</c:v>
              </c:pt>
              <c:pt idx="1">
                <c:v>27.25986891210955</c:v>
              </c:pt>
              <c:pt idx="2">
                <c:v>25.396854972561648</c:v>
              </c:pt>
              <c:pt idx="3">
                <c:v>23.384975313475</c:v>
              </c:pt>
              <c:pt idx="4">
                <c:v>21.168251589123003</c:v>
              </c:pt>
            </c:numLit>
          </c:yVal>
          <c:smooth val="0"/>
          <c:extLst>
            <c:ext xmlns:c16="http://schemas.microsoft.com/office/drawing/2014/chart" uri="{C3380CC4-5D6E-409C-BE32-E72D297353CC}">
              <c16:uniqueId val="{00000001-AD03-47CD-93A7-62DA3E88B5BB}"/>
            </c:ext>
          </c:extLst>
        </c:ser>
        <c:dLbls>
          <c:showLegendKey val="0"/>
          <c:showVal val="0"/>
          <c:showCatName val="0"/>
          <c:showSerName val="0"/>
          <c:showPercent val="0"/>
          <c:showBubbleSize val="0"/>
        </c:dLbls>
        <c:axId val="1994334448"/>
        <c:axId val="1994337808"/>
      </c:scatterChart>
      <c:valAx>
        <c:axId val="1994334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37808"/>
        <c:crosses val="autoZero"/>
        <c:crossBetween val="midCat"/>
      </c:valAx>
      <c:valAx>
        <c:axId val="199433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34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8.3818678915135614E-2"/>
                  <c:y val="-0.327294036162146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30.490135785181248</c:v>
              </c:pt>
              <c:pt idx="1">
                <c:v>27.807242406602001</c:v>
              </c:pt>
              <c:pt idx="2">
                <c:v>25.55690774569285</c:v>
              </c:pt>
              <c:pt idx="3">
                <c:v>23.460287230623049</c:v>
              </c:pt>
              <c:pt idx="4">
                <c:v>21.381321853467597</c:v>
              </c:pt>
            </c:numLit>
          </c:yVal>
          <c:smooth val="0"/>
          <c:extLst>
            <c:ext xmlns:c16="http://schemas.microsoft.com/office/drawing/2014/chart" uri="{C3380CC4-5D6E-409C-BE32-E72D297353CC}">
              <c16:uniqueId val="{00000001-1B8F-400E-BC05-500DAB303955}"/>
            </c:ext>
          </c:extLst>
        </c:ser>
        <c:dLbls>
          <c:showLegendKey val="0"/>
          <c:showVal val="0"/>
          <c:showCatName val="0"/>
          <c:showSerName val="0"/>
          <c:showPercent val="0"/>
          <c:showBubbleSize val="0"/>
        </c:dLbls>
        <c:axId val="90285712"/>
        <c:axId val="90286192"/>
      </c:scatterChart>
      <c:valAx>
        <c:axId val="9028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6192"/>
        <c:crosses val="autoZero"/>
        <c:crossBetween val="midCat"/>
      </c:valAx>
      <c:valAx>
        <c:axId val="9028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5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256663036725228E-2"/>
                  <c:y val="-0.399878244386118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5"/>
              <c:pt idx="0">
                <c:v>-1.494850021680094</c:v>
              </c:pt>
              <c:pt idx="1">
                <c:v>-0.79588001734407521</c:v>
              </c:pt>
              <c:pt idx="2">
                <c:v>-9.6910013008056392E-2</c:v>
              </c:pt>
              <c:pt idx="3">
                <c:v>0.6020599913279624</c:v>
              </c:pt>
              <c:pt idx="4">
                <c:v>1.3010299956639813</c:v>
              </c:pt>
            </c:numLit>
          </c:xVal>
          <c:yVal>
            <c:numLit>
              <c:formatCode>General</c:formatCode>
              <c:ptCount val="5"/>
              <c:pt idx="0">
                <c:v>26.504007406336349</c:v>
              </c:pt>
              <c:pt idx="1">
                <c:v>24.276281094856202</c:v>
              </c:pt>
              <c:pt idx="2">
                <c:v>21.944714796122852</c:v>
              </c:pt>
              <c:pt idx="3">
                <c:v>19.787036697193997</c:v>
              </c:pt>
              <c:pt idx="4">
                <c:v>17.642490260139198</c:v>
              </c:pt>
            </c:numLit>
          </c:yVal>
          <c:smooth val="0"/>
          <c:extLst>
            <c:ext xmlns:c16="http://schemas.microsoft.com/office/drawing/2014/chart" uri="{C3380CC4-5D6E-409C-BE32-E72D297353CC}">
              <c16:uniqueId val="{00000001-12B7-43F4-BD18-527AD55A39FD}"/>
            </c:ext>
          </c:extLst>
        </c:ser>
        <c:dLbls>
          <c:showLegendKey val="0"/>
          <c:showVal val="0"/>
          <c:showCatName val="0"/>
          <c:showSerName val="0"/>
          <c:showPercent val="0"/>
          <c:showBubbleSize val="0"/>
        </c:dLbls>
        <c:axId val="2085643536"/>
        <c:axId val="2085644016"/>
      </c:scatterChart>
      <c:valAx>
        <c:axId val="208564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44016"/>
        <c:crosses val="autoZero"/>
        <c:crossBetween val="midCat"/>
      </c:valAx>
      <c:valAx>
        <c:axId val="208564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43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11" Type="http://schemas.openxmlformats.org/officeDocument/2006/relationships/chart" Target="../charts/chart33.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44</xdr:col>
      <xdr:colOff>72828</xdr:colOff>
      <xdr:row>1</xdr:row>
      <xdr:rowOff>129423</xdr:rowOff>
    </xdr:from>
    <xdr:to>
      <xdr:col>51</xdr:col>
      <xdr:colOff>371102</xdr:colOff>
      <xdr:row>15</xdr:row>
      <xdr:rowOff>42337</xdr:rowOff>
    </xdr:to>
    <xdr:graphicFrame macro="">
      <xdr:nvGraphicFramePr>
        <xdr:cNvPr id="14" name="Chart 13">
          <a:extLst>
            <a:ext uri="{FF2B5EF4-FFF2-40B4-BE49-F238E27FC236}">
              <a16:creationId xmlns:a16="http://schemas.microsoft.com/office/drawing/2014/main" id="{E2763B5E-782A-40F8-A207-8B5799C05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68499</xdr:colOff>
      <xdr:row>16</xdr:row>
      <xdr:rowOff>28451</xdr:rowOff>
    </xdr:from>
    <xdr:to>
      <xdr:col>51</xdr:col>
      <xdr:colOff>484135</xdr:colOff>
      <xdr:row>29</xdr:row>
      <xdr:rowOff>172687</xdr:rowOff>
    </xdr:to>
    <xdr:graphicFrame macro="">
      <xdr:nvGraphicFramePr>
        <xdr:cNvPr id="15" name="Chart 14">
          <a:extLst>
            <a:ext uri="{FF2B5EF4-FFF2-40B4-BE49-F238E27FC236}">
              <a16:creationId xmlns:a16="http://schemas.microsoft.com/office/drawing/2014/main" id="{D4CF13D9-5473-4EB2-B40B-C2840D538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85817</xdr:colOff>
      <xdr:row>30</xdr:row>
      <xdr:rowOff>87828</xdr:rowOff>
    </xdr:from>
    <xdr:to>
      <xdr:col>51</xdr:col>
      <xdr:colOff>501453</xdr:colOff>
      <xdr:row>46</xdr:row>
      <xdr:rowOff>164028</xdr:rowOff>
    </xdr:to>
    <xdr:graphicFrame macro="">
      <xdr:nvGraphicFramePr>
        <xdr:cNvPr id="16" name="Chart 15">
          <a:extLst>
            <a:ext uri="{FF2B5EF4-FFF2-40B4-BE49-F238E27FC236}">
              <a16:creationId xmlns:a16="http://schemas.microsoft.com/office/drawing/2014/main" id="{2D679BE9-5E74-48B3-9508-872E77DEA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78242</xdr:colOff>
      <xdr:row>47</xdr:row>
      <xdr:rowOff>86591</xdr:rowOff>
    </xdr:from>
    <xdr:to>
      <xdr:col>51</xdr:col>
      <xdr:colOff>376516</xdr:colOff>
      <xdr:row>65</xdr:row>
      <xdr:rowOff>162791</xdr:rowOff>
    </xdr:to>
    <xdr:graphicFrame macro="">
      <xdr:nvGraphicFramePr>
        <xdr:cNvPr id="17" name="Chart 16">
          <a:extLst>
            <a:ext uri="{FF2B5EF4-FFF2-40B4-BE49-F238E27FC236}">
              <a16:creationId xmlns:a16="http://schemas.microsoft.com/office/drawing/2014/main" id="{0B99F517-7BE4-4CE8-872C-68A6B3F27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91847</xdr:colOff>
      <xdr:row>66</xdr:row>
      <xdr:rowOff>81643</xdr:rowOff>
    </xdr:from>
    <xdr:to>
      <xdr:col>51</xdr:col>
      <xdr:colOff>502227</xdr:colOff>
      <xdr:row>83</xdr:row>
      <xdr:rowOff>69272</xdr:rowOff>
    </xdr:to>
    <xdr:graphicFrame macro="">
      <xdr:nvGraphicFramePr>
        <xdr:cNvPr id="18" name="Chart 17">
          <a:extLst>
            <a:ext uri="{FF2B5EF4-FFF2-40B4-BE49-F238E27FC236}">
              <a16:creationId xmlns:a16="http://schemas.microsoft.com/office/drawing/2014/main" id="{4B35C9D6-74D8-41C1-8843-8BD938022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42986</xdr:colOff>
      <xdr:row>84</xdr:row>
      <xdr:rowOff>4177</xdr:rowOff>
    </xdr:from>
    <xdr:to>
      <xdr:col>51</xdr:col>
      <xdr:colOff>484909</xdr:colOff>
      <xdr:row>99</xdr:row>
      <xdr:rowOff>51955</xdr:rowOff>
    </xdr:to>
    <xdr:graphicFrame macro="">
      <xdr:nvGraphicFramePr>
        <xdr:cNvPr id="19" name="Chart 18">
          <a:extLst>
            <a:ext uri="{FF2B5EF4-FFF2-40B4-BE49-F238E27FC236}">
              <a16:creationId xmlns:a16="http://schemas.microsoft.com/office/drawing/2014/main" id="{CAF2F0BF-88FE-43E6-AF18-F9AF95B24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52</xdr:col>
      <xdr:colOff>41439</xdr:colOff>
      <xdr:row>1</xdr:row>
      <xdr:rowOff>103909</xdr:rowOff>
    </xdr:from>
    <xdr:to>
      <xdr:col>59</xdr:col>
      <xdr:colOff>333993</xdr:colOff>
      <xdr:row>15</xdr:row>
      <xdr:rowOff>16823</xdr:rowOff>
    </xdr:to>
    <xdr:graphicFrame macro="">
      <xdr:nvGraphicFramePr>
        <xdr:cNvPr id="20" name="Chart 19">
          <a:extLst>
            <a:ext uri="{FF2B5EF4-FFF2-40B4-BE49-F238E27FC236}">
              <a16:creationId xmlns:a16="http://schemas.microsoft.com/office/drawing/2014/main" id="{56C0C1A1-FCD0-4358-B00A-508F9342A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37728</xdr:colOff>
      <xdr:row>16</xdr:row>
      <xdr:rowOff>39585</xdr:rowOff>
    </xdr:from>
    <xdr:to>
      <xdr:col>59</xdr:col>
      <xdr:colOff>330282</xdr:colOff>
      <xdr:row>29</xdr:row>
      <xdr:rowOff>183821</xdr:rowOff>
    </xdr:to>
    <xdr:graphicFrame macro="">
      <xdr:nvGraphicFramePr>
        <xdr:cNvPr id="21" name="Chart 20">
          <a:extLst>
            <a:ext uri="{FF2B5EF4-FFF2-40B4-BE49-F238E27FC236}">
              <a16:creationId xmlns:a16="http://schemas.microsoft.com/office/drawing/2014/main" id="{8C1CE490-7272-486A-9440-F03CB5F0C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72365</xdr:colOff>
      <xdr:row>30</xdr:row>
      <xdr:rowOff>95249</xdr:rowOff>
    </xdr:from>
    <xdr:to>
      <xdr:col>59</xdr:col>
      <xdr:colOff>364919</xdr:colOff>
      <xdr:row>46</xdr:row>
      <xdr:rowOff>171449</xdr:rowOff>
    </xdr:to>
    <xdr:graphicFrame macro="">
      <xdr:nvGraphicFramePr>
        <xdr:cNvPr id="22" name="Chart 21">
          <a:extLst>
            <a:ext uri="{FF2B5EF4-FFF2-40B4-BE49-F238E27FC236}">
              <a16:creationId xmlns:a16="http://schemas.microsoft.com/office/drawing/2014/main" id="{F95DC75E-BF8F-47F9-8AF9-25EAF8526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68655</xdr:colOff>
      <xdr:row>47</xdr:row>
      <xdr:rowOff>138547</xdr:rowOff>
    </xdr:from>
    <xdr:to>
      <xdr:col>59</xdr:col>
      <xdr:colOff>361209</xdr:colOff>
      <xdr:row>66</xdr:row>
      <xdr:rowOff>24247</xdr:rowOff>
    </xdr:to>
    <xdr:graphicFrame macro="">
      <xdr:nvGraphicFramePr>
        <xdr:cNvPr id="23" name="Chart 22">
          <a:extLst>
            <a:ext uri="{FF2B5EF4-FFF2-40B4-BE49-F238E27FC236}">
              <a16:creationId xmlns:a16="http://schemas.microsoft.com/office/drawing/2014/main" id="{5498B50E-64A9-4568-B63B-D81B180DF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62312</xdr:colOff>
      <xdr:row>66</xdr:row>
      <xdr:rowOff>106694</xdr:rowOff>
    </xdr:from>
    <xdr:to>
      <xdr:col>59</xdr:col>
      <xdr:colOff>432954</xdr:colOff>
      <xdr:row>83</xdr:row>
      <xdr:rowOff>69272</xdr:rowOff>
    </xdr:to>
    <xdr:graphicFrame macro="">
      <xdr:nvGraphicFramePr>
        <xdr:cNvPr id="25" name="Chart 24">
          <a:extLst>
            <a:ext uri="{FF2B5EF4-FFF2-40B4-BE49-F238E27FC236}">
              <a16:creationId xmlns:a16="http://schemas.microsoft.com/office/drawing/2014/main" id="{A7950A0C-EAB8-409F-82CE-144CD61CD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43</xdr:col>
      <xdr:colOff>600074</xdr:colOff>
      <xdr:row>3</xdr:row>
      <xdr:rowOff>38100</xdr:rowOff>
    </xdr:from>
    <xdr:to>
      <xdr:col>51</xdr:col>
      <xdr:colOff>295274</xdr:colOff>
      <xdr:row>16</xdr:row>
      <xdr:rowOff>95250</xdr:rowOff>
    </xdr:to>
    <xdr:graphicFrame macro="">
      <xdr:nvGraphicFramePr>
        <xdr:cNvPr id="14" name="Chart 13">
          <a:extLst>
            <a:ext uri="{FF2B5EF4-FFF2-40B4-BE49-F238E27FC236}">
              <a16:creationId xmlns:a16="http://schemas.microsoft.com/office/drawing/2014/main" id="{FF1EDCE1-B1F2-E12A-658C-FF80382D1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9524</xdr:colOff>
      <xdr:row>16</xdr:row>
      <xdr:rowOff>114300</xdr:rowOff>
    </xdr:from>
    <xdr:to>
      <xdr:col>51</xdr:col>
      <xdr:colOff>314324</xdr:colOff>
      <xdr:row>30</xdr:row>
      <xdr:rowOff>19050</xdr:rowOff>
    </xdr:to>
    <xdr:graphicFrame macro="">
      <xdr:nvGraphicFramePr>
        <xdr:cNvPr id="15" name="Chart 14">
          <a:extLst>
            <a:ext uri="{FF2B5EF4-FFF2-40B4-BE49-F238E27FC236}">
              <a16:creationId xmlns:a16="http://schemas.microsoft.com/office/drawing/2014/main" id="{833870AF-286B-E113-D6A8-A8CA8650F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9524</xdr:colOff>
      <xdr:row>30</xdr:row>
      <xdr:rowOff>38100</xdr:rowOff>
    </xdr:from>
    <xdr:to>
      <xdr:col>51</xdr:col>
      <xdr:colOff>314324</xdr:colOff>
      <xdr:row>44</xdr:row>
      <xdr:rowOff>114300</xdr:rowOff>
    </xdr:to>
    <xdr:graphicFrame macro="">
      <xdr:nvGraphicFramePr>
        <xdr:cNvPr id="16" name="Chart 15">
          <a:extLst>
            <a:ext uri="{FF2B5EF4-FFF2-40B4-BE49-F238E27FC236}">
              <a16:creationId xmlns:a16="http://schemas.microsoft.com/office/drawing/2014/main" id="{F48CF00C-592A-858F-030B-B34E11AB6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28574</xdr:colOff>
      <xdr:row>44</xdr:row>
      <xdr:rowOff>114300</xdr:rowOff>
    </xdr:from>
    <xdr:to>
      <xdr:col>51</xdr:col>
      <xdr:colOff>333374</xdr:colOff>
      <xdr:row>59</xdr:row>
      <xdr:rowOff>0</xdr:rowOff>
    </xdr:to>
    <xdr:graphicFrame macro="">
      <xdr:nvGraphicFramePr>
        <xdr:cNvPr id="17" name="Chart 16">
          <a:extLst>
            <a:ext uri="{FF2B5EF4-FFF2-40B4-BE49-F238E27FC236}">
              <a16:creationId xmlns:a16="http://schemas.microsoft.com/office/drawing/2014/main" id="{4D7F401A-28DE-9E79-B819-9C5B98ABD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66674</xdr:colOff>
      <xdr:row>58</xdr:row>
      <xdr:rowOff>171450</xdr:rowOff>
    </xdr:from>
    <xdr:to>
      <xdr:col>51</xdr:col>
      <xdr:colOff>371474</xdr:colOff>
      <xdr:row>73</xdr:row>
      <xdr:rowOff>57150</xdr:rowOff>
    </xdr:to>
    <xdr:graphicFrame macro="">
      <xdr:nvGraphicFramePr>
        <xdr:cNvPr id="18" name="Chart 17">
          <a:extLst>
            <a:ext uri="{FF2B5EF4-FFF2-40B4-BE49-F238E27FC236}">
              <a16:creationId xmlns:a16="http://schemas.microsoft.com/office/drawing/2014/main" id="{2140C463-DC14-95F7-9E87-7E502E45C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66674</xdr:colOff>
      <xdr:row>73</xdr:row>
      <xdr:rowOff>38100</xdr:rowOff>
    </xdr:from>
    <xdr:to>
      <xdr:col>51</xdr:col>
      <xdr:colOff>371474</xdr:colOff>
      <xdr:row>87</xdr:row>
      <xdr:rowOff>57150</xdr:rowOff>
    </xdr:to>
    <xdr:graphicFrame macro="">
      <xdr:nvGraphicFramePr>
        <xdr:cNvPr id="19" name="Chart 18">
          <a:extLst>
            <a:ext uri="{FF2B5EF4-FFF2-40B4-BE49-F238E27FC236}">
              <a16:creationId xmlns:a16="http://schemas.microsoft.com/office/drawing/2014/main" id="{AE2391BD-EC30-0C59-5565-D65ABB3EF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409574</xdr:colOff>
      <xdr:row>3</xdr:row>
      <xdr:rowOff>38100</xdr:rowOff>
    </xdr:from>
    <xdr:to>
      <xdr:col>59</xdr:col>
      <xdr:colOff>104774</xdr:colOff>
      <xdr:row>16</xdr:row>
      <xdr:rowOff>95250</xdr:rowOff>
    </xdr:to>
    <xdr:graphicFrame macro="">
      <xdr:nvGraphicFramePr>
        <xdr:cNvPr id="20" name="Chart 19">
          <a:extLst>
            <a:ext uri="{FF2B5EF4-FFF2-40B4-BE49-F238E27FC236}">
              <a16:creationId xmlns:a16="http://schemas.microsoft.com/office/drawing/2014/main" id="{2387A718-E0B2-F7F4-0618-5C5CE0DA6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447674</xdr:colOff>
      <xdr:row>16</xdr:row>
      <xdr:rowOff>133350</xdr:rowOff>
    </xdr:from>
    <xdr:to>
      <xdr:col>59</xdr:col>
      <xdr:colOff>142874</xdr:colOff>
      <xdr:row>30</xdr:row>
      <xdr:rowOff>38100</xdr:rowOff>
    </xdr:to>
    <xdr:graphicFrame macro="">
      <xdr:nvGraphicFramePr>
        <xdr:cNvPr id="21" name="Chart 20">
          <a:extLst>
            <a:ext uri="{FF2B5EF4-FFF2-40B4-BE49-F238E27FC236}">
              <a16:creationId xmlns:a16="http://schemas.microsoft.com/office/drawing/2014/main" id="{736F4509-FCA6-CC80-8525-E2CA934EC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428624</xdr:colOff>
      <xdr:row>30</xdr:row>
      <xdr:rowOff>57150</xdr:rowOff>
    </xdr:from>
    <xdr:to>
      <xdr:col>59</xdr:col>
      <xdr:colOff>123824</xdr:colOff>
      <xdr:row>44</xdr:row>
      <xdr:rowOff>133350</xdr:rowOff>
    </xdr:to>
    <xdr:graphicFrame macro="">
      <xdr:nvGraphicFramePr>
        <xdr:cNvPr id="22" name="Chart 21">
          <a:extLst>
            <a:ext uri="{FF2B5EF4-FFF2-40B4-BE49-F238E27FC236}">
              <a16:creationId xmlns:a16="http://schemas.microsoft.com/office/drawing/2014/main" id="{FFE227BE-B7BC-F652-6E98-44C61E249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51</xdr:col>
      <xdr:colOff>413808</xdr:colOff>
      <xdr:row>59</xdr:row>
      <xdr:rowOff>30692</xdr:rowOff>
    </xdr:from>
    <xdr:to>
      <xdr:col>59</xdr:col>
      <xdr:colOff>109008</xdr:colOff>
      <xdr:row>73</xdr:row>
      <xdr:rowOff>129116</xdr:rowOff>
    </xdr:to>
    <xdr:graphicFrame macro="">
      <xdr:nvGraphicFramePr>
        <xdr:cNvPr id="25" name="Chart 24">
          <a:extLst>
            <a:ext uri="{FF2B5EF4-FFF2-40B4-BE49-F238E27FC236}">
              <a16:creationId xmlns:a16="http://schemas.microsoft.com/office/drawing/2014/main" id="{58BB9559-0AAF-EAF3-7F3A-93A18E904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426552</xdr:colOff>
      <xdr:row>44</xdr:row>
      <xdr:rowOff>174486</xdr:rowOff>
    </xdr:from>
    <xdr:to>
      <xdr:col>59</xdr:col>
      <xdr:colOff>139422</xdr:colOff>
      <xdr:row>59</xdr:row>
      <xdr:rowOff>18773</xdr:rowOff>
    </xdr:to>
    <xdr:graphicFrame macro="">
      <xdr:nvGraphicFramePr>
        <xdr:cNvPr id="3" name="Chart 2">
          <a:extLst>
            <a:ext uri="{FF2B5EF4-FFF2-40B4-BE49-F238E27FC236}">
              <a16:creationId xmlns:a16="http://schemas.microsoft.com/office/drawing/2014/main" id="{145ECA36-8B41-BBF5-E1D4-1C4C8F72E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44</xdr:col>
      <xdr:colOff>15875</xdr:colOff>
      <xdr:row>3</xdr:row>
      <xdr:rowOff>0</xdr:rowOff>
    </xdr:from>
    <xdr:to>
      <xdr:col>51</xdr:col>
      <xdr:colOff>371475</xdr:colOff>
      <xdr:row>16</xdr:row>
      <xdr:rowOff>92075</xdr:rowOff>
    </xdr:to>
    <xdr:graphicFrame macro="">
      <xdr:nvGraphicFramePr>
        <xdr:cNvPr id="14" name="Chart 13">
          <a:extLst>
            <a:ext uri="{FF2B5EF4-FFF2-40B4-BE49-F238E27FC236}">
              <a16:creationId xmlns:a16="http://schemas.microsoft.com/office/drawing/2014/main" id="{DBF9FA05-3ED9-4D5F-AFFD-D8BE30911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28574</xdr:colOff>
      <xdr:row>16</xdr:row>
      <xdr:rowOff>133350</xdr:rowOff>
    </xdr:from>
    <xdr:to>
      <xdr:col>51</xdr:col>
      <xdr:colOff>333374</xdr:colOff>
      <xdr:row>30</xdr:row>
      <xdr:rowOff>38100</xdr:rowOff>
    </xdr:to>
    <xdr:graphicFrame macro="">
      <xdr:nvGraphicFramePr>
        <xdr:cNvPr id="15" name="Chart 14">
          <a:extLst>
            <a:ext uri="{FF2B5EF4-FFF2-40B4-BE49-F238E27FC236}">
              <a16:creationId xmlns:a16="http://schemas.microsoft.com/office/drawing/2014/main" id="{CA773B7D-C55E-4B56-B3A1-FD1662661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9524</xdr:colOff>
      <xdr:row>30</xdr:row>
      <xdr:rowOff>95250</xdr:rowOff>
    </xdr:from>
    <xdr:to>
      <xdr:col>51</xdr:col>
      <xdr:colOff>314324</xdr:colOff>
      <xdr:row>44</xdr:row>
      <xdr:rowOff>171450</xdr:rowOff>
    </xdr:to>
    <xdr:graphicFrame macro="">
      <xdr:nvGraphicFramePr>
        <xdr:cNvPr id="16" name="Chart 15">
          <a:extLst>
            <a:ext uri="{FF2B5EF4-FFF2-40B4-BE49-F238E27FC236}">
              <a16:creationId xmlns:a16="http://schemas.microsoft.com/office/drawing/2014/main" id="{5235FC20-4461-4C71-8BAE-BA5A126FA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9524</xdr:colOff>
      <xdr:row>45</xdr:row>
      <xdr:rowOff>19050</xdr:rowOff>
    </xdr:from>
    <xdr:to>
      <xdr:col>51</xdr:col>
      <xdr:colOff>314324</xdr:colOff>
      <xdr:row>59</xdr:row>
      <xdr:rowOff>95250</xdr:rowOff>
    </xdr:to>
    <xdr:graphicFrame macro="">
      <xdr:nvGraphicFramePr>
        <xdr:cNvPr id="17" name="Chart 16">
          <a:extLst>
            <a:ext uri="{FF2B5EF4-FFF2-40B4-BE49-F238E27FC236}">
              <a16:creationId xmlns:a16="http://schemas.microsoft.com/office/drawing/2014/main" id="{64BA96DB-4B74-4857-B8FF-8D1928B76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9524</xdr:colOff>
      <xdr:row>59</xdr:row>
      <xdr:rowOff>133350</xdr:rowOff>
    </xdr:from>
    <xdr:to>
      <xdr:col>51</xdr:col>
      <xdr:colOff>314324</xdr:colOff>
      <xdr:row>74</xdr:row>
      <xdr:rowOff>19050</xdr:rowOff>
    </xdr:to>
    <xdr:graphicFrame macro="">
      <xdr:nvGraphicFramePr>
        <xdr:cNvPr id="18" name="Chart 17">
          <a:extLst>
            <a:ext uri="{FF2B5EF4-FFF2-40B4-BE49-F238E27FC236}">
              <a16:creationId xmlns:a16="http://schemas.microsoft.com/office/drawing/2014/main" id="{6D4490F7-98C0-49BC-B717-1FCA4143C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28574</xdr:colOff>
      <xdr:row>74</xdr:row>
      <xdr:rowOff>57150</xdr:rowOff>
    </xdr:from>
    <xdr:to>
      <xdr:col>51</xdr:col>
      <xdr:colOff>333374</xdr:colOff>
      <xdr:row>88</xdr:row>
      <xdr:rowOff>76200</xdr:rowOff>
    </xdr:to>
    <xdr:graphicFrame macro="">
      <xdr:nvGraphicFramePr>
        <xdr:cNvPr id="19" name="Chart 18">
          <a:extLst>
            <a:ext uri="{FF2B5EF4-FFF2-40B4-BE49-F238E27FC236}">
              <a16:creationId xmlns:a16="http://schemas.microsoft.com/office/drawing/2014/main" id="{AA654566-25D9-422A-AA18-0C8073B9D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561974</xdr:colOff>
      <xdr:row>3</xdr:row>
      <xdr:rowOff>19050</xdr:rowOff>
    </xdr:from>
    <xdr:to>
      <xdr:col>59</xdr:col>
      <xdr:colOff>257174</xdr:colOff>
      <xdr:row>16</xdr:row>
      <xdr:rowOff>76200</xdr:rowOff>
    </xdr:to>
    <xdr:graphicFrame macro="">
      <xdr:nvGraphicFramePr>
        <xdr:cNvPr id="20" name="Chart 19">
          <a:extLst>
            <a:ext uri="{FF2B5EF4-FFF2-40B4-BE49-F238E27FC236}">
              <a16:creationId xmlns:a16="http://schemas.microsoft.com/office/drawing/2014/main" id="{33E8D4A6-9C8D-4E6B-9EC3-52035EB18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581024</xdr:colOff>
      <xdr:row>16</xdr:row>
      <xdr:rowOff>95250</xdr:rowOff>
    </xdr:from>
    <xdr:to>
      <xdr:col>59</xdr:col>
      <xdr:colOff>276224</xdr:colOff>
      <xdr:row>30</xdr:row>
      <xdr:rowOff>0</xdr:rowOff>
    </xdr:to>
    <xdr:graphicFrame macro="">
      <xdr:nvGraphicFramePr>
        <xdr:cNvPr id="21" name="Chart 20">
          <a:extLst>
            <a:ext uri="{FF2B5EF4-FFF2-40B4-BE49-F238E27FC236}">
              <a16:creationId xmlns:a16="http://schemas.microsoft.com/office/drawing/2014/main" id="{B663514F-1151-403C-BC43-C5B939A6A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600074</xdr:colOff>
      <xdr:row>30</xdr:row>
      <xdr:rowOff>57150</xdr:rowOff>
    </xdr:from>
    <xdr:to>
      <xdr:col>59</xdr:col>
      <xdr:colOff>295274</xdr:colOff>
      <xdr:row>44</xdr:row>
      <xdr:rowOff>133350</xdr:rowOff>
    </xdr:to>
    <xdr:graphicFrame macro="">
      <xdr:nvGraphicFramePr>
        <xdr:cNvPr id="22" name="Chart 21">
          <a:extLst>
            <a:ext uri="{FF2B5EF4-FFF2-40B4-BE49-F238E27FC236}">
              <a16:creationId xmlns:a16="http://schemas.microsoft.com/office/drawing/2014/main" id="{98A413CF-321D-4C4F-BBAA-2D1CB486A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9524</xdr:colOff>
      <xdr:row>44</xdr:row>
      <xdr:rowOff>171450</xdr:rowOff>
    </xdr:from>
    <xdr:to>
      <xdr:col>59</xdr:col>
      <xdr:colOff>314324</xdr:colOff>
      <xdr:row>59</xdr:row>
      <xdr:rowOff>57150</xdr:rowOff>
    </xdr:to>
    <xdr:graphicFrame macro="">
      <xdr:nvGraphicFramePr>
        <xdr:cNvPr id="23" name="Chart 22">
          <a:extLst>
            <a:ext uri="{FF2B5EF4-FFF2-40B4-BE49-F238E27FC236}">
              <a16:creationId xmlns:a16="http://schemas.microsoft.com/office/drawing/2014/main" id="{9260A262-8FF7-45E4-BF06-33B68BAE4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28574</xdr:colOff>
      <xdr:row>74</xdr:row>
      <xdr:rowOff>57150</xdr:rowOff>
    </xdr:from>
    <xdr:to>
      <xdr:col>59</xdr:col>
      <xdr:colOff>333374</xdr:colOff>
      <xdr:row>88</xdr:row>
      <xdr:rowOff>76200</xdr:rowOff>
    </xdr:to>
    <xdr:graphicFrame macro="">
      <xdr:nvGraphicFramePr>
        <xdr:cNvPr id="25" name="Chart 24">
          <a:extLst>
            <a:ext uri="{FF2B5EF4-FFF2-40B4-BE49-F238E27FC236}">
              <a16:creationId xmlns:a16="http://schemas.microsoft.com/office/drawing/2014/main" id="{27E960B6-4B35-46B2-BF66-AF8A6618B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319C-BB0B-4499-B701-146F5E739266}">
  <dimension ref="A1:CJ150"/>
  <sheetViews>
    <sheetView tabSelected="1" topLeftCell="AF1" zoomScale="45" zoomScaleNormal="60" workbookViewId="0">
      <selection activeCell="B1" sqref="B1:Z4"/>
    </sheetView>
  </sheetViews>
  <sheetFormatPr baseColWidth="10" defaultColWidth="8.83203125" defaultRowHeight="15"/>
  <cols>
    <col min="1" max="2" width="3.33203125" customWidth="1"/>
    <col min="3" max="31" width="8.6640625" customWidth="1"/>
    <col min="32" max="32" width="10.5" bestFit="1" customWidth="1"/>
    <col min="33" max="38" width="8.6640625" customWidth="1"/>
    <col min="39" max="39" width="14.33203125" customWidth="1"/>
  </cols>
  <sheetData>
    <row r="1" spans="1:76" s="6" customFormat="1">
      <c r="B1" s="94" t="s">
        <v>116</v>
      </c>
      <c r="C1" s="94"/>
      <c r="D1" s="94"/>
      <c r="E1" s="94"/>
      <c r="F1" s="94"/>
      <c r="G1" s="94"/>
      <c r="H1" s="94"/>
      <c r="I1" s="94"/>
      <c r="J1" s="94"/>
      <c r="K1" s="94"/>
      <c r="L1" s="94"/>
      <c r="M1" s="94"/>
      <c r="N1" s="94"/>
      <c r="O1" s="94"/>
      <c r="P1" s="94"/>
      <c r="Q1" s="94"/>
      <c r="R1" s="94"/>
      <c r="S1" s="94"/>
      <c r="T1" s="94"/>
      <c r="U1" s="94"/>
      <c r="V1" s="94"/>
      <c r="W1" s="94"/>
      <c r="X1" s="94"/>
      <c r="Y1" s="94"/>
      <c r="Z1" s="94"/>
    </row>
    <row r="2" spans="1:76" s="6" customFormat="1">
      <c r="B2" s="94"/>
      <c r="C2" s="94"/>
      <c r="D2" s="94"/>
      <c r="E2" s="94"/>
      <c r="F2" s="94"/>
      <c r="G2" s="94"/>
      <c r="H2" s="94"/>
      <c r="I2" s="94"/>
      <c r="J2" s="94"/>
      <c r="K2" s="94"/>
      <c r="L2" s="94"/>
      <c r="M2" s="94"/>
      <c r="N2" s="94"/>
      <c r="O2" s="94"/>
      <c r="P2" s="94"/>
      <c r="Q2" s="94"/>
      <c r="R2" s="94"/>
      <c r="S2" s="94"/>
      <c r="T2" s="94"/>
      <c r="U2" s="94"/>
      <c r="V2" s="94"/>
      <c r="W2" s="94"/>
      <c r="X2" s="94"/>
      <c r="Y2" s="94"/>
      <c r="Z2" s="94"/>
    </row>
    <row r="3" spans="1:76" s="6" customFormat="1">
      <c r="B3" s="94"/>
      <c r="C3" s="94"/>
      <c r="D3" s="94"/>
      <c r="E3" s="94"/>
      <c r="F3" s="94"/>
      <c r="G3" s="94"/>
      <c r="H3" s="94"/>
      <c r="I3" s="94"/>
      <c r="J3" s="94"/>
      <c r="K3" s="94"/>
      <c r="L3" s="94"/>
      <c r="M3" s="94"/>
      <c r="N3" s="94"/>
      <c r="O3" s="94"/>
      <c r="P3" s="94"/>
      <c r="Q3" s="94"/>
      <c r="R3" s="94"/>
      <c r="S3" s="94"/>
      <c r="T3" s="94"/>
      <c r="U3" s="94"/>
      <c r="V3" s="94"/>
      <c r="W3" s="94"/>
      <c r="X3" s="94"/>
      <c r="Y3" s="94"/>
      <c r="Z3" s="94"/>
    </row>
    <row r="4" spans="1:76" s="6" customFormat="1" ht="16" thickBot="1">
      <c r="B4" s="95"/>
      <c r="C4" s="95"/>
      <c r="D4" s="95"/>
      <c r="E4" s="95"/>
      <c r="F4" s="95"/>
      <c r="G4" s="95"/>
      <c r="H4" s="95"/>
      <c r="I4" s="95"/>
      <c r="J4" s="95"/>
      <c r="K4" s="95"/>
      <c r="L4" s="95"/>
      <c r="M4" s="95"/>
      <c r="N4" s="95"/>
      <c r="O4" s="95"/>
      <c r="P4" s="95"/>
      <c r="Q4" s="95"/>
      <c r="R4" s="95"/>
      <c r="S4" s="95"/>
      <c r="T4" s="95"/>
      <c r="U4" s="95"/>
      <c r="V4" s="95"/>
      <c r="W4" s="95"/>
      <c r="X4" s="95"/>
      <c r="Y4" s="95"/>
      <c r="Z4" s="95"/>
    </row>
    <row r="5" spans="1:76" ht="16" thickBot="1">
      <c r="A5" s="6"/>
      <c r="B5" s="22"/>
      <c r="C5" s="23">
        <v>1</v>
      </c>
      <c r="D5" s="8">
        <v>2</v>
      </c>
      <c r="E5" s="23">
        <v>3</v>
      </c>
      <c r="F5" s="8">
        <v>4</v>
      </c>
      <c r="G5" s="23">
        <v>5</v>
      </c>
      <c r="H5" s="8">
        <v>6</v>
      </c>
      <c r="I5" s="23">
        <v>7</v>
      </c>
      <c r="J5" s="8">
        <v>8</v>
      </c>
      <c r="K5" s="23">
        <v>9</v>
      </c>
      <c r="L5" s="8">
        <v>10</v>
      </c>
      <c r="M5" s="23">
        <v>11</v>
      </c>
      <c r="N5" s="8">
        <v>12</v>
      </c>
      <c r="O5" s="23">
        <v>13</v>
      </c>
      <c r="P5" s="8">
        <v>14</v>
      </c>
      <c r="Q5" s="23">
        <v>15</v>
      </c>
      <c r="R5" s="8">
        <v>16</v>
      </c>
      <c r="S5" s="23">
        <v>17</v>
      </c>
      <c r="T5" s="8">
        <v>18</v>
      </c>
      <c r="U5" s="23">
        <v>19</v>
      </c>
      <c r="V5" s="8">
        <v>20</v>
      </c>
      <c r="W5" s="23">
        <v>21</v>
      </c>
      <c r="X5" s="8">
        <v>22</v>
      </c>
      <c r="Y5" s="23">
        <v>23</v>
      </c>
      <c r="Z5" s="9">
        <v>24</v>
      </c>
      <c r="AA5" s="6"/>
      <c r="AB5" s="6"/>
      <c r="AC5" s="6"/>
      <c r="AD5" s="6"/>
      <c r="AE5" s="6"/>
      <c r="AF5" s="6"/>
      <c r="AG5" s="6"/>
      <c r="AH5" s="106" t="s">
        <v>88</v>
      </c>
      <c r="AI5" s="107"/>
      <c r="AJ5" s="107"/>
      <c r="AK5" s="107"/>
      <c r="AL5" s="108"/>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1:76" ht="16" thickBot="1">
      <c r="A6" s="6"/>
      <c r="B6" s="30" t="s">
        <v>15</v>
      </c>
      <c r="C6" s="147" t="s">
        <v>17</v>
      </c>
      <c r="D6" s="148"/>
      <c r="E6" s="148"/>
      <c r="F6" s="148"/>
      <c r="G6" s="148"/>
      <c r="H6" s="148"/>
      <c r="I6" s="148"/>
      <c r="J6" s="148"/>
      <c r="K6" s="148"/>
      <c r="L6" s="148"/>
      <c r="M6" s="148"/>
      <c r="N6" s="148"/>
      <c r="O6" s="148"/>
      <c r="P6" s="148"/>
      <c r="Q6" s="149"/>
      <c r="R6" s="147" t="s">
        <v>18</v>
      </c>
      <c r="S6" s="148"/>
      <c r="T6" s="148"/>
      <c r="U6" s="148"/>
      <c r="V6" s="148"/>
      <c r="W6" s="148"/>
      <c r="X6" s="148"/>
      <c r="Y6" s="148"/>
      <c r="Z6" s="149"/>
      <c r="AA6" s="6"/>
      <c r="AB6" s="6"/>
      <c r="AC6" s="6"/>
      <c r="AD6" s="6"/>
      <c r="AE6" s="6"/>
      <c r="AF6" s="6"/>
      <c r="AG6" s="6"/>
      <c r="AH6" s="109"/>
      <c r="AI6" s="110"/>
      <c r="AJ6" s="110"/>
      <c r="AK6" s="110"/>
      <c r="AL6" s="111"/>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c r="A7" s="6"/>
      <c r="B7" s="20" t="s">
        <v>0</v>
      </c>
      <c r="C7" s="65">
        <v>28.353131848267399</v>
      </c>
      <c r="D7" s="69">
        <v>25.835663079663099</v>
      </c>
      <c r="E7" s="66">
        <v>23.695189677209498</v>
      </c>
      <c r="F7" s="66">
        <v>21.4534764832047</v>
      </c>
      <c r="G7" s="66">
        <v>19.019059919310401</v>
      </c>
      <c r="H7" s="24">
        <v>20.137329097285502</v>
      </c>
      <c r="I7" s="24">
        <v>20.123702576202799</v>
      </c>
      <c r="J7" s="24">
        <v>19.978204030539398</v>
      </c>
      <c r="K7" s="25">
        <v>21.360475972608</v>
      </c>
      <c r="L7" s="25">
        <v>20.8821773157613</v>
      </c>
      <c r="M7" s="25">
        <v>20.278406772943001</v>
      </c>
      <c r="N7" s="26">
        <v>23.073271238405201</v>
      </c>
      <c r="O7" s="26">
        <v>21.2398959741742</v>
      </c>
      <c r="P7" s="26">
        <v>20.845281871310501</v>
      </c>
      <c r="Q7" s="27">
        <v>33.2230748847917</v>
      </c>
      <c r="R7" s="65">
        <v>25.6379542732709</v>
      </c>
      <c r="S7" s="66">
        <v>22.994298507008601</v>
      </c>
      <c r="T7" s="66">
        <v>20.4365275384664</v>
      </c>
      <c r="U7" s="66">
        <v>17.759467157822101</v>
      </c>
      <c r="V7" s="66">
        <v>15.660260266708301</v>
      </c>
      <c r="W7" s="24">
        <v>17.051292017100199</v>
      </c>
      <c r="X7" s="24">
        <v>16.971265720290098</v>
      </c>
      <c r="Y7" s="24">
        <v>15.2782250827753</v>
      </c>
      <c r="Z7" s="27">
        <v>33.468473164756297</v>
      </c>
      <c r="AA7" s="6"/>
      <c r="AB7" s="1"/>
      <c r="AC7" s="6" t="s">
        <v>28</v>
      </c>
      <c r="AD7" s="6"/>
      <c r="AE7" s="6"/>
      <c r="AF7" s="6"/>
      <c r="AG7" s="6"/>
      <c r="AH7" s="87" t="s">
        <v>89</v>
      </c>
      <c r="AI7" s="88"/>
      <c r="AJ7" s="88"/>
      <c r="AK7" s="112">
        <v>45150</v>
      </c>
      <c r="AL7" s="113"/>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1:76" ht="16" thickBot="1">
      <c r="A8" s="6"/>
      <c r="B8" s="21" t="s">
        <v>1</v>
      </c>
      <c r="C8" s="67">
        <v>28.3722938832179</v>
      </c>
      <c r="D8" s="70">
        <v>25.243383286985502</v>
      </c>
      <c r="E8" s="68">
        <v>23.747217900909401</v>
      </c>
      <c r="F8" s="68">
        <v>21.367881005614901</v>
      </c>
      <c r="G8" s="68">
        <v>19.319526710302199</v>
      </c>
      <c r="H8" s="10">
        <v>20.328122755690199</v>
      </c>
      <c r="I8" s="10">
        <v>20.197779259532801</v>
      </c>
      <c r="J8" s="10">
        <v>19.691165227900601</v>
      </c>
      <c r="K8" s="11">
        <v>21.2944656791231</v>
      </c>
      <c r="L8" s="11">
        <v>20.889769345614901</v>
      </c>
      <c r="M8" s="11">
        <v>20.266513044102499</v>
      </c>
      <c r="N8" s="12">
        <v>23.112328653823901</v>
      </c>
      <c r="O8" s="12">
        <v>21.180649737148801</v>
      </c>
      <c r="P8" s="12">
        <v>20.828728576471999</v>
      </c>
      <c r="Q8" s="13">
        <v>30.972266653827301</v>
      </c>
      <c r="R8" s="67">
        <v>25.7476965525107</v>
      </c>
      <c r="S8" s="68">
        <v>23.125327155366101</v>
      </c>
      <c r="T8" s="68">
        <v>20.451885518484001</v>
      </c>
      <c r="U8" s="68">
        <v>17.789173953864001</v>
      </c>
      <c r="V8" s="68">
        <v>15.3605929125881</v>
      </c>
      <c r="W8" s="10">
        <v>17.2587145493717</v>
      </c>
      <c r="X8" s="10">
        <v>16.901999197256298</v>
      </c>
      <c r="Y8" s="10">
        <v>15.3305983460422</v>
      </c>
      <c r="Z8" s="13">
        <v>33.699026644275399</v>
      </c>
      <c r="AA8" s="6"/>
      <c r="AB8" s="2"/>
      <c r="AC8" s="6" t="s">
        <v>29</v>
      </c>
      <c r="AD8" s="6"/>
      <c r="AE8" s="6"/>
      <c r="AF8" s="6"/>
      <c r="AG8" s="6"/>
      <c r="AH8" s="87" t="s">
        <v>90</v>
      </c>
      <c r="AI8" s="88"/>
      <c r="AJ8" s="88"/>
      <c r="AK8" s="112">
        <v>45157</v>
      </c>
      <c r="AL8" s="113"/>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1:76" ht="16" thickBot="1">
      <c r="A9" s="6"/>
      <c r="B9" s="30" t="s">
        <v>15</v>
      </c>
      <c r="C9" s="144" t="s">
        <v>18</v>
      </c>
      <c r="D9" s="145"/>
      <c r="E9" s="145"/>
      <c r="F9" s="145"/>
      <c r="G9" s="145"/>
      <c r="H9" s="146"/>
      <c r="I9" s="144" t="s">
        <v>26</v>
      </c>
      <c r="J9" s="145"/>
      <c r="K9" s="145"/>
      <c r="L9" s="145"/>
      <c r="M9" s="145"/>
      <c r="N9" s="145"/>
      <c r="O9" s="145"/>
      <c r="P9" s="145"/>
      <c r="Q9" s="145"/>
      <c r="R9" s="145"/>
      <c r="S9" s="145"/>
      <c r="T9" s="145"/>
      <c r="U9" s="145"/>
      <c r="V9" s="145"/>
      <c r="W9" s="146"/>
      <c r="X9" s="135"/>
      <c r="Y9" s="136"/>
      <c r="Z9" s="137"/>
      <c r="AA9" s="6"/>
      <c r="AB9" s="3"/>
      <c r="AC9" s="6" t="s">
        <v>30</v>
      </c>
      <c r="AD9" s="6"/>
      <c r="AE9" s="6"/>
      <c r="AF9" s="6"/>
      <c r="AG9" s="6"/>
      <c r="AH9" s="87" t="s">
        <v>91</v>
      </c>
      <c r="AI9" s="88"/>
      <c r="AJ9" s="88"/>
      <c r="AK9" s="112">
        <v>45160</v>
      </c>
      <c r="AL9" s="113"/>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1:76">
      <c r="A10" s="6"/>
      <c r="B10" s="20" t="s">
        <v>2</v>
      </c>
      <c r="C10" s="28">
        <v>18.620853496619802</v>
      </c>
      <c r="D10" s="25">
        <v>17.236539899050701</v>
      </c>
      <c r="E10" s="25">
        <v>16.165240975557602</v>
      </c>
      <c r="F10" s="26">
        <v>21.988875286934601</v>
      </c>
      <c r="G10" s="26">
        <v>17.361386133304201</v>
      </c>
      <c r="H10" s="29">
        <v>16.716059604009899</v>
      </c>
      <c r="I10" s="65">
        <v>26.851893118775699</v>
      </c>
      <c r="J10" s="66">
        <v>24.193220419657202</v>
      </c>
      <c r="K10" s="66">
        <v>23.234710712486699</v>
      </c>
      <c r="L10" s="66">
        <v>23.896388595991699</v>
      </c>
      <c r="M10" s="66">
        <v>22.645641240863799</v>
      </c>
      <c r="N10" s="24">
        <v>23.9102789095916</v>
      </c>
      <c r="O10" s="24">
        <v>23.958485759710602</v>
      </c>
      <c r="P10" s="24">
        <v>23.030090138521501</v>
      </c>
      <c r="Q10" s="25">
        <v>25.000921128713799</v>
      </c>
      <c r="R10" s="25">
        <v>24.033049876837001</v>
      </c>
      <c r="S10" s="25">
        <v>23.467788317820101</v>
      </c>
      <c r="T10" s="26">
        <v>26.697983883608199</v>
      </c>
      <c r="U10" s="26">
        <v>24.087998601647801</v>
      </c>
      <c r="V10" s="26">
        <v>23.827348561943001</v>
      </c>
      <c r="W10" s="27">
        <v>25.665146043053799</v>
      </c>
      <c r="X10" s="138"/>
      <c r="Y10" s="139"/>
      <c r="Z10" s="140"/>
      <c r="AA10" s="6"/>
      <c r="AB10" s="4"/>
      <c r="AC10" s="6" t="s">
        <v>31</v>
      </c>
      <c r="AD10" s="6"/>
      <c r="AE10" s="6"/>
      <c r="AF10" s="6"/>
      <c r="AG10" s="6"/>
      <c r="AH10" s="87" t="s">
        <v>92</v>
      </c>
      <c r="AI10" s="88"/>
      <c r="AJ10" s="88"/>
      <c r="AK10" s="112">
        <v>45176</v>
      </c>
      <c r="AL10" s="113"/>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1:76" ht="18" thickBot="1">
      <c r="A11" s="6"/>
      <c r="B11" s="21" t="s">
        <v>3</v>
      </c>
      <c r="C11" s="14">
        <v>18.764819241582799</v>
      </c>
      <c r="D11" s="11">
        <v>17.198027169629601</v>
      </c>
      <c r="E11" s="11">
        <v>16.268657793258701</v>
      </c>
      <c r="F11" s="12">
        <v>22.057911385378699</v>
      </c>
      <c r="G11" s="12">
        <v>17.260604804039101</v>
      </c>
      <c r="H11" s="15">
        <v>16.8053515675626</v>
      </c>
      <c r="I11" s="67">
        <v>26.3316286317554</v>
      </c>
      <c r="J11" s="68">
        <v>24.0946696051987</v>
      </c>
      <c r="K11" s="68">
        <v>23.121038763485402</v>
      </c>
      <c r="L11" s="68">
        <v>23.9024112139141</v>
      </c>
      <c r="M11" s="68">
        <v>22.6825612219139</v>
      </c>
      <c r="N11" s="10">
        <v>23.934278330124101</v>
      </c>
      <c r="O11" s="10">
        <v>23.858468653868901</v>
      </c>
      <c r="P11" s="10">
        <v>23.047748537713499</v>
      </c>
      <c r="Q11" s="11">
        <v>24.8716223798024</v>
      </c>
      <c r="R11" s="16">
        <v>24.083309772288199</v>
      </c>
      <c r="S11" s="16">
        <v>23.378960865573401</v>
      </c>
      <c r="T11" s="17">
        <v>26.961882513713</v>
      </c>
      <c r="U11" s="17">
        <v>24.012272239172699</v>
      </c>
      <c r="V11" s="17">
        <v>23.841594737250698</v>
      </c>
      <c r="W11" s="18">
        <v>28.1822380149402</v>
      </c>
      <c r="X11" s="141"/>
      <c r="Y11" s="142"/>
      <c r="Z11" s="143"/>
      <c r="AA11" s="6"/>
      <c r="AB11" s="5"/>
      <c r="AC11" s="6" t="s">
        <v>32</v>
      </c>
      <c r="AD11" s="6"/>
      <c r="AE11" s="6"/>
      <c r="AF11" s="6"/>
      <c r="AG11" s="6"/>
      <c r="AH11" s="89" t="s">
        <v>93</v>
      </c>
      <c r="AI11" s="90"/>
      <c r="AJ11" s="90"/>
      <c r="AK11" s="114">
        <v>45150</v>
      </c>
      <c r="AL11" s="115"/>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1:76" ht="16" thickBot="1">
      <c r="A12" s="6"/>
      <c r="B12" s="30" t="s">
        <v>15</v>
      </c>
      <c r="C12" s="147" t="s">
        <v>19</v>
      </c>
      <c r="D12" s="148"/>
      <c r="E12" s="148"/>
      <c r="F12" s="148"/>
      <c r="G12" s="148"/>
      <c r="H12" s="148"/>
      <c r="I12" s="148"/>
      <c r="J12" s="148"/>
      <c r="K12" s="148"/>
      <c r="L12" s="148"/>
      <c r="M12" s="148"/>
      <c r="N12" s="148"/>
      <c r="O12" s="148"/>
      <c r="P12" s="148"/>
      <c r="Q12" s="149"/>
      <c r="R12" s="147" t="s">
        <v>20</v>
      </c>
      <c r="S12" s="148"/>
      <c r="T12" s="148"/>
      <c r="U12" s="148"/>
      <c r="V12" s="148"/>
      <c r="W12" s="148"/>
      <c r="X12" s="148"/>
      <c r="Y12" s="148"/>
      <c r="Z12" s="149"/>
      <c r="AA12" s="6"/>
      <c r="AB12" s="19"/>
      <c r="AC12" s="6" t="s">
        <v>16</v>
      </c>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1:76">
      <c r="A13" s="6"/>
      <c r="B13" s="20" t="s">
        <v>4</v>
      </c>
      <c r="C13" s="65">
        <v>26.016792940761601</v>
      </c>
      <c r="D13" s="66">
        <v>23.756516346080801</v>
      </c>
      <c r="E13" s="66">
        <v>21.391032282209601</v>
      </c>
      <c r="F13" s="66">
        <v>19.1520385904779</v>
      </c>
      <c r="G13" s="66">
        <v>16.977544346546299</v>
      </c>
      <c r="H13" s="24">
        <v>17.965734576811698</v>
      </c>
      <c r="I13" s="24">
        <v>17.343715968538099</v>
      </c>
      <c r="J13" s="24">
        <v>17.347833967901501</v>
      </c>
      <c r="K13" s="25">
        <v>19.5718015588116</v>
      </c>
      <c r="L13" s="25">
        <v>19.127539679004801</v>
      </c>
      <c r="M13" s="25">
        <v>18.8756917075603</v>
      </c>
      <c r="N13" s="26">
        <v>20.236188715847501</v>
      </c>
      <c r="O13" s="26">
        <v>19.386253856944801</v>
      </c>
      <c r="P13" s="26">
        <v>18.9301135588533</v>
      </c>
      <c r="Q13" s="27">
        <v>35.706666754685202</v>
      </c>
      <c r="R13" s="65">
        <v>26.008100201431098</v>
      </c>
      <c r="S13" s="66">
        <v>23.6414467221941</v>
      </c>
      <c r="T13" s="66">
        <v>21.548435714332701</v>
      </c>
      <c r="U13" s="66">
        <v>19.1543481325755</v>
      </c>
      <c r="V13" s="66">
        <v>16.937222419674502</v>
      </c>
      <c r="W13" s="24">
        <v>18.345949044747499</v>
      </c>
      <c r="X13" s="24">
        <v>18.2983811024917</v>
      </c>
      <c r="Y13" s="24">
        <v>17.9863319765205</v>
      </c>
      <c r="Z13" s="27">
        <v>35.915056933195302</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1:76" ht="16" thickBot="1">
      <c r="A14" s="6"/>
      <c r="B14" s="21" t="s">
        <v>5</v>
      </c>
      <c r="C14" s="67">
        <v>25.897127968013901</v>
      </c>
      <c r="D14" s="68">
        <v>23.4740343916848</v>
      </c>
      <c r="E14" s="68">
        <v>21.455702947684301</v>
      </c>
      <c r="F14" s="68">
        <v>19.1425033212358</v>
      </c>
      <c r="G14" s="68">
        <v>17.032271104779099</v>
      </c>
      <c r="H14" s="10">
        <v>17.692429723765098</v>
      </c>
      <c r="I14" s="10">
        <v>17.6453550343156</v>
      </c>
      <c r="J14" s="10">
        <v>17.839951484414399</v>
      </c>
      <c r="K14" s="11">
        <v>19.489798954947499</v>
      </c>
      <c r="L14" s="11">
        <v>19.201506036725299</v>
      </c>
      <c r="M14" s="11">
        <v>18.993128477077899</v>
      </c>
      <c r="N14" s="12">
        <v>20.1536504008705</v>
      </c>
      <c r="O14" s="12">
        <v>19.336803053518501</v>
      </c>
      <c r="P14" s="12">
        <v>18.822519692272301</v>
      </c>
      <c r="Q14" s="13" t="s">
        <v>49</v>
      </c>
      <c r="R14" s="67">
        <v>25.911695285010602</v>
      </c>
      <c r="S14" s="68">
        <v>23.672220017079098</v>
      </c>
      <c r="T14" s="68">
        <v>21.471816238167801</v>
      </c>
      <c r="U14" s="68">
        <v>19.115247661240499</v>
      </c>
      <c r="V14" s="68">
        <v>16.949009993591801</v>
      </c>
      <c r="W14" s="10">
        <v>18.537808454568999</v>
      </c>
      <c r="X14" s="10">
        <v>18.3605481340125</v>
      </c>
      <c r="Y14" s="10">
        <v>17.980845654381501</v>
      </c>
      <c r="Z14" s="13">
        <v>32.095892820296797</v>
      </c>
      <c r="AA14" s="6"/>
      <c r="AB14" s="6" t="s">
        <v>62</v>
      </c>
      <c r="AC14" s="6" t="s">
        <v>63</v>
      </c>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1:76" ht="16" thickBot="1">
      <c r="A15" s="6"/>
      <c r="B15" s="30" t="s">
        <v>15</v>
      </c>
      <c r="C15" s="147" t="s">
        <v>20</v>
      </c>
      <c r="D15" s="148"/>
      <c r="E15" s="148"/>
      <c r="F15" s="148"/>
      <c r="G15" s="148"/>
      <c r="H15" s="149"/>
      <c r="I15" s="147" t="s">
        <v>21</v>
      </c>
      <c r="J15" s="148"/>
      <c r="K15" s="148"/>
      <c r="L15" s="148"/>
      <c r="M15" s="148"/>
      <c r="N15" s="148"/>
      <c r="O15" s="148"/>
      <c r="P15" s="148"/>
      <c r="Q15" s="148"/>
      <c r="R15" s="148"/>
      <c r="S15" s="148"/>
      <c r="T15" s="148"/>
      <c r="U15" s="148"/>
      <c r="V15" s="148"/>
      <c r="W15" s="149"/>
      <c r="X15" s="135"/>
      <c r="Y15" s="136"/>
      <c r="Z15" s="137"/>
      <c r="AA15" s="6"/>
      <c r="AB15" s="6" t="s">
        <v>64</v>
      </c>
      <c r="AC15" s="6" t="s">
        <v>65</v>
      </c>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1:76">
      <c r="A16" s="6"/>
      <c r="B16" s="20" t="s">
        <v>6</v>
      </c>
      <c r="C16" s="28">
        <v>19.4102377070237</v>
      </c>
      <c r="D16" s="25">
        <v>19.038217672410902</v>
      </c>
      <c r="E16" s="25">
        <v>18.295643505832</v>
      </c>
      <c r="F16" s="26">
        <v>20.4829397518874</v>
      </c>
      <c r="G16" s="26">
        <v>19.0017430590704</v>
      </c>
      <c r="H16" s="29">
        <v>18.7619562596118</v>
      </c>
      <c r="I16" s="65">
        <v>27.543406891519599</v>
      </c>
      <c r="J16" s="66">
        <v>25.129115986531499</v>
      </c>
      <c r="K16" s="66">
        <v>22.709059720228101</v>
      </c>
      <c r="L16" s="66">
        <v>20.353818494747699</v>
      </c>
      <c r="M16" s="66">
        <v>18.115469589347601</v>
      </c>
      <c r="N16" s="24">
        <v>19.031969126649201</v>
      </c>
      <c r="O16" s="24">
        <v>18.825958781508799</v>
      </c>
      <c r="P16" s="24">
        <v>18.790384224386202</v>
      </c>
      <c r="Q16" s="25">
        <v>20.576676442108202</v>
      </c>
      <c r="R16" s="25">
        <v>20.051769464492899</v>
      </c>
      <c r="S16" s="25">
        <v>19.6302201502861</v>
      </c>
      <c r="T16" s="26">
        <v>21.6380720005467</v>
      </c>
      <c r="U16" s="26">
        <v>20.1544731015819</v>
      </c>
      <c r="V16" s="26">
        <v>19.835279633733901</v>
      </c>
      <c r="W16" s="27">
        <v>30.977418832371399</v>
      </c>
      <c r="X16" s="138"/>
      <c r="Y16" s="139"/>
      <c r="Z16" s="140"/>
      <c r="AA16" s="6"/>
      <c r="AB16" s="6" t="s">
        <v>66</v>
      </c>
      <c r="AC16" s="6" t="s">
        <v>67</v>
      </c>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1:76" ht="16" thickBot="1">
      <c r="A17" s="6"/>
      <c r="B17" s="21" t="s">
        <v>7</v>
      </c>
      <c r="C17" s="14">
        <v>19.3017606127604</v>
      </c>
      <c r="D17" s="11">
        <v>18.973831233358801</v>
      </c>
      <c r="E17" s="11">
        <v>18.397951867475101</v>
      </c>
      <c r="F17" s="12">
        <v>20.573423420949801</v>
      </c>
      <c r="G17" s="12">
        <v>18.990961835742901</v>
      </c>
      <c r="H17" s="15">
        <v>18.768724515586602</v>
      </c>
      <c r="I17" s="67">
        <v>27.572068603245299</v>
      </c>
      <c r="J17" s="68">
        <v>25.001764192351299</v>
      </c>
      <c r="K17" s="68">
        <v>22.4685108001926</v>
      </c>
      <c r="L17" s="68">
        <v>20.337503384755799</v>
      </c>
      <c r="M17" s="68">
        <v>18.1413156222008</v>
      </c>
      <c r="N17" s="10">
        <v>18.9787413532488</v>
      </c>
      <c r="O17" s="10">
        <v>18.921500089955</v>
      </c>
      <c r="P17" s="10">
        <v>18.861871717886501</v>
      </c>
      <c r="Q17" s="11">
        <v>20.6097070325559</v>
      </c>
      <c r="R17" s="16">
        <v>19.993195963342199</v>
      </c>
      <c r="S17" s="16">
        <v>19.574028388318901</v>
      </c>
      <c r="T17" s="17">
        <v>21.6877494710184</v>
      </c>
      <c r="U17" s="17">
        <v>20.2013219235203</v>
      </c>
      <c r="V17" s="17">
        <v>19.897966902536499</v>
      </c>
      <c r="W17" s="18">
        <v>31.094265738414201</v>
      </c>
      <c r="X17" s="141"/>
      <c r="Y17" s="142"/>
      <c r="Z17" s="143"/>
      <c r="AA17" s="6"/>
      <c r="AB17" s="6" t="s">
        <v>68</v>
      </c>
      <c r="AC17" s="6" t="s">
        <v>69</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1:76" ht="16" thickBot="1">
      <c r="A18" s="6"/>
      <c r="B18" s="30" t="s">
        <v>15</v>
      </c>
      <c r="C18" s="147" t="s">
        <v>22</v>
      </c>
      <c r="D18" s="148"/>
      <c r="E18" s="148"/>
      <c r="F18" s="148"/>
      <c r="G18" s="148"/>
      <c r="H18" s="148"/>
      <c r="I18" s="148"/>
      <c r="J18" s="148"/>
      <c r="K18" s="148"/>
      <c r="L18" s="148"/>
      <c r="M18" s="148"/>
      <c r="N18" s="148"/>
      <c r="O18" s="148"/>
      <c r="P18" s="148"/>
      <c r="Q18" s="149"/>
      <c r="R18" s="147" t="s">
        <v>23</v>
      </c>
      <c r="S18" s="148"/>
      <c r="T18" s="148"/>
      <c r="U18" s="148"/>
      <c r="V18" s="148"/>
      <c r="W18" s="148"/>
      <c r="X18" s="148"/>
      <c r="Y18" s="148"/>
      <c r="Z18" s="149"/>
      <c r="AA18" s="6"/>
      <c r="AB18" s="6" t="s">
        <v>70</v>
      </c>
      <c r="AC18" s="6" t="s">
        <v>71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1:76">
      <c r="A19" s="6"/>
      <c r="B19" s="20" t="s">
        <v>8</v>
      </c>
      <c r="C19" s="65">
        <v>29.0297492246487</v>
      </c>
      <c r="D19" s="66">
        <v>27.249961480050899</v>
      </c>
      <c r="E19" s="66">
        <v>25.3929603499592</v>
      </c>
      <c r="F19" s="66">
        <v>23.3418081812734</v>
      </c>
      <c r="G19" s="66">
        <v>21.1176593972286</v>
      </c>
      <c r="H19" s="24">
        <v>22.925331787006002</v>
      </c>
      <c r="I19" s="24">
        <v>22.739687149460298</v>
      </c>
      <c r="J19" s="24">
        <v>21.716370773017101</v>
      </c>
      <c r="K19" s="25">
        <v>23.803207516388099</v>
      </c>
      <c r="L19" s="25">
        <v>23.087215788139002</v>
      </c>
      <c r="M19" s="25">
        <v>22.230632662514399</v>
      </c>
      <c r="N19" s="26">
        <v>25.386234455643699</v>
      </c>
      <c r="O19" s="26">
        <v>22.683490974787599</v>
      </c>
      <c r="P19" s="26">
        <v>22.3159915011896</v>
      </c>
      <c r="Q19" s="27">
        <v>30.1466515587225</v>
      </c>
      <c r="R19" s="65">
        <v>30.423855985280198</v>
      </c>
      <c r="S19" s="66">
        <v>27.7957436028892</v>
      </c>
      <c r="T19" s="66">
        <v>25.562287968225501</v>
      </c>
      <c r="U19" s="69">
        <v>23.359513318060198</v>
      </c>
      <c r="V19" s="66">
        <v>21.512620770286699</v>
      </c>
      <c r="W19" s="24">
        <v>22.618724859040299</v>
      </c>
      <c r="X19" s="24">
        <v>22.577968038505499</v>
      </c>
      <c r="Y19" s="24">
        <v>21.9428885870445</v>
      </c>
      <c r="Z19" s="27">
        <v>33.947700099031799</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1:76" ht="16" thickBot="1">
      <c r="A20" s="6"/>
      <c r="B20" s="21" t="s">
        <v>9</v>
      </c>
      <c r="C20" s="67">
        <v>29.514582125215998</v>
      </c>
      <c r="D20" s="68">
        <v>27.2697763441682</v>
      </c>
      <c r="E20" s="68">
        <v>25.4007495951641</v>
      </c>
      <c r="F20" s="68">
        <v>23.428142445676599</v>
      </c>
      <c r="G20" s="68">
        <v>21.218843781017402</v>
      </c>
      <c r="H20" s="10">
        <v>22.994814661661</v>
      </c>
      <c r="I20" s="10">
        <v>22.812840028259</v>
      </c>
      <c r="J20" s="10">
        <v>21.754987931101098</v>
      </c>
      <c r="K20" s="11">
        <v>23.705994304566101</v>
      </c>
      <c r="L20" s="11">
        <v>23.127081207347398</v>
      </c>
      <c r="M20" s="11">
        <v>22.339121030893601</v>
      </c>
      <c r="N20" s="12">
        <v>25.333021922301199</v>
      </c>
      <c r="O20" s="12">
        <v>22.7263173938716</v>
      </c>
      <c r="P20" s="12">
        <v>22.348331336701602</v>
      </c>
      <c r="Q20" s="13">
        <v>29.410773399721101</v>
      </c>
      <c r="R20" s="67">
        <v>30.556415585082298</v>
      </c>
      <c r="S20" s="68">
        <v>27.818741210314801</v>
      </c>
      <c r="T20" s="68">
        <v>25.5515275231602</v>
      </c>
      <c r="U20" s="70">
        <v>23.561061143185899</v>
      </c>
      <c r="V20" s="68">
        <v>21.250022936648499</v>
      </c>
      <c r="W20" s="10">
        <v>22.652053117158701</v>
      </c>
      <c r="X20" s="10">
        <v>22.547669393381799</v>
      </c>
      <c r="Y20" s="10">
        <v>21.821032003100601</v>
      </c>
      <c r="Z20" s="13">
        <v>33.983083007070199</v>
      </c>
      <c r="AA20" s="6"/>
      <c r="AB20" s="6" t="s">
        <v>72</v>
      </c>
      <c r="AC20" s="6" t="s">
        <v>73</v>
      </c>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1:76" ht="16" thickBot="1">
      <c r="A21" s="6"/>
      <c r="B21" s="30" t="s">
        <v>15</v>
      </c>
      <c r="C21" s="147" t="s">
        <v>23</v>
      </c>
      <c r="D21" s="148"/>
      <c r="E21" s="148"/>
      <c r="F21" s="148"/>
      <c r="G21" s="148"/>
      <c r="H21" s="149"/>
      <c r="I21" s="147" t="s">
        <v>27</v>
      </c>
      <c r="J21" s="148"/>
      <c r="K21" s="148"/>
      <c r="L21" s="148"/>
      <c r="M21" s="148"/>
      <c r="N21" s="148"/>
      <c r="O21" s="148"/>
      <c r="P21" s="148"/>
      <c r="Q21" s="148"/>
      <c r="R21" s="148"/>
      <c r="S21" s="148"/>
      <c r="T21" s="148"/>
      <c r="U21" s="148"/>
      <c r="V21" s="148"/>
      <c r="W21" s="149"/>
      <c r="X21" s="135"/>
      <c r="Y21" s="136"/>
      <c r="Z21" s="137"/>
      <c r="AA21" s="6"/>
      <c r="AB21" s="6" t="s">
        <v>74</v>
      </c>
      <c r="AC21" s="6" t="s">
        <v>75</v>
      </c>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1:76">
      <c r="A22" s="6"/>
      <c r="B22" s="20" t="s">
        <v>10</v>
      </c>
      <c r="C22" s="28">
        <v>23.6068177670534</v>
      </c>
      <c r="D22" s="25">
        <v>22.987742228528699</v>
      </c>
      <c r="E22" s="25">
        <v>22.2847177382932</v>
      </c>
      <c r="F22" s="26">
        <v>25.908906309707799</v>
      </c>
      <c r="G22" s="26">
        <v>23.480976874916301</v>
      </c>
      <c r="H22" s="29">
        <v>23.075342658222599</v>
      </c>
      <c r="I22" s="65">
        <v>26.563704272325602</v>
      </c>
      <c r="J22" s="66">
        <v>24.3940094996161</v>
      </c>
      <c r="K22" s="66">
        <v>21.905591836146002</v>
      </c>
      <c r="L22" s="66">
        <v>19.798864093027198</v>
      </c>
      <c r="M22" s="66">
        <v>17.572503761199901</v>
      </c>
      <c r="N22" s="24">
        <v>18.9378537902783</v>
      </c>
      <c r="O22" s="24">
        <v>18.898277696425499</v>
      </c>
      <c r="P22" s="24">
        <v>17.961533051657</v>
      </c>
      <c r="Q22" s="25">
        <v>20.062724289859201</v>
      </c>
      <c r="R22" s="25">
        <v>19.275003886011799</v>
      </c>
      <c r="S22" s="25">
        <v>18.470254063247602</v>
      </c>
      <c r="T22" s="26">
        <v>21.004013195980399</v>
      </c>
      <c r="U22" s="26">
        <v>18.6861150962484</v>
      </c>
      <c r="V22" s="26">
        <v>18.340091358586999</v>
      </c>
      <c r="W22" s="27">
        <v>29.288084669439399</v>
      </c>
      <c r="X22" s="138"/>
      <c r="Y22" s="139"/>
      <c r="Z22" s="140"/>
      <c r="AA22" s="6"/>
      <c r="AB22" s="6" t="s">
        <v>76</v>
      </c>
      <c r="AC22" s="6" t="s">
        <v>77</v>
      </c>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1:76" ht="16" thickBot="1">
      <c r="A23" s="6"/>
      <c r="B23" s="21" t="s">
        <v>11</v>
      </c>
      <c r="C23" s="14">
        <v>23.6725641772878</v>
      </c>
      <c r="D23" s="11">
        <v>22.651311602077602</v>
      </c>
      <c r="E23" s="11">
        <v>22.3513621812303</v>
      </c>
      <c r="F23" s="12">
        <v>25.984598280079801</v>
      </c>
      <c r="G23" s="12">
        <v>23.477546608536301</v>
      </c>
      <c r="H23" s="15">
        <v>23.128404480986401</v>
      </c>
      <c r="I23" s="67">
        <v>26.4443105403471</v>
      </c>
      <c r="J23" s="68">
        <v>24.1585526900963</v>
      </c>
      <c r="K23" s="68">
        <v>21.9838377560997</v>
      </c>
      <c r="L23" s="68">
        <v>19.7752093013608</v>
      </c>
      <c r="M23" s="68">
        <v>17.712476759078498</v>
      </c>
      <c r="N23" s="10">
        <v>19.046055756427201</v>
      </c>
      <c r="O23" s="10">
        <v>18.818960463873399</v>
      </c>
      <c r="P23" s="10">
        <v>17.956471882747501</v>
      </c>
      <c r="Q23" s="11">
        <v>20.090919803564798</v>
      </c>
      <c r="R23" s="16">
        <v>19.230550866201401</v>
      </c>
      <c r="S23" s="16">
        <v>18.6319644742679</v>
      </c>
      <c r="T23" s="17">
        <v>20.966320607915101</v>
      </c>
      <c r="U23" s="17">
        <v>18.704326904770099</v>
      </c>
      <c r="V23" s="17">
        <v>18.445921964622698</v>
      </c>
      <c r="W23" s="18">
        <v>31.217829948585699</v>
      </c>
      <c r="X23" s="141"/>
      <c r="Y23" s="142"/>
      <c r="Z23" s="143"/>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1:76" ht="16" thickBot="1">
      <c r="A24" s="6"/>
      <c r="B24" s="30" t="s">
        <v>15</v>
      </c>
      <c r="C24" s="147" t="s">
        <v>24</v>
      </c>
      <c r="D24" s="148"/>
      <c r="E24" s="148"/>
      <c r="F24" s="148"/>
      <c r="G24" s="148"/>
      <c r="H24" s="148"/>
      <c r="I24" s="148"/>
      <c r="J24" s="148"/>
      <c r="K24" s="148"/>
      <c r="L24" s="148"/>
      <c r="M24" s="148"/>
      <c r="N24" s="148"/>
      <c r="O24" s="148"/>
      <c r="P24" s="148"/>
      <c r="Q24" s="149"/>
      <c r="R24" s="150"/>
      <c r="S24" s="151"/>
      <c r="T24" s="151"/>
      <c r="U24" s="151"/>
      <c r="V24" s="151"/>
      <c r="W24" s="151"/>
      <c r="X24" s="151"/>
      <c r="Y24" s="151"/>
      <c r="Z24" s="152"/>
      <c r="AA24" s="6"/>
      <c r="AB24" s="71" t="s">
        <v>78</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1:76">
      <c r="A25" s="6"/>
      <c r="B25" s="20" t="s">
        <v>12</v>
      </c>
      <c r="C25" s="65">
        <v>27.796908170522901</v>
      </c>
      <c r="D25" s="66">
        <v>25.597590145153401</v>
      </c>
      <c r="E25" s="66">
        <v>23.151645751610602</v>
      </c>
      <c r="F25" s="66">
        <v>20.849699708236201</v>
      </c>
      <c r="G25" s="66">
        <v>18.6366731794269</v>
      </c>
      <c r="H25" s="24">
        <v>21.0791203149567</v>
      </c>
      <c r="I25" s="24">
        <v>21.023896307624501</v>
      </c>
      <c r="J25" s="24">
        <v>20.508015249622598</v>
      </c>
      <c r="K25" s="25">
        <v>20.786360258701301</v>
      </c>
      <c r="L25" s="25">
        <v>20.244787126029401</v>
      </c>
      <c r="M25" s="25">
        <v>19.5387328629667</v>
      </c>
      <c r="N25" s="26">
        <v>21.58227104226</v>
      </c>
      <c r="O25" s="26">
        <v>19.435260820365801</v>
      </c>
      <c r="P25" s="26">
        <v>19.015779304630101</v>
      </c>
      <c r="Q25" s="27">
        <v>36.004225156539803</v>
      </c>
      <c r="R25" s="153"/>
      <c r="S25" s="154"/>
      <c r="T25" s="154"/>
      <c r="U25" s="154"/>
      <c r="V25" s="154"/>
      <c r="W25" s="154"/>
      <c r="X25" s="154"/>
      <c r="Y25" s="154"/>
      <c r="Z25" s="155"/>
      <c r="AA25" s="6"/>
      <c r="AB25" s="6" t="s">
        <v>70</v>
      </c>
      <c r="AC25" s="6" t="s">
        <v>79</v>
      </c>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1:76" ht="16" thickBot="1">
      <c r="A26" s="6"/>
      <c r="B26" s="21" t="s">
        <v>13</v>
      </c>
      <c r="C26" s="67">
        <v>27.975828951080899</v>
      </c>
      <c r="D26" s="68">
        <v>25.6615992213775</v>
      </c>
      <c r="E26" s="68">
        <v>23.075867552789699</v>
      </c>
      <c r="F26" s="68">
        <v>20.7779849311924</v>
      </c>
      <c r="G26" s="68">
        <v>18.5045754407986</v>
      </c>
      <c r="H26" s="10">
        <v>21.0087204410341</v>
      </c>
      <c r="I26" s="10">
        <v>20.978478059822301</v>
      </c>
      <c r="J26" s="10">
        <v>20.501243858353501</v>
      </c>
      <c r="K26" s="11">
        <v>20.6781894760278</v>
      </c>
      <c r="L26" s="11">
        <v>20.124184061612699</v>
      </c>
      <c r="M26" s="11">
        <v>19.504476671063799</v>
      </c>
      <c r="N26" s="12">
        <v>21.449848716397302</v>
      </c>
      <c r="O26" s="12">
        <v>19.172981980970899</v>
      </c>
      <c r="P26" s="12">
        <v>19.010194282831101</v>
      </c>
      <c r="Q26" s="13">
        <v>35.3837291767924</v>
      </c>
      <c r="R26" s="156"/>
      <c r="S26" s="157"/>
      <c r="T26" s="157"/>
      <c r="U26" s="157"/>
      <c r="V26" s="157"/>
      <c r="W26" s="157"/>
      <c r="X26" s="157"/>
      <c r="Y26" s="157"/>
      <c r="Z26" s="158"/>
      <c r="AA26" s="6"/>
      <c r="AB26" s="72" t="s">
        <v>72</v>
      </c>
      <c r="AC26" s="73" t="s">
        <v>80</v>
      </c>
      <c r="AD26" s="73"/>
      <c r="AE26" s="73"/>
      <c r="AF26" s="73"/>
      <c r="AG26" s="126" t="s">
        <v>81</v>
      </c>
      <c r="AH26" s="126"/>
      <c r="AI26" s="126"/>
      <c r="AJ26" s="126"/>
      <c r="AK26" s="126"/>
      <c r="AL26" s="74"/>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1:76" ht="16" thickBot="1">
      <c r="A27" s="6"/>
      <c r="B27" s="30" t="s">
        <v>15</v>
      </c>
      <c r="C27" s="150"/>
      <c r="D27" s="151"/>
      <c r="E27" s="151"/>
      <c r="F27" s="151"/>
      <c r="G27" s="151"/>
      <c r="H27" s="152"/>
      <c r="I27" s="147" t="s">
        <v>25</v>
      </c>
      <c r="J27" s="148"/>
      <c r="K27" s="148"/>
      <c r="L27" s="148"/>
      <c r="M27" s="148"/>
      <c r="N27" s="148"/>
      <c r="O27" s="148"/>
      <c r="P27" s="148"/>
      <c r="Q27" s="148"/>
      <c r="R27" s="148"/>
      <c r="S27" s="148"/>
      <c r="T27" s="148"/>
      <c r="U27" s="148"/>
      <c r="V27" s="148"/>
      <c r="W27" s="149"/>
      <c r="X27" s="135"/>
      <c r="Y27" s="136"/>
      <c r="Z27" s="137"/>
      <c r="AA27" s="6"/>
      <c r="AB27" s="75" t="s">
        <v>74</v>
      </c>
      <c r="AC27" s="6" t="s">
        <v>82</v>
      </c>
      <c r="AD27" s="6"/>
      <c r="AE27" s="6"/>
      <c r="AF27" s="7"/>
      <c r="AG27" s="127"/>
      <c r="AH27" s="127"/>
      <c r="AI27" s="127"/>
      <c r="AJ27" s="127"/>
      <c r="AK27" s="127"/>
      <c r="AL27" s="7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1:76">
      <c r="A28" s="6"/>
      <c r="B28" s="20" t="s">
        <v>14</v>
      </c>
      <c r="C28" s="153"/>
      <c r="D28" s="154"/>
      <c r="E28" s="154"/>
      <c r="F28" s="154"/>
      <c r="G28" s="154"/>
      <c r="H28" s="155"/>
      <c r="I28" s="65">
        <v>31.021320031037501</v>
      </c>
      <c r="J28" s="66">
        <v>28.8905988622761</v>
      </c>
      <c r="K28" s="66">
        <v>27.6930968854418</v>
      </c>
      <c r="L28" s="66">
        <v>27.1447606534934</v>
      </c>
      <c r="M28" s="66">
        <v>26.0999525879852</v>
      </c>
      <c r="N28" s="24">
        <v>27.334077443415499</v>
      </c>
      <c r="O28" s="24">
        <v>26.964834964272299</v>
      </c>
      <c r="P28" s="24">
        <v>26.337183229634402</v>
      </c>
      <c r="Q28" s="25">
        <v>28.570401504745</v>
      </c>
      <c r="R28" s="25">
        <v>28.096442870189399</v>
      </c>
      <c r="S28" s="25">
        <v>26.8193807315938</v>
      </c>
      <c r="T28" s="26">
        <v>30.1780640984535</v>
      </c>
      <c r="U28" s="26">
        <v>27.0625801201104</v>
      </c>
      <c r="V28" s="26">
        <v>26.949543824139599</v>
      </c>
      <c r="W28" s="27">
        <v>31.3935282197431</v>
      </c>
      <c r="X28" s="138"/>
      <c r="Y28" s="139"/>
      <c r="Z28" s="140"/>
      <c r="AA28" s="6"/>
      <c r="AB28" s="77" t="s">
        <v>76</v>
      </c>
      <c r="AC28" s="78" t="s">
        <v>83</v>
      </c>
      <c r="AD28" s="78"/>
      <c r="AE28" s="78"/>
      <c r="AF28" s="79"/>
      <c r="AG28" s="128"/>
      <c r="AH28" s="128"/>
      <c r="AI28" s="128"/>
      <c r="AJ28" s="128"/>
      <c r="AK28" s="128"/>
      <c r="AL28" s="80"/>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1:76" ht="16" thickBot="1">
      <c r="A29" s="6"/>
      <c r="B29" s="21" t="s">
        <v>15</v>
      </c>
      <c r="C29" s="156"/>
      <c r="D29" s="157"/>
      <c r="E29" s="157"/>
      <c r="F29" s="157"/>
      <c r="G29" s="157"/>
      <c r="H29" s="158"/>
      <c r="I29" s="67">
        <v>31.6910083054943</v>
      </c>
      <c r="J29" s="68">
        <v>29.517377453210699</v>
      </c>
      <c r="K29" s="68">
        <v>27.890161777359101</v>
      </c>
      <c r="L29" s="68">
        <v>26.899834113878899</v>
      </c>
      <c r="M29" s="68">
        <v>25.989671688702401</v>
      </c>
      <c r="N29" s="10">
        <v>27.4206503384945</v>
      </c>
      <c r="O29" s="10">
        <v>27.181159968270201</v>
      </c>
      <c r="P29" s="10">
        <v>25.921786442282599</v>
      </c>
      <c r="Q29" s="11">
        <v>28.756001608282201</v>
      </c>
      <c r="R29" s="11">
        <v>27.886933950572999</v>
      </c>
      <c r="S29" s="11">
        <v>26.882193209387101</v>
      </c>
      <c r="T29" s="12">
        <v>30.113116366092601</v>
      </c>
      <c r="U29" s="12">
        <v>26.859092644896901</v>
      </c>
      <c r="V29" s="12">
        <v>26.859116869467599</v>
      </c>
      <c r="W29" s="13">
        <v>32.967459454201098</v>
      </c>
      <c r="X29" s="141"/>
      <c r="Y29" s="142"/>
      <c r="Z29" s="143"/>
      <c r="AA29" s="6"/>
      <c r="AB29" s="6"/>
      <c r="AC29" s="6"/>
      <c r="AD29" s="6"/>
      <c r="AE29" s="6"/>
      <c r="AF29" s="6"/>
      <c r="AG29" s="6"/>
      <c r="AH29" s="6"/>
      <c r="AI29" s="6"/>
      <c r="AJ29" s="7"/>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1:76">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1:76">
      <c r="A31" s="6"/>
      <c r="B31" s="6"/>
      <c r="C31" s="131" t="s">
        <v>17</v>
      </c>
      <c r="D31" s="131"/>
      <c r="E31" s="131"/>
      <c r="F31" s="6"/>
      <c r="G31" s="6"/>
      <c r="H31" s="6"/>
      <c r="I31" s="6"/>
      <c r="J31" s="96" t="s">
        <v>18</v>
      </c>
      <c r="K31" s="97"/>
      <c r="L31" s="98"/>
      <c r="M31" s="6"/>
      <c r="N31" s="6"/>
      <c r="O31" s="6"/>
      <c r="P31" s="6"/>
      <c r="Q31" s="131" t="s">
        <v>26</v>
      </c>
      <c r="R31" s="131"/>
      <c r="S31" s="131"/>
      <c r="T31" s="6"/>
      <c r="U31" s="6"/>
      <c r="V31" s="6"/>
      <c r="W31" s="6"/>
      <c r="X31" s="131" t="s">
        <v>19</v>
      </c>
      <c r="Y31" s="131"/>
      <c r="Z31" s="131"/>
      <c r="AA31" s="6"/>
      <c r="AB31" s="6"/>
      <c r="AC31" s="6"/>
      <c r="AD31" s="6"/>
      <c r="AE31" s="131" t="s">
        <v>20</v>
      </c>
      <c r="AF31" s="131"/>
      <c r="AG31" s="131"/>
      <c r="AH31" s="6"/>
      <c r="AI31" s="6"/>
      <c r="AJ31" s="6"/>
      <c r="AK31" s="6"/>
      <c r="AL31" s="131" t="s">
        <v>21</v>
      </c>
      <c r="AM31" s="131"/>
      <c r="AN31" s="131"/>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1:76" ht="15" customHeight="1">
      <c r="A32" s="6"/>
      <c r="B32" s="37"/>
      <c r="C32" s="132" t="s">
        <v>47</v>
      </c>
      <c r="D32" s="133"/>
      <c r="E32" s="134"/>
      <c r="F32" s="6"/>
      <c r="G32" s="6"/>
      <c r="H32" s="6"/>
      <c r="I32" s="6"/>
      <c r="J32" s="99" t="s">
        <v>47</v>
      </c>
      <c r="K32" s="100"/>
      <c r="L32" s="101"/>
      <c r="M32" s="6"/>
      <c r="N32" s="6"/>
      <c r="O32" s="6"/>
      <c r="P32" s="6"/>
      <c r="Q32" s="99" t="s">
        <v>47</v>
      </c>
      <c r="R32" s="100"/>
      <c r="S32" s="101"/>
      <c r="T32" s="6"/>
      <c r="U32" s="6"/>
      <c r="V32" s="6"/>
      <c r="W32" s="6"/>
      <c r="X32" s="99" t="s">
        <v>47</v>
      </c>
      <c r="Y32" s="159"/>
      <c r="Z32" s="160"/>
      <c r="AA32" s="6"/>
      <c r="AB32" s="6"/>
      <c r="AC32" s="6"/>
      <c r="AD32" s="6"/>
      <c r="AE32" s="99" t="s">
        <v>47</v>
      </c>
      <c r="AF32" s="100"/>
      <c r="AG32" s="101"/>
      <c r="AH32" s="6"/>
      <c r="AI32" s="6"/>
      <c r="AJ32" s="6"/>
      <c r="AK32" s="6"/>
      <c r="AL32" s="99" t="s">
        <v>47</v>
      </c>
      <c r="AM32" s="100"/>
      <c r="AN32" s="101"/>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1:88" ht="15" customHeight="1">
      <c r="A33" s="6"/>
      <c r="B33" s="34"/>
      <c r="C33" s="31" t="s">
        <v>33</v>
      </c>
      <c r="D33" s="32" t="s">
        <v>45</v>
      </c>
      <c r="E33" s="64" t="s">
        <v>44</v>
      </c>
      <c r="F33" s="6"/>
      <c r="G33" s="6"/>
      <c r="H33" s="6"/>
      <c r="I33" s="6"/>
      <c r="J33" s="31" t="s">
        <v>33</v>
      </c>
      <c r="K33" s="32" t="s">
        <v>45</v>
      </c>
      <c r="L33" s="64" t="s">
        <v>44</v>
      </c>
      <c r="M33" s="6"/>
      <c r="N33" s="6"/>
      <c r="O33" s="6"/>
      <c r="P33" s="6"/>
      <c r="Q33" s="31" t="s">
        <v>33</v>
      </c>
      <c r="R33" s="32" t="s">
        <v>45</v>
      </c>
      <c r="S33" s="64" t="s">
        <v>44</v>
      </c>
      <c r="T33" s="6"/>
      <c r="U33" s="6"/>
      <c r="V33" s="6"/>
      <c r="W33" s="6"/>
      <c r="X33" s="31" t="s">
        <v>33</v>
      </c>
      <c r="Y33" s="32" t="s">
        <v>45</v>
      </c>
      <c r="Z33" s="64" t="s">
        <v>44</v>
      </c>
      <c r="AA33" s="6"/>
      <c r="AB33" s="6"/>
      <c r="AC33" s="6"/>
      <c r="AD33" s="6"/>
      <c r="AE33" s="31" t="s">
        <v>33</v>
      </c>
      <c r="AF33" s="32" t="s">
        <v>45</v>
      </c>
      <c r="AG33" s="64" t="s">
        <v>44</v>
      </c>
      <c r="AH33" s="6"/>
      <c r="AI33" s="6"/>
      <c r="AJ33" s="6"/>
      <c r="AK33" s="6"/>
      <c r="AL33" s="31" t="s">
        <v>33</v>
      </c>
      <c r="AM33" s="32" t="s">
        <v>45</v>
      </c>
      <c r="AN33" s="64" t="s">
        <v>44</v>
      </c>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88">
      <c r="A34" s="6"/>
      <c r="B34" s="35"/>
      <c r="C34" s="58">
        <v>3.2000000000000001E-2</v>
      </c>
      <c r="D34" s="59">
        <f>LOG(C34)</f>
        <v>-1.494850021680094</v>
      </c>
      <c r="E34" s="60">
        <f>AVERAGE(C7:C8)</f>
        <v>28.362712865742651</v>
      </c>
      <c r="F34" s="6"/>
      <c r="G34" s="6"/>
      <c r="H34" s="6"/>
      <c r="I34" s="6"/>
      <c r="J34" s="58">
        <v>3.2000000000000001E-2</v>
      </c>
      <c r="K34" s="59">
        <f>LOG(J34)</f>
        <v>-1.494850021680094</v>
      </c>
      <c r="L34" s="60">
        <f>AVERAGE(R7:R8)</f>
        <v>25.692825412890798</v>
      </c>
      <c r="M34" s="6"/>
      <c r="N34" s="6"/>
      <c r="O34" s="6"/>
      <c r="P34" s="6"/>
      <c r="Q34" s="58">
        <v>3.2000000000000001E-2</v>
      </c>
      <c r="R34" s="59">
        <f>LOG(Q34)</f>
        <v>-1.494850021680094</v>
      </c>
      <c r="S34" s="60">
        <f>AVERAGE(I10:I11)</f>
        <v>26.59176087526555</v>
      </c>
      <c r="T34" s="6"/>
      <c r="U34" s="6"/>
      <c r="V34" s="6"/>
      <c r="W34" s="6"/>
      <c r="X34" s="58">
        <v>3.2000000000000001E-2</v>
      </c>
      <c r="Y34" s="59">
        <f>LOG(X34)</f>
        <v>-1.494850021680094</v>
      </c>
      <c r="Z34" s="60">
        <f>AVERAGE(C13:C14)</f>
        <v>25.956960454387751</v>
      </c>
      <c r="AA34" s="6"/>
      <c r="AB34" s="6"/>
      <c r="AC34" s="6"/>
      <c r="AD34" s="6"/>
      <c r="AE34" s="58">
        <v>3.2000000000000001E-2</v>
      </c>
      <c r="AF34" s="59">
        <f>LOG(AE34)</f>
        <v>-1.494850021680094</v>
      </c>
      <c r="AG34" s="60">
        <f>AVERAGE(R13:R14)</f>
        <v>25.95989774322085</v>
      </c>
      <c r="AH34" s="6"/>
      <c r="AI34" s="6"/>
      <c r="AJ34" s="6"/>
      <c r="AK34" s="6"/>
      <c r="AL34" s="58">
        <v>3.2000000000000001E-2</v>
      </c>
      <c r="AM34" s="59">
        <f>LOG(AL34)</f>
        <v>-1.494850021680094</v>
      </c>
      <c r="AN34" s="60">
        <f>AVERAGE(I16:I17)</f>
        <v>27.557737747382447</v>
      </c>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88">
      <c r="A35" s="6"/>
      <c r="B35" s="35"/>
      <c r="C35" s="58">
        <v>0.16</v>
      </c>
      <c r="D35" s="59">
        <f>LOG(C35)</f>
        <v>-0.79588001734407521</v>
      </c>
      <c r="E35" s="60">
        <f>AVERAGE(D7:D8)</f>
        <v>25.539523183324299</v>
      </c>
      <c r="F35" s="6"/>
      <c r="G35" s="6"/>
      <c r="H35" s="6"/>
      <c r="I35" s="6"/>
      <c r="J35" s="58">
        <v>0.16</v>
      </c>
      <c r="K35" s="59">
        <f>LOG(J35)</f>
        <v>-0.79588001734407521</v>
      </c>
      <c r="L35" s="60">
        <f>AVERAGE(S7:S8)</f>
        <v>23.059812831187351</v>
      </c>
      <c r="M35" s="6"/>
      <c r="N35" s="6"/>
      <c r="O35" s="6"/>
      <c r="P35" s="6"/>
      <c r="Q35" s="58">
        <v>0.16</v>
      </c>
      <c r="R35" s="59">
        <f>LOG(Q35)</f>
        <v>-0.79588001734407521</v>
      </c>
      <c r="S35" s="60">
        <f>AVERAGE(J10:J11)</f>
        <v>24.143945012427949</v>
      </c>
      <c r="T35" s="6"/>
      <c r="U35" s="6"/>
      <c r="V35" s="6"/>
      <c r="W35" s="6"/>
      <c r="X35" s="58">
        <v>0.16</v>
      </c>
      <c r="Y35" s="59">
        <f>LOG(X35)</f>
        <v>-0.79588001734407521</v>
      </c>
      <c r="Z35" s="60">
        <f>AVERAGE(D13:D14)</f>
        <v>23.615275368882799</v>
      </c>
      <c r="AA35" s="6"/>
      <c r="AB35" s="6"/>
      <c r="AC35" s="6"/>
      <c r="AD35" s="6"/>
      <c r="AE35" s="58">
        <v>0.16</v>
      </c>
      <c r="AF35" s="59">
        <f>LOG(AE35)</f>
        <v>-0.79588001734407521</v>
      </c>
      <c r="AG35" s="60">
        <f>AVERAGE(S13:S14)</f>
        <v>23.656833369636601</v>
      </c>
      <c r="AH35" s="6"/>
      <c r="AI35" s="6"/>
      <c r="AJ35" s="6"/>
      <c r="AK35" s="6"/>
      <c r="AL35" s="58">
        <v>0.16</v>
      </c>
      <c r="AM35" s="59">
        <f>LOG(AL35)</f>
        <v>-0.79588001734407521</v>
      </c>
      <c r="AN35" s="60">
        <f>AVERAGE(J16:J17)</f>
        <v>25.065440089441399</v>
      </c>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88">
      <c r="A36" s="6"/>
      <c r="B36" s="35"/>
      <c r="C36" s="58">
        <v>0.8</v>
      </c>
      <c r="D36" s="59">
        <f>LOG(C36)</f>
        <v>-9.6910013008056392E-2</v>
      </c>
      <c r="E36" s="60">
        <f>AVERAGE(E7:E8)</f>
        <v>23.721203789059452</v>
      </c>
      <c r="F36" s="6"/>
      <c r="G36" s="6"/>
      <c r="H36" s="6"/>
      <c r="I36" s="6"/>
      <c r="J36" s="58">
        <v>0.8</v>
      </c>
      <c r="K36" s="59">
        <f>LOG(J36)</f>
        <v>-9.6910013008056392E-2</v>
      </c>
      <c r="L36" s="60">
        <f>AVERAGE(T7:T8)</f>
        <v>20.444206528475199</v>
      </c>
      <c r="M36" s="6"/>
      <c r="N36" s="6"/>
      <c r="O36" s="6"/>
      <c r="P36" s="6"/>
      <c r="Q36" s="58">
        <v>0.8</v>
      </c>
      <c r="R36" s="59">
        <f>LOG(Q36)</f>
        <v>-9.6910013008056392E-2</v>
      </c>
      <c r="S36" s="60">
        <f>AVERAGE(K10:K11)</f>
        <v>23.177874737986052</v>
      </c>
      <c r="T36" s="6"/>
      <c r="U36" s="6"/>
      <c r="V36" s="6"/>
      <c r="W36" s="6"/>
      <c r="X36" s="58">
        <v>0.8</v>
      </c>
      <c r="Y36" s="59">
        <f>LOG(X36)</f>
        <v>-9.6910013008056392E-2</v>
      </c>
      <c r="Z36" s="60">
        <f>AVERAGE(E13:E14)</f>
        <v>21.423367614946951</v>
      </c>
      <c r="AA36" s="6"/>
      <c r="AB36" s="6"/>
      <c r="AC36" s="6"/>
      <c r="AD36" s="6"/>
      <c r="AE36" s="58">
        <v>0.8</v>
      </c>
      <c r="AF36" s="59">
        <f>LOG(AE36)</f>
        <v>-9.6910013008056392E-2</v>
      </c>
      <c r="AG36" s="60">
        <f>AVERAGE(T13:T14)</f>
        <v>21.510125976250251</v>
      </c>
      <c r="AH36" s="6"/>
      <c r="AI36" s="6"/>
      <c r="AJ36" s="6"/>
      <c r="AK36" s="6"/>
      <c r="AL36" s="58">
        <v>0.8</v>
      </c>
      <c r="AM36" s="59">
        <f>LOG(AL36)</f>
        <v>-9.6910013008056392E-2</v>
      </c>
      <c r="AN36" s="60">
        <f>AVERAGE(K16:K17)</f>
        <v>22.588785260210351</v>
      </c>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1:88">
      <c r="A37" s="6"/>
      <c r="B37" s="35"/>
      <c r="C37" s="58">
        <v>4</v>
      </c>
      <c r="D37" s="59">
        <f>LOG(C37)</f>
        <v>0.6020599913279624</v>
      </c>
      <c r="E37" s="60">
        <f>AVERAGE(F7:F8)</f>
        <v>21.4106787444098</v>
      </c>
      <c r="F37" s="6"/>
      <c r="G37" s="6"/>
      <c r="H37" s="6"/>
      <c r="I37" s="6"/>
      <c r="J37" s="58">
        <v>4</v>
      </c>
      <c r="K37" s="59">
        <f>LOG(J37)</f>
        <v>0.6020599913279624</v>
      </c>
      <c r="L37" s="60">
        <f>AVERAGE(U7:U8)</f>
        <v>17.774320555843051</v>
      </c>
      <c r="M37" s="6"/>
      <c r="N37" s="6"/>
      <c r="O37" s="6"/>
      <c r="P37" s="6"/>
      <c r="Q37" s="58">
        <v>4</v>
      </c>
      <c r="R37" s="59">
        <f>LOG(Q37)</f>
        <v>0.6020599913279624</v>
      </c>
      <c r="S37" s="60">
        <f>AVERAGE(L10:L11)</f>
        <v>23.899399904952901</v>
      </c>
      <c r="T37" s="6"/>
      <c r="U37" s="6"/>
      <c r="V37" s="6"/>
      <c r="W37" s="6"/>
      <c r="X37" s="58">
        <v>4</v>
      </c>
      <c r="Y37" s="59">
        <f>LOG(X37)</f>
        <v>0.6020599913279624</v>
      </c>
      <c r="Z37" s="60">
        <f>AVERAGE(F13:F14)</f>
        <v>19.14727095585685</v>
      </c>
      <c r="AA37" s="6"/>
      <c r="AB37" s="6"/>
      <c r="AC37" s="6"/>
      <c r="AD37" s="6"/>
      <c r="AE37" s="58">
        <v>4</v>
      </c>
      <c r="AF37" s="59">
        <f>LOG(AE37)</f>
        <v>0.6020599913279624</v>
      </c>
      <c r="AG37" s="60">
        <f>AVERAGE(U13:U14)</f>
        <v>19.134797896907997</v>
      </c>
      <c r="AH37" s="6"/>
      <c r="AI37" s="6"/>
      <c r="AJ37" s="6"/>
      <c r="AK37" s="6"/>
      <c r="AL37" s="58">
        <v>4</v>
      </c>
      <c r="AM37" s="59">
        <f>LOG(AL37)</f>
        <v>0.6020599913279624</v>
      </c>
      <c r="AN37" s="60">
        <f>AVERAGE(L16:L17)</f>
        <v>20.345660939751749</v>
      </c>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88">
      <c r="A38" s="6"/>
      <c r="B38" s="35"/>
      <c r="C38" s="61">
        <v>20</v>
      </c>
      <c r="D38" s="62">
        <f>LOG(C38)</f>
        <v>1.3010299956639813</v>
      </c>
      <c r="E38" s="63">
        <f>AVERAGE(G7:G8)</f>
        <v>19.1692933148063</v>
      </c>
      <c r="F38" s="6"/>
      <c r="G38" s="6"/>
      <c r="H38" s="6"/>
      <c r="I38" s="6"/>
      <c r="J38" s="61">
        <v>20</v>
      </c>
      <c r="K38" s="62">
        <f>LOG(J38)</f>
        <v>1.3010299956639813</v>
      </c>
      <c r="L38" s="63">
        <f>AVERAGE(V7:V8)</f>
        <v>15.510426589648201</v>
      </c>
      <c r="M38" s="6"/>
      <c r="N38" s="6"/>
      <c r="O38" s="6"/>
      <c r="P38" s="6"/>
      <c r="Q38" s="61">
        <v>20</v>
      </c>
      <c r="R38" s="62">
        <f>LOG(Q38)</f>
        <v>1.3010299956639813</v>
      </c>
      <c r="S38" s="63">
        <f>AVERAGE(M10:M11)</f>
        <v>22.664101231388848</v>
      </c>
      <c r="T38" s="6"/>
      <c r="U38" s="6"/>
      <c r="V38" s="6"/>
      <c r="W38" s="6"/>
      <c r="X38" s="61">
        <v>20</v>
      </c>
      <c r="Y38" s="62">
        <f>LOG(X38)</f>
        <v>1.3010299956639813</v>
      </c>
      <c r="Z38" s="63">
        <f>AVERAGE(G13:G14)</f>
        <v>17.004907725662697</v>
      </c>
      <c r="AA38" s="6"/>
      <c r="AB38" s="6"/>
      <c r="AC38" s="6"/>
      <c r="AD38" s="6"/>
      <c r="AE38" s="61">
        <v>20</v>
      </c>
      <c r="AF38" s="62">
        <f>LOG(AE38)</f>
        <v>1.3010299956639813</v>
      </c>
      <c r="AG38" s="63">
        <f>AVERAGE(V13:V14)</f>
        <v>16.94311620663315</v>
      </c>
      <c r="AH38" s="6"/>
      <c r="AI38" s="6"/>
      <c r="AJ38" s="6"/>
      <c r="AK38" s="6"/>
      <c r="AL38" s="61">
        <v>20</v>
      </c>
      <c r="AM38" s="62">
        <f>LOG(AL38)</f>
        <v>1.3010299956639813</v>
      </c>
      <c r="AN38" s="63">
        <f>AVERAGE(M16:M17)</f>
        <v>18.128392605774202</v>
      </c>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88">
      <c r="A39" s="6"/>
      <c r="B39" s="41"/>
      <c r="C39" s="102" t="s">
        <v>46</v>
      </c>
      <c r="D39" s="103"/>
      <c r="E39" s="33">
        <f>(10^(-1/-3.2213)-1)*100</f>
        <v>104.3777792534088</v>
      </c>
      <c r="F39" s="6"/>
      <c r="G39" s="6"/>
      <c r="H39" s="6"/>
      <c r="I39" s="6"/>
      <c r="J39" s="102" t="s">
        <v>46</v>
      </c>
      <c r="K39" s="103"/>
      <c r="L39" s="33">
        <f>(10^(-1/-3.6697)-1)*100</f>
        <v>87.284501514747689</v>
      </c>
      <c r="M39" s="6"/>
      <c r="N39" s="6"/>
      <c r="O39" s="6"/>
      <c r="P39" s="6"/>
      <c r="Q39" s="102" t="s">
        <v>46</v>
      </c>
      <c r="R39" s="103"/>
      <c r="S39" s="33">
        <f>(10^(-1/-1.1588)-1)*100</f>
        <v>629.39315692604544</v>
      </c>
      <c r="T39" s="6"/>
      <c r="U39" s="6"/>
      <c r="V39" s="6"/>
      <c r="W39" s="6"/>
      <c r="X39" s="102" t="s">
        <v>46</v>
      </c>
      <c r="Y39" s="103"/>
      <c r="Z39" s="33">
        <f>(10^(-1/-3.2007)-1)*100</f>
        <v>105.32018910046897</v>
      </c>
      <c r="AA39" s="6"/>
      <c r="AB39" s="6"/>
      <c r="AC39" s="6"/>
      <c r="AD39" s="6"/>
      <c r="AE39" s="102" t="s">
        <v>46</v>
      </c>
      <c r="AF39" s="103"/>
      <c r="AG39" s="33">
        <f>(10^(-1/-3.227)-1)*100</f>
        <v>104.11989789788998</v>
      </c>
      <c r="AH39" s="6"/>
      <c r="AI39" s="6"/>
      <c r="AJ39" s="6"/>
      <c r="AK39" s="6"/>
      <c r="AL39" s="102" t="s">
        <v>46</v>
      </c>
      <c r="AM39" s="103"/>
      <c r="AN39" s="33">
        <f>(10^(-1/-3.3733)-1)*100</f>
        <v>97.899919273815314</v>
      </c>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88">
      <c r="A40" s="6"/>
      <c r="B40" s="41"/>
      <c r="C40" s="102" t="s">
        <v>50</v>
      </c>
      <c r="D40" s="103"/>
      <c r="E40" s="33">
        <f>SUM(E39/100)+1</f>
        <v>2.0437777925340881</v>
      </c>
      <c r="F40" s="6"/>
      <c r="G40" s="6"/>
      <c r="H40" s="6"/>
      <c r="I40" s="6"/>
      <c r="J40" s="102" t="s">
        <v>50</v>
      </c>
      <c r="K40" s="103"/>
      <c r="L40" s="33">
        <f>SUM(L39/100)+1</f>
        <v>1.8728450151474769</v>
      </c>
      <c r="M40" s="6"/>
      <c r="N40" s="6"/>
      <c r="O40" s="6"/>
      <c r="P40" s="6"/>
      <c r="Q40" s="102" t="s">
        <v>50</v>
      </c>
      <c r="R40" s="103"/>
      <c r="S40" s="33">
        <f>SUM(S39/100)+1</f>
        <v>7.2939315692604545</v>
      </c>
      <c r="T40" s="6"/>
      <c r="U40" s="6"/>
      <c r="V40" s="6"/>
      <c r="W40" s="6"/>
      <c r="X40" s="102" t="s">
        <v>50</v>
      </c>
      <c r="Y40" s="103"/>
      <c r="Z40" s="33">
        <f>SUM(Z39/100)+1</f>
        <v>2.0532018910046896</v>
      </c>
      <c r="AA40" s="6"/>
      <c r="AB40" s="6"/>
      <c r="AC40" s="6"/>
      <c r="AD40" s="6"/>
      <c r="AE40" s="102" t="s">
        <v>50</v>
      </c>
      <c r="AF40" s="103"/>
      <c r="AG40" s="33">
        <f>SUM(AG39/100)+1</f>
        <v>2.0411989789788998</v>
      </c>
      <c r="AH40" s="6"/>
      <c r="AI40" s="6"/>
      <c r="AJ40" s="6"/>
      <c r="AK40" s="6"/>
      <c r="AL40" s="102" t="s">
        <v>50</v>
      </c>
      <c r="AM40" s="103"/>
      <c r="AN40" s="33">
        <f>SUM(AN39/100)+1</f>
        <v>1.9789991927381532</v>
      </c>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1:88">
      <c r="A41" s="6"/>
      <c r="B41" s="39"/>
      <c r="C41" s="38"/>
      <c r="E41" s="38"/>
      <c r="F41" s="6"/>
      <c r="G41" s="6"/>
      <c r="H41" s="38"/>
      <c r="I41" s="38"/>
      <c r="J41" s="38"/>
      <c r="K41" s="6"/>
      <c r="L41" s="6"/>
      <c r="M41" s="38"/>
      <c r="N41" s="38"/>
      <c r="O41" s="38"/>
      <c r="P41" s="6"/>
      <c r="Q41" s="6"/>
      <c r="R41" s="38"/>
      <c r="S41" s="38"/>
      <c r="T41" s="38"/>
      <c r="U41" s="6"/>
      <c r="V41" s="6"/>
      <c r="W41" s="38"/>
      <c r="X41" s="38"/>
      <c r="Y41" s="38"/>
      <c r="Z41" s="6"/>
      <c r="AA41" s="6"/>
      <c r="AB41" s="38"/>
      <c r="AC41" s="38"/>
      <c r="AD41" s="38"/>
      <c r="AE41" s="6"/>
      <c r="AF41" s="38"/>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1:88">
      <c r="A42" s="6"/>
      <c r="B42" s="40"/>
      <c r="C42" s="116" t="s">
        <v>51</v>
      </c>
      <c r="D42" s="117"/>
      <c r="E42" s="117"/>
      <c r="F42" s="117"/>
      <c r="G42" s="117"/>
      <c r="H42" s="118"/>
      <c r="J42" s="116" t="s">
        <v>52</v>
      </c>
      <c r="K42" s="117"/>
      <c r="L42" s="117"/>
      <c r="M42" s="117"/>
      <c r="N42" s="117"/>
      <c r="O42" s="118"/>
      <c r="Q42" s="116" t="s">
        <v>53</v>
      </c>
      <c r="R42" s="117"/>
      <c r="S42" s="117"/>
      <c r="T42" s="117"/>
      <c r="U42" s="117"/>
      <c r="V42" s="118"/>
      <c r="X42" s="116" t="s">
        <v>54</v>
      </c>
      <c r="Y42" s="117"/>
      <c r="Z42" s="117"/>
      <c r="AA42" s="117"/>
      <c r="AB42" s="117"/>
      <c r="AC42" s="118"/>
      <c r="AE42" s="116" t="s">
        <v>55</v>
      </c>
      <c r="AF42" s="117"/>
      <c r="AG42" s="117"/>
      <c r="AH42" s="117"/>
      <c r="AI42" s="117"/>
      <c r="AJ42" s="118"/>
      <c r="AL42" s="116" t="s">
        <v>56</v>
      </c>
      <c r="AM42" s="117"/>
      <c r="AN42" s="117"/>
      <c r="AO42" s="117"/>
      <c r="AP42" s="117"/>
      <c r="AQ42" s="118"/>
      <c r="AR42" s="38"/>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8" ht="15" customHeight="1">
      <c r="A43" s="6"/>
      <c r="B43" s="40"/>
      <c r="C43" s="129" t="s">
        <v>17</v>
      </c>
      <c r="D43" s="82" t="s">
        <v>62</v>
      </c>
      <c r="E43" s="82" t="s">
        <v>64</v>
      </c>
      <c r="F43" s="82" t="s">
        <v>66</v>
      </c>
      <c r="G43" s="83" t="s">
        <v>68</v>
      </c>
      <c r="H43" s="81" t="s">
        <v>70</v>
      </c>
      <c r="I43" s="6"/>
      <c r="J43" s="120" t="s">
        <v>18</v>
      </c>
      <c r="K43" s="82" t="s">
        <v>62</v>
      </c>
      <c r="L43" s="82" t="s">
        <v>64</v>
      </c>
      <c r="M43" s="82" t="s">
        <v>66</v>
      </c>
      <c r="N43" s="82" t="s">
        <v>68</v>
      </c>
      <c r="O43" s="84" t="s">
        <v>70</v>
      </c>
      <c r="P43" s="35"/>
      <c r="Q43" s="120" t="s">
        <v>26</v>
      </c>
      <c r="R43" s="82" t="s">
        <v>62</v>
      </c>
      <c r="S43" s="82" t="s">
        <v>64</v>
      </c>
      <c r="T43" s="82" t="s">
        <v>66</v>
      </c>
      <c r="U43" s="82" t="s">
        <v>68</v>
      </c>
      <c r="V43" s="84" t="s">
        <v>70</v>
      </c>
      <c r="W43" s="85"/>
      <c r="X43" s="120" t="s">
        <v>19</v>
      </c>
      <c r="Y43" s="82" t="s">
        <v>62</v>
      </c>
      <c r="Z43" s="82" t="s">
        <v>64</v>
      </c>
      <c r="AA43" s="82" t="s">
        <v>66</v>
      </c>
      <c r="AB43" s="82" t="s">
        <v>68</v>
      </c>
      <c r="AC43" s="84" t="s">
        <v>70</v>
      </c>
      <c r="AD43" s="85"/>
      <c r="AE43" s="119" t="s">
        <v>20</v>
      </c>
      <c r="AF43" s="82" t="s">
        <v>62</v>
      </c>
      <c r="AG43" s="82" t="s">
        <v>64</v>
      </c>
      <c r="AH43" s="82" t="s">
        <v>66</v>
      </c>
      <c r="AI43" s="82" t="s">
        <v>68</v>
      </c>
      <c r="AJ43" s="84" t="s">
        <v>70</v>
      </c>
      <c r="AK43" s="85"/>
      <c r="AL43" s="119" t="s">
        <v>21</v>
      </c>
      <c r="AM43" s="82" t="s">
        <v>62</v>
      </c>
      <c r="AN43" s="82" t="s">
        <v>64</v>
      </c>
      <c r="AO43" s="82" t="s">
        <v>66</v>
      </c>
      <c r="AP43" s="82" t="s">
        <v>68</v>
      </c>
      <c r="AQ43" s="84" t="s">
        <v>70</v>
      </c>
      <c r="AR43" s="38"/>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8" ht="15" customHeight="1">
      <c r="A44" s="6"/>
      <c r="B44" s="40"/>
      <c r="C44" s="129"/>
      <c r="D44" s="42" t="s">
        <v>35</v>
      </c>
      <c r="E44" s="42">
        <f>AVERAGE(H7:H8)</f>
        <v>20.232725926487852</v>
      </c>
      <c r="F44" s="50">
        <f>10^((E44-23.329)/-3.2213)</f>
        <v>9.1450849080916576</v>
      </c>
      <c r="G44" s="50">
        <f>SUM(E44*(LOG(E40)/LOG(2)))</f>
        <v>20.864762888074985</v>
      </c>
      <c r="H44" s="50">
        <f>10^((G44-23.329)/-3.2213)</f>
        <v>5.8207933980838122</v>
      </c>
      <c r="I44" s="6"/>
      <c r="J44" s="120"/>
      <c r="K44" s="42" t="s">
        <v>35</v>
      </c>
      <c r="L44" s="42">
        <f>AVERAGE(W7:W8)</f>
        <v>17.155003283235949</v>
      </c>
      <c r="M44" s="49">
        <f>10^((L44 -20.141)/-3.6697)</f>
        <v>6.51162823624104</v>
      </c>
      <c r="N44" s="49">
        <f t="shared" ref="N44:N53" si="0">SUM(L44*(LOG($L$40)/LOG(2)))</f>
        <v>15.529249631977123</v>
      </c>
      <c r="O44" s="49">
        <f>10^((N44 -20.141)/-3.6697)</f>
        <v>18.059696937684485</v>
      </c>
      <c r="P44" s="6"/>
      <c r="Q44" s="120"/>
      <c r="R44" s="42" t="s">
        <v>35</v>
      </c>
      <c r="S44" s="42">
        <f>AVERAGE(N10:N11)</f>
        <v>23.922278619857849</v>
      </c>
      <c r="T44" s="49">
        <f t="shared" ref="T44:V53" si="1">10^((S44- 23.983)/-1.1588)</f>
        <v>1.1282367048497002</v>
      </c>
      <c r="U44" s="49">
        <f t="shared" ref="U44:U53" si="2">SUM(S44*(LOG($S$40)/LOG(2)))</f>
        <v>68.577916328123123</v>
      </c>
      <c r="V44" s="49">
        <f>10^((U44- 23.983)/-1.1588)</f>
        <v>3.2831890094875899E-39</v>
      </c>
      <c r="W44" s="6"/>
      <c r="X44" s="120" t="s">
        <v>19</v>
      </c>
      <c r="Y44" s="42" t="s">
        <v>35</v>
      </c>
      <c r="Z44" s="42">
        <f>AVERAGE(H13:H14)</f>
        <v>17.8290821502884</v>
      </c>
      <c r="AA44" s="49">
        <f t="shared" ref="AA44:AC53" si="3">10^((Z44-21.119)/-3.2007)</f>
        <v>10.662878988586362</v>
      </c>
      <c r="AB44" s="49">
        <f t="shared" ref="AB44:AB53" si="4">SUM(Z44*(LOG($Z$40)/LOG(2)))</f>
        <v>18.50436745121312</v>
      </c>
      <c r="AC44" s="49">
        <f t="shared" si="3"/>
        <v>6.5598510148881894</v>
      </c>
      <c r="AD44" s="6"/>
      <c r="AE44" s="120"/>
      <c r="AF44" s="42" t="s">
        <v>35</v>
      </c>
      <c r="AG44" s="42">
        <f>AVERAGE(W13:W14)</f>
        <v>18.441878749658251</v>
      </c>
      <c r="AH44" s="49">
        <f>10^((AG44 -21.128)/-3.227)</f>
        <v>6.7981321625582618</v>
      </c>
      <c r="AI44" s="49">
        <f t="shared" ref="AI44:AI53" si="5">SUM(AG44*(LOG($AG$40)/LOG(2)))</f>
        <v>18.984380273007741</v>
      </c>
      <c r="AJ44" s="49">
        <f>10^((AI44 -21.128)/-3.227)</f>
        <v>4.6161119535520987</v>
      </c>
      <c r="AK44" s="6"/>
      <c r="AL44" s="120" t="s">
        <v>21</v>
      </c>
      <c r="AM44" s="42" t="s">
        <v>35</v>
      </c>
      <c r="AN44" s="42">
        <f>AVERAGE(N16:N17)</f>
        <v>19.005355239949001</v>
      </c>
      <c r="AO44" s="49">
        <f>10^((AN44- 22.41)/-3.3733)</f>
        <v>10.216261874996906</v>
      </c>
      <c r="AP44" s="42">
        <f t="shared" ref="AP44:AP53" si="6">SUM(AN44*(LOG($AN$40)/LOG(2)))</f>
        <v>18.715923139033386</v>
      </c>
      <c r="AQ44" s="49">
        <f>10^((AP44- 22.41)/-3.3733)</f>
        <v>12.447808387532053</v>
      </c>
      <c r="AR44" s="36"/>
      <c r="AS44" s="3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c r="A45" s="6"/>
      <c r="B45" s="40"/>
      <c r="C45" s="129"/>
      <c r="D45" s="43" t="s">
        <v>36</v>
      </c>
      <c r="E45" s="43">
        <f>AVERAGE(I7:I8)</f>
        <v>20.160740917867798</v>
      </c>
      <c r="F45" s="50">
        <f>10^((E45- 23.329)/-3.2213)</f>
        <v>9.6279607891050762</v>
      </c>
      <c r="G45" s="50">
        <f>SUM(E45*(LOG(E40)/LOG(2)))</f>
        <v>20.790529186604875</v>
      </c>
      <c r="H45" s="50">
        <f>10^((G45- 23.329)/-3.2213)</f>
        <v>6.1379991736574189</v>
      </c>
      <c r="I45" s="6"/>
      <c r="J45" s="120"/>
      <c r="K45" s="43" t="s">
        <v>36</v>
      </c>
      <c r="L45" s="43">
        <f>AVERAGE(X7:X8)</f>
        <v>16.936632458773197</v>
      </c>
      <c r="M45" s="50">
        <f>10^((L45-20.141)/-3.6697)</f>
        <v>7.4678579610507239</v>
      </c>
      <c r="N45" s="50">
        <f t="shared" si="0"/>
        <v>15.331573479461513</v>
      </c>
      <c r="O45" s="50">
        <f>10^((N45-20.141)/-3.6697)</f>
        <v>20.444550819093628</v>
      </c>
      <c r="P45" s="6"/>
      <c r="Q45" s="120"/>
      <c r="R45" s="43" t="s">
        <v>36</v>
      </c>
      <c r="S45" s="43">
        <f>AVERAGE(O10:O11)</f>
        <v>23.908477206789751</v>
      </c>
      <c r="T45" s="50">
        <f t="shared" si="1"/>
        <v>1.1596056298176842</v>
      </c>
      <c r="U45" s="50">
        <f t="shared" si="2"/>
        <v>68.538351863314645</v>
      </c>
      <c r="V45" s="50">
        <f>10^((U45- 23.983)/-1.1588)</f>
        <v>3.5517182143710107E-39</v>
      </c>
      <c r="W45" s="6"/>
      <c r="X45" s="120"/>
      <c r="Y45" s="43" t="s">
        <v>36</v>
      </c>
      <c r="Z45" s="43">
        <f>AVERAGE(I13:I14)</f>
        <v>17.494535501426849</v>
      </c>
      <c r="AA45" s="50">
        <f t="shared" si="3"/>
        <v>13.564301793143613</v>
      </c>
      <c r="AB45" s="50">
        <f t="shared" si="4"/>
        <v>18.157149682630124</v>
      </c>
      <c r="AC45" s="50">
        <f t="shared" si="3"/>
        <v>8.4212352216559072</v>
      </c>
      <c r="AD45" s="6"/>
      <c r="AE45" s="120"/>
      <c r="AF45" s="43" t="s">
        <v>36</v>
      </c>
      <c r="AG45" s="43">
        <f>AVERAGE(X13:X14)</f>
        <v>18.3294646182521</v>
      </c>
      <c r="AH45" s="50">
        <f>10^((AG45 -21.128)/-3.227)</f>
        <v>7.3658877292041973</v>
      </c>
      <c r="AI45" s="50">
        <f t="shared" si="5"/>
        <v>18.868659274749156</v>
      </c>
      <c r="AJ45" s="50">
        <f>10^((AI45 -21.128)/-3.227)</f>
        <v>5.0134486873426205</v>
      </c>
      <c r="AK45" s="6"/>
      <c r="AL45" s="120"/>
      <c r="AM45" s="43" t="s">
        <v>36</v>
      </c>
      <c r="AN45" s="43">
        <f>AVERAGE(O16:O17)</f>
        <v>18.873729435731899</v>
      </c>
      <c r="AO45" s="50">
        <f t="shared" ref="AO45:AQ53" si="7">10^((AN45-22.41)/-3.3733)</f>
        <v>11.176656649917406</v>
      </c>
      <c r="AP45" s="43">
        <f t="shared" si="6"/>
        <v>18.586301861044198</v>
      </c>
      <c r="AQ45" s="50">
        <f t="shared" si="7"/>
        <v>13.599362621571959</v>
      </c>
      <c r="AR45" s="36"/>
      <c r="AS45" s="3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row>
    <row r="46" spans="1:88">
      <c r="A46" s="6"/>
      <c r="B46" s="40"/>
      <c r="C46" s="129"/>
      <c r="D46" s="44" t="s">
        <v>37</v>
      </c>
      <c r="E46" s="44">
        <f>AVERAGE(J7:J8)</f>
        <v>19.83468462922</v>
      </c>
      <c r="F46" s="51">
        <f t="shared" ref="F46:F53" si="8">10^((E46-23.329)/-3.2213)</f>
        <v>12.15494967597663</v>
      </c>
      <c r="G46" s="51">
        <f>SUM(E46*(LOG(E40)/LOG(2)))</f>
        <v>20.454287437691757</v>
      </c>
      <c r="H46" s="51">
        <f t="shared" ref="H46:H53" si="9">10^((G46-23.329)/-3.2213)</f>
        <v>7.8056232883319296</v>
      </c>
      <c r="I46" s="6"/>
      <c r="J46" s="120"/>
      <c r="K46" s="44" t="s">
        <v>37</v>
      </c>
      <c r="L46" s="44">
        <f>AVERAGE(Y7:Y8)</f>
        <v>15.304411714408751</v>
      </c>
      <c r="M46" s="51">
        <f t="shared" ref="M46:O53" si="10">10^((L46 -20.141)/-3.6697)</f>
        <v>20.795971050054575</v>
      </c>
      <c r="N46" s="51">
        <f t="shared" si="0"/>
        <v>13.85403582031711</v>
      </c>
      <c r="O46" s="51">
        <f t="shared" si="10"/>
        <v>51.666531006008285</v>
      </c>
      <c r="P46" s="6"/>
      <c r="Q46" s="120"/>
      <c r="R46" s="44" t="s">
        <v>37</v>
      </c>
      <c r="S46" s="44">
        <f>AVERAGE(P10:P11)</f>
        <v>23.038919338117502</v>
      </c>
      <c r="T46" s="51">
        <f t="shared" si="1"/>
        <v>6.5268771481271157</v>
      </c>
      <c r="U46" s="51">
        <f t="shared" si="2"/>
        <v>66.045593221553588</v>
      </c>
      <c r="V46" s="51">
        <f t="shared" si="1"/>
        <v>5.030297828246666E-37</v>
      </c>
      <c r="W46" s="6"/>
      <c r="X46" s="120"/>
      <c r="Y46" s="44" t="s">
        <v>37</v>
      </c>
      <c r="Z46" s="44">
        <f>AVERAGE(J13:J14)</f>
        <v>17.59389272615795</v>
      </c>
      <c r="AA46" s="51">
        <f t="shared" si="3"/>
        <v>12.628596920093429</v>
      </c>
      <c r="AB46" s="51">
        <f t="shared" si="4"/>
        <v>18.260270111368925</v>
      </c>
      <c r="AC46" s="51">
        <f t="shared" si="3"/>
        <v>7.8191170050256984</v>
      </c>
      <c r="AD46" s="6"/>
      <c r="AE46" s="120"/>
      <c r="AF46" s="44" t="s">
        <v>37</v>
      </c>
      <c r="AG46" s="44">
        <f>AVERAGE(Y13:Y14)</f>
        <v>17.983588815451</v>
      </c>
      <c r="AH46" s="51">
        <f>10^((AG46 - 21.128)/-3.227)</f>
        <v>9.4277256657067063</v>
      </c>
      <c r="AI46" s="51">
        <f t="shared" si="5"/>
        <v>18.512608903919688</v>
      </c>
      <c r="AJ46" s="51">
        <f>10^((AI46 - 21.128)/-3.227)</f>
        <v>6.463553760255409</v>
      </c>
      <c r="AK46" s="6"/>
      <c r="AL46" s="120"/>
      <c r="AM46" s="44" t="s">
        <v>37</v>
      </c>
      <c r="AN46" s="44">
        <f>AVERAGE(P16:P17)</f>
        <v>18.826127971136351</v>
      </c>
      <c r="AO46" s="51">
        <f t="shared" si="7"/>
        <v>11.545776732373058</v>
      </c>
      <c r="AP46" s="44">
        <f t="shared" si="6"/>
        <v>18.539425318015788</v>
      </c>
      <c r="AQ46" s="51">
        <f t="shared" si="7"/>
        <v>14.041545123761994</v>
      </c>
      <c r="AR46" s="36"/>
      <c r="AS46" s="3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row>
    <row r="47" spans="1:88">
      <c r="A47" s="6"/>
      <c r="B47" s="40"/>
      <c r="C47" s="129"/>
      <c r="D47" s="45" t="s">
        <v>38</v>
      </c>
      <c r="E47" s="45">
        <f>AVERAGE(K7:K8)</f>
        <v>21.32747082586555</v>
      </c>
      <c r="F47" s="52">
        <f t="shared" si="8"/>
        <v>4.1815958765837618</v>
      </c>
      <c r="G47" s="52">
        <f>SUM(E47*(LOG(E40)/LOG(2)))</f>
        <v>21.993705811111464</v>
      </c>
      <c r="H47" s="52">
        <f t="shared" si="9"/>
        <v>2.5972890429659814</v>
      </c>
      <c r="I47" s="6"/>
      <c r="J47" s="120"/>
      <c r="K47" s="45" t="s">
        <v>38</v>
      </c>
      <c r="L47" s="45">
        <f>AVERAGE(C10:C11)</f>
        <v>18.6928363691013</v>
      </c>
      <c r="M47" s="52">
        <f t="shared" si="10"/>
        <v>2.4810027928424008</v>
      </c>
      <c r="N47" s="52">
        <f t="shared" si="0"/>
        <v>16.921344607910697</v>
      </c>
      <c r="O47" s="52">
        <f t="shared" si="10"/>
        <v>7.5398380306235122</v>
      </c>
      <c r="P47" s="6"/>
      <c r="Q47" s="120"/>
      <c r="R47" s="45" t="s">
        <v>38</v>
      </c>
      <c r="S47" s="45">
        <f>AVERAGE(Q10:Q11)</f>
        <v>24.936271754258101</v>
      </c>
      <c r="T47" s="52">
        <f t="shared" si="1"/>
        <v>0.15043988790735877</v>
      </c>
      <c r="U47" s="52">
        <f t="shared" si="2"/>
        <v>71.484727064390896</v>
      </c>
      <c r="V47" s="52">
        <f t="shared" si="1"/>
        <v>1.0181918015673868E-41</v>
      </c>
      <c r="W47" s="6"/>
      <c r="X47" s="120"/>
      <c r="Y47" s="45" t="s">
        <v>38</v>
      </c>
      <c r="Z47" s="45">
        <f>AVERAGE(K13:K14)</f>
        <v>19.530800256879552</v>
      </c>
      <c r="AA47" s="52">
        <f t="shared" si="3"/>
        <v>3.134756958732194</v>
      </c>
      <c r="AB47" s="52">
        <f t="shared" si="4"/>
        <v>20.27053897240026</v>
      </c>
      <c r="AC47" s="52">
        <f t="shared" si="3"/>
        <v>1.8411369056757896</v>
      </c>
      <c r="AD47" s="6"/>
      <c r="AE47" s="120"/>
      <c r="AF47" s="45" t="s">
        <v>38</v>
      </c>
      <c r="AG47" s="45">
        <f>AVERAGE(C16:C17)</f>
        <v>19.35599915989205</v>
      </c>
      <c r="AH47" s="52">
        <f>10^((AG47 - 21.128)/-3.227)</f>
        <v>3.5409279270809377</v>
      </c>
      <c r="AI47" s="52">
        <f t="shared" si="5"/>
        <v>19.925391203551783</v>
      </c>
      <c r="AJ47" s="52">
        <f>10^((AI47 - 21.128)/-3.227)</f>
        <v>2.3586898527772973</v>
      </c>
      <c r="AK47" s="6"/>
      <c r="AL47" s="120"/>
      <c r="AM47" s="45" t="s">
        <v>38</v>
      </c>
      <c r="AN47" s="45">
        <f>AVERAGE(Q16:Q17)</f>
        <v>20.593191737332049</v>
      </c>
      <c r="AO47" s="52">
        <f t="shared" si="7"/>
        <v>3.4560884329164252</v>
      </c>
      <c r="AP47" s="45">
        <f t="shared" si="6"/>
        <v>20.279578512330836</v>
      </c>
      <c r="AQ47" s="52">
        <f t="shared" si="7"/>
        <v>4.2810875802251491</v>
      </c>
      <c r="AR47" s="36"/>
      <c r="AS47" s="3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row>
    <row r="48" spans="1:88">
      <c r="A48" s="6"/>
      <c r="B48" s="40"/>
      <c r="C48" s="129"/>
      <c r="D48" s="45" t="s">
        <v>39</v>
      </c>
      <c r="E48" s="45">
        <f>AVERAGE(L7:L8)</f>
        <v>20.885973330688103</v>
      </c>
      <c r="F48" s="52">
        <f t="shared" si="8"/>
        <v>5.7332086724360929</v>
      </c>
      <c r="G48" s="52">
        <f>SUM(E48*(LOG(E40)/LOG(2)))</f>
        <v>21.538416662925219</v>
      </c>
      <c r="H48" s="52">
        <f t="shared" si="9"/>
        <v>3.5963120421162573</v>
      </c>
      <c r="I48" s="6"/>
      <c r="J48" s="120"/>
      <c r="K48" s="45" t="s">
        <v>39</v>
      </c>
      <c r="L48" s="45">
        <f>AVERAGE(D10:D11)</f>
        <v>17.217283534340151</v>
      </c>
      <c r="M48" s="52">
        <f t="shared" si="10"/>
        <v>6.2620728363347391</v>
      </c>
      <c r="N48" s="52">
        <f t="shared" si="0"/>
        <v>15.585627678111599</v>
      </c>
      <c r="O48" s="52">
        <f t="shared" si="10"/>
        <v>17.432004799417282</v>
      </c>
      <c r="P48" s="6"/>
      <c r="Q48" s="120"/>
      <c r="R48" s="45" t="s">
        <v>39</v>
      </c>
      <c r="S48" s="45">
        <f>AVERAGE(R10:R11)</f>
        <v>24.0581798245626</v>
      </c>
      <c r="T48" s="52">
        <f t="shared" si="1"/>
        <v>0.86123702474308561</v>
      </c>
      <c r="U48" s="52">
        <f t="shared" si="2"/>
        <v>68.967503858359365</v>
      </c>
      <c r="V48" s="52">
        <f t="shared" si="1"/>
        <v>1.5138985532161298E-39</v>
      </c>
      <c r="W48" s="6"/>
      <c r="X48" s="120"/>
      <c r="Y48" s="45" t="s">
        <v>39</v>
      </c>
      <c r="Z48" s="45">
        <f>AVERAGE(L13:L14)</f>
        <v>19.164522857865052</v>
      </c>
      <c r="AA48" s="52">
        <f t="shared" si="3"/>
        <v>4.0798155536169896</v>
      </c>
      <c r="AB48" s="52">
        <f t="shared" si="4"/>
        <v>19.890388635814968</v>
      </c>
      <c r="AC48" s="52">
        <f t="shared" si="3"/>
        <v>2.4202324666837556</v>
      </c>
      <c r="AD48" s="6"/>
      <c r="AE48" s="120"/>
      <c r="AF48" s="45" t="s">
        <v>39</v>
      </c>
      <c r="AG48" s="45">
        <f>AVERAGE(D16:D17)</f>
        <v>19.006024452884851</v>
      </c>
      <c r="AH48" s="52">
        <f>10^((AG48 - 21.128)/-3.227)</f>
        <v>4.5453687211090648</v>
      </c>
      <c r="AI48" s="52">
        <f t="shared" si="5"/>
        <v>19.565121351767715</v>
      </c>
      <c r="AJ48" s="52">
        <f>10^((AI48 - 21.128)/-3.227)</f>
        <v>3.0500937269380421</v>
      </c>
      <c r="AK48" s="6"/>
      <c r="AL48" s="120"/>
      <c r="AM48" s="45" t="s">
        <v>39</v>
      </c>
      <c r="AN48" s="45">
        <f>AVERAGE(R16:R17)</f>
        <v>20.022482713917547</v>
      </c>
      <c r="AO48" s="52">
        <f t="shared" si="7"/>
        <v>5.1023357724975806</v>
      </c>
      <c r="AP48" s="45">
        <f t="shared" si="6"/>
        <v>19.71756080299981</v>
      </c>
      <c r="AQ48" s="52">
        <f t="shared" si="7"/>
        <v>6.2829238947948038</v>
      </c>
      <c r="AR48" s="36"/>
      <c r="AS48" s="3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row>
    <row r="49" spans="1:88">
      <c r="A49" s="6"/>
      <c r="B49" s="40"/>
      <c r="C49" s="129"/>
      <c r="D49" s="45" t="s">
        <v>40</v>
      </c>
      <c r="E49" s="45">
        <f>AVERAGE(M7:M8)</f>
        <v>20.272459908522748</v>
      </c>
      <c r="F49" s="52">
        <f t="shared" si="8"/>
        <v>8.8890014279412135</v>
      </c>
      <c r="G49" s="52">
        <f>SUM(E49*(LOG(E40)/LOG(2)))</f>
        <v>20.905738094123311</v>
      </c>
      <c r="H49" s="52">
        <f t="shared" si="9"/>
        <v>5.6527802271671108</v>
      </c>
      <c r="I49" s="6"/>
      <c r="J49" s="120"/>
      <c r="K49" s="45" t="s">
        <v>40</v>
      </c>
      <c r="L49" s="45">
        <f>AVERAGE(E10:E11)</f>
        <v>16.216949384408153</v>
      </c>
      <c r="M49" s="52">
        <f t="shared" si="10"/>
        <v>11.730351085470069</v>
      </c>
      <c r="N49" s="52">
        <f t="shared" si="0"/>
        <v>14.680093678892488</v>
      </c>
      <c r="O49" s="52">
        <f t="shared" si="10"/>
        <v>30.768549084282032</v>
      </c>
      <c r="P49" s="6"/>
      <c r="Q49" s="120"/>
      <c r="R49" s="45" t="s">
        <v>40</v>
      </c>
      <c r="S49" s="45">
        <f>AVERAGE(S10:S11)</f>
        <v>23.423374591696749</v>
      </c>
      <c r="T49" s="52">
        <f t="shared" si="1"/>
        <v>3.0404319319747599</v>
      </c>
      <c r="U49" s="52">
        <f t="shared" si="2"/>
        <v>67.147709814660203</v>
      </c>
      <c r="V49" s="52">
        <f t="shared" si="1"/>
        <v>5.6300118290435431E-38</v>
      </c>
      <c r="W49" s="6"/>
      <c r="X49" s="120"/>
      <c r="Y49" s="45" t="s">
        <v>40</v>
      </c>
      <c r="Z49" s="45">
        <f>AVERAGE(M13:M14)</f>
        <v>18.934410092319098</v>
      </c>
      <c r="AA49" s="52">
        <f t="shared" si="3"/>
        <v>4.8143209740223929</v>
      </c>
      <c r="AB49" s="52">
        <f t="shared" si="4"/>
        <v>19.651560235508995</v>
      </c>
      <c r="AC49" s="52">
        <f t="shared" si="3"/>
        <v>2.8739197377369186</v>
      </c>
      <c r="AD49" s="6"/>
      <c r="AE49" s="120"/>
      <c r="AF49" s="45" t="s">
        <v>40</v>
      </c>
      <c r="AG49" s="45">
        <f>AVERAGE(E16:E17)</f>
        <v>18.346797686653552</v>
      </c>
      <c r="AH49" s="52">
        <f>10^((AG49 - 21.128)/-3.227)</f>
        <v>7.2753489977528183</v>
      </c>
      <c r="AI49" s="52">
        <f t="shared" si="5"/>
        <v>18.886502226993777</v>
      </c>
      <c r="AJ49" s="52">
        <f>10^((AI49 - 21.128)/-3.227)</f>
        <v>4.9500240037661491</v>
      </c>
      <c r="AK49" s="6"/>
      <c r="AL49" s="120"/>
      <c r="AM49" s="45" t="s">
        <v>40</v>
      </c>
      <c r="AN49" s="45">
        <f>AVERAGE(S16:S17)</f>
        <v>19.6021242693025</v>
      </c>
      <c r="AO49" s="52">
        <f t="shared" si="7"/>
        <v>6.7980202447040812</v>
      </c>
      <c r="AP49" s="45">
        <f t="shared" si="6"/>
        <v>19.303603987095538</v>
      </c>
      <c r="AQ49" s="52">
        <f t="shared" si="7"/>
        <v>8.3344603119369332</v>
      </c>
      <c r="AR49" s="36"/>
      <c r="AS49" s="3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row>
    <row r="50" spans="1:88">
      <c r="A50" s="6"/>
      <c r="B50" s="40"/>
      <c r="C50" s="129"/>
      <c r="D50" s="46" t="s">
        <v>41</v>
      </c>
      <c r="E50" s="46">
        <f>AVERAGE(N7:N8)</f>
        <v>23.092799946114553</v>
      </c>
      <c r="F50" s="53">
        <f t="shared" si="8"/>
        <v>1.183925707842119</v>
      </c>
      <c r="G50" s="53">
        <f>SUM(E50*(LOG(E40)/LOG(2)))</f>
        <v>23.814180899205699</v>
      </c>
      <c r="H50" s="53">
        <f t="shared" si="9"/>
        <v>0.7069415536476783</v>
      </c>
      <c r="I50" s="6"/>
      <c r="J50" s="120"/>
      <c r="K50" s="46" t="s">
        <v>41</v>
      </c>
      <c r="L50" s="46">
        <f>AVERAGE(F10:F11)</f>
        <v>22.023393336156651</v>
      </c>
      <c r="M50" s="53">
        <f t="shared" si="10"/>
        <v>0.30693354362012859</v>
      </c>
      <c r="N50" s="53">
        <f t="shared" si="0"/>
        <v>19.936269740887241</v>
      </c>
      <c r="O50" s="53">
        <f t="shared" si="10"/>
        <v>1.1370756834851714</v>
      </c>
      <c r="P50" s="6"/>
      <c r="Q50" s="120"/>
      <c r="R50" s="46" t="s">
        <v>41</v>
      </c>
      <c r="S50" s="46">
        <f>AVERAGE(T10:T11)</f>
        <v>26.829933198660598</v>
      </c>
      <c r="T50" s="53">
        <f t="shared" si="1"/>
        <v>3.4930574719011149E-3</v>
      </c>
      <c r="U50" s="53">
        <f t="shared" si="2"/>
        <v>76.913280010857619</v>
      </c>
      <c r="V50" s="53">
        <f t="shared" si="1"/>
        <v>2.1047300452709709E-46</v>
      </c>
      <c r="W50" s="6"/>
      <c r="X50" s="120"/>
      <c r="Y50" s="46" t="s">
        <v>41</v>
      </c>
      <c r="Z50" s="46">
        <f>AVERAGE(N13:N14)</f>
        <v>20.194919558359</v>
      </c>
      <c r="AA50" s="53">
        <f t="shared" si="3"/>
        <v>1.9440703750415169</v>
      </c>
      <c r="AB50" s="53">
        <f t="shared" si="4"/>
        <v>20.959812120755792</v>
      </c>
      <c r="AC50" s="53">
        <f t="shared" si="3"/>
        <v>1.1213348831683985</v>
      </c>
      <c r="AD50" s="6"/>
      <c r="AE50" s="120"/>
      <c r="AF50" s="46" t="s">
        <v>41</v>
      </c>
      <c r="AG50" s="46">
        <f>AVERAGE(F16:F17)</f>
        <v>20.528181586418601</v>
      </c>
      <c r="AH50" s="53">
        <f>10^((AG50 -21.128)/-3.227)</f>
        <v>1.5341751166470659</v>
      </c>
      <c r="AI50" s="53">
        <f t="shared" si="5"/>
        <v>21.132055515609977</v>
      </c>
      <c r="AJ50" s="53">
        <f>10^((AI50 -21.128)/-3.227)</f>
        <v>0.99711042095100866</v>
      </c>
      <c r="AK50" s="6"/>
      <c r="AL50" s="120"/>
      <c r="AM50" s="46" t="s">
        <v>41</v>
      </c>
      <c r="AN50" s="46">
        <f>AVERAGE(T16:T17)</f>
        <v>21.66291073578255</v>
      </c>
      <c r="AO50" s="53">
        <f t="shared" si="7"/>
        <v>1.6652189249215157</v>
      </c>
      <c r="AP50" s="46">
        <f t="shared" si="6"/>
        <v>21.333006785709276</v>
      </c>
      <c r="AQ50" s="53">
        <f t="shared" si="7"/>
        <v>2.0857868158164652</v>
      </c>
      <c r="AR50" s="36"/>
      <c r="AS50" s="3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c r="A51" s="6"/>
      <c r="B51" s="40"/>
      <c r="C51" s="129"/>
      <c r="D51" s="47" t="s">
        <v>42</v>
      </c>
      <c r="E51" s="47">
        <f>AVERAGE(O7:O8)</f>
        <v>21.210272855661501</v>
      </c>
      <c r="F51" s="54">
        <f t="shared" si="8"/>
        <v>4.5469926849782771</v>
      </c>
      <c r="G51" s="54">
        <f>SUM(E51*(LOG(E40)/LOG(2)))</f>
        <v>21.872846769766479</v>
      </c>
      <c r="H51" s="54">
        <f t="shared" si="9"/>
        <v>2.8316462675910539</v>
      </c>
      <c r="I51" s="6"/>
      <c r="J51" s="120"/>
      <c r="K51" s="47" t="s">
        <v>42</v>
      </c>
      <c r="L51" s="47">
        <f>AVERAGE(G10:G11)</f>
        <v>17.310995468671649</v>
      </c>
      <c r="M51" s="54">
        <f t="shared" si="10"/>
        <v>5.9044770686260613</v>
      </c>
      <c r="N51" s="54">
        <f t="shared" si="0"/>
        <v>15.670458674509682</v>
      </c>
      <c r="O51" s="54">
        <f t="shared" si="10"/>
        <v>16.528396943564335</v>
      </c>
      <c r="P51" s="6"/>
      <c r="Q51" s="120"/>
      <c r="R51" s="47" t="s">
        <v>42</v>
      </c>
      <c r="S51" s="47">
        <f>AVERAGE(U10:U11)</f>
        <v>24.05013542041025</v>
      </c>
      <c r="T51" s="54">
        <f t="shared" si="1"/>
        <v>0.87511414671312271</v>
      </c>
      <c r="U51" s="54">
        <f t="shared" si="2"/>
        <v>68.944442991807477</v>
      </c>
      <c r="V51" s="54">
        <f t="shared" si="1"/>
        <v>1.5848837705380384E-39</v>
      </c>
      <c r="W51" s="6"/>
      <c r="X51" s="120"/>
      <c r="Y51" s="47" t="s">
        <v>42</v>
      </c>
      <c r="Z51" s="47">
        <f>AVERAGE(O13:O14)</f>
        <v>19.36152845523165</v>
      </c>
      <c r="AA51" s="54">
        <f t="shared" si="3"/>
        <v>3.540705000764949</v>
      </c>
      <c r="AB51" s="54">
        <f t="shared" si="4"/>
        <v>20.094855917579011</v>
      </c>
      <c r="AC51" s="54">
        <f t="shared" si="3"/>
        <v>2.089176014939131</v>
      </c>
      <c r="AD51" s="6"/>
      <c r="AE51" s="120"/>
      <c r="AF51" s="47" t="s">
        <v>42</v>
      </c>
      <c r="AG51" s="47">
        <f>AVERAGE(G16:G17)</f>
        <v>18.99635244740665</v>
      </c>
      <c r="AH51" s="54">
        <f>10^((AG51 -21.128)/-3.227)</f>
        <v>4.5768463379312321</v>
      </c>
      <c r="AI51" s="54">
        <f t="shared" si="5"/>
        <v>19.555164826595128</v>
      </c>
      <c r="AJ51" s="54">
        <f>10^((AI51 -21.128)/-3.227)</f>
        <v>3.0718398233110555</v>
      </c>
      <c r="AK51" s="6"/>
      <c r="AL51" s="120"/>
      <c r="AM51" s="47" t="s">
        <v>42</v>
      </c>
      <c r="AN51" s="47">
        <f>AVERAGE(U16:U17)</f>
        <v>20.177897512551098</v>
      </c>
      <c r="AO51" s="54">
        <f t="shared" si="7"/>
        <v>4.5887774896332827</v>
      </c>
      <c r="AP51" s="47">
        <f t="shared" si="6"/>
        <v>19.870608793377794</v>
      </c>
      <c r="AQ51" s="54">
        <f t="shared" si="7"/>
        <v>5.6596736982989677</v>
      </c>
      <c r="AR51" s="36"/>
      <c r="AS51" s="3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row>
    <row r="52" spans="1:88">
      <c r="A52" s="6"/>
      <c r="B52" s="37"/>
      <c r="C52" s="130"/>
      <c r="D52" s="48" t="s">
        <v>43</v>
      </c>
      <c r="E52" s="48">
        <f>AVERAGE(P7:P8)</f>
        <v>20.83700522389125</v>
      </c>
      <c r="F52" s="55">
        <f t="shared" si="8"/>
        <v>5.9374381486608865</v>
      </c>
      <c r="G52" s="55">
        <f>SUM(E52*(LOG(E40)/LOG(2)))</f>
        <v>21.487918873299318</v>
      </c>
      <c r="H52" s="55">
        <f t="shared" si="9"/>
        <v>3.7284951430543547</v>
      </c>
      <c r="I52" s="6"/>
      <c r="J52" s="121"/>
      <c r="K52" s="48" t="s">
        <v>43</v>
      </c>
      <c r="L52" s="48">
        <f>AVERAGE(H10:H11)</f>
        <v>16.760705585786248</v>
      </c>
      <c r="M52" s="55">
        <f t="shared" si="10"/>
        <v>8.3394314961977507</v>
      </c>
      <c r="N52" s="55">
        <f t="shared" si="0"/>
        <v>15.172318929492571</v>
      </c>
      <c r="O52" s="55">
        <f t="shared" si="10"/>
        <v>22.59304311205431</v>
      </c>
      <c r="P52" s="6"/>
      <c r="Q52" s="121"/>
      <c r="R52" s="48" t="s">
        <v>43</v>
      </c>
      <c r="S52" s="48">
        <f>AVERAGE(V10:V11)</f>
        <v>23.83447164959685</v>
      </c>
      <c r="T52" s="55">
        <f t="shared" si="1"/>
        <v>1.3433038994616684</v>
      </c>
      <c r="U52" s="55">
        <f t="shared" si="2"/>
        <v>68.326200379351164</v>
      </c>
      <c r="V52" s="55">
        <f t="shared" si="1"/>
        <v>5.4139857016167676E-39</v>
      </c>
      <c r="W52" s="6"/>
      <c r="X52" s="121"/>
      <c r="Y52" s="48" t="s">
        <v>43</v>
      </c>
      <c r="Z52" s="48">
        <f>AVERAGE(P13:P14)</f>
        <v>18.876316625562801</v>
      </c>
      <c r="AA52" s="55">
        <f t="shared" si="3"/>
        <v>5.019786885439494</v>
      </c>
      <c r="AB52" s="55">
        <f t="shared" si="4"/>
        <v>19.591266449978598</v>
      </c>
      <c r="AC52" s="55">
        <f t="shared" si="3"/>
        <v>3.0013201385397443</v>
      </c>
      <c r="AD52" s="6"/>
      <c r="AE52" s="121"/>
      <c r="AF52" s="48" t="s">
        <v>43</v>
      </c>
      <c r="AG52" s="48">
        <f>AVERAGE(H16:H17)</f>
        <v>18.765340387599203</v>
      </c>
      <c r="AH52" s="55">
        <f>10^((AG52 -21.128)/-3.227)</f>
        <v>5.3970144769545652</v>
      </c>
      <c r="AI52" s="55">
        <f t="shared" si="5"/>
        <v>19.317357125407597</v>
      </c>
      <c r="AJ52" s="55">
        <f>10^((AI52 -21.128)/-3.227)</f>
        <v>3.6399187309895136</v>
      </c>
      <c r="AK52" s="6"/>
      <c r="AL52" s="121"/>
      <c r="AM52" s="48" t="s">
        <v>43</v>
      </c>
      <c r="AN52" s="48">
        <f>AVERAGE(V16:V17)</f>
        <v>19.8666232681352</v>
      </c>
      <c r="AO52" s="55">
        <f t="shared" si="7"/>
        <v>5.6750917166890078</v>
      </c>
      <c r="AP52" s="48">
        <f t="shared" si="6"/>
        <v>19.564074936993833</v>
      </c>
      <c r="AQ52" s="55">
        <f t="shared" si="7"/>
        <v>6.9768921781646061</v>
      </c>
      <c r="AR52" s="36"/>
      <c r="AS52" s="3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row>
    <row r="53" spans="1:88">
      <c r="A53" s="6"/>
      <c r="B53" s="6"/>
      <c r="C53" s="124" t="s">
        <v>34</v>
      </c>
      <c r="D53" s="125"/>
      <c r="E53" s="57">
        <f>AVERAGE(Q7:Q8)</f>
        <v>32.097670769309502</v>
      </c>
      <c r="F53" s="56">
        <f t="shared" si="8"/>
        <v>1.8963098495576238E-3</v>
      </c>
      <c r="G53" s="56">
        <f>SUM(E53*(LOG(E40)/LOG(2)))</f>
        <v>33.100349023380041</v>
      </c>
      <c r="H53" s="56">
        <f t="shared" si="9"/>
        <v>9.2607082997393992E-4</v>
      </c>
      <c r="I53" s="6"/>
      <c r="J53" s="124" t="s">
        <v>34</v>
      </c>
      <c r="K53" s="125"/>
      <c r="L53" s="57">
        <f>AVERAGE(Z7:Z8)</f>
        <v>33.583749904515848</v>
      </c>
      <c r="M53" s="56">
        <f t="shared" si="10"/>
        <v>2.1718304838254488E-4</v>
      </c>
      <c r="N53" s="56">
        <f t="shared" si="0"/>
        <v>30.40106884472354</v>
      </c>
      <c r="O53" s="56">
        <f>10^((N53 -20.141)/-3.6697)</f>
        <v>1.5999719452374789E-3</v>
      </c>
      <c r="P53" s="6"/>
      <c r="Q53" s="124" t="s">
        <v>34</v>
      </c>
      <c r="R53" s="125"/>
      <c r="S53" s="57">
        <f>AVERAGE(W10:W11)</f>
        <v>26.923692028996999</v>
      </c>
      <c r="T53" s="56">
        <f t="shared" si="1"/>
        <v>2.8993153379860272E-3</v>
      </c>
      <c r="U53" s="56">
        <f t="shared" si="2"/>
        <v>77.182058137055634</v>
      </c>
      <c r="V53" s="56">
        <f t="shared" si="1"/>
        <v>1.2338182112333349E-46</v>
      </c>
      <c r="W53" s="6"/>
      <c r="X53" s="124" t="s">
        <v>34</v>
      </c>
      <c r="Y53" s="125"/>
      <c r="Z53" s="57">
        <f>AVERAGE(Q13:Q14)</f>
        <v>35.706666754685202</v>
      </c>
      <c r="AA53" s="56">
        <f t="shared" si="3"/>
        <v>2.7691796080527846E-5</v>
      </c>
      <c r="AB53" s="56">
        <f t="shared" si="4"/>
        <v>37.059074410963028</v>
      </c>
      <c r="AC53" s="56">
        <f t="shared" si="3"/>
        <v>1.046685389066193E-5</v>
      </c>
      <c r="AD53" s="6"/>
      <c r="AE53" s="122" t="s">
        <v>34</v>
      </c>
      <c r="AF53" s="123"/>
      <c r="AG53" s="57">
        <f>AVERAGE(Z13:Z14)</f>
        <v>34.00547487674605</v>
      </c>
      <c r="AH53" s="56">
        <f>10^((AG53 -21.128)/-3.227)</f>
        <v>1.0220197497113473E-4</v>
      </c>
      <c r="AI53" s="56">
        <f t="shared" si="5"/>
        <v>35.005807986690144</v>
      </c>
      <c r="AJ53" s="56">
        <f>10^((AI53 -21.128)/-3.227)</f>
        <v>5.0057680261102668E-5</v>
      </c>
      <c r="AK53" s="6"/>
      <c r="AL53" s="122" t="s">
        <v>34</v>
      </c>
      <c r="AM53" s="123"/>
      <c r="AN53" s="57">
        <f>AVERAGE(W16:W17)</f>
        <v>31.0358422853928</v>
      </c>
      <c r="AO53" s="56">
        <f t="shared" si="7"/>
        <v>2.7727254016322819E-3</v>
      </c>
      <c r="AP53" s="57">
        <f t="shared" si="6"/>
        <v>30.563198184667694</v>
      </c>
      <c r="AQ53" s="56">
        <f t="shared" si="7"/>
        <v>3.8284249087543092E-3</v>
      </c>
      <c r="AR53" s="36"/>
      <c r="AS53" s="3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row>
    <row r="54" spans="1:88">
      <c r="A54" s="6"/>
      <c r="B54" s="6"/>
      <c r="C54" s="104" t="s">
        <v>84</v>
      </c>
      <c r="D54" s="105"/>
      <c r="E54" s="86">
        <f>AVERAGE(E44:E52)</f>
        <v>20.872681507146595</v>
      </c>
      <c r="F54" s="86">
        <f>AVERAGE(F44:F52)</f>
        <v>6.8222397657350804</v>
      </c>
      <c r="G54" s="86">
        <f>AVERAGE(G44:G52)</f>
        <v>21.524709624755904</v>
      </c>
      <c r="H54" s="86">
        <f>AVERAGE(H44:H52)</f>
        <v>4.3197644596239551</v>
      </c>
      <c r="I54" s="6"/>
      <c r="J54" s="104" t="s">
        <v>84</v>
      </c>
      <c r="K54" s="105"/>
      <c r="L54" s="86">
        <f>AVERAGE(L44:L52)</f>
        <v>17.513134570542448</v>
      </c>
      <c r="M54" s="86">
        <f>AVERAGE(M44:M52)</f>
        <v>7.7555251189374985</v>
      </c>
      <c r="N54" s="86">
        <f>AVERAGE(N44:N52)</f>
        <v>15.853441360173337</v>
      </c>
      <c r="O54" s="86">
        <f>AVERAGE(O44:O52)</f>
        <v>20.68552071291256</v>
      </c>
      <c r="P54" s="6"/>
      <c r="Q54" s="104" t="s">
        <v>84</v>
      </c>
      <c r="R54" s="105"/>
      <c r="S54" s="86">
        <f>AVERAGE(S44:S52)</f>
        <v>24.222449067105586</v>
      </c>
      <c r="T54" s="86">
        <f>AVERAGE(T44:T52)</f>
        <v>1.6765266034518218</v>
      </c>
      <c r="U54" s="86">
        <f>AVERAGE(U44:U52)</f>
        <v>69.438413948046446</v>
      </c>
      <c r="V54" s="86">
        <f>AVERAGE(V44:V52)</f>
        <v>6.3854195388091142E-38</v>
      </c>
      <c r="W54" s="6"/>
      <c r="X54" s="104" t="s">
        <v>84</v>
      </c>
      <c r="Y54" s="105"/>
      <c r="Z54" s="86">
        <f>AVERAGE(Z44:Z52)</f>
        <v>18.775556469343371</v>
      </c>
      <c r="AA54" s="86">
        <f>AVERAGE(AA44:AA52)</f>
        <v>6.5988037166045501</v>
      </c>
      <c r="AB54" s="86">
        <f>AVERAGE(AB44:AB52)</f>
        <v>19.486689953027753</v>
      </c>
      <c r="AC54" s="86">
        <f>AVERAGE(AC44:AC52)</f>
        <v>4.0163692653681711</v>
      </c>
      <c r="AD54" s="6"/>
      <c r="AE54" s="104" t="s">
        <v>84</v>
      </c>
      <c r="AF54" s="105"/>
      <c r="AG54" s="86">
        <f>AVERAGE(AG44:AG52)</f>
        <v>18.861514211579586</v>
      </c>
      <c r="AH54" s="86">
        <f>AVERAGE(AH44:AH52)</f>
        <v>5.6068252372160936</v>
      </c>
      <c r="AI54" s="86">
        <f>AVERAGE(AI44:AI52)</f>
        <v>19.41636007795584</v>
      </c>
      <c r="AJ54" s="86">
        <f>AVERAGE(AJ44:AJ52)</f>
        <v>3.7956434399870216</v>
      </c>
      <c r="AK54" s="6"/>
      <c r="AL54" s="104" t="s">
        <v>84</v>
      </c>
      <c r="AM54" s="105"/>
      <c r="AN54" s="86">
        <f>AVERAGE(AN44:AN52)</f>
        <v>19.847826987093136</v>
      </c>
      <c r="AO54" s="86">
        <f>AVERAGE(AO44:AO52)</f>
        <v>6.6915808709610296</v>
      </c>
      <c r="AP54" s="86">
        <f>AVERAGE(AP44:AP52)</f>
        <v>19.545564904066719</v>
      </c>
      <c r="AQ54" s="86">
        <f>AVERAGE(AQ44:AQ52)</f>
        <v>8.1899489569003254</v>
      </c>
      <c r="AR54" s="36"/>
      <c r="AS54" s="3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c r="A55" s="6"/>
      <c r="B55" s="6"/>
      <c r="C55" s="104" t="s">
        <v>85</v>
      </c>
      <c r="D55" s="105"/>
      <c r="E55" s="86">
        <f>(E56/SQRT(9))</f>
        <v>0.30641863217647991</v>
      </c>
      <c r="F55" s="86">
        <f>(F56/SQRT(9))</f>
        <v>1.0650808596121826</v>
      </c>
      <c r="G55" s="86">
        <f>(G56/SQRT(9))</f>
        <v>0.31599064446776309</v>
      </c>
      <c r="H55" s="86">
        <f>(H56/SQRT(9))</f>
        <v>0.6902683109489165</v>
      </c>
      <c r="I55" s="6"/>
      <c r="J55" s="104" t="s">
        <v>85</v>
      </c>
      <c r="K55" s="105"/>
      <c r="L55" s="86">
        <f>(L56/SQRT(9))</f>
        <v>0.60295397620704316</v>
      </c>
      <c r="M55" s="86">
        <f>(M56/SQRT(9))</f>
        <v>1.8485307174500267</v>
      </c>
      <c r="N55" s="86">
        <f>(N56/SQRT(9))</f>
        <v>0.5458129420623492</v>
      </c>
      <c r="O55" s="86">
        <f>(O56/SQRT(9))</f>
        <v>4.5200511287057958</v>
      </c>
      <c r="P55" s="6"/>
      <c r="Q55" s="104" t="s">
        <v>85</v>
      </c>
      <c r="R55" s="105"/>
      <c r="S55" s="86">
        <f>(S56/SQRT(9))</f>
        <v>0.34683155696600076</v>
      </c>
      <c r="T55" s="86">
        <f>(T56/SQRT(9))</f>
        <v>0.63343026119939794</v>
      </c>
      <c r="U55" s="86">
        <f>(U56/SQRT(9))</f>
        <v>0.9942608675171597</v>
      </c>
      <c r="V55" s="86">
        <f>(V56/SQRT(9))</f>
        <v>5.206476859451052E-38</v>
      </c>
      <c r="W55" s="6"/>
      <c r="X55" s="104" t="s">
        <v>85</v>
      </c>
      <c r="Y55" s="105"/>
      <c r="Z55" s="86">
        <f>(Z56/SQRT(9))</f>
        <v>0.29498247318016962</v>
      </c>
      <c r="AA55" s="86">
        <f>(AA56/SQRT(9))</f>
        <v>1.3897081215088309</v>
      </c>
      <c r="AB55" s="86">
        <f>(AB56/SQRT(9))</f>
        <v>0.30615508018763499</v>
      </c>
      <c r="AC55" s="86">
        <f>(AC56/SQRT(9))</f>
        <v>0.87519405907969661</v>
      </c>
      <c r="AD55" s="6"/>
      <c r="AE55" s="104" t="s">
        <v>85</v>
      </c>
      <c r="AF55" s="105"/>
      <c r="AG55" s="86">
        <f>(AG56/SQRT(9))</f>
        <v>0.23741057470243468</v>
      </c>
      <c r="AH55" s="86">
        <f>(AH56/SQRT(9))</f>
        <v>0.74521305586594</v>
      </c>
      <c r="AI55" s="86">
        <f>(AI56/SQRT(9))</f>
        <v>0.24439444007665745</v>
      </c>
      <c r="AJ55" s="86">
        <f>(AJ56/SQRT(9))</f>
        <v>0.51648344506145849</v>
      </c>
      <c r="AK55" s="6"/>
      <c r="AL55" s="104" t="s">
        <v>85</v>
      </c>
      <c r="AM55" s="105"/>
      <c r="AN55" s="86">
        <f>(AN56/SQRT(9))</f>
        <v>0.28873426395186014</v>
      </c>
      <c r="AO55" s="86">
        <f>(AO56/SQRT(9))</f>
        <v>1.1101511725437936</v>
      </c>
      <c r="AP55" s="86">
        <f>(AP56/SQRT(9))</f>
        <v>0.28433713674393241</v>
      </c>
      <c r="AQ55" s="86">
        <f>(AQ56/SQRT(9))</f>
        <v>1.3411977385501295</v>
      </c>
      <c r="AR55" s="36"/>
      <c r="AS55" s="3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row>
    <row r="56" spans="1:88">
      <c r="A56" s="6"/>
      <c r="B56" s="6"/>
      <c r="C56" s="104" t="s">
        <v>86</v>
      </c>
      <c r="D56" s="105"/>
      <c r="E56" s="86">
        <f>_xlfn.STDEV.P(E44:E52)</f>
        <v>0.91925589652943973</v>
      </c>
      <c r="F56" s="86">
        <f>_xlfn.STDEV.P(F44:F52)</f>
        <v>3.1952425788365479</v>
      </c>
      <c r="G56" s="86">
        <f>_xlfn.STDEV.P(G44:G52)</f>
        <v>0.94797193340328934</v>
      </c>
      <c r="H56" s="86">
        <f>_xlfn.STDEV.P(H44:H52)</f>
        <v>2.0708049328467495</v>
      </c>
      <c r="I56" s="6"/>
      <c r="J56" s="104" t="s">
        <v>86</v>
      </c>
      <c r="K56" s="105"/>
      <c r="L56" s="86">
        <f>_xlfn.STDEV.P(L44:L52)</f>
        <v>1.8088619286211296</v>
      </c>
      <c r="M56" s="86">
        <f>_xlfn.STDEV.P(M44:M52)</f>
        <v>5.5455921523500802</v>
      </c>
      <c r="N56" s="86">
        <f>_xlfn.STDEV.P(N44:N52)</f>
        <v>1.6374388261870476</v>
      </c>
      <c r="O56" s="86">
        <f>_xlfn.STDEV.P(O44:O52)</f>
        <v>13.560153386117387</v>
      </c>
      <c r="P56" s="6"/>
      <c r="Q56" s="104" t="s">
        <v>86</v>
      </c>
      <c r="R56" s="105"/>
      <c r="S56" s="86">
        <f>_xlfn.STDEV.P(S44:S52)</f>
        <v>1.0404946708980023</v>
      </c>
      <c r="T56" s="86">
        <f>_xlfn.STDEV.P(T44:T52)</f>
        <v>1.9002907835981939</v>
      </c>
      <c r="U56" s="86">
        <f>_xlfn.STDEV.P(U44:U52)</f>
        <v>2.9827826025514792</v>
      </c>
      <c r="V56" s="86">
        <f>_xlfn.STDEV.P(V44:V52)</f>
        <v>1.5619430578353155E-37</v>
      </c>
      <c r="W56" s="6"/>
      <c r="X56" s="104" t="s">
        <v>86</v>
      </c>
      <c r="Y56" s="105"/>
      <c r="Z56" s="86">
        <f>_xlfn.STDEV.P(Z44:Z52)</f>
        <v>0.88494741954050893</v>
      </c>
      <c r="AA56" s="86">
        <f>_xlfn.STDEV.P(AA44:AA52)</f>
        <v>4.1691243645264926</v>
      </c>
      <c r="AB56" s="86">
        <f>_xlfn.STDEV.P(AB44:AB52)</f>
        <v>0.91846524056290491</v>
      </c>
      <c r="AC56" s="86">
        <f>_xlfn.STDEV.P(AC44:AC52)</f>
        <v>2.6255821772390897</v>
      </c>
      <c r="AD56" s="6"/>
      <c r="AE56" s="104" t="s">
        <v>86</v>
      </c>
      <c r="AF56" s="105"/>
      <c r="AG56" s="86">
        <f>_xlfn.STDEV.P(AG44:AG52)</f>
        <v>0.71223172410730407</v>
      </c>
      <c r="AH56" s="86">
        <f>_xlfn.STDEV.P(AH44:AH52)</f>
        <v>2.23563916759782</v>
      </c>
      <c r="AI56" s="86">
        <f>_xlfn.STDEV.P(AI44:AI52)</f>
        <v>0.73318332022997235</v>
      </c>
      <c r="AJ56" s="86">
        <f>_xlfn.STDEV.P(AJ44:AJ52)</f>
        <v>1.5494503351843756</v>
      </c>
      <c r="AK56" s="6"/>
      <c r="AL56" s="104" t="s">
        <v>86</v>
      </c>
      <c r="AM56" s="105"/>
      <c r="AN56" s="86">
        <f>_xlfn.STDEV.P(AN44:AN52)</f>
        <v>0.86620279185558036</v>
      </c>
      <c r="AO56" s="86">
        <f>_xlfn.STDEV.P(AO44:AO52)</f>
        <v>3.3304535176313808</v>
      </c>
      <c r="AP56" s="86">
        <f>_xlfn.STDEV.P(AP44:AP52)</f>
        <v>0.85301141023179727</v>
      </c>
      <c r="AQ56" s="86">
        <f>_xlfn.STDEV.P(AQ44:AQ52)</f>
        <v>4.0235932156503882</v>
      </c>
      <c r="AR56" s="36"/>
      <c r="AS56" s="3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row>
    <row r="57" spans="1:88">
      <c r="A57" s="6"/>
      <c r="B57" s="6"/>
      <c r="C57" s="104" t="s">
        <v>87</v>
      </c>
      <c r="D57" s="105"/>
      <c r="E57" s="86">
        <f>SUM(E56/E54)</f>
        <v>4.4041102060350792E-2</v>
      </c>
      <c r="F57" s="86">
        <f>SUM(F56/F54)</f>
        <v>0.46835682833733827</v>
      </c>
      <c r="G57" s="86">
        <f>SUM(G56/G54)</f>
        <v>4.4041102060350772E-2</v>
      </c>
      <c r="H57" s="86">
        <f>SUM(H56/H54)</f>
        <v>0.47937913101563356</v>
      </c>
      <c r="I57" s="6"/>
      <c r="J57" s="104" t="s">
        <v>87</v>
      </c>
      <c r="K57" s="105"/>
      <c r="L57" s="86">
        <f>SUM(L56/L54)</f>
        <v>0.10328601777911779</v>
      </c>
      <c r="M57" s="86">
        <f>SUM(M56/M54)</f>
        <v>0.71505050493728817</v>
      </c>
      <c r="N57" s="86">
        <f>SUM(N56/N54)</f>
        <v>0.10328601777911672</v>
      </c>
      <c r="O57" s="86">
        <f>SUM(O56/O54)</f>
        <v>0.65553841135131341</v>
      </c>
      <c r="P57" s="6"/>
      <c r="Q57" s="104" t="s">
        <v>87</v>
      </c>
      <c r="R57" s="105"/>
      <c r="S57" s="86">
        <f>SUM(S56/S54)</f>
        <v>4.2955799721796431E-2</v>
      </c>
      <c r="T57" s="86">
        <f>SUM(T56/T54)</f>
        <v>1.1334689110722498</v>
      </c>
      <c r="U57" s="86">
        <f>SUM(U56/U54)</f>
        <v>4.2955799721796438E-2</v>
      </c>
      <c r="V57" s="86">
        <f>SUM(V56/V54)</f>
        <v>2.446108745623031</v>
      </c>
      <c r="W57" s="6"/>
      <c r="X57" s="104" t="s">
        <v>87</v>
      </c>
      <c r="Y57" s="105"/>
      <c r="Z57" s="86">
        <f>SUM(Z56/Z54)</f>
        <v>4.7132952942590352E-2</v>
      </c>
      <c r="AA57" s="86">
        <f>SUM(AA56/AA54)</f>
        <v>0.63180002672844127</v>
      </c>
      <c r="AB57" s="86">
        <f>SUM(AB56/AB54)</f>
        <v>4.7132952942590331E-2</v>
      </c>
      <c r="AC57" s="86">
        <f>SUM(AC56/AC54)</f>
        <v>0.65372031398572328</v>
      </c>
      <c r="AD57" s="6"/>
      <c r="AE57" s="104" t="s">
        <v>87</v>
      </c>
      <c r="AF57" s="105"/>
      <c r="AG57" s="86">
        <f>SUM(AG56/AG54)</f>
        <v>3.7761110593657748E-2</v>
      </c>
      <c r="AH57" s="86">
        <f>SUM(AH56/AH54)</f>
        <v>0.39873530438552812</v>
      </c>
      <c r="AI57" s="86">
        <f>SUM(AI56/AI54)</f>
        <v>3.7761110593657783E-2</v>
      </c>
      <c r="AJ57" s="86">
        <f>SUM(AJ56/AJ54)</f>
        <v>0.40821809521435809</v>
      </c>
      <c r="AK57" s="6"/>
      <c r="AL57" s="104" t="s">
        <v>87</v>
      </c>
      <c r="AM57" s="105"/>
      <c r="AN57" s="86">
        <f>SUM(AN56/AN54)</f>
        <v>4.3642197829458322E-2</v>
      </c>
      <c r="AO57" s="86">
        <f>SUM(AO56/AO54)</f>
        <v>0.49770802772246381</v>
      </c>
      <c r="AP57" s="86">
        <f>SUM(AP56/AP54)</f>
        <v>4.3642197829458322E-2</v>
      </c>
      <c r="AQ57" s="86">
        <f>SUM(AQ56/AQ54)</f>
        <v>0.49128428477693586</v>
      </c>
      <c r="AR57" s="36"/>
      <c r="AS57" s="3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row>
    <row r="58" spans="1:8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88">
      <c r="A59" s="6"/>
      <c r="B59" s="6"/>
      <c r="C59" s="131" t="s">
        <v>48</v>
      </c>
      <c r="D59" s="131"/>
      <c r="E59" s="131"/>
      <c r="F59" s="6"/>
      <c r="G59" s="6"/>
      <c r="H59" s="6"/>
      <c r="I59" s="6"/>
      <c r="J59" s="96" t="s">
        <v>23</v>
      </c>
      <c r="K59" s="97"/>
      <c r="L59" s="98"/>
      <c r="M59" s="6"/>
      <c r="N59" s="6"/>
      <c r="O59" s="6"/>
      <c r="P59" s="6"/>
      <c r="Q59" s="131" t="s">
        <v>27</v>
      </c>
      <c r="R59" s="131"/>
      <c r="S59" s="131"/>
      <c r="T59" s="6"/>
      <c r="U59" s="6"/>
      <c r="V59" s="6"/>
      <c r="W59" s="6"/>
      <c r="X59" s="131" t="s">
        <v>24</v>
      </c>
      <c r="Y59" s="131"/>
      <c r="Z59" s="131"/>
      <c r="AA59" s="6"/>
      <c r="AB59" s="6"/>
      <c r="AC59" s="6"/>
      <c r="AD59" s="6"/>
      <c r="AE59" s="131" t="s">
        <v>25</v>
      </c>
      <c r="AF59" s="131"/>
      <c r="AG59" s="131"/>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row>
    <row r="60" spans="1:88" ht="15" customHeight="1">
      <c r="A60" s="6"/>
      <c r="B60" s="6"/>
      <c r="C60" s="132" t="s">
        <v>47</v>
      </c>
      <c r="D60" s="133"/>
      <c r="E60" s="134"/>
      <c r="F60" s="6"/>
      <c r="G60" s="6"/>
      <c r="H60" s="6"/>
      <c r="I60" s="6"/>
      <c r="J60" s="99" t="s">
        <v>47</v>
      </c>
      <c r="K60" s="100"/>
      <c r="L60" s="101"/>
      <c r="M60" s="6"/>
      <c r="N60" s="6"/>
      <c r="O60" s="6"/>
      <c r="P60" s="6"/>
      <c r="Q60" s="99" t="s">
        <v>47</v>
      </c>
      <c r="R60" s="100"/>
      <c r="S60" s="101"/>
      <c r="T60" s="6"/>
      <c r="U60" s="6"/>
      <c r="V60" s="6"/>
      <c r="W60" s="6"/>
      <c r="X60" s="99" t="s">
        <v>47</v>
      </c>
      <c r="Y60" s="159"/>
      <c r="Z60" s="160"/>
      <c r="AA60" s="6"/>
      <c r="AB60" s="6"/>
      <c r="AC60" s="6"/>
      <c r="AD60" s="6"/>
      <c r="AE60" s="99" t="s">
        <v>47</v>
      </c>
      <c r="AF60" s="100"/>
      <c r="AG60" s="101"/>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row>
    <row r="61" spans="1:88" ht="16">
      <c r="A61" s="6"/>
      <c r="B61" s="6"/>
      <c r="C61" s="31" t="s">
        <v>33</v>
      </c>
      <c r="D61" s="32" t="s">
        <v>45</v>
      </c>
      <c r="E61" s="64" t="s">
        <v>44</v>
      </c>
      <c r="F61" s="6"/>
      <c r="G61" s="6"/>
      <c r="H61" s="6"/>
      <c r="I61" s="6"/>
      <c r="J61" s="31" t="s">
        <v>33</v>
      </c>
      <c r="K61" s="32" t="s">
        <v>45</v>
      </c>
      <c r="L61" s="64" t="s">
        <v>44</v>
      </c>
      <c r="M61" s="6"/>
      <c r="N61" s="6"/>
      <c r="O61" s="6"/>
      <c r="P61" s="6"/>
      <c r="Q61" s="31" t="s">
        <v>33</v>
      </c>
      <c r="R61" s="32" t="s">
        <v>45</v>
      </c>
      <c r="S61" s="64" t="s">
        <v>44</v>
      </c>
      <c r="T61" s="6"/>
      <c r="U61" s="6"/>
      <c r="V61" s="6"/>
      <c r="W61" s="6"/>
      <c r="X61" s="31" t="s">
        <v>33</v>
      </c>
      <c r="Y61" s="32" t="s">
        <v>45</v>
      </c>
      <c r="Z61" s="64" t="s">
        <v>44</v>
      </c>
      <c r="AA61" s="6"/>
      <c r="AB61" s="6"/>
      <c r="AC61" s="6"/>
      <c r="AD61" s="6"/>
      <c r="AE61" s="31" t="s">
        <v>33</v>
      </c>
      <c r="AF61" s="32" t="s">
        <v>45</v>
      </c>
      <c r="AG61" s="64" t="s">
        <v>44</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row>
    <row r="62" spans="1:88">
      <c r="A62" s="6"/>
      <c r="B62" s="6"/>
      <c r="C62" s="58">
        <v>3.2000000000000001E-2</v>
      </c>
      <c r="D62" s="59">
        <f>LOG(C62)</f>
        <v>-1.494850021680094</v>
      </c>
      <c r="E62" s="60">
        <f>AVERAGE(C19:C20)</f>
        <v>29.272165674932349</v>
      </c>
      <c r="F62" s="6"/>
      <c r="G62" s="6"/>
      <c r="H62" s="6"/>
      <c r="I62" s="6"/>
      <c r="J62" s="58">
        <v>3.2000000000000001E-2</v>
      </c>
      <c r="K62" s="59">
        <f>LOG(J62)</f>
        <v>-1.494850021680094</v>
      </c>
      <c r="L62" s="60">
        <f>AVERAGE(R19:R20)</f>
        <v>30.490135785181248</v>
      </c>
      <c r="M62" s="6"/>
      <c r="N62" s="6"/>
      <c r="O62" s="6"/>
      <c r="P62" s="6"/>
      <c r="Q62" s="58">
        <v>3.2000000000000001E-2</v>
      </c>
      <c r="R62" s="59">
        <f>LOG(Q62)</f>
        <v>-1.494850021680094</v>
      </c>
      <c r="S62" s="60">
        <f>AVERAGE(I22:I23)</f>
        <v>26.504007406336349</v>
      </c>
      <c r="T62" s="6"/>
      <c r="U62" s="6"/>
      <c r="V62" s="6"/>
      <c r="W62" s="6"/>
      <c r="X62" s="58">
        <v>3.2000000000000001E-2</v>
      </c>
      <c r="Y62" s="59">
        <f>LOG(X62)</f>
        <v>-1.494850021680094</v>
      </c>
      <c r="Z62" s="60">
        <f>AVERAGE(C25:C26)</f>
        <v>27.886368560801898</v>
      </c>
      <c r="AA62" s="6"/>
      <c r="AB62" s="6"/>
      <c r="AC62" s="6"/>
      <c r="AD62" s="6"/>
      <c r="AE62" s="58">
        <v>3.2000000000000001E-2</v>
      </c>
      <c r="AF62" s="59">
        <f>LOG(AE62)</f>
        <v>-1.494850021680094</v>
      </c>
      <c r="AG62" s="60">
        <f>AVERAGE(I28:I29)</f>
        <v>31.356164168265899</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row>
    <row r="63" spans="1:88">
      <c r="A63" s="6"/>
      <c r="B63" s="6"/>
      <c r="C63" s="58">
        <v>0.16</v>
      </c>
      <c r="D63" s="59">
        <f>LOG(C63)</f>
        <v>-0.79588001734407521</v>
      </c>
      <c r="E63" s="60">
        <f>AVERAGE(D19:D20)</f>
        <v>27.25986891210955</v>
      </c>
      <c r="F63" s="6"/>
      <c r="G63" s="6"/>
      <c r="H63" s="6"/>
      <c r="I63" s="6"/>
      <c r="J63" s="58">
        <v>0.16</v>
      </c>
      <c r="K63" s="59">
        <f>LOG(J63)</f>
        <v>-0.79588001734407521</v>
      </c>
      <c r="L63" s="60">
        <f>AVERAGE(S19:S20)</f>
        <v>27.807242406602001</v>
      </c>
      <c r="M63" s="6"/>
      <c r="N63" s="6"/>
      <c r="O63" s="6"/>
      <c r="P63" s="6"/>
      <c r="Q63" s="58">
        <v>0.16</v>
      </c>
      <c r="R63" s="59">
        <f>LOG(Q63)</f>
        <v>-0.79588001734407521</v>
      </c>
      <c r="S63" s="60">
        <f>AVERAGE(J22:J23)</f>
        <v>24.276281094856202</v>
      </c>
      <c r="T63" s="6"/>
      <c r="U63" s="6"/>
      <c r="V63" s="6"/>
      <c r="W63" s="6"/>
      <c r="X63" s="58">
        <v>0.16</v>
      </c>
      <c r="Y63" s="59">
        <f>LOG(X63)</f>
        <v>-0.79588001734407521</v>
      </c>
      <c r="Z63" s="60">
        <f>AVERAGE(D25:D26)</f>
        <v>25.629594683265452</v>
      </c>
      <c r="AA63" s="6"/>
      <c r="AB63" s="6"/>
      <c r="AC63" s="6"/>
      <c r="AD63" s="6"/>
      <c r="AE63" s="58">
        <v>0.16</v>
      </c>
      <c r="AF63" s="59">
        <f>LOG(AE63)</f>
        <v>-0.79588001734407521</v>
      </c>
      <c r="AG63" s="60">
        <f>AVERAGE(J28:J29)</f>
        <v>29.2039881577434</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row>
    <row r="64" spans="1:88">
      <c r="A64" s="6"/>
      <c r="B64" s="6"/>
      <c r="C64" s="58">
        <v>0.8</v>
      </c>
      <c r="D64" s="59">
        <f>LOG(C64)</f>
        <v>-9.6910013008056392E-2</v>
      </c>
      <c r="E64" s="60">
        <f>AVERAGE(E19:E20)</f>
        <v>25.396854972561648</v>
      </c>
      <c r="F64" s="6"/>
      <c r="G64" s="6"/>
      <c r="H64" s="6"/>
      <c r="I64" s="6"/>
      <c r="J64" s="58">
        <v>0.8</v>
      </c>
      <c r="K64" s="59">
        <f>LOG(J64)</f>
        <v>-9.6910013008056392E-2</v>
      </c>
      <c r="L64" s="60">
        <f>AVERAGE(T19:T20)</f>
        <v>25.55690774569285</v>
      </c>
      <c r="M64" s="6"/>
      <c r="N64" s="6"/>
      <c r="O64" s="6"/>
      <c r="P64" s="6"/>
      <c r="Q64" s="58">
        <v>0.8</v>
      </c>
      <c r="R64" s="59">
        <f>LOG(Q64)</f>
        <v>-9.6910013008056392E-2</v>
      </c>
      <c r="S64" s="60">
        <f>AVERAGE(K22:K23)</f>
        <v>21.944714796122852</v>
      </c>
      <c r="T64" s="6"/>
      <c r="U64" s="6"/>
      <c r="V64" s="6"/>
      <c r="W64" s="6"/>
      <c r="X64" s="58">
        <v>0.8</v>
      </c>
      <c r="Y64" s="59">
        <f>LOG(X64)</f>
        <v>-9.6910013008056392E-2</v>
      </c>
      <c r="Z64" s="60">
        <f>AVERAGE(E25:E26)</f>
        <v>23.113756652200152</v>
      </c>
      <c r="AA64" s="6"/>
      <c r="AB64" s="6"/>
      <c r="AC64" s="6"/>
      <c r="AD64" s="6"/>
      <c r="AE64" s="58">
        <v>0.8</v>
      </c>
      <c r="AF64" s="59">
        <f>LOG(AE64)</f>
        <v>-9.6910013008056392E-2</v>
      </c>
      <c r="AG64" s="60">
        <f>AVERAGE(K28:K29)</f>
        <v>27.791629331400451</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row>
    <row r="65" spans="1:81">
      <c r="A65" s="6"/>
      <c r="B65" s="6"/>
      <c r="C65" s="58">
        <v>4</v>
      </c>
      <c r="D65" s="59">
        <f>LOG(C65)</f>
        <v>0.6020599913279624</v>
      </c>
      <c r="E65" s="60">
        <f>AVERAGE(F19:F20)</f>
        <v>23.384975313475</v>
      </c>
      <c r="F65" s="6"/>
      <c r="G65" s="6"/>
      <c r="H65" s="6"/>
      <c r="I65" s="6"/>
      <c r="J65" s="58">
        <v>4</v>
      </c>
      <c r="K65" s="59">
        <f>LOG(J65)</f>
        <v>0.6020599913279624</v>
      </c>
      <c r="L65" s="60">
        <f>AVERAGE(U19:U20)</f>
        <v>23.460287230623049</v>
      </c>
      <c r="M65" s="6"/>
      <c r="N65" s="6"/>
      <c r="O65" s="6"/>
      <c r="P65" s="6"/>
      <c r="Q65" s="58">
        <v>4</v>
      </c>
      <c r="R65" s="59">
        <f>LOG(Q65)</f>
        <v>0.6020599913279624</v>
      </c>
      <c r="S65" s="60">
        <f>AVERAGE(L22:L23)</f>
        <v>19.787036697193997</v>
      </c>
      <c r="T65" s="6"/>
      <c r="U65" s="6"/>
      <c r="V65" s="6"/>
      <c r="W65" s="6"/>
      <c r="X65" s="58">
        <v>4</v>
      </c>
      <c r="Y65" s="59">
        <f>LOG(X65)</f>
        <v>0.6020599913279624</v>
      </c>
      <c r="Z65" s="60">
        <f>AVERAGE(F25:F26)</f>
        <v>20.813842319714301</v>
      </c>
      <c r="AA65" s="6"/>
      <c r="AB65" s="6"/>
      <c r="AC65" s="6"/>
      <c r="AD65" s="6"/>
      <c r="AE65" s="58">
        <v>4</v>
      </c>
      <c r="AF65" s="59">
        <f>LOG(AE65)</f>
        <v>0.6020599913279624</v>
      </c>
      <c r="AG65" s="60">
        <f>AVERAGE(L28:L29)</f>
        <v>27.022297383686151</v>
      </c>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row>
    <row r="66" spans="1:81">
      <c r="A66" s="6"/>
      <c r="B66" s="6"/>
      <c r="C66" s="61">
        <v>20</v>
      </c>
      <c r="D66" s="62">
        <f>LOG(C66)</f>
        <v>1.3010299956639813</v>
      </c>
      <c r="E66" s="63">
        <f>AVERAGE(G19:G20)</f>
        <v>21.168251589123003</v>
      </c>
      <c r="F66" s="6"/>
      <c r="G66" s="6"/>
      <c r="H66" s="6"/>
      <c r="I66" s="6"/>
      <c r="J66" s="61">
        <v>20</v>
      </c>
      <c r="K66" s="62">
        <f>LOG(J66)</f>
        <v>1.3010299956639813</v>
      </c>
      <c r="L66" s="63">
        <f>AVERAGE(V19:V20)</f>
        <v>21.381321853467597</v>
      </c>
      <c r="M66" s="6"/>
      <c r="N66" s="6"/>
      <c r="O66" s="6"/>
      <c r="P66" s="6"/>
      <c r="Q66" s="61">
        <v>20</v>
      </c>
      <c r="R66" s="62">
        <f>LOG(Q66)</f>
        <v>1.3010299956639813</v>
      </c>
      <c r="S66" s="63">
        <f>AVERAGE(M22:M23)</f>
        <v>17.642490260139198</v>
      </c>
      <c r="T66" s="6"/>
      <c r="U66" s="6"/>
      <c r="V66" s="6"/>
      <c r="W66" s="6"/>
      <c r="X66" s="61">
        <v>20</v>
      </c>
      <c r="Y66" s="62">
        <f>LOG(X66)</f>
        <v>1.3010299956639813</v>
      </c>
      <c r="Z66" s="63">
        <f>AVERAGE(G25:G26)</f>
        <v>18.570624310112748</v>
      </c>
      <c r="AA66" s="6"/>
      <c r="AB66" s="6"/>
      <c r="AC66" s="6"/>
      <c r="AD66" s="6"/>
      <c r="AE66" s="61">
        <v>20</v>
      </c>
      <c r="AF66" s="62">
        <f>LOG(AE66)</f>
        <v>1.3010299956639813</v>
      </c>
      <c r="AG66" s="63">
        <f>AVERAGE(M28:M29)</f>
        <v>26.044812138343801</v>
      </c>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row>
    <row r="67" spans="1:81">
      <c r="A67" s="6"/>
      <c r="B67" s="6"/>
      <c r="C67" s="102" t="s">
        <v>46</v>
      </c>
      <c r="D67" s="103"/>
      <c r="E67" s="33">
        <f>(10^(-1/-2.8732)-1)*100</f>
        <v>122.86608946661279</v>
      </c>
      <c r="F67" s="6"/>
      <c r="G67" s="6"/>
      <c r="H67" s="6"/>
      <c r="I67" s="6"/>
      <c r="J67" s="102" t="s">
        <v>46</v>
      </c>
      <c r="K67" s="103"/>
      <c r="L67" s="33">
        <f>(10^(-1/-3.2283)-1)*100</f>
        <v>104.06125584845189</v>
      </c>
      <c r="M67" s="6"/>
      <c r="N67" s="6"/>
      <c r="O67" s="6"/>
      <c r="P67" s="6"/>
      <c r="Q67" s="102" t="s">
        <v>46</v>
      </c>
      <c r="R67" s="103"/>
      <c r="S67" s="33">
        <f>(10^(-1/-3.1779)-1)*100</f>
        <v>106.38266296220458</v>
      </c>
      <c r="T67" s="6"/>
      <c r="U67" s="6"/>
      <c r="V67" s="6"/>
      <c r="W67" s="6"/>
      <c r="X67" s="102" t="s">
        <v>46</v>
      </c>
      <c r="Y67" s="103"/>
      <c r="Z67" s="33">
        <f>(10^(-1/-3.3545)-1)*100</f>
        <v>98.658439837287389</v>
      </c>
      <c r="AA67" s="6"/>
      <c r="AB67" s="6"/>
      <c r="AC67" s="6"/>
      <c r="AD67" s="6"/>
      <c r="AE67" s="102" t="s">
        <v>46</v>
      </c>
      <c r="AF67" s="103"/>
      <c r="AG67" s="33">
        <f>(10^(-1/-1.8319)-1)*100</f>
        <v>251.46438682138617</v>
      </c>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row>
    <row r="68" spans="1:81">
      <c r="A68" s="6"/>
      <c r="B68" s="6"/>
      <c r="C68" s="102" t="s">
        <v>50</v>
      </c>
      <c r="D68" s="103"/>
      <c r="E68" s="33">
        <f>SUM(E67/100)+1</f>
        <v>2.2286608946661279</v>
      </c>
      <c r="F68" s="6"/>
      <c r="G68" s="6"/>
      <c r="H68" s="6"/>
      <c r="I68" s="6"/>
      <c r="J68" s="102" t="s">
        <v>50</v>
      </c>
      <c r="K68" s="103"/>
      <c r="L68" s="33">
        <f>SUM(L67/100)+1</f>
        <v>2.0406125584845189</v>
      </c>
      <c r="M68" s="6"/>
      <c r="N68" s="6"/>
      <c r="O68" s="6"/>
      <c r="P68" s="6"/>
      <c r="Q68" s="102" t="s">
        <v>50</v>
      </c>
      <c r="R68" s="103"/>
      <c r="S68" s="33">
        <f>SUM(S67/100)+1</f>
        <v>2.0638266296220458</v>
      </c>
      <c r="U68" s="6"/>
      <c r="V68" s="6"/>
      <c r="X68" s="102" t="s">
        <v>50</v>
      </c>
      <c r="Y68" s="103"/>
      <c r="Z68" s="33">
        <f>SUM(Z67/100)+1</f>
        <v>1.9865843983728739</v>
      </c>
      <c r="AA68" s="6"/>
      <c r="AB68" s="6"/>
      <c r="AC68" s="6"/>
      <c r="AD68" s="6"/>
      <c r="AE68" s="102" t="s">
        <v>50</v>
      </c>
      <c r="AF68" s="103"/>
      <c r="AG68" s="33">
        <f>SUM(AG67/100)+1</f>
        <v>3.5146438682138617</v>
      </c>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row>
    <row r="69" spans="1:81">
      <c r="A69" s="6"/>
      <c r="B69" s="6"/>
      <c r="C69" s="38"/>
      <c r="D69" s="38"/>
      <c r="E69" s="38"/>
      <c r="F69" s="6"/>
      <c r="G69" s="6"/>
      <c r="H69" s="38"/>
      <c r="I69" s="38"/>
      <c r="J69" s="38"/>
      <c r="K69" s="6"/>
      <c r="L69" s="6"/>
      <c r="M69" s="38"/>
      <c r="N69" s="38"/>
      <c r="O69" s="38"/>
      <c r="P69" s="6"/>
      <c r="Q69" s="6"/>
      <c r="R69" s="38"/>
      <c r="S69" s="38"/>
      <c r="T69" s="38"/>
      <c r="U69" s="6"/>
      <c r="V69" s="6"/>
      <c r="W69" s="38"/>
      <c r="X69" s="38"/>
      <c r="Y69" s="38"/>
      <c r="Z69" s="6"/>
      <c r="AA69" s="6"/>
      <c r="AB69" s="38"/>
      <c r="AC69" s="38"/>
      <c r="AD69" s="38"/>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row>
    <row r="70" spans="1:81">
      <c r="A70" s="6"/>
      <c r="B70" s="6"/>
      <c r="C70" s="116" t="s">
        <v>57</v>
      </c>
      <c r="D70" s="117"/>
      <c r="E70" s="117"/>
      <c r="F70" s="117"/>
      <c r="G70" s="117"/>
      <c r="H70" s="118"/>
      <c r="I70" s="6"/>
      <c r="J70" s="116" t="s">
        <v>58</v>
      </c>
      <c r="K70" s="117"/>
      <c r="L70" s="117"/>
      <c r="M70" s="117"/>
      <c r="N70" s="117"/>
      <c r="O70" s="118"/>
      <c r="P70" s="6"/>
      <c r="Q70" s="116" t="s">
        <v>59</v>
      </c>
      <c r="R70" s="117"/>
      <c r="S70" s="117"/>
      <c r="T70" s="117"/>
      <c r="U70" s="117"/>
      <c r="V70" s="118"/>
      <c r="W70" s="6"/>
      <c r="X70" s="116" t="s">
        <v>60</v>
      </c>
      <c r="Y70" s="117"/>
      <c r="Z70" s="117"/>
      <c r="AA70" s="117"/>
      <c r="AB70" s="117"/>
      <c r="AC70" s="118"/>
      <c r="AD70" s="6"/>
      <c r="AE70" s="116" t="s">
        <v>61</v>
      </c>
      <c r="AF70" s="117"/>
      <c r="AG70" s="117"/>
      <c r="AH70" s="117"/>
      <c r="AI70" s="117"/>
      <c r="AJ70" s="118"/>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5" customHeight="1">
      <c r="A71" s="6"/>
      <c r="B71" s="6"/>
      <c r="C71" s="119" t="s">
        <v>48</v>
      </c>
      <c r="D71" s="82" t="s">
        <v>62</v>
      </c>
      <c r="E71" s="82" t="s">
        <v>64</v>
      </c>
      <c r="F71" s="82" t="s">
        <v>66</v>
      </c>
      <c r="G71" s="83" t="s">
        <v>68</v>
      </c>
      <c r="H71" s="81" t="s">
        <v>70</v>
      </c>
      <c r="I71" s="6"/>
      <c r="J71" s="119" t="s">
        <v>23</v>
      </c>
      <c r="K71" s="82" t="s">
        <v>62</v>
      </c>
      <c r="L71" s="82" t="s">
        <v>64</v>
      </c>
      <c r="M71" s="82" t="s">
        <v>66</v>
      </c>
      <c r="N71" s="83" t="s">
        <v>68</v>
      </c>
      <c r="O71" s="81" t="s">
        <v>70</v>
      </c>
      <c r="P71" s="6"/>
      <c r="Q71" s="119" t="s">
        <v>27</v>
      </c>
      <c r="R71" s="82" t="s">
        <v>62</v>
      </c>
      <c r="S71" s="82" t="s">
        <v>64</v>
      </c>
      <c r="T71" s="82" t="s">
        <v>66</v>
      </c>
      <c r="U71" s="83" t="s">
        <v>68</v>
      </c>
      <c r="V71" s="81" t="s">
        <v>70</v>
      </c>
      <c r="W71" s="6"/>
      <c r="X71" s="119" t="s">
        <v>24</v>
      </c>
      <c r="Y71" s="82" t="s">
        <v>62</v>
      </c>
      <c r="Z71" s="82" t="s">
        <v>64</v>
      </c>
      <c r="AA71" s="82" t="s">
        <v>66</v>
      </c>
      <c r="AB71" s="83" t="s">
        <v>68</v>
      </c>
      <c r="AC71" s="81" t="s">
        <v>70</v>
      </c>
      <c r="AD71" s="6"/>
      <c r="AE71" s="119" t="s">
        <v>25</v>
      </c>
      <c r="AF71" s="82" t="s">
        <v>62</v>
      </c>
      <c r="AG71" s="82" t="s">
        <v>64</v>
      </c>
      <c r="AH71" s="82" t="s">
        <v>66</v>
      </c>
      <c r="AI71" s="83" t="s">
        <v>68</v>
      </c>
      <c r="AJ71" s="81" t="s">
        <v>70</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5" customHeight="1">
      <c r="A72" s="6"/>
      <c r="B72" s="6"/>
      <c r="C72" s="120"/>
      <c r="D72" s="42" t="s">
        <v>35</v>
      </c>
      <c r="E72" s="42">
        <f>AVERAGE(H19:H20)</f>
        <v>22.960073224333499</v>
      </c>
      <c r="F72" s="50">
        <f>10^((E72- 25.018)/-2.8732)</f>
        <v>5.2029428051166349</v>
      </c>
      <c r="G72" s="50">
        <f>SUM(E72*(LOG(E68)/LOG(2)))</f>
        <v>26.545911285181855</v>
      </c>
      <c r="H72" s="50">
        <f>10^((G72- 25.018)/-2.8732)</f>
        <v>0.29391358204227169</v>
      </c>
      <c r="I72" s="6"/>
      <c r="J72" s="120"/>
      <c r="K72" s="42" t="s">
        <v>35</v>
      </c>
      <c r="L72" s="42">
        <f>AVERAGE(W19:W20)</f>
        <v>22.6353889880995</v>
      </c>
      <c r="M72" s="50">
        <f t="shared" ref="M72:O81" si="11">10^((L72 -25.426)/-3.2283)</f>
        <v>7.3184854895711773</v>
      </c>
      <c r="N72" s="50">
        <f t="shared" ref="N72:N81" si="12">SUM(L72*(LOG($L$68)/LOG(2)))</f>
        <v>23.291867118381735</v>
      </c>
      <c r="O72" s="50">
        <f t="shared" si="11"/>
        <v>4.58215932709013</v>
      </c>
      <c r="P72" s="6"/>
      <c r="Q72" s="120"/>
      <c r="R72" s="42" t="s">
        <v>35</v>
      </c>
      <c r="S72" s="42">
        <f>AVERAGE(N22:N23)</f>
        <v>18.991954773352752</v>
      </c>
      <c r="T72" s="50">
        <f t="shared" ref="T72:V81" si="13">10^((S72 -21.723)/-3.1779)</f>
        <v>7.2341377339619051</v>
      </c>
      <c r="U72" s="50">
        <f t="shared" ref="U72:U81" si="14">SUM(S72*(LOG($S$68)/LOG(2)))</f>
        <v>19.852704030470019</v>
      </c>
      <c r="V72" s="50">
        <f t="shared" si="13"/>
        <v>3.8773235223377753</v>
      </c>
      <c r="W72" s="6"/>
      <c r="X72" s="120"/>
      <c r="Y72" s="42" t="s">
        <v>35</v>
      </c>
      <c r="Z72" s="42">
        <f>AVERAGE(H25:H26)</f>
        <v>21.043920377995398</v>
      </c>
      <c r="AA72" s="50">
        <f t="shared" ref="AA72:AC81" si="15">10^((Z72-22.878)/-3.3545)</f>
        <v>3.5216971941966184</v>
      </c>
      <c r="AB72" s="50">
        <f t="shared" ref="AB72:AB81" si="16">SUM(Z72*(LOG($Z$68)/LOG(2)))</f>
        <v>20.839585729687172</v>
      </c>
      <c r="AC72" s="50">
        <f t="shared" si="15"/>
        <v>4.0519642456036973</v>
      </c>
      <c r="AD72" s="6"/>
      <c r="AE72" s="120"/>
      <c r="AF72" s="42" t="s">
        <v>35</v>
      </c>
      <c r="AG72" s="42">
        <f>AVERAGE(N28:N29)</f>
        <v>27.377363890954999</v>
      </c>
      <c r="AH72" s="50">
        <f t="shared" ref="AH72:AJ81" si="17">10^((AG72-28.106)/-1.8319)</f>
        <v>2.4988998152512307</v>
      </c>
      <c r="AI72" s="50">
        <f t="shared" ref="AI72:AI81" si="18">SUM(AG72*(LOG($AG$68)/LOG(2)))</f>
        <v>49.645523376449695</v>
      </c>
      <c r="AJ72" s="50">
        <f t="shared" si="17"/>
        <v>1.7457274094978304E-12</v>
      </c>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c r="A73" s="6"/>
      <c r="B73" s="6"/>
      <c r="C73" s="120"/>
      <c r="D73" s="43" t="s">
        <v>36</v>
      </c>
      <c r="E73" s="43">
        <f>AVERAGE(I19:I20)</f>
        <v>22.776263588859649</v>
      </c>
      <c r="F73" s="50">
        <f>10^((E73- 25.018)/-2.8732)</f>
        <v>6.0286891473381141</v>
      </c>
      <c r="G73" s="50">
        <f>SUM(E73*(LOG(E68)/LOG(2)))</f>
        <v>26.333394790614271</v>
      </c>
      <c r="H73" s="50">
        <f>10^((G73- 25.018)/-2.8732)</f>
        <v>0.34848552615976008</v>
      </c>
      <c r="I73" s="6"/>
      <c r="J73" s="120"/>
      <c r="K73" s="43" t="s">
        <v>36</v>
      </c>
      <c r="L73" s="43">
        <f>AVERAGE(X19:X20)</f>
        <v>22.562818715943649</v>
      </c>
      <c r="M73" s="50">
        <f t="shared" si="11"/>
        <v>7.7072708958404608</v>
      </c>
      <c r="N73" s="50">
        <f t="shared" si="12"/>
        <v>23.217192142100679</v>
      </c>
      <c r="O73" s="50">
        <f t="shared" si="11"/>
        <v>4.8328303285055645</v>
      </c>
      <c r="P73" s="6"/>
      <c r="Q73" s="120"/>
      <c r="R73" s="43" t="s">
        <v>36</v>
      </c>
      <c r="S73" s="43">
        <f>AVERAGE(O22:O23)</f>
        <v>18.858619080149449</v>
      </c>
      <c r="T73" s="50">
        <f t="shared" si="13"/>
        <v>7.9679012690189799</v>
      </c>
      <c r="U73" s="50">
        <f t="shared" si="14"/>
        <v>19.713325325884178</v>
      </c>
      <c r="V73" s="50">
        <f t="shared" si="13"/>
        <v>4.2893430815683189</v>
      </c>
      <c r="W73" s="6"/>
      <c r="X73" s="120"/>
      <c r="Y73" s="43" t="s">
        <v>36</v>
      </c>
      <c r="Z73" s="43">
        <f>AVERAGE(I25:I26)</f>
        <v>21.001187183723403</v>
      </c>
      <c r="AA73" s="50">
        <f t="shared" si="15"/>
        <v>3.6265283473688714</v>
      </c>
      <c r="AB73" s="50">
        <f t="shared" si="16"/>
        <v>20.797267471038662</v>
      </c>
      <c r="AC73" s="50">
        <f t="shared" si="15"/>
        <v>4.1713917175761779</v>
      </c>
      <c r="AD73" s="6"/>
      <c r="AE73" s="120"/>
      <c r="AF73" s="43" t="s">
        <v>36</v>
      </c>
      <c r="AG73" s="43">
        <f>AVERAGE(O28:O29)</f>
        <v>27.07299746627125</v>
      </c>
      <c r="AH73" s="50">
        <f t="shared" si="17"/>
        <v>3.6635050307643016</v>
      </c>
      <c r="AI73" s="50">
        <f t="shared" si="18"/>
        <v>49.093591842360844</v>
      </c>
      <c r="AJ73" s="50">
        <f t="shared" si="17"/>
        <v>3.493538616230209E-12</v>
      </c>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c r="A74" s="6"/>
      <c r="B74" s="6"/>
      <c r="C74" s="120"/>
      <c r="D74" s="44" t="s">
        <v>37</v>
      </c>
      <c r="E74" s="44">
        <f>AVERAGE(J19:J20)</f>
        <v>21.735679352059101</v>
      </c>
      <c r="F74" s="51">
        <f>10^((E74-25.018)/-2.8732)</f>
        <v>13.880080465988705</v>
      </c>
      <c r="G74" s="51">
        <f>SUM(E74*(LOG(E68)/LOG(2)))</f>
        <v>25.130295106873263</v>
      </c>
      <c r="H74" s="51">
        <f>10^((G74-25.018)/-2.8732)</f>
        <v>0.91393721652998605</v>
      </c>
      <c r="I74" s="6"/>
      <c r="J74" s="120"/>
      <c r="K74" s="44" t="s">
        <v>37</v>
      </c>
      <c r="L74" s="44">
        <f>AVERAGE(Y19:Y20)</f>
        <v>21.881960295072552</v>
      </c>
      <c r="M74" s="51">
        <f t="shared" si="11"/>
        <v>12.525749043735457</v>
      </c>
      <c r="N74" s="51">
        <f t="shared" si="12"/>
        <v>22.51658726741978</v>
      </c>
      <c r="O74" s="51">
        <f t="shared" si="11"/>
        <v>7.9656515197544788</v>
      </c>
      <c r="P74" s="6"/>
      <c r="Q74" s="120"/>
      <c r="R74" s="44" t="s">
        <v>37</v>
      </c>
      <c r="S74" s="44">
        <f>AVERAGE(P22:P23)</f>
        <v>17.95900246720225</v>
      </c>
      <c r="T74" s="51">
        <f t="shared" si="13"/>
        <v>15.290764271874124</v>
      </c>
      <c r="U74" s="51">
        <f t="shared" si="14"/>
        <v>18.772936483825994</v>
      </c>
      <c r="V74" s="51">
        <f t="shared" si="13"/>
        <v>8.4782449886665052</v>
      </c>
      <c r="W74" s="6"/>
      <c r="X74" s="120"/>
      <c r="Y74" s="44" t="s">
        <v>37</v>
      </c>
      <c r="Z74" s="44">
        <f>AVERAGE(J25:J26)</f>
        <v>20.50462955398805</v>
      </c>
      <c r="AA74" s="51">
        <f t="shared" si="15"/>
        <v>5.0993919262321006</v>
      </c>
      <c r="AB74" s="51">
        <f t="shared" si="16"/>
        <v>20.305531372976795</v>
      </c>
      <c r="AC74" s="51">
        <f t="shared" si="15"/>
        <v>5.8461635053302627</v>
      </c>
      <c r="AD74" s="6"/>
      <c r="AE74" s="120"/>
      <c r="AF74" s="44" t="s">
        <v>37</v>
      </c>
      <c r="AG74" s="44">
        <f>AVERAGE(P28:P29)</f>
        <v>26.1294848359585</v>
      </c>
      <c r="AH74" s="51">
        <f t="shared" si="17"/>
        <v>11.993411020056854</v>
      </c>
      <c r="AI74" s="51">
        <f t="shared" si="18"/>
        <v>47.382646313392563</v>
      </c>
      <c r="AJ74" s="51">
        <f t="shared" si="17"/>
        <v>3.0008118156994558E-11</v>
      </c>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c r="A75" s="6"/>
      <c r="B75" s="6"/>
      <c r="C75" s="120"/>
      <c r="D75" s="45" t="s">
        <v>38</v>
      </c>
      <c r="E75" s="45">
        <f>AVERAGE(K19:K20)</f>
        <v>23.754600910477102</v>
      </c>
      <c r="F75" s="52">
        <f>10^((E75- 25.018)/-2.8732)</f>
        <v>2.752443821251962</v>
      </c>
      <c r="G75" s="52">
        <f>SUM(E75*(LOG(E68)/LOG(2)))</f>
        <v>27.464526015366417</v>
      </c>
      <c r="H75" s="52">
        <f>10^((G75- 25.018)/-2.8732)</f>
        <v>0.14076714978358243</v>
      </c>
      <c r="I75" s="6"/>
      <c r="J75" s="120"/>
      <c r="K75" s="45" t="s">
        <v>38</v>
      </c>
      <c r="L75" s="45">
        <f>AVERAGE(C22:C23)</f>
        <v>23.639690972170598</v>
      </c>
      <c r="M75" s="52">
        <f t="shared" si="11"/>
        <v>3.5754283222495782</v>
      </c>
      <c r="N75" s="52">
        <f t="shared" si="12"/>
        <v>24.325296160489625</v>
      </c>
      <c r="O75" s="52">
        <f t="shared" si="11"/>
        <v>2.1925758804431341</v>
      </c>
      <c r="P75" s="6"/>
      <c r="Q75" s="120"/>
      <c r="R75" s="45" t="s">
        <v>38</v>
      </c>
      <c r="S75" s="45">
        <f>AVERAGE(Q22:Q23)</f>
        <v>20.076822046712</v>
      </c>
      <c r="T75" s="52">
        <f t="shared" si="13"/>
        <v>3.2961586270260108</v>
      </c>
      <c r="U75" s="52">
        <f t="shared" si="14"/>
        <v>20.986739423212374</v>
      </c>
      <c r="V75" s="52">
        <f t="shared" si="13"/>
        <v>1.7048315756641248</v>
      </c>
      <c r="W75" s="6"/>
      <c r="X75" s="120"/>
      <c r="Y75" s="45" t="s">
        <v>38</v>
      </c>
      <c r="Z75" s="45">
        <f>AVERAGE(K25:K26)</f>
        <v>20.732274867364552</v>
      </c>
      <c r="AA75" s="52">
        <f t="shared" si="15"/>
        <v>4.3616993437979437</v>
      </c>
      <c r="AB75" s="52">
        <f t="shared" si="16"/>
        <v>20.530966270032938</v>
      </c>
      <c r="AC75" s="52">
        <f t="shared" si="15"/>
        <v>5.0080335778257012</v>
      </c>
      <c r="AD75" s="6"/>
      <c r="AE75" s="120"/>
      <c r="AF75" s="45" t="s">
        <v>38</v>
      </c>
      <c r="AG75" s="45">
        <f>AVERAGE(Q28:Q29)</f>
        <v>28.663201556513599</v>
      </c>
      <c r="AH75" s="52">
        <f t="shared" si="17"/>
        <v>0.49640263233064152</v>
      </c>
      <c r="AI75" s="52">
        <f t="shared" si="18"/>
        <v>51.977233768219712</v>
      </c>
      <c r="AJ75" s="52">
        <f t="shared" si="17"/>
        <v>9.314065155684704E-14</v>
      </c>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c r="A76" s="6"/>
      <c r="B76" s="6"/>
      <c r="C76" s="120"/>
      <c r="D76" s="45" t="s">
        <v>39</v>
      </c>
      <c r="E76" s="45">
        <f>AVERAGE(L19:L20)</f>
        <v>23.1071484977432</v>
      </c>
      <c r="F76" s="52">
        <f t="shared" ref="F76:H81" si="19">10^((E76-25.018)/-2.8732)</f>
        <v>4.6244531757652485</v>
      </c>
      <c r="G76" s="52">
        <f>SUM(E76*(LOG(E68)/LOG(2)))</f>
        <v>26.715956350893581</v>
      </c>
      <c r="H76" s="52">
        <f t="shared" si="19"/>
        <v>0.25646995293407704</v>
      </c>
      <c r="I76" s="6"/>
      <c r="J76" s="120"/>
      <c r="K76" s="45" t="s">
        <v>39</v>
      </c>
      <c r="L76" s="45">
        <f>AVERAGE(D22:D23)</f>
        <v>22.81952691530315</v>
      </c>
      <c r="M76" s="52">
        <f t="shared" si="11"/>
        <v>6.4177463671837351</v>
      </c>
      <c r="N76" s="52">
        <f t="shared" si="12"/>
        <v>23.481345467268806</v>
      </c>
      <c r="O76" s="52">
        <f t="shared" si="11"/>
        <v>4.0029232893927036</v>
      </c>
      <c r="P76" s="6"/>
      <c r="Q76" s="120"/>
      <c r="R76" s="45" t="s">
        <v>39</v>
      </c>
      <c r="S76" s="45">
        <f>AVERAGE(R22:R23)</f>
        <v>19.2527773761066</v>
      </c>
      <c r="T76" s="52">
        <f t="shared" si="13"/>
        <v>5.9884287552841107</v>
      </c>
      <c r="U76" s="52">
        <f t="shared" si="14"/>
        <v>20.125347578684138</v>
      </c>
      <c r="V76" s="52">
        <f t="shared" si="13"/>
        <v>3.1822802162086492</v>
      </c>
      <c r="W76" s="6"/>
      <c r="X76" s="120"/>
      <c r="Y76" s="45" t="s">
        <v>39</v>
      </c>
      <c r="Z76" s="45">
        <f>AVERAGE(L25:L26)</f>
        <v>20.184485593821051</v>
      </c>
      <c r="AA76" s="52">
        <f t="shared" si="15"/>
        <v>6.3526591509300836</v>
      </c>
      <c r="AB76" s="52">
        <f t="shared" si="16"/>
        <v>19.988495982996987</v>
      </c>
      <c r="AC76" s="52">
        <f t="shared" si="15"/>
        <v>7.2674396331969522</v>
      </c>
      <c r="AD76" s="6"/>
      <c r="AE76" s="120"/>
      <c r="AF76" s="45" t="s">
        <v>39</v>
      </c>
      <c r="AG76" s="45">
        <f>AVERAGE(R28:R29)</f>
        <v>27.991688410381201</v>
      </c>
      <c r="AH76" s="52">
        <f t="shared" si="17"/>
        <v>1.154517611059293</v>
      </c>
      <c r="AI76" s="52">
        <f t="shared" si="18"/>
        <v>50.759526258954239</v>
      </c>
      <c r="AJ76" s="52">
        <f t="shared" si="17"/>
        <v>4.3039088073653905E-13</v>
      </c>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c r="A77" s="6"/>
      <c r="B77" s="6"/>
      <c r="C77" s="120"/>
      <c r="D77" s="45" t="s">
        <v>40</v>
      </c>
      <c r="E77" s="45">
        <f>AVERAGE(M19:M20)</f>
        <v>22.284876846704002</v>
      </c>
      <c r="F77" s="52">
        <f t="shared" si="19"/>
        <v>8.9381388094973282</v>
      </c>
      <c r="G77" s="52">
        <f>SUM(E77*(LOG(E68)/LOG(2)))</f>
        <v>25.765264683339449</v>
      </c>
      <c r="H77" s="52">
        <f t="shared" si="19"/>
        <v>0.54943840907390995</v>
      </c>
      <c r="I77" s="6"/>
      <c r="J77" s="120"/>
      <c r="K77" s="45" t="s">
        <v>40</v>
      </c>
      <c r="L77" s="45">
        <f>AVERAGE(E22:E23)</f>
        <v>22.318039959761748</v>
      </c>
      <c r="M77" s="52">
        <f t="shared" si="11"/>
        <v>9.1774795884065501</v>
      </c>
      <c r="N77" s="52">
        <f t="shared" si="12"/>
        <v>22.965314241288411</v>
      </c>
      <c r="O77" s="52">
        <f t="shared" si="11"/>
        <v>5.7839347712059981</v>
      </c>
      <c r="P77" s="6"/>
      <c r="Q77" s="120"/>
      <c r="R77" s="45" t="s">
        <v>40</v>
      </c>
      <c r="S77" s="45">
        <f>AVERAGE(S22:S23)</f>
        <v>18.551109268757749</v>
      </c>
      <c r="T77" s="52">
        <f t="shared" si="13"/>
        <v>9.9565537842455463</v>
      </c>
      <c r="U77" s="52">
        <f t="shared" si="14"/>
        <v>19.391878621483283</v>
      </c>
      <c r="V77" s="52">
        <f t="shared" si="13"/>
        <v>5.4142892234771702</v>
      </c>
      <c r="W77" s="6"/>
      <c r="X77" s="120"/>
      <c r="Y77" s="45" t="s">
        <v>40</v>
      </c>
      <c r="Z77" s="45">
        <f>AVERAGE(M25:M26)</f>
        <v>19.521604767015248</v>
      </c>
      <c r="AA77" s="52">
        <f t="shared" si="15"/>
        <v>10.013017662884067</v>
      </c>
      <c r="AB77" s="52">
        <f t="shared" si="16"/>
        <v>19.332051671734995</v>
      </c>
      <c r="AC77" s="52">
        <f t="shared" si="15"/>
        <v>11.404390790113343</v>
      </c>
      <c r="AD77" s="6"/>
      <c r="AE77" s="120"/>
      <c r="AF77" s="45" t="s">
        <v>40</v>
      </c>
      <c r="AG77" s="45">
        <f>AVERAGE(S28:S29)</f>
        <v>26.85078697049045</v>
      </c>
      <c r="AH77" s="52">
        <f t="shared" si="17"/>
        <v>4.8439243531114657</v>
      </c>
      <c r="AI77" s="52">
        <f t="shared" si="18"/>
        <v>48.690640104322149</v>
      </c>
      <c r="AJ77" s="52">
        <f t="shared" si="17"/>
        <v>5.797348083180865E-12</v>
      </c>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c r="A78" s="6"/>
      <c r="B78" s="6"/>
      <c r="C78" s="120"/>
      <c r="D78" s="46" t="s">
        <v>41</v>
      </c>
      <c r="E78" s="46">
        <f>AVERAGE(N19:N20)</f>
        <v>25.359628188972451</v>
      </c>
      <c r="F78" s="53">
        <f t="shared" si="19"/>
        <v>0.76049849873721231</v>
      </c>
      <c r="G78" s="53">
        <f>SUM(E78*(LOG(E68)/LOG(2)))</f>
        <v>29.320221828221179</v>
      </c>
      <c r="H78" s="53">
        <f t="shared" si="19"/>
        <v>3.1815410943065399E-2</v>
      </c>
      <c r="I78" s="6"/>
      <c r="J78" s="120"/>
      <c r="K78" s="46" t="s">
        <v>41</v>
      </c>
      <c r="L78" s="46">
        <f>AVERAGE(F22:F23)</f>
        <v>25.946752294893798</v>
      </c>
      <c r="M78" s="53">
        <f t="shared" si="11"/>
        <v>0.68974963616958918</v>
      </c>
      <c r="N78" s="53">
        <f t="shared" si="12"/>
        <v>26.699267546228931</v>
      </c>
      <c r="O78" s="53">
        <f t="shared" si="11"/>
        <v>0.40326630698999782</v>
      </c>
      <c r="P78" s="6"/>
      <c r="Q78" s="120"/>
      <c r="R78" s="46" t="s">
        <v>41</v>
      </c>
      <c r="S78" s="46">
        <f>AVERAGE(T22:T23)</f>
        <v>20.98516690194775</v>
      </c>
      <c r="T78" s="53">
        <f t="shared" si="13"/>
        <v>1.7067751488902989</v>
      </c>
      <c r="U78" s="53">
        <f t="shared" si="14"/>
        <v>21.936252087063984</v>
      </c>
      <c r="V78" s="53">
        <f t="shared" si="13"/>
        <v>0.85683121705564302</v>
      </c>
      <c r="W78" s="6"/>
      <c r="X78" s="120"/>
      <c r="Y78" s="46" t="s">
        <v>41</v>
      </c>
      <c r="Z78" s="46">
        <f>AVERAGE(N25:N26)</f>
        <v>21.516059879328651</v>
      </c>
      <c r="AA78" s="53">
        <f t="shared" si="15"/>
        <v>2.5468531900757378</v>
      </c>
      <c r="AB78" s="53">
        <f t="shared" si="16"/>
        <v>21.307140797263575</v>
      </c>
      <c r="AC78" s="53">
        <f t="shared" si="15"/>
        <v>2.9395723684864072</v>
      </c>
      <c r="AD78" s="6"/>
      <c r="AE78" s="120"/>
      <c r="AF78" s="46" t="s">
        <v>41</v>
      </c>
      <c r="AG78" s="46">
        <f>AVERAGE(T28:T29)</f>
        <v>30.145590232273051</v>
      </c>
      <c r="AH78" s="53">
        <f t="shared" si="17"/>
        <v>7.702394894667057E-2</v>
      </c>
      <c r="AI78" s="53">
        <f t="shared" si="18"/>
        <v>54.665365538266215</v>
      </c>
      <c r="AJ78" s="53">
        <f t="shared" si="17"/>
        <v>3.1749605850316196E-15</v>
      </c>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c r="A79" s="6"/>
      <c r="B79" s="6"/>
      <c r="C79" s="120"/>
      <c r="D79" s="47" t="s">
        <v>42</v>
      </c>
      <c r="E79" s="47">
        <f>AVERAGE(O19:O20)</f>
        <v>22.7049041843296</v>
      </c>
      <c r="F79" s="54">
        <f t="shared" si="19"/>
        <v>6.3835035365533992</v>
      </c>
      <c r="G79" s="54">
        <f>SUM(E79*(LOG(E68)/LOG(2)))</f>
        <v>26.250890679956189</v>
      </c>
      <c r="H79" s="54">
        <f t="shared" si="19"/>
        <v>0.37230580269452501</v>
      </c>
      <c r="I79" s="6"/>
      <c r="J79" s="120"/>
      <c r="K79" s="47" t="s">
        <v>42</v>
      </c>
      <c r="L79" s="47">
        <f>AVERAGE(G22:G23)</f>
        <v>23.479261741726301</v>
      </c>
      <c r="M79" s="54">
        <f t="shared" si="11"/>
        <v>4.0088769264167778</v>
      </c>
      <c r="N79" s="54">
        <f t="shared" si="12"/>
        <v>24.160214114876123</v>
      </c>
      <c r="O79" s="54">
        <f t="shared" si="11"/>
        <v>2.4665534919041852</v>
      </c>
      <c r="P79" s="6"/>
      <c r="Q79" s="120"/>
      <c r="R79" s="47" t="s">
        <v>42</v>
      </c>
      <c r="S79" s="47">
        <f>AVERAGE(U22:U23)</f>
        <v>18.69522100050925</v>
      </c>
      <c r="T79" s="54">
        <f t="shared" si="13"/>
        <v>8.9693494075058666</v>
      </c>
      <c r="U79" s="54">
        <f t="shared" si="14"/>
        <v>19.542521753900346</v>
      </c>
      <c r="V79" s="54">
        <f t="shared" si="13"/>
        <v>4.8544283243526056</v>
      </c>
      <c r="W79" s="6"/>
      <c r="X79" s="120"/>
      <c r="Y79" s="47" t="s">
        <v>42</v>
      </c>
      <c r="Z79" s="47">
        <f>AVERAGE(O25:O26)</f>
        <v>19.30412140066835</v>
      </c>
      <c r="AA79" s="54">
        <f t="shared" si="15"/>
        <v>11.625142913606645</v>
      </c>
      <c r="AB79" s="54">
        <f t="shared" si="16"/>
        <v>19.116680050080966</v>
      </c>
      <c r="AC79" s="54">
        <f t="shared" si="15"/>
        <v>13.221352464303331</v>
      </c>
      <c r="AD79" s="6"/>
      <c r="AE79" s="120"/>
      <c r="AF79" s="47" t="s">
        <v>42</v>
      </c>
      <c r="AG79" s="47">
        <f>AVERAGE(U28:U29)</f>
        <v>26.960836382503651</v>
      </c>
      <c r="AH79" s="54">
        <f t="shared" si="17"/>
        <v>4.2181637323730641</v>
      </c>
      <c r="AI79" s="54">
        <f t="shared" si="18"/>
        <v>48.890201343250304</v>
      </c>
      <c r="AJ79" s="54">
        <f t="shared" si="17"/>
        <v>4.5112056277914765E-12</v>
      </c>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c r="A80" s="6"/>
      <c r="B80" s="6"/>
      <c r="C80" s="121"/>
      <c r="D80" s="48" t="s">
        <v>43</v>
      </c>
      <c r="E80" s="48">
        <f>AVERAGE(P19:P20)</f>
        <v>22.332161418945603</v>
      </c>
      <c r="F80" s="55">
        <f t="shared" si="19"/>
        <v>8.6057749305801075</v>
      </c>
      <c r="G80" s="55">
        <f>SUM(E80*(LOG(E68)/LOG(2)))</f>
        <v>25.819934023790552</v>
      </c>
      <c r="H80" s="55">
        <f t="shared" si="19"/>
        <v>0.52588608613891064</v>
      </c>
      <c r="I80" s="6"/>
      <c r="J80" s="121"/>
      <c r="K80" s="48" t="s">
        <v>43</v>
      </c>
      <c r="L80" s="48">
        <f>AVERAGE(H22:H23)</f>
        <v>23.1018735696045</v>
      </c>
      <c r="M80" s="55">
        <f t="shared" si="11"/>
        <v>5.2471404993393138</v>
      </c>
      <c r="N80" s="55">
        <f t="shared" si="12"/>
        <v>23.771880821300684</v>
      </c>
      <c r="O80" s="55">
        <f t="shared" si="11"/>
        <v>3.2537252303970576</v>
      </c>
      <c r="P80" s="6"/>
      <c r="Q80" s="121"/>
      <c r="R80" s="48" t="s">
        <v>43</v>
      </c>
      <c r="S80" s="48">
        <f>AVERAGE(V22:V23)</f>
        <v>18.393006661604851</v>
      </c>
      <c r="T80" s="55">
        <f t="shared" si="13"/>
        <v>11.165024985710332</v>
      </c>
      <c r="U80" s="55">
        <f t="shared" si="14"/>
        <v>19.226610522242858</v>
      </c>
      <c r="V80" s="55">
        <f t="shared" si="13"/>
        <v>6.103049537101052</v>
      </c>
      <c r="W80" s="6"/>
      <c r="X80" s="121"/>
      <c r="Y80" s="48" t="s">
        <v>43</v>
      </c>
      <c r="Z80" s="48">
        <f>AVERAGE(P25:P26)</f>
        <v>19.012986793730601</v>
      </c>
      <c r="AA80" s="55">
        <f t="shared" si="15"/>
        <v>14.196705418002873</v>
      </c>
      <c r="AB80" s="55">
        <f t="shared" si="16"/>
        <v>18.82837233501747</v>
      </c>
      <c r="AC80" s="55">
        <f t="shared" si="15"/>
        <v>16.114707872217242</v>
      </c>
      <c r="AD80" s="6"/>
      <c r="AE80" s="121"/>
      <c r="AF80" s="48" t="s">
        <v>43</v>
      </c>
      <c r="AG80" s="48">
        <f>AVERAGE(V28:V29)</f>
        <v>26.904330346803597</v>
      </c>
      <c r="AH80" s="55">
        <f t="shared" si="17"/>
        <v>4.5286527712794671</v>
      </c>
      <c r="AI80" s="55">
        <f t="shared" si="18"/>
        <v>48.787734512351939</v>
      </c>
      <c r="AJ80" s="55">
        <f t="shared" si="17"/>
        <v>5.1312993682136033E-12</v>
      </c>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c r="A81" s="6"/>
      <c r="B81" s="6"/>
      <c r="C81" s="122" t="s">
        <v>34</v>
      </c>
      <c r="D81" s="123"/>
      <c r="E81" s="57">
        <f>AVERAGE(Q19:Q20)</f>
        <v>29.778712479221802</v>
      </c>
      <c r="F81" s="56">
        <f t="shared" si="19"/>
        <v>2.203244123002825E-2</v>
      </c>
      <c r="G81" s="56">
        <f>SUM(E81*(LOG(E68)/LOG(2)))</f>
        <v>34.429465966274464</v>
      </c>
      <c r="H81" s="56">
        <f t="shared" si="19"/>
        <v>5.3014638867601911E-4</v>
      </c>
      <c r="I81" s="6"/>
      <c r="J81" s="122" t="s">
        <v>34</v>
      </c>
      <c r="K81" s="123"/>
      <c r="L81" s="57">
        <f>AVERAGE(Z19:Z20)</f>
        <v>33.965391553050999</v>
      </c>
      <c r="M81" s="56">
        <f t="shared" si="11"/>
        <v>2.2637753800375513E-3</v>
      </c>
      <c r="N81" s="56">
        <f t="shared" si="12"/>
        <v>34.950465710723918</v>
      </c>
      <c r="O81" s="56">
        <f t="shared" si="11"/>
        <v>1.1212338858462186E-3</v>
      </c>
      <c r="P81" s="6"/>
      <c r="Q81" s="122" t="s">
        <v>34</v>
      </c>
      <c r="R81" s="123"/>
      <c r="S81" s="57">
        <f>AVERAGE(W22:W23)</f>
        <v>30.252957309012551</v>
      </c>
      <c r="T81" s="56">
        <f t="shared" si="13"/>
        <v>2.0694309330438199E-3</v>
      </c>
      <c r="U81" s="56">
        <f t="shared" si="14"/>
        <v>31.624075281864371</v>
      </c>
      <c r="V81" s="56">
        <f t="shared" si="13"/>
        <v>7.6629649671726429E-4</v>
      </c>
      <c r="W81" s="6"/>
      <c r="X81" s="122" t="s">
        <v>34</v>
      </c>
      <c r="Y81" s="123"/>
      <c r="Z81" s="57">
        <f>AVERAGE(Q25:Q26)</f>
        <v>35.693977166666102</v>
      </c>
      <c r="AA81" s="56">
        <f t="shared" si="15"/>
        <v>1.5117056389171897E-4</v>
      </c>
      <c r="AB81" s="56">
        <f t="shared" si="16"/>
        <v>35.347391732960553</v>
      </c>
      <c r="AC81" s="56">
        <f t="shared" si="15"/>
        <v>1.9177270054588055E-4</v>
      </c>
      <c r="AD81" s="6"/>
      <c r="AE81" s="122" t="s">
        <v>34</v>
      </c>
      <c r="AF81" s="123"/>
      <c r="AG81" s="57">
        <f>AVERAGE(W28:W29)</f>
        <v>32.180493836972097</v>
      </c>
      <c r="AH81" s="56">
        <f t="shared" si="17"/>
        <v>5.9677401404857307E-3</v>
      </c>
      <c r="AI81" s="56">
        <f t="shared" si="18"/>
        <v>58.355416007635355</v>
      </c>
      <c r="AJ81" s="56">
        <f t="shared" si="17"/>
        <v>3.0719114817110009E-17</v>
      </c>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c r="A82" s="6"/>
      <c r="B82" s="6"/>
      <c r="C82" s="104" t="s">
        <v>84</v>
      </c>
      <c r="D82" s="105"/>
      <c r="E82" s="86">
        <f>AVERAGE(E72:E80)</f>
        <v>23.001704023602695</v>
      </c>
      <c r="F82" s="86">
        <f>AVERAGE(F72:F80)</f>
        <v>6.3529472434254126</v>
      </c>
      <c r="G82" s="86">
        <f>AVERAGE(G72:G80)</f>
        <v>26.59404386269297</v>
      </c>
      <c r="H82" s="86">
        <f>AVERAGE(H72:H80)</f>
        <v>0.38144657070000976</v>
      </c>
      <c r="I82" s="6"/>
      <c r="J82" s="104" t="s">
        <v>84</v>
      </c>
      <c r="K82" s="105"/>
      <c r="L82" s="86">
        <f>AVERAGE(L72:L80)</f>
        <v>23.153923716952864</v>
      </c>
      <c r="M82" s="86">
        <f>AVERAGE(M72:M80)</f>
        <v>6.2964363076569594</v>
      </c>
      <c r="N82" s="86">
        <f>AVERAGE(N72:N80)</f>
        <v>23.825440542150531</v>
      </c>
      <c r="O82" s="86">
        <f>AVERAGE(O72:O80)</f>
        <v>3.942624460631472</v>
      </c>
      <c r="P82" s="6"/>
      <c r="Q82" s="104" t="s">
        <v>84</v>
      </c>
      <c r="R82" s="105"/>
      <c r="S82" s="86">
        <f>AVERAGE(S72:S80)</f>
        <v>19.084853286260298</v>
      </c>
      <c r="T82" s="86">
        <f>AVERAGE(T72:T80)</f>
        <v>7.9527882203907971</v>
      </c>
      <c r="U82" s="86">
        <f>AVERAGE(U72:U80)</f>
        <v>19.949812869640795</v>
      </c>
      <c r="V82" s="86">
        <f>AVERAGE(V72:V80)</f>
        <v>4.3067357429368709</v>
      </c>
      <c r="W82" s="6"/>
      <c r="X82" s="104" t="s">
        <v>84</v>
      </c>
      <c r="Y82" s="105"/>
      <c r="Z82" s="86">
        <f>AVERAGE(Z72:Z80)</f>
        <v>20.313474490848364</v>
      </c>
      <c r="AA82" s="86">
        <f>AVERAGE(AA72:AA80)</f>
        <v>6.8159661274549928</v>
      </c>
      <c r="AB82" s="86">
        <f>AVERAGE(AB72:AB80)</f>
        <v>20.116232408981062</v>
      </c>
      <c r="AC82" s="86">
        <f>AVERAGE(AC72:AC80)</f>
        <v>7.7805573527392351</v>
      </c>
      <c r="AD82" s="6"/>
      <c r="AE82" s="104" t="s">
        <v>84</v>
      </c>
      <c r="AF82" s="105"/>
      <c r="AG82" s="86">
        <f>AVERAGE(AG72:AG80)</f>
        <v>27.566253343572253</v>
      </c>
      <c r="AH82" s="86">
        <f>AVERAGE(AH72:AH80)</f>
        <v>3.7193889905747763</v>
      </c>
      <c r="AI82" s="86">
        <f>AVERAGE(AI72:AI80)</f>
        <v>49.98805145084085</v>
      </c>
      <c r="AJ82" s="86">
        <f>AVERAGE(AJ72:AJ80)</f>
        <v>5.6904381949763289E-12</v>
      </c>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c r="A83" s="6"/>
      <c r="B83" s="6"/>
      <c r="C83" s="104" t="s">
        <v>85</v>
      </c>
      <c r="D83" s="105"/>
      <c r="E83" s="86">
        <f>(E84/SQRT(9))</f>
        <v>0.330420089079145</v>
      </c>
      <c r="F83" s="86">
        <f>(F84/SQRT(9))</f>
        <v>1.2022179573582072</v>
      </c>
      <c r="G83" s="86">
        <f>(G84/SQRT(9))</f>
        <v>0.38202414625755127</v>
      </c>
      <c r="H83" s="86">
        <f>(H84/SQRT(9))</f>
        <v>8.1441489562209299E-2</v>
      </c>
      <c r="I83" s="6"/>
      <c r="J83" s="104" t="s">
        <v>85</v>
      </c>
      <c r="K83" s="105"/>
      <c r="L83" s="86">
        <f>(L84/SQRT(9))</f>
        <v>0.37170133620966234</v>
      </c>
      <c r="M83" s="86">
        <f>(M84/SQRT(9))</f>
        <v>1.0848409563718719</v>
      </c>
      <c r="N83" s="86">
        <f>(N84/SQRT(9))</f>
        <v>0.38248152639533206</v>
      </c>
      <c r="O83" s="86">
        <f>(O84/SQRT(9))</f>
        <v>0.6940965482929965</v>
      </c>
      <c r="P83" s="6"/>
      <c r="Q83" s="104" t="s">
        <v>85</v>
      </c>
      <c r="R83" s="105"/>
      <c r="S83" s="86">
        <f>(S84/SQRT(9))</f>
        <v>0.29114699148018747</v>
      </c>
      <c r="T83" s="86">
        <f>(T84/SQRT(9))</f>
        <v>1.2875716647625204</v>
      </c>
      <c r="U83" s="86">
        <f>(U84/SQRT(9))</f>
        <v>0.30434229231252291</v>
      </c>
      <c r="V83" s="86">
        <f>(V84/SQRT(9))</f>
        <v>0.72244200617460941</v>
      </c>
      <c r="W83" s="6"/>
      <c r="X83" s="104" t="s">
        <v>85</v>
      </c>
      <c r="Y83" s="105"/>
      <c r="Z83" s="86">
        <f>(Z84/SQRT(9))</f>
        <v>0.27258260223193598</v>
      </c>
      <c r="AA83" s="86">
        <f>(AA84/SQRT(9))</f>
        <v>1.2970021682193469</v>
      </c>
      <c r="AB83" s="86">
        <f>(AB84/SQRT(9))</f>
        <v>0.26993584872015924</v>
      </c>
      <c r="AC83" s="86">
        <f>(AC84/SQRT(9))</f>
        <v>1.4667010151744322</v>
      </c>
      <c r="AD83" s="6"/>
      <c r="AE83" s="104" t="s">
        <v>85</v>
      </c>
      <c r="AF83" s="105"/>
      <c r="AG83" s="86">
        <f>(AG84/SQRT(9))</f>
        <v>0.38001165308712731</v>
      </c>
      <c r="AH83" s="86">
        <f>(AH84/SQRT(9))</f>
        <v>1.124109802175842</v>
      </c>
      <c r="AI83" s="86">
        <f>(AI84/SQRT(9))</f>
        <v>0.68910496575943958</v>
      </c>
      <c r="AJ83" s="86">
        <f>(AJ84/SQRT(9))</f>
        <v>2.9497732193841635E-12</v>
      </c>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c r="A84" s="6"/>
      <c r="B84" s="6"/>
      <c r="C84" s="104" t="s">
        <v>86</v>
      </c>
      <c r="D84" s="105"/>
      <c r="E84" s="86">
        <f>_xlfn.STDEV.P(E72:E80)</f>
        <v>0.99126026723743499</v>
      </c>
      <c r="F84" s="86">
        <f>_xlfn.STDEV.P(F72:F80)</f>
        <v>3.606653872074622</v>
      </c>
      <c r="G84" s="86">
        <f>_xlfn.STDEV.P(G72:G80)</f>
        <v>1.1460724387726537</v>
      </c>
      <c r="H84" s="86">
        <f>_xlfn.STDEV.P(H72:H80)</f>
        <v>0.24432446868662791</v>
      </c>
      <c r="I84" s="6"/>
      <c r="J84" s="104" t="s">
        <v>86</v>
      </c>
      <c r="K84" s="105"/>
      <c r="L84" s="86">
        <f>_xlfn.STDEV.P(L72:L80)</f>
        <v>1.115104008628987</v>
      </c>
      <c r="M84" s="86">
        <f>_xlfn.STDEV.P(M72:M80)</f>
        <v>3.2545228691156161</v>
      </c>
      <c r="N84" s="86">
        <f>_xlfn.STDEV.P(N72:N80)</f>
        <v>1.1474445791859962</v>
      </c>
      <c r="O84" s="86">
        <f>_xlfn.STDEV.P(O72:O80)</f>
        <v>2.0822896448789896</v>
      </c>
      <c r="P84" s="6"/>
      <c r="Q84" s="104" t="s">
        <v>86</v>
      </c>
      <c r="R84" s="105"/>
      <c r="S84" s="86">
        <f>_xlfn.STDEV.P(S72:S80)</f>
        <v>0.87344097444056235</v>
      </c>
      <c r="T84" s="86">
        <f>_xlfn.STDEV.P(T72:T80)</f>
        <v>3.8627149942875612</v>
      </c>
      <c r="U84" s="86">
        <f>_xlfn.STDEV.P(U72:U80)</f>
        <v>0.91302687693756879</v>
      </c>
      <c r="V84" s="86">
        <f>_xlfn.STDEV.P(V72:V80)</f>
        <v>2.1673260185238283</v>
      </c>
      <c r="W84" s="6"/>
      <c r="X84" s="104" t="s">
        <v>86</v>
      </c>
      <c r="Y84" s="105"/>
      <c r="Z84" s="86">
        <f>_xlfn.STDEV.P(Z72:Z80)</f>
        <v>0.81774780669580793</v>
      </c>
      <c r="AA84" s="86">
        <f>_xlfn.STDEV.P(AA72:AA80)</f>
        <v>3.8910065046580407</v>
      </c>
      <c r="AB84" s="86">
        <f>_xlfn.STDEV.P(AB72:AB80)</f>
        <v>0.80980754616047779</v>
      </c>
      <c r="AC84" s="86">
        <f>_xlfn.STDEV.P(AC72:AC80)</f>
        <v>4.4001030455232968</v>
      </c>
      <c r="AD84" s="6"/>
      <c r="AE84" s="104" t="s">
        <v>86</v>
      </c>
      <c r="AF84" s="105"/>
      <c r="AG84" s="86">
        <f>_xlfn.STDEV.P(AG72:AG80)</f>
        <v>1.1400349592613819</v>
      </c>
      <c r="AH84" s="86">
        <f>_xlfn.STDEV.P(AH72:AH80)</f>
        <v>3.372329406527526</v>
      </c>
      <c r="AI84" s="86">
        <f>_xlfn.STDEV.P(AI72:AI80)</f>
        <v>2.0673148972783189</v>
      </c>
      <c r="AJ84" s="86">
        <f>_xlfn.STDEV.P(AJ72:AJ80)</f>
        <v>8.8493196581524905E-12</v>
      </c>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c r="A85" s="6"/>
      <c r="B85" s="6"/>
      <c r="C85" s="104" t="s">
        <v>87</v>
      </c>
      <c r="D85" s="105"/>
      <c r="E85" s="86">
        <f>SUM(E84/E82)</f>
        <v>4.3095079661066633E-2</v>
      </c>
      <c r="F85" s="86">
        <f>SUM(F84/F82)</f>
        <v>0.567713493262061</v>
      </c>
      <c r="G85" s="86">
        <f>SUM(G84/G82)</f>
        <v>4.3095079661066633E-2</v>
      </c>
      <c r="H85" s="86">
        <f>SUM(H84/H82)</f>
        <v>0.64052081589895304</v>
      </c>
      <c r="I85" s="6"/>
      <c r="J85" s="104" t="s">
        <v>87</v>
      </c>
      <c r="K85" s="105"/>
      <c r="L85" s="86">
        <f>SUM(L84/L82)</f>
        <v>4.8160476913575084E-2</v>
      </c>
      <c r="M85" s="86">
        <f>SUM(M84/M82)</f>
        <v>0.51688331463908588</v>
      </c>
      <c r="N85" s="86">
        <f>SUM(N84/N82)</f>
        <v>4.816047691357507E-2</v>
      </c>
      <c r="O85" s="86">
        <f>SUM(O84/O82)</f>
        <v>0.52814810684390645</v>
      </c>
      <c r="P85" s="6"/>
      <c r="Q85" s="104" t="s">
        <v>87</v>
      </c>
      <c r="R85" s="105"/>
      <c r="S85" s="86">
        <f>SUM(S84/S82)</f>
        <v>4.5766187527853629E-2</v>
      </c>
      <c r="T85" s="86">
        <f>SUM(T84/T82)</f>
        <v>0.48570575340905392</v>
      </c>
      <c r="U85" s="86">
        <f>SUM(U84/U82)</f>
        <v>4.576618752785365E-2</v>
      </c>
      <c r="V85" s="86">
        <f>SUM(V84/V82)</f>
        <v>0.50324100383411829</v>
      </c>
      <c r="W85" s="6"/>
      <c r="X85" s="104" t="s">
        <v>87</v>
      </c>
      <c r="Y85" s="105"/>
      <c r="Z85" s="86">
        <f>SUM(Z84/Z82)</f>
        <v>4.0256422261204995E-2</v>
      </c>
      <c r="AA85" s="86">
        <f>SUM(AA84/AA82)</f>
        <v>0.57086646733540913</v>
      </c>
      <c r="AB85" s="86">
        <f>SUM(AB84/AB82)</f>
        <v>4.0256422261204954E-2</v>
      </c>
      <c r="AC85" s="86">
        <f>SUM(AC84/AC82)</f>
        <v>0.5655254303824635</v>
      </c>
      <c r="AD85" s="6"/>
      <c r="AE85" s="104" t="s">
        <v>87</v>
      </c>
      <c r="AF85" s="105"/>
      <c r="AG85" s="86">
        <f>SUM(AG84/AG82)</f>
        <v>4.1356180872770251E-2</v>
      </c>
      <c r="AH85" s="86">
        <f>SUM(AH84/AH82)</f>
        <v>0.90668908658741354</v>
      </c>
      <c r="AI85" s="86">
        <f>SUM(AI84/AI82)</f>
        <v>4.1356180872770237E-2</v>
      </c>
      <c r="AJ85" s="86">
        <f>SUM(AJ84/AJ82)</f>
        <v>1.5551209511360491</v>
      </c>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row>
    <row r="87" spans="1:8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8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8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8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8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8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8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8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81" s="6" customFormat="1"/>
    <row r="96" spans="1:81" s="6" customFormat="1"/>
    <row r="97" s="6" customFormat="1"/>
    <row r="98" s="6" customFormat="1"/>
    <row r="99" s="6" customFormat="1"/>
    <row r="100" s="6" customFormat="1"/>
    <row r="101" s="6" customFormat="1"/>
    <row r="102" s="6" customFormat="1"/>
    <row r="103" s="6" customFormat="1"/>
    <row r="104" s="6" customFormat="1"/>
    <row r="105" s="6" customFormat="1"/>
    <row r="106" s="6" customFormat="1"/>
    <row r="107" s="6" customFormat="1"/>
    <row r="108" s="6" customFormat="1"/>
    <row r="109" s="6" customFormat="1"/>
    <row r="110" s="6" customFormat="1"/>
    <row r="111" s="6" customFormat="1"/>
    <row r="112" s="6" customFormat="1"/>
    <row r="113" s="6" customFormat="1"/>
    <row r="114" s="6" customFormat="1"/>
    <row r="115" s="6" customFormat="1"/>
    <row r="116" s="6" customFormat="1"/>
    <row r="117" s="6" customFormat="1"/>
    <row r="118" s="6" customFormat="1"/>
    <row r="119" s="6" customFormat="1"/>
    <row r="120" s="6" customFormat="1"/>
    <row r="121" s="6" customFormat="1"/>
    <row r="122" s="6" customFormat="1"/>
    <row r="123" s="6" customFormat="1"/>
    <row r="124" s="6" customFormat="1"/>
    <row r="125" s="6" customFormat="1"/>
    <row r="126" s="6" customFormat="1"/>
    <row r="127" s="6" customFormat="1"/>
    <row r="128" s="6" customFormat="1"/>
    <row r="129" spans="1:76" s="6" customFormat="1"/>
    <row r="130" spans="1:76" s="6" customFormat="1"/>
    <row r="131" spans="1:76" s="6" customFormat="1"/>
    <row r="132" spans="1:76" s="6" customFormat="1"/>
    <row r="133" spans="1:76" s="6" customFormat="1"/>
    <row r="134" spans="1:76" s="6" customFormat="1"/>
    <row r="135" spans="1:76" s="6" customFormat="1"/>
    <row r="136" spans="1:76" s="6" customFormat="1"/>
    <row r="137" spans="1:76" s="6" customFormat="1"/>
    <row r="138" spans="1:76" s="6" customFormat="1"/>
    <row r="139" spans="1:76" s="6" customFormat="1"/>
    <row r="140" spans="1:76" s="6" customFormat="1"/>
    <row r="141" spans="1:76" s="6" customFormat="1"/>
    <row r="142" spans="1:76" s="6" customFormat="1"/>
    <row r="143" spans="1:76">
      <c r="A143" s="6"/>
      <c r="B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row>
    <row r="144" spans="1:76">
      <c r="A144" s="6"/>
      <c r="B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row>
    <row r="145" spans="1:76">
      <c r="A145" s="6"/>
      <c r="B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row>
    <row r="146" spans="1:76">
      <c r="A146" s="6"/>
      <c r="B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row>
    <row r="147" spans="1:76">
      <c r="A147" s="6"/>
      <c r="B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row>
    <row r="148" spans="1:76">
      <c r="A148" s="6"/>
      <c r="B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row>
    <row r="149" spans="1:76">
      <c r="A149" s="6"/>
      <c r="B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row>
    <row r="150" spans="1:76">
      <c r="A150" s="6"/>
      <c r="B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row>
  </sheetData>
  <mergeCells count="149">
    <mergeCell ref="AL32:AN32"/>
    <mergeCell ref="AL39:AM39"/>
    <mergeCell ref="AE32:AG32"/>
    <mergeCell ref="Q32:S32"/>
    <mergeCell ref="Q39:R39"/>
    <mergeCell ref="AE39:AF39"/>
    <mergeCell ref="X32:Z32"/>
    <mergeCell ref="X39:Y39"/>
    <mergeCell ref="J85:K85"/>
    <mergeCell ref="Q85:R85"/>
    <mergeCell ref="X85:Y85"/>
    <mergeCell ref="Q59:S59"/>
    <mergeCell ref="X59:Z59"/>
    <mergeCell ref="AE59:AG59"/>
    <mergeCell ref="Q68:R68"/>
    <mergeCell ref="X68:Y68"/>
    <mergeCell ref="AE68:AF68"/>
    <mergeCell ref="Q60:S60"/>
    <mergeCell ref="X60:Z60"/>
    <mergeCell ref="AE60:AG60"/>
    <mergeCell ref="X15:Z17"/>
    <mergeCell ref="X21:Z23"/>
    <mergeCell ref="X27:Z29"/>
    <mergeCell ref="C9:H9"/>
    <mergeCell ref="I9:W9"/>
    <mergeCell ref="C6:Q6"/>
    <mergeCell ref="R6:Z6"/>
    <mergeCell ref="C12:Q12"/>
    <mergeCell ref="R12:Z12"/>
    <mergeCell ref="X9:Z11"/>
    <mergeCell ref="C15:H15"/>
    <mergeCell ref="I15:W15"/>
    <mergeCell ref="C21:H21"/>
    <mergeCell ref="I21:W21"/>
    <mergeCell ref="I27:W27"/>
    <mergeCell ref="C18:Q18"/>
    <mergeCell ref="R18:Z18"/>
    <mergeCell ref="C24:Q24"/>
    <mergeCell ref="R24:Z26"/>
    <mergeCell ref="C27:H29"/>
    <mergeCell ref="C32:E32"/>
    <mergeCell ref="C39:D39"/>
    <mergeCell ref="C31:E31"/>
    <mergeCell ref="C82:D82"/>
    <mergeCell ref="J82:K82"/>
    <mergeCell ref="Q82:R82"/>
    <mergeCell ref="X82:Y82"/>
    <mergeCell ref="C85:D85"/>
    <mergeCell ref="C84:D84"/>
    <mergeCell ref="J84:K84"/>
    <mergeCell ref="Q84:R84"/>
    <mergeCell ref="X84:Y84"/>
    <mergeCell ref="Q31:S31"/>
    <mergeCell ref="X31:Z31"/>
    <mergeCell ref="C59:E59"/>
    <mergeCell ref="C60:E60"/>
    <mergeCell ref="C68:D68"/>
    <mergeCell ref="C67:D67"/>
    <mergeCell ref="J43:J52"/>
    <mergeCell ref="Q43:Q52"/>
    <mergeCell ref="X43:X52"/>
    <mergeCell ref="AE43:AE52"/>
    <mergeCell ref="AL43:AL52"/>
    <mergeCell ref="AL40:AM40"/>
    <mergeCell ref="C40:D40"/>
    <mergeCell ref="Q40:R40"/>
    <mergeCell ref="X40:Y40"/>
    <mergeCell ref="AE40:AF40"/>
    <mergeCell ref="C71:C80"/>
    <mergeCell ref="J71:J80"/>
    <mergeCell ref="Q71:Q80"/>
    <mergeCell ref="X71:X80"/>
    <mergeCell ref="C70:H70"/>
    <mergeCell ref="J70:O70"/>
    <mergeCell ref="Q70:V70"/>
    <mergeCell ref="X70:AC70"/>
    <mergeCell ref="AE55:AF55"/>
    <mergeCell ref="C56:D56"/>
    <mergeCell ref="J56:K56"/>
    <mergeCell ref="Q56:R56"/>
    <mergeCell ref="X56:Y56"/>
    <mergeCell ref="AE56:AF56"/>
    <mergeCell ref="C57:D57"/>
    <mergeCell ref="J57:K57"/>
    <mergeCell ref="Q57:R57"/>
    <mergeCell ref="X57:Y57"/>
    <mergeCell ref="AE57:AF57"/>
    <mergeCell ref="C55:D55"/>
    <mergeCell ref="J55:K55"/>
    <mergeCell ref="Q55:R55"/>
    <mergeCell ref="X55:Y55"/>
    <mergeCell ref="C81:D81"/>
    <mergeCell ref="J81:K81"/>
    <mergeCell ref="Q81:R81"/>
    <mergeCell ref="X81:Y81"/>
    <mergeCell ref="AE81:AF81"/>
    <mergeCell ref="C83:D83"/>
    <mergeCell ref="J83:K83"/>
    <mergeCell ref="Q83:R83"/>
    <mergeCell ref="X83:Y83"/>
    <mergeCell ref="AE83:AF83"/>
    <mergeCell ref="AE84:AF84"/>
    <mergeCell ref="AH5:AL6"/>
    <mergeCell ref="AK7:AL7"/>
    <mergeCell ref="AK8:AL8"/>
    <mergeCell ref="AK9:AL9"/>
    <mergeCell ref="AK10:AL10"/>
    <mergeCell ref="AK11:AL11"/>
    <mergeCell ref="AE85:AF85"/>
    <mergeCell ref="AE82:AF82"/>
    <mergeCell ref="AE70:AJ70"/>
    <mergeCell ref="AE71:AE80"/>
    <mergeCell ref="AE67:AF67"/>
    <mergeCell ref="AL55:AM55"/>
    <mergeCell ref="AL56:AM56"/>
    <mergeCell ref="AL57:AM57"/>
    <mergeCell ref="AE53:AF53"/>
    <mergeCell ref="AL53:AM53"/>
    <mergeCell ref="AE54:AF54"/>
    <mergeCell ref="AL54:AM54"/>
    <mergeCell ref="AG26:AK28"/>
    <mergeCell ref="AE42:AJ42"/>
    <mergeCell ref="AL42:AQ42"/>
    <mergeCell ref="AE31:AG31"/>
    <mergeCell ref="AL31:AN31"/>
    <mergeCell ref="B1:Z4"/>
    <mergeCell ref="J59:L59"/>
    <mergeCell ref="J60:L60"/>
    <mergeCell ref="J67:K67"/>
    <mergeCell ref="J68:K68"/>
    <mergeCell ref="J31:L31"/>
    <mergeCell ref="J32:L32"/>
    <mergeCell ref="J39:K39"/>
    <mergeCell ref="J40:K40"/>
    <mergeCell ref="Q67:R67"/>
    <mergeCell ref="X67:Y67"/>
    <mergeCell ref="C53:D53"/>
    <mergeCell ref="J53:K53"/>
    <mergeCell ref="Q53:R53"/>
    <mergeCell ref="X53:Y53"/>
    <mergeCell ref="C54:D54"/>
    <mergeCell ref="J54:K54"/>
    <mergeCell ref="Q54:R54"/>
    <mergeCell ref="X54:Y54"/>
    <mergeCell ref="C42:H42"/>
    <mergeCell ref="J42:O42"/>
    <mergeCell ref="Q42:V42"/>
    <mergeCell ref="X42:AC42"/>
    <mergeCell ref="C43:C5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E021-D649-4928-B880-527DF2783DF6}">
  <dimension ref="A1:CJ150"/>
  <sheetViews>
    <sheetView zoomScale="70" zoomScaleNormal="70" workbookViewId="0">
      <selection activeCell="B1" sqref="B1:Z4"/>
    </sheetView>
  </sheetViews>
  <sheetFormatPr baseColWidth="10" defaultColWidth="8.83203125" defaultRowHeight="15"/>
  <cols>
    <col min="1" max="2" width="3.33203125" customWidth="1"/>
    <col min="3" max="31" width="8.6640625" customWidth="1"/>
    <col min="32" max="32" width="10.5" bestFit="1" customWidth="1"/>
    <col min="33" max="38" width="8.6640625" customWidth="1"/>
    <col min="39" max="39" width="14.33203125" customWidth="1"/>
  </cols>
  <sheetData>
    <row r="1" spans="1:76" s="6" customFormat="1">
      <c r="B1" s="94" t="s">
        <v>116</v>
      </c>
      <c r="C1" s="94"/>
      <c r="D1" s="94"/>
      <c r="E1" s="94"/>
      <c r="F1" s="94"/>
      <c r="G1" s="94"/>
      <c r="H1" s="94"/>
      <c r="I1" s="94"/>
      <c r="J1" s="94"/>
      <c r="K1" s="94"/>
      <c r="L1" s="94"/>
      <c r="M1" s="94"/>
      <c r="N1" s="94"/>
      <c r="O1" s="94"/>
      <c r="P1" s="94"/>
      <c r="Q1" s="94"/>
      <c r="R1" s="94"/>
      <c r="S1" s="94"/>
      <c r="T1" s="94"/>
      <c r="U1" s="94"/>
      <c r="V1" s="94"/>
      <c r="W1" s="94"/>
      <c r="X1" s="94"/>
      <c r="Y1" s="94"/>
      <c r="Z1" s="94"/>
    </row>
    <row r="2" spans="1:76" s="6" customFormat="1">
      <c r="B2" s="94"/>
      <c r="C2" s="94"/>
      <c r="D2" s="94"/>
      <c r="E2" s="94"/>
      <c r="F2" s="94"/>
      <c r="G2" s="94"/>
      <c r="H2" s="94"/>
      <c r="I2" s="94"/>
      <c r="J2" s="94"/>
      <c r="K2" s="94"/>
      <c r="L2" s="94"/>
      <c r="M2" s="94"/>
      <c r="N2" s="94"/>
      <c r="O2" s="94"/>
      <c r="P2" s="94"/>
      <c r="Q2" s="94"/>
      <c r="R2" s="94"/>
      <c r="S2" s="94"/>
      <c r="T2" s="94"/>
      <c r="U2" s="94"/>
      <c r="V2" s="94"/>
      <c r="W2" s="94"/>
      <c r="X2" s="94"/>
      <c r="Y2" s="94"/>
      <c r="Z2" s="94"/>
    </row>
    <row r="3" spans="1:76" s="6" customFormat="1">
      <c r="B3" s="94"/>
      <c r="C3" s="94"/>
      <c r="D3" s="94"/>
      <c r="E3" s="94"/>
      <c r="F3" s="94"/>
      <c r="G3" s="94"/>
      <c r="H3" s="94"/>
      <c r="I3" s="94"/>
      <c r="J3" s="94"/>
      <c r="K3" s="94"/>
      <c r="L3" s="94"/>
      <c r="M3" s="94"/>
      <c r="N3" s="94"/>
      <c r="O3" s="94"/>
      <c r="P3" s="94"/>
      <c r="Q3" s="94"/>
      <c r="R3" s="94"/>
      <c r="S3" s="94"/>
      <c r="T3" s="94"/>
      <c r="U3" s="94"/>
      <c r="V3" s="94"/>
      <c r="W3" s="94"/>
      <c r="X3" s="94"/>
      <c r="Y3" s="94"/>
      <c r="Z3" s="94"/>
    </row>
    <row r="4" spans="1:76" s="6" customFormat="1" ht="16" thickBot="1">
      <c r="B4" s="95"/>
      <c r="C4" s="95"/>
      <c r="D4" s="95"/>
      <c r="E4" s="95"/>
      <c r="F4" s="95"/>
      <c r="G4" s="95"/>
      <c r="H4" s="95"/>
      <c r="I4" s="95"/>
      <c r="J4" s="95"/>
      <c r="K4" s="95"/>
      <c r="L4" s="95"/>
      <c r="M4" s="95"/>
      <c r="N4" s="95"/>
      <c r="O4" s="95"/>
      <c r="P4" s="95"/>
      <c r="Q4" s="95"/>
      <c r="R4" s="95"/>
      <c r="S4" s="95"/>
      <c r="T4" s="95"/>
      <c r="U4" s="95"/>
      <c r="V4" s="95"/>
      <c r="W4" s="95"/>
      <c r="X4" s="95"/>
      <c r="Y4" s="95"/>
      <c r="Z4" s="95"/>
    </row>
    <row r="5" spans="1:76" ht="16" thickBot="1">
      <c r="A5" s="6"/>
      <c r="B5" s="22"/>
      <c r="C5" s="23">
        <v>1</v>
      </c>
      <c r="D5" s="8">
        <v>2</v>
      </c>
      <c r="E5" s="23">
        <v>3</v>
      </c>
      <c r="F5" s="8">
        <v>4</v>
      </c>
      <c r="G5" s="23">
        <v>5</v>
      </c>
      <c r="H5" s="8">
        <v>6</v>
      </c>
      <c r="I5" s="23">
        <v>7</v>
      </c>
      <c r="J5" s="8">
        <v>8</v>
      </c>
      <c r="K5" s="23">
        <v>9</v>
      </c>
      <c r="L5" s="8">
        <v>10</v>
      </c>
      <c r="M5" s="23">
        <v>11</v>
      </c>
      <c r="N5" s="8">
        <v>12</v>
      </c>
      <c r="O5" s="23">
        <v>13</v>
      </c>
      <c r="P5" s="8">
        <v>14</v>
      </c>
      <c r="Q5" s="23">
        <v>15</v>
      </c>
      <c r="R5" s="8">
        <v>16</v>
      </c>
      <c r="S5" s="23">
        <v>17</v>
      </c>
      <c r="T5" s="8">
        <v>18</v>
      </c>
      <c r="U5" s="23">
        <v>19</v>
      </c>
      <c r="V5" s="8">
        <v>20</v>
      </c>
      <c r="W5" s="23">
        <v>21</v>
      </c>
      <c r="X5" s="8">
        <v>22</v>
      </c>
      <c r="Y5" s="23">
        <v>23</v>
      </c>
      <c r="Z5" s="9">
        <v>24</v>
      </c>
      <c r="AA5" s="6"/>
      <c r="AB5" s="6"/>
      <c r="AC5" s="6"/>
      <c r="AD5" s="6"/>
      <c r="AE5" s="6"/>
      <c r="AF5" s="6"/>
      <c r="AG5" s="6"/>
      <c r="AH5" s="106" t="s">
        <v>88</v>
      </c>
      <c r="AI5" s="107"/>
      <c r="AJ5" s="107"/>
      <c r="AK5" s="107"/>
      <c r="AL5" s="108"/>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1:76" ht="16" thickBot="1">
      <c r="A6" s="6"/>
      <c r="B6" s="30" t="s">
        <v>15</v>
      </c>
      <c r="C6" s="147" t="s">
        <v>17</v>
      </c>
      <c r="D6" s="148"/>
      <c r="E6" s="148"/>
      <c r="F6" s="148"/>
      <c r="G6" s="148"/>
      <c r="H6" s="148"/>
      <c r="I6" s="148"/>
      <c r="J6" s="148"/>
      <c r="K6" s="148"/>
      <c r="L6" s="148"/>
      <c r="M6" s="148"/>
      <c r="N6" s="148"/>
      <c r="O6" s="148"/>
      <c r="P6" s="148"/>
      <c r="Q6" s="149"/>
      <c r="R6" s="147" t="s">
        <v>18</v>
      </c>
      <c r="S6" s="148"/>
      <c r="T6" s="148"/>
      <c r="U6" s="148"/>
      <c r="V6" s="148"/>
      <c r="W6" s="148"/>
      <c r="X6" s="148"/>
      <c r="Y6" s="148"/>
      <c r="Z6" s="149"/>
      <c r="AA6" s="6"/>
      <c r="AB6" s="6"/>
      <c r="AC6" s="6"/>
      <c r="AD6" s="6"/>
      <c r="AE6" s="6"/>
      <c r="AF6" s="6"/>
      <c r="AG6" s="6"/>
      <c r="AH6" s="109"/>
      <c r="AI6" s="110"/>
      <c r="AJ6" s="110"/>
      <c r="AK6" s="110"/>
      <c r="AL6" s="111"/>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c r="A7" s="6"/>
      <c r="B7" s="20" t="s">
        <v>0</v>
      </c>
      <c r="C7" s="65">
        <v>28.4622825367892</v>
      </c>
      <c r="D7" s="69">
        <v>26.355870025503901</v>
      </c>
      <c r="E7" s="66">
        <v>24.0123466034497</v>
      </c>
      <c r="F7" s="66">
        <v>21.4315253502632</v>
      </c>
      <c r="G7" s="66">
        <v>19.192261468739598</v>
      </c>
      <c r="H7" s="24">
        <v>20.706447578759899</v>
      </c>
      <c r="I7" s="24">
        <v>20.1669705467868</v>
      </c>
      <c r="J7" s="24">
        <v>18.748858977920001</v>
      </c>
      <c r="K7" s="25">
        <v>19.526759577856598</v>
      </c>
      <c r="L7" s="25">
        <v>20.752677161232601</v>
      </c>
      <c r="M7" s="25">
        <v>19.8430240639969</v>
      </c>
      <c r="N7" s="26">
        <v>20.446623546124101</v>
      </c>
      <c r="O7" s="26">
        <v>20.165038218906599</v>
      </c>
      <c r="P7" s="26">
        <v>21.487136006764999</v>
      </c>
      <c r="Q7" s="27" t="s">
        <v>49</v>
      </c>
      <c r="R7" s="65">
        <v>31.9900859158627</v>
      </c>
      <c r="S7" s="66">
        <v>27.175051035696999</v>
      </c>
      <c r="T7" s="66">
        <v>21.771680617542401</v>
      </c>
      <c r="U7" s="66">
        <v>18.527050942382701</v>
      </c>
      <c r="V7" s="66">
        <v>16.251475281389599</v>
      </c>
      <c r="W7" s="24">
        <v>17.822146715553401</v>
      </c>
      <c r="X7" s="24">
        <v>17.273790565913998</v>
      </c>
      <c r="Y7" s="24">
        <v>15.2248230117948</v>
      </c>
      <c r="Z7" s="27">
        <v>37.495521947184599</v>
      </c>
      <c r="AA7" s="6"/>
      <c r="AB7" s="1"/>
      <c r="AC7" s="6" t="s">
        <v>28</v>
      </c>
      <c r="AD7" s="6"/>
      <c r="AE7" s="6"/>
      <c r="AF7" s="6"/>
      <c r="AG7" s="6"/>
      <c r="AH7" s="87" t="s">
        <v>89</v>
      </c>
      <c r="AI7" s="88"/>
      <c r="AJ7" s="88"/>
      <c r="AK7" s="112">
        <v>45112</v>
      </c>
      <c r="AL7" s="113"/>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1:76" ht="16" thickBot="1">
      <c r="A8" s="6"/>
      <c r="B8" s="21" t="s">
        <v>1</v>
      </c>
      <c r="C8" s="67">
        <v>28.515495600589301</v>
      </c>
      <c r="D8" s="70">
        <v>26.171328955653198</v>
      </c>
      <c r="E8" s="68">
        <v>23.921811384686301</v>
      </c>
      <c r="F8" s="68">
        <v>21.570290644100702</v>
      </c>
      <c r="G8" s="68">
        <v>19.363798664808598</v>
      </c>
      <c r="H8" s="10">
        <v>20.652241704769001</v>
      </c>
      <c r="I8" s="10">
        <v>20.1510866951091</v>
      </c>
      <c r="J8" s="10">
        <v>19.405807385525101</v>
      </c>
      <c r="K8" s="11">
        <v>19.606983434400298</v>
      </c>
      <c r="L8" s="11">
        <v>20.7699159796679</v>
      </c>
      <c r="M8" s="11">
        <v>19.762866933460899</v>
      </c>
      <c r="N8" s="12">
        <v>20.330391660277101</v>
      </c>
      <c r="O8" s="12">
        <v>20.061221848830399</v>
      </c>
      <c r="P8" s="12">
        <v>21.344754584397901</v>
      </c>
      <c r="Q8" s="13">
        <v>38.831318450284201</v>
      </c>
      <c r="R8" s="67">
        <v>31.901820629630802</v>
      </c>
      <c r="S8" s="68">
        <v>26.959316913136099</v>
      </c>
      <c r="T8" s="68">
        <v>21.819185191842099</v>
      </c>
      <c r="U8" s="68">
        <v>18.540461377115498</v>
      </c>
      <c r="V8" s="68">
        <v>15.9985059501533</v>
      </c>
      <c r="W8" s="10">
        <v>17.738305626373201</v>
      </c>
      <c r="X8" s="10">
        <v>16.918543845125399</v>
      </c>
      <c r="Y8" s="10">
        <v>15.3231670216599</v>
      </c>
      <c r="Z8" s="13">
        <v>37.631952045240702</v>
      </c>
      <c r="AA8" s="6"/>
      <c r="AB8" s="2"/>
      <c r="AC8" s="6" t="s">
        <v>29</v>
      </c>
      <c r="AD8" s="6"/>
      <c r="AE8" s="6"/>
      <c r="AF8" s="6"/>
      <c r="AG8" s="6"/>
      <c r="AH8" s="87" t="s">
        <v>90</v>
      </c>
      <c r="AI8" s="88"/>
      <c r="AJ8" s="88"/>
      <c r="AK8" s="112">
        <v>45127</v>
      </c>
      <c r="AL8" s="113"/>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1:76" ht="16" thickBot="1">
      <c r="A9" s="6"/>
      <c r="B9" s="30" t="s">
        <v>15</v>
      </c>
      <c r="C9" s="144" t="s">
        <v>18</v>
      </c>
      <c r="D9" s="145"/>
      <c r="E9" s="145"/>
      <c r="F9" s="145"/>
      <c r="G9" s="145"/>
      <c r="H9" s="146"/>
      <c r="I9" s="144" t="s">
        <v>26</v>
      </c>
      <c r="J9" s="145"/>
      <c r="K9" s="145"/>
      <c r="L9" s="145"/>
      <c r="M9" s="145"/>
      <c r="N9" s="145"/>
      <c r="O9" s="145"/>
      <c r="P9" s="145"/>
      <c r="Q9" s="145"/>
      <c r="R9" s="145"/>
      <c r="S9" s="145"/>
      <c r="T9" s="145"/>
      <c r="U9" s="145"/>
      <c r="V9" s="145"/>
      <c r="W9" s="146"/>
      <c r="X9" s="135"/>
      <c r="Y9" s="136"/>
      <c r="Z9" s="137"/>
      <c r="AA9" s="6"/>
      <c r="AB9" s="3"/>
      <c r="AC9" s="6" t="s">
        <v>30</v>
      </c>
      <c r="AD9" s="6"/>
      <c r="AE9" s="6"/>
      <c r="AF9" s="6"/>
      <c r="AG9" s="6"/>
      <c r="AH9" s="87" t="s">
        <v>91</v>
      </c>
      <c r="AI9" s="88"/>
      <c r="AJ9" s="88"/>
      <c r="AK9" s="112">
        <v>45156</v>
      </c>
      <c r="AL9" s="113"/>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1:76">
      <c r="A10" s="6"/>
      <c r="B10" s="20" t="s">
        <v>2</v>
      </c>
      <c r="C10" s="28">
        <v>15.1148866938988</v>
      </c>
      <c r="D10" s="25">
        <v>17.4925305845636</v>
      </c>
      <c r="E10" s="25">
        <v>16.401901976030601</v>
      </c>
      <c r="F10" s="26">
        <v>16.437656987055</v>
      </c>
      <c r="G10" s="26">
        <v>15.9813390712293</v>
      </c>
      <c r="H10" s="29">
        <v>17.379762135472198</v>
      </c>
      <c r="I10" s="65">
        <v>25.303562547585599</v>
      </c>
      <c r="J10" s="66">
        <v>23.854589162018598</v>
      </c>
      <c r="K10" s="66">
        <v>23.718069235520598</v>
      </c>
      <c r="L10" s="66">
        <v>24.563990562240001</v>
      </c>
      <c r="M10" s="66">
        <v>23.091817925262099</v>
      </c>
      <c r="N10" s="24">
        <v>24.442521384186701</v>
      </c>
      <c r="O10" s="24">
        <v>23.8723549528852</v>
      </c>
      <c r="P10" s="24">
        <v>22.976714716040298</v>
      </c>
      <c r="Q10" s="25">
        <v>22.749346747237698</v>
      </c>
      <c r="R10" s="25">
        <v>24.107113867521502</v>
      </c>
      <c r="S10" s="25">
        <v>23.605726781696799</v>
      </c>
      <c r="T10" s="26">
        <v>23.598619443370499</v>
      </c>
      <c r="U10" s="26">
        <v>23.292960452558201</v>
      </c>
      <c r="V10" s="26">
        <v>24.487576364728199</v>
      </c>
      <c r="W10" s="27">
        <v>33.2676771698588</v>
      </c>
      <c r="X10" s="138"/>
      <c r="Y10" s="139"/>
      <c r="Z10" s="140"/>
      <c r="AA10" s="6"/>
      <c r="AB10" s="4"/>
      <c r="AC10" s="6" t="s">
        <v>31</v>
      </c>
      <c r="AD10" s="6"/>
      <c r="AE10" s="6"/>
      <c r="AF10" s="6"/>
      <c r="AG10" s="6"/>
      <c r="AH10" s="87" t="s">
        <v>92</v>
      </c>
      <c r="AI10" s="88"/>
      <c r="AJ10" s="88"/>
      <c r="AK10" s="112">
        <v>45128</v>
      </c>
      <c r="AL10" s="113"/>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1:76" ht="18" thickBot="1">
      <c r="A11" s="6"/>
      <c r="B11" s="21" t="s">
        <v>3</v>
      </c>
      <c r="C11" s="14">
        <v>15.3441689605498</v>
      </c>
      <c r="D11" s="11">
        <v>17.348693460247599</v>
      </c>
      <c r="E11" s="11">
        <v>16.364710653991999</v>
      </c>
      <c r="F11" s="12">
        <v>16.2776136057985</v>
      </c>
      <c r="G11" s="12">
        <v>15.8690453036072</v>
      </c>
      <c r="H11" s="15">
        <v>17.6228980683914</v>
      </c>
      <c r="I11" s="67">
        <v>25.139780957307799</v>
      </c>
      <c r="J11" s="68">
        <v>23.886724224621201</v>
      </c>
      <c r="K11" s="68">
        <v>24.151903951601302</v>
      </c>
      <c r="L11" s="68">
        <v>24.769570596667101</v>
      </c>
      <c r="M11" s="68">
        <v>23.1637631755708</v>
      </c>
      <c r="N11" s="10">
        <v>24.171031970584899</v>
      </c>
      <c r="O11" s="10">
        <v>24.344949100320399</v>
      </c>
      <c r="P11" s="10">
        <v>22.918645449522899</v>
      </c>
      <c r="Q11" s="11">
        <v>22.695914815825599</v>
      </c>
      <c r="R11" s="16">
        <v>24.0869485777717</v>
      </c>
      <c r="S11" s="16">
        <v>23.447946867455599</v>
      </c>
      <c r="T11" s="17">
        <v>23.547752209860299</v>
      </c>
      <c r="U11" s="17">
        <v>23.364599195962398</v>
      </c>
      <c r="V11" s="17">
        <v>24.357631968629502</v>
      </c>
      <c r="W11" s="18" t="s">
        <v>49</v>
      </c>
      <c r="X11" s="141"/>
      <c r="Y11" s="142"/>
      <c r="Z11" s="143"/>
      <c r="AA11" s="6"/>
      <c r="AB11" s="5"/>
      <c r="AC11" s="6" t="s">
        <v>32</v>
      </c>
      <c r="AD11" s="6"/>
      <c r="AE11" s="6"/>
      <c r="AF11" s="6"/>
      <c r="AG11" s="6"/>
      <c r="AH11" s="89" t="s">
        <v>93</v>
      </c>
      <c r="AI11" s="90"/>
      <c r="AJ11" s="90"/>
      <c r="AK11" s="114">
        <v>45187</v>
      </c>
      <c r="AL11" s="115"/>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1:76" ht="16" thickBot="1">
      <c r="A12" s="6"/>
      <c r="B12" s="30" t="s">
        <v>15</v>
      </c>
      <c r="C12" s="147" t="s">
        <v>19</v>
      </c>
      <c r="D12" s="148"/>
      <c r="E12" s="148"/>
      <c r="F12" s="148"/>
      <c r="G12" s="148"/>
      <c r="H12" s="148"/>
      <c r="I12" s="148"/>
      <c r="J12" s="148"/>
      <c r="K12" s="148"/>
      <c r="L12" s="148"/>
      <c r="M12" s="148"/>
      <c r="N12" s="148"/>
      <c r="O12" s="148"/>
      <c r="P12" s="148"/>
      <c r="Q12" s="149"/>
      <c r="R12" s="147" t="s">
        <v>20</v>
      </c>
      <c r="S12" s="148"/>
      <c r="T12" s="148"/>
      <c r="U12" s="148"/>
      <c r="V12" s="148"/>
      <c r="W12" s="148"/>
      <c r="X12" s="148"/>
      <c r="Y12" s="148"/>
      <c r="Z12" s="149"/>
      <c r="AA12" s="6"/>
      <c r="AB12" s="19"/>
      <c r="AC12" s="6" t="s">
        <v>16</v>
      </c>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1:76">
      <c r="A13" s="6"/>
      <c r="B13" s="20" t="s">
        <v>4</v>
      </c>
      <c r="C13" s="65">
        <v>26.576480491141499</v>
      </c>
      <c r="D13" s="66">
        <v>24.038566659146198</v>
      </c>
      <c r="E13" s="66">
        <v>22.028855032996599</v>
      </c>
      <c r="F13" s="66">
        <v>19.8307525247508</v>
      </c>
      <c r="G13" s="66">
        <v>17.680050951437401</v>
      </c>
      <c r="H13" s="24">
        <v>18.954404263859601</v>
      </c>
      <c r="I13" s="24">
        <v>18.6811800890023</v>
      </c>
      <c r="J13" s="24">
        <v>17.9693281295236</v>
      </c>
      <c r="K13" s="25">
        <v>18.253916631287701</v>
      </c>
      <c r="L13" s="25">
        <v>18.760793985832301</v>
      </c>
      <c r="M13" s="25">
        <v>18.333612484612601</v>
      </c>
      <c r="N13" s="26">
        <v>18.984579185696798</v>
      </c>
      <c r="O13" s="26">
        <v>18.620111831976399</v>
      </c>
      <c r="P13" s="26">
        <v>19.108947206280799</v>
      </c>
      <c r="Q13" s="27" t="s">
        <v>49</v>
      </c>
      <c r="R13" s="65">
        <v>26.466874346839202</v>
      </c>
      <c r="S13" s="66">
        <v>23.888371466347301</v>
      </c>
      <c r="T13" s="66">
        <v>21.812586266292701</v>
      </c>
      <c r="U13" s="66">
        <v>19.487797487063901</v>
      </c>
      <c r="V13" s="66">
        <v>17.098183232025399</v>
      </c>
      <c r="W13" s="24">
        <v>18.260808494542999</v>
      </c>
      <c r="X13" s="24">
        <v>17.9871958186427</v>
      </c>
      <c r="Y13" s="24">
        <v>17.665014687765101</v>
      </c>
      <c r="Z13" s="27">
        <v>39.6487633286254</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1:76" ht="16" thickBot="1">
      <c r="A14" s="6"/>
      <c r="B14" s="21" t="s">
        <v>5</v>
      </c>
      <c r="C14" s="67">
        <v>26.262903233181401</v>
      </c>
      <c r="D14" s="68">
        <v>24.429793417912801</v>
      </c>
      <c r="E14" s="68">
        <v>21.973194667117401</v>
      </c>
      <c r="F14" s="68">
        <v>19.990015140361301</v>
      </c>
      <c r="G14" s="68">
        <v>17.6218754730602</v>
      </c>
      <c r="H14" s="10">
        <v>18.797155069450099</v>
      </c>
      <c r="I14" s="10">
        <v>19.106101222145899</v>
      </c>
      <c r="J14" s="10">
        <v>18.153939137723199</v>
      </c>
      <c r="K14" s="11">
        <v>18.325432641978999</v>
      </c>
      <c r="L14" s="11">
        <v>18.677767213477601</v>
      </c>
      <c r="M14" s="11">
        <v>18.228125852984601</v>
      </c>
      <c r="N14" s="12">
        <v>18.624467184458901</v>
      </c>
      <c r="O14" s="12">
        <v>18.894590525174099</v>
      </c>
      <c r="P14" s="12">
        <v>19.139160400396602</v>
      </c>
      <c r="Q14" s="13" t="s">
        <v>49</v>
      </c>
      <c r="R14" s="67">
        <v>26.301143990511601</v>
      </c>
      <c r="S14" s="68">
        <v>24.179693472357101</v>
      </c>
      <c r="T14" s="68">
        <v>21.931490401709901</v>
      </c>
      <c r="U14" s="68">
        <v>19.4385023577778</v>
      </c>
      <c r="V14" s="68">
        <v>16.995515807551701</v>
      </c>
      <c r="W14" s="10">
        <v>18.313726617472899</v>
      </c>
      <c r="X14" s="10">
        <v>18.0570927230217</v>
      </c>
      <c r="Y14" s="10">
        <v>17.716444396646502</v>
      </c>
      <c r="Z14" s="13">
        <v>34.279996951567398</v>
      </c>
      <c r="AA14" s="6"/>
      <c r="AB14" s="6" t="s">
        <v>62</v>
      </c>
      <c r="AC14" s="6" t="s">
        <v>63</v>
      </c>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1:76" ht="16" thickBot="1">
      <c r="A15" s="6"/>
      <c r="B15" s="30" t="s">
        <v>15</v>
      </c>
      <c r="C15" s="147" t="s">
        <v>20</v>
      </c>
      <c r="D15" s="148"/>
      <c r="E15" s="148"/>
      <c r="F15" s="148"/>
      <c r="G15" s="148"/>
      <c r="H15" s="149"/>
      <c r="I15" s="147" t="s">
        <v>21</v>
      </c>
      <c r="J15" s="148"/>
      <c r="K15" s="148"/>
      <c r="L15" s="148"/>
      <c r="M15" s="148"/>
      <c r="N15" s="148"/>
      <c r="O15" s="148"/>
      <c r="P15" s="148"/>
      <c r="Q15" s="148"/>
      <c r="R15" s="148"/>
      <c r="S15" s="148"/>
      <c r="T15" s="148"/>
      <c r="U15" s="148"/>
      <c r="V15" s="148"/>
      <c r="W15" s="149"/>
      <c r="X15" s="135"/>
      <c r="Y15" s="136"/>
      <c r="Z15" s="137"/>
      <c r="AA15" s="6"/>
      <c r="AB15" s="6" t="s">
        <v>64</v>
      </c>
      <c r="AC15" s="6" t="s">
        <v>65</v>
      </c>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1:76">
      <c r="A16" s="6"/>
      <c r="B16" s="20" t="s">
        <v>6</v>
      </c>
      <c r="C16" s="28">
        <v>17.6395988022179</v>
      </c>
      <c r="D16" s="25">
        <v>18.500822418509799</v>
      </c>
      <c r="E16" s="25">
        <v>17.922420330536799</v>
      </c>
      <c r="F16" s="26">
        <v>17.986510259201602</v>
      </c>
      <c r="G16" s="26">
        <v>17.844734567388901</v>
      </c>
      <c r="H16" s="29">
        <v>18.2508652918015</v>
      </c>
      <c r="I16" s="65">
        <v>27.695343508881599</v>
      </c>
      <c r="J16" s="66">
        <v>25.417835966041999</v>
      </c>
      <c r="K16" s="66">
        <v>22.904707700926402</v>
      </c>
      <c r="L16" s="66">
        <v>20.663969734134</v>
      </c>
      <c r="M16" s="66">
        <v>18.1011042724449</v>
      </c>
      <c r="N16" s="24">
        <v>19.802031723103902</v>
      </c>
      <c r="O16" s="24">
        <v>19.397502509933101</v>
      </c>
      <c r="P16" s="24">
        <v>18.830164915597901</v>
      </c>
      <c r="Q16" s="25">
        <v>18.7119306890141</v>
      </c>
      <c r="R16" s="25">
        <v>19.703734332139401</v>
      </c>
      <c r="S16" s="25">
        <v>19.006536029840301</v>
      </c>
      <c r="T16" s="26">
        <v>19.2719939921719</v>
      </c>
      <c r="U16" s="26">
        <v>19.151371096202698</v>
      </c>
      <c r="V16" s="26">
        <v>20.2210533769432</v>
      </c>
      <c r="W16" s="27">
        <v>38.050480229712498</v>
      </c>
      <c r="X16" s="138"/>
      <c r="Y16" s="139"/>
      <c r="Z16" s="140"/>
      <c r="AA16" s="6"/>
      <c r="AB16" s="6" t="s">
        <v>66</v>
      </c>
      <c r="AC16" s="6" t="s">
        <v>67</v>
      </c>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1:76" ht="16" thickBot="1">
      <c r="A17" s="6"/>
      <c r="B17" s="21" t="s">
        <v>7</v>
      </c>
      <c r="C17" s="14">
        <v>17.5705433388393</v>
      </c>
      <c r="D17" s="11">
        <v>18.617631712543201</v>
      </c>
      <c r="E17" s="11">
        <v>17.931204143959299</v>
      </c>
      <c r="F17" s="12">
        <v>18.0112186058617</v>
      </c>
      <c r="G17" s="12">
        <v>18.049853405109101</v>
      </c>
      <c r="H17" s="15">
        <v>18.4910917587226</v>
      </c>
      <c r="I17" s="67">
        <v>27.916731514446699</v>
      </c>
      <c r="J17" s="68">
        <v>25.182366774685899</v>
      </c>
      <c r="K17" s="68">
        <v>22.943590451782001</v>
      </c>
      <c r="L17" s="68">
        <v>20.596894630611501</v>
      </c>
      <c r="M17" s="68">
        <v>18.253768176529299</v>
      </c>
      <c r="N17" s="10">
        <v>19.839574370937399</v>
      </c>
      <c r="O17" s="10">
        <v>19.427031823609099</v>
      </c>
      <c r="P17" s="10">
        <v>18.877887794827501</v>
      </c>
      <c r="Q17" s="11">
        <v>18.732948898754</v>
      </c>
      <c r="R17" s="16">
        <v>19.557227598595901</v>
      </c>
      <c r="S17" s="16">
        <v>19.123931843209899</v>
      </c>
      <c r="T17" s="17">
        <v>19.2227256007282</v>
      </c>
      <c r="U17" s="17">
        <v>19.162999699725798</v>
      </c>
      <c r="V17" s="17">
        <v>20.1737960079498</v>
      </c>
      <c r="W17" s="18">
        <v>38.205579027571197</v>
      </c>
      <c r="X17" s="141"/>
      <c r="Y17" s="142"/>
      <c r="Z17" s="143"/>
      <c r="AA17" s="6"/>
      <c r="AB17" s="6" t="s">
        <v>68</v>
      </c>
      <c r="AC17" s="6" t="s">
        <v>69</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1:76" ht="16" thickBot="1">
      <c r="A18" s="6"/>
      <c r="B18" s="30" t="s">
        <v>15</v>
      </c>
      <c r="C18" s="147" t="s">
        <v>22</v>
      </c>
      <c r="D18" s="148"/>
      <c r="E18" s="148"/>
      <c r="F18" s="148"/>
      <c r="G18" s="148"/>
      <c r="H18" s="148"/>
      <c r="I18" s="148"/>
      <c r="J18" s="148"/>
      <c r="K18" s="148"/>
      <c r="L18" s="148"/>
      <c r="M18" s="148"/>
      <c r="N18" s="148"/>
      <c r="O18" s="148"/>
      <c r="P18" s="148"/>
      <c r="Q18" s="149"/>
      <c r="R18" s="147" t="s">
        <v>23</v>
      </c>
      <c r="S18" s="148"/>
      <c r="T18" s="148"/>
      <c r="U18" s="148"/>
      <c r="V18" s="148"/>
      <c r="W18" s="148"/>
      <c r="X18" s="148"/>
      <c r="Y18" s="148"/>
      <c r="Z18" s="149"/>
      <c r="AA18" s="6"/>
      <c r="AB18" s="6" t="s">
        <v>70</v>
      </c>
      <c r="AC18" s="6" t="s">
        <v>71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1:76">
      <c r="A19" s="6"/>
      <c r="B19" s="20" t="s">
        <v>8</v>
      </c>
      <c r="C19" s="65">
        <v>28.905020194510101</v>
      </c>
      <c r="D19" s="66">
        <v>27.2450238361297</v>
      </c>
      <c r="E19" s="66">
        <v>26.2113449055906</v>
      </c>
      <c r="F19" s="66">
        <v>24.277863938041499</v>
      </c>
      <c r="G19" s="66">
        <v>21.823246500366601</v>
      </c>
      <c r="H19" s="24">
        <v>23.183121034907899</v>
      </c>
      <c r="I19" s="24">
        <v>22.7966075709157</v>
      </c>
      <c r="J19" s="24">
        <v>21.865812048064601</v>
      </c>
      <c r="K19" s="25">
        <v>21.5033713620338</v>
      </c>
      <c r="L19" s="25">
        <v>23.183418147646702</v>
      </c>
      <c r="M19" s="25">
        <v>22.2821352886337</v>
      </c>
      <c r="N19" s="26">
        <v>21.946578860656899</v>
      </c>
      <c r="O19" s="26">
        <v>21.611190777606801</v>
      </c>
      <c r="P19" s="26">
        <v>22.848398777430202</v>
      </c>
      <c r="Q19" s="27">
        <v>30.658844926132002</v>
      </c>
      <c r="R19" s="65">
        <v>27.966897803774302</v>
      </c>
      <c r="S19" s="66">
        <v>25.9202178102516</v>
      </c>
      <c r="T19" s="66">
        <v>24.434820548859399</v>
      </c>
      <c r="U19" s="69">
        <v>22.1954667613029</v>
      </c>
      <c r="V19" s="66">
        <v>20.0212028095346</v>
      </c>
      <c r="W19" s="24">
        <v>21.3367142412676</v>
      </c>
      <c r="X19" s="24">
        <v>20.840800694308701</v>
      </c>
      <c r="Y19" s="24">
        <v>20.230801014350099</v>
      </c>
      <c r="Z19" s="27" t="s">
        <v>49</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1:76" ht="16" thickBot="1">
      <c r="A20" s="6"/>
      <c r="B20" s="21" t="s">
        <v>9</v>
      </c>
      <c r="C20" s="67">
        <v>29.051838735678601</v>
      </c>
      <c r="D20" s="68">
        <v>27.626625910647</v>
      </c>
      <c r="E20" s="68">
        <v>26.411745295743302</v>
      </c>
      <c r="F20" s="68">
        <v>24.2278951594568</v>
      </c>
      <c r="G20" s="68">
        <v>21.8919782338407</v>
      </c>
      <c r="H20" s="10">
        <v>23.211671064903701</v>
      </c>
      <c r="I20" s="10">
        <v>22.673311000615499</v>
      </c>
      <c r="J20" s="10">
        <v>21.702656355021698</v>
      </c>
      <c r="K20" s="11">
        <v>21.652696377904999</v>
      </c>
      <c r="L20" s="11">
        <v>23.0180445093524</v>
      </c>
      <c r="M20" s="11">
        <v>22.2433610838489</v>
      </c>
      <c r="N20" s="12">
        <v>22.0699419582036</v>
      </c>
      <c r="O20" s="12">
        <v>21.762177704588201</v>
      </c>
      <c r="P20" s="12">
        <v>23.014780213491498</v>
      </c>
      <c r="Q20" s="13">
        <v>30.580457932463599</v>
      </c>
      <c r="R20" s="67">
        <v>28.387110909737</v>
      </c>
      <c r="S20" s="68">
        <v>26.296220650972799</v>
      </c>
      <c r="T20" s="68">
        <v>24.3206015242192</v>
      </c>
      <c r="U20" s="91">
        <v>35.440690798712197</v>
      </c>
      <c r="V20" s="68">
        <v>20.291017760601601</v>
      </c>
      <c r="W20" s="10">
        <v>21.218169288538501</v>
      </c>
      <c r="X20" s="10">
        <v>20.743821315725</v>
      </c>
      <c r="Y20" s="10">
        <v>20.211074589520301</v>
      </c>
      <c r="Z20" s="13">
        <v>38.036795770612002</v>
      </c>
      <c r="AA20" s="6"/>
      <c r="AB20" s="6" t="s">
        <v>72</v>
      </c>
      <c r="AC20" s="6" t="s">
        <v>73</v>
      </c>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1:76" ht="16" thickBot="1">
      <c r="A21" s="6"/>
      <c r="B21" s="30" t="s">
        <v>15</v>
      </c>
      <c r="C21" s="147" t="s">
        <v>23</v>
      </c>
      <c r="D21" s="148"/>
      <c r="E21" s="148"/>
      <c r="F21" s="148"/>
      <c r="G21" s="148"/>
      <c r="H21" s="149"/>
      <c r="I21" s="147" t="s">
        <v>27</v>
      </c>
      <c r="J21" s="148"/>
      <c r="K21" s="148"/>
      <c r="L21" s="148"/>
      <c r="M21" s="148"/>
      <c r="N21" s="148"/>
      <c r="O21" s="148"/>
      <c r="P21" s="148"/>
      <c r="Q21" s="148"/>
      <c r="R21" s="148"/>
      <c r="S21" s="148"/>
      <c r="T21" s="148"/>
      <c r="U21" s="148"/>
      <c r="V21" s="148"/>
      <c r="W21" s="149"/>
      <c r="X21" s="135"/>
      <c r="Y21" s="136"/>
      <c r="Z21" s="137"/>
      <c r="AA21" s="6"/>
      <c r="AB21" s="6" t="s">
        <v>74</v>
      </c>
      <c r="AC21" s="6" t="s">
        <v>75</v>
      </c>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1:76">
      <c r="A22" s="6"/>
      <c r="B22" s="20" t="s">
        <v>10</v>
      </c>
      <c r="C22" s="28">
        <v>19.7745591452959</v>
      </c>
      <c r="D22" s="25">
        <v>21.1723200149946</v>
      </c>
      <c r="E22" s="25">
        <v>20.522972872813298</v>
      </c>
      <c r="F22" s="26">
        <v>20.830388204640698</v>
      </c>
      <c r="G22" s="26">
        <v>20.859368275354498</v>
      </c>
      <c r="H22" s="29">
        <v>21.9441852788765</v>
      </c>
      <c r="I22" s="65">
        <v>24.640557518039898</v>
      </c>
      <c r="J22" s="66">
        <v>22.881253029108699</v>
      </c>
      <c r="K22" s="66">
        <v>20.9312039365788</v>
      </c>
      <c r="L22" s="66">
        <v>20.894966442976401</v>
      </c>
      <c r="M22" s="66">
        <v>16.384425253132701</v>
      </c>
      <c r="N22" s="24">
        <v>18.1514802591131</v>
      </c>
      <c r="O22" s="24">
        <v>17.536547231323301</v>
      </c>
      <c r="P22" s="24">
        <v>16.717514409819099</v>
      </c>
      <c r="Q22" s="25">
        <v>16.6214001997552</v>
      </c>
      <c r="R22" s="25">
        <v>18.079814514601999</v>
      </c>
      <c r="S22" s="25">
        <v>17.1715403630716</v>
      </c>
      <c r="T22" s="26">
        <v>16.8769174132152</v>
      </c>
      <c r="U22" s="26">
        <v>16.605423368438199</v>
      </c>
      <c r="V22" s="26">
        <v>17.8435152290632</v>
      </c>
      <c r="W22" s="27" t="s">
        <v>49</v>
      </c>
      <c r="X22" s="138"/>
      <c r="Y22" s="139"/>
      <c r="Z22" s="140"/>
      <c r="AA22" s="6"/>
      <c r="AB22" s="6" t="s">
        <v>76</v>
      </c>
      <c r="AC22" s="6" t="s">
        <v>77</v>
      </c>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1:76" ht="16" thickBot="1">
      <c r="A23" s="6"/>
      <c r="B23" s="21" t="s">
        <v>11</v>
      </c>
      <c r="C23" s="14">
        <v>19.984531489265699</v>
      </c>
      <c r="D23" s="11">
        <v>21.146749348068798</v>
      </c>
      <c r="E23" s="11">
        <v>20.647031737270201</v>
      </c>
      <c r="F23" s="12">
        <v>21.181888424180901</v>
      </c>
      <c r="G23" s="12">
        <v>20.806322803889099</v>
      </c>
      <c r="H23" s="15">
        <v>22.061842475278301</v>
      </c>
      <c r="I23" s="67">
        <v>24.402396023323099</v>
      </c>
      <c r="J23" s="68">
        <v>22.918806255061501</v>
      </c>
      <c r="K23" s="68">
        <v>20.968707944128099</v>
      </c>
      <c r="L23" s="91">
        <v>35.212247212818397</v>
      </c>
      <c r="M23" s="68">
        <v>16.489975248889401</v>
      </c>
      <c r="N23" s="10">
        <v>18.083212516660701</v>
      </c>
      <c r="O23" s="10">
        <v>17.559268695825999</v>
      </c>
      <c r="P23" s="10">
        <v>16.648187464946901</v>
      </c>
      <c r="Q23" s="11">
        <v>16.453256910736101</v>
      </c>
      <c r="R23" s="16">
        <v>17.929816282463101</v>
      </c>
      <c r="S23" s="16">
        <v>17.172711713422601</v>
      </c>
      <c r="T23" s="17">
        <v>16.6936705230553</v>
      </c>
      <c r="U23" s="17">
        <v>16.507048288739401</v>
      </c>
      <c r="V23" s="17">
        <v>17.854667052718099</v>
      </c>
      <c r="W23" s="18">
        <v>39.399104745553501</v>
      </c>
      <c r="X23" s="141"/>
      <c r="Y23" s="142"/>
      <c r="Z23" s="143"/>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1:76" ht="16" thickBot="1">
      <c r="A24" s="6"/>
      <c r="B24" s="30" t="s">
        <v>15</v>
      </c>
      <c r="C24" s="147" t="s">
        <v>24</v>
      </c>
      <c r="D24" s="148"/>
      <c r="E24" s="148"/>
      <c r="F24" s="148"/>
      <c r="G24" s="148"/>
      <c r="H24" s="148"/>
      <c r="I24" s="148"/>
      <c r="J24" s="148"/>
      <c r="K24" s="148"/>
      <c r="L24" s="148"/>
      <c r="M24" s="148"/>
      <c r="N24" s="148"/>
      <c r="O24" s="148"/>
      <c r="P24" s="148"/>
      <c r="Q24" s="149"/>
      <c r="R24" s="150"/>
      <c r="S24" s="151"/>
      <c r="T24" s="151"/>
      <c r="U24" s="151"/>
      <c r="V24" s="151"/>
      <c r="W24" s="151"/>
      <c r="X24" s="151"/>
      <c r="Y24" s="151"/>
      <c r="Z24" s="152"/>
      <c r="AA24" s="6"/>
      <c r="AB24" s="71" t="s">
        <v>78</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1:76">
      <c r="A25" s="6"/>
      <c r="B25" s="20" t="s">
        <v>12</v>
      </c>
      <c r="C25" s="65">
        <v>26.632216101940902</v>
      </c>
      <c r="D25" s="66">
        <v>24.265553601768499</v>
      </c>
      <c r="E25" s="66">
        <v>21.946274895211701</v>
      </c>
      <c r="F25" s="92">
        <v>35.3621359893679</v>
      </c>
      <c r="G25" s="66">
        <v>16.970428565091201</v>
      </c>
      <c r="H25" s="24">
        <v>20.362970730024699</v>
      </c>
      <c r="I25" s="24">
        <v>19.7263449924707</v>
      </c>
      <c r="J25" s="24">
        <v>18.950525223625601</v>
      </c>
      <c r="K25" s="25">
        <v>16.976131866354802</v>
      </c>
      <c r="L25" s="25">
        <v>18.2485755052803</v>
      </c>
      <c r="M25" s="25">
        <v>17.53132663001</v>
      </c>
      <c r="N25" s="26">
        <v>16.842326017199898</v>
      </c>
      <c r="O25" s="26">
        <v>16.744872244539099</v>
      </c>
      <c r="P25" s="26">
        <v>17.5746387121523</v>
      </c>
      <c r="Q25" s="27">
        <v>35.873893412221797</v>
      </c>
      <c r="R25" s="153"/>
      <c r="S25" s="154"/>
      <c r="T25" s="154"/>
      <c r="U25" s="154"/>
      <c r="V25" s="154"/>
      <c r="W25" s="154"/>
      <c r="X25" s="154"/>
      <c r="Y25" s="154"/>
      <c r="Z25" s="155"/>
      <c r="AA25" s="6"/>
      <c r="AB25" s="6" t="s">
        <v>70</v>
      </c>
      <c r="AC25" s="6" t="s">
        <v>79</v>
      </c>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1:76" ht="16" thickBot="1">
      <c r="A26" s="6"/>
      <c r="B26" s="21" t="s">
        <v>13</v>
      </c>
      <c r="C26" s="67">
        <v>26.503328538005601</v>
      </c>
      <c r="D26" s="68">
        <v>23.811044808520101</v>
      </c>
      <c r="E26" s="68">
        <v>21.8377140622841</v>
      </c>
      <c r="F26" s="91">
        <v>34.950074972382403</v>
      </c>
      <c r="G26" s="68">
        <v>16.827186713835701</v>
      </c>
      <c r="H26" s="10">
        <v>20.260963044378499</v>
      </c>
      <c r="I26" s="10">
        <v>19.566297233415799</v>
      </c>
      <c r="J26" s="10">
        <v>18.741287932428001</v>
      </c>
      <c r="K26" s="11">
        <v>16.904633747776099</v>
      </c>
      <c r="L26" s="11">
        <v>18.0542902002462</v>
      </c>
      <c r="M26" s="11">
        <v>17.544171323561201</v>
      </c>
      <c r="N26" s="12">
        <v>16.920759668797</v>
      </c>
      <c r="O26" s="12">
        <v>16.682198244030602</v>
      </c>
      <c r="P26" s="12">
        <v>17.7096958104799</v>
      </c>
      <c r="Q26" s="13">
        <v>34.990096544631001</v>
      </c>
      <c r="R26" s="156"/>
      <c r="S26" s="157"/>
      <c r="T26" s="157"/>
      <c r="U26" s="157"/>
      <c r="V26" s="157"/>
      <c r="W26" s="157"/>
      <c r="X26" s="157"/>
      <c r="Y26" s="157"/>
      <c r="Z26" s="158"/>
      <c r="AA26" s="6"/>
      <c r="AB26" s="72" t="s">
        <v>72</v>
      </c>
      <c r="AC26" s="73" t="s">
        <v>80</v>
      </c>
      <c r="AD26" s="73"/>
      <c r="AE26" s="73"/>
      <c r="AF26" s="73"/>
      <c r="AG26" s="126" t="s">
        <v>81</v>
      </c>
      <c r="AH26" s="126"/>
      <c r="AI26" s="126"/>
      <c r="AJ26" s="126"/>
      <c r="AK26" s="126"/>
      <c r="AL26" s="74"/>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1:76" ht="16" thickBot="1">
      <c r="A27" s="6"/>
      <c r="B27" s="30" t="s">
        <v>15</v>
      </c>
      <c r="C27" s="150"/>
      <c r="D27" s="151"/>
      <c r="E27" s="151"/>
      <c r="F27" s="151"/>
      <c r="G27" s="151"/>
      <c r="H27" s="152"/>
      <c r="I27" s="147" t="s">
        <v>25</v>
      </c>
      <c r="J27" s="148"/>
      <c r="K27" s="148"/>
      <c r="L27" s="148"/>
      <c r="M27" s="148"/>
      <c r="N27" s="148"/>
      <c r="O27" s="148"/>
      <c r="P27" s="148"/>
      <c r="Q27" s="148"/>
      <c r="R27" s="148"/>
      <c r="S27" s="148"/>
      <c r="T27" s="148"/>
      <c r="U27" s="148"/>
      <c r="V27" s="148"/>
      <c r="W27" s="149"/>
      <c r="X27" s="135"/>
      <c r="Y27" s="136"/>
      <c r="Z27" s="137"/>
      <c r="AA27" s="6"/>
      <c r="AB27" s="75" t="s">
        <v>74</v>
      </c>
      <c r="AC27" s="6" t="s">
        <v>82</v>
      </c>
      <c r="AD27" s="6"/>
      <c r="AE27" s="6"/>
      <c r="AF27" s="7"/>
      <c r="AG27" s="127"/>
      <c r="AH27" s="127"/>
      <c r="AI27" s="127"/>
      <c r="AJ27" s="127"/>
      <c r="AK27" s="127"/>
      <c r="AL27" s="7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1:76">
      <c r="A28" s="6"/>
      <c r="B28" s="20" t="s">
        <v>14</v>
      </c>
      <c r="C28" s="153"/>
      <c r="D28" s="154"/>
      <c r="E28" s="154"/>
      <c r="F28" s="154"/>
      <c r="G28" s="154"/>
      <c r="H28" s="155"/>
      <c r="I28" s="65">
        <v>30.1524006241007</v>
      </c>
      <c r="J28" s="66">
        <v>29.105861902739498</v>
      </c>
      <c r="K28" s="66">
        <v>28.556481330628099</v>
      </c>
      <c r="L28" s="66">
        <v>27.456187331017201</v>
      </c>
      <c r="M28" s="66">
        <v>25.472525502865</v>
      </c>
      <c r="N28" s="24">
        <v>26.874276391803299</v>
      </c>
      <c r="O28" s="24">
        <v>25.9893732504773</v>
      </c>
      <c r="P28" s="24">
        <v>25.322777931019601</v>
      </c>
      <c r="Q28" s="25">
        <v>24.624485457877999</v>
      </c>
      <c r="R28" s="25">
        <v>27.4255545135631</v>
      </c>
      <c r="S28" s="25">
        <v>26.571880505125701</v>
      </c>
      <c r="T28" s="26">
        <v>25.336411453174701</v>
      </c>
      <c r="U28" s="26">
        <v>24.763214608788299</v>
      </c>
      <c r="V28" s="26">
        <v>26.748692923627399</v>
      </c>
      <c r="W28" s="27">
        <v>35.336194813082898</v>
      </c>
      <c r="X28" s="138"/>
      <c r="Y28" s="139"/>
      <c r="Z28" s="140"/>
      <c r="AA28" s="6"/>
      <c r="AB28" s="77" t="s">
        <v>76</v>
      </c>
      <c r="AC28" s="78" t="s">
        <v>83</v>
      </c>
      <c r="AD28" s="78"/>
      <c r="AE28" s="78"/>
      <c r="AF28" s="79"/>
      <c r="AG28" s="128"/>
      <c r="AH28" s="128"/>
      <c r="AI28" s="128"/>
      <c r="AJ28" s="128"/>
      <c r="AK28" s="128"/>
      <c r="AL28" s="80"/>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1:76" ht="16" thickBot="1">
      <c r="A29" s="6"/>
      <c r="B29" s="21" t="s">
        <v>15</v>
      </c>
      <c r="C29" s="156"/>
      <c r="D29" s="157"/>
      <c r="E29" s="157"/>
      <c r="F29" s="157"/>
      <c r="G29" s="157"/>
      <c r="H29" s="158"/>
      <c r="I29" s="67">
        <v>30.239061205972799</v>
      </c>
      <c r="J29" s="68">
        <v>28.750638594382998</v>
      </c>
      <c r="K29" s="68">
        <v>28.523577902767698</v>
      </c>
      <c r="L29" s="68">
        <v>27.406945890545298</v>
      </c>
      <c r="M29" s="68">
        <v>24.153389354317301</v>
      </c>
      <c r="N29" s="10">
        <v>26.983332334298801</v>
      </c>
      <c r="O29" s="10">
        <v>26.135154097050901</v>
      </c>
      <c r="P29" s="10">
        <v>25.206511325989801</v>
      </c>
      <c r="Q29" s="11">
        <v>25.547714214049201</v>
      </c>
      <c r="R29" s="11">
        <v>27.8809200056529</v>
      </c>
      <c r="S29" s="11">
        <v>26.4946970947321</v>
      </c>
      <c r="T29" s="12">
        <v>25.3166846574597</v>
      </c>
      <c r="U29" s="12">
        <v>24.793918052458</v>
      </c>
      <c r="V29" s="12">
        <v>26.755114135736299</v>
      </c>
      <c r="W29" s="13">
        <v>38.120977032616899</v>
      </c>
      <c r="X29" s="141"/>
      <c r="Y29" s="142"/>
      <c r="Z29" s="143"/>
      <c r="AA29" s="6"/>
      <c r="AB29" s="6"/>
      <c r="AC29" s="6"/>
      <c r="AD29" s="6"/>
      <c r="AE29" s="6"/>
      <c r="AF29" s="6"/>
      <c r="AG29" s="6"/>
      <c r="AH29" s="6"/>
      <c r="AI29" s="6"/>
      <c r="AJ29" s="7"/>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1:76">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1:76">
      <c r="A31" s="6"/>
      <c r="B31" s="6"/>
      <c r="C31" s="131" t="s">
        <v>17</v>
      </c>
      <c r="D31" s="131"/>
      <c r="E31" s="131"/>
      <c r="F31" s="6"/>
      <c r="G31" s="6"/>
      <c r="H31" s="6"/>
      <c r="I31" s="6"/>
      <c r="J31" s="96" t="s">
        <v>18</v>
      </c>
      <c r="K31" s="97"/>
      <c r="L31" s="98"/>
      <c r="M31" s="6"/>
      <c r="N31" s="6"/>
      <c r="O31" s="6"/>
      <c r="P31" s="6"/>
      <c r="Q31" s="131" t="s">
        <v>26</v>
      </c>
      <c r="R31" s="131"/>
      <c r="S31" s="131"/>
      <c r="T31" s="6"/>
      <c r="U31" s="6"/>
      <c r="V31" s="6"/>
      <c r="W31" s="6"/>
      <c r="X31" s="131" t="s">
        <v>19</v>
      </c>
      <c r="Y31" s="131"/>
      <c r="Z31" s="131"/>
      <c r="AA31" s="6"/>
      <c r="AB31" s="6"/>
      <c r="AC31" s="6"/>
      <c r="AD31" s="6"/>
      <c r="AE31" s="131" t="s">
        <v>20</v>
      </c>
      <c r="AF31" s="131"/>
      <c r="AG31" s="131"/>
      <c r="AH31" s="6"/>
      <c r="AI31" s="6"/>
      <c r="AJ31" s="6"/>
      <c r="AK31" s="6"/>
      <c r="AL31" s="131" t="s">
        <v>21</v>
      </c>
      <c r="AM31" s="131"/>
      <c r="AN31" s="131"/>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1:76" ht="15" customHeight="1">
      <c r="A32" s="6"/>
      <c r="B32" s="37"/>
      <c r="C32" s="132" t="s">
        <v>47</v>
      </c>
      <c r="D32" s="133"/>
      <c r="E32" s="134"/>
      <c r="F32" s="6"/>
      <c r="G32" s="6"/>
      <c r="H32" s="6"/>
      <c r="I32" s="6"/>
      <c r="J32" s="99" t="s">
        <v>47</v>
      </c>
      <c r="K32" s="100"/>
      <c r="L32" s="101"/>
      <c r="M32" s="6"/>
      <c r="N32" s="6"/>
      <c r="O32" s="6"/>
      <c r="P32" s="6"/>
      <c r="Q32" s="99" t="s">
        <v>47</v>
      </c>
      <c r="R32" s="100"/>
      <c r="S32" s="101"/>
      <c r="T32" s="6"/>
      <c r="U32" s="6"/>
      <c r="V32" s="6"/>
      <c r="W32" s="6"/>
      <c r="X32" s="99" t="s">
        <v>47</v>
      </c>
      <c r="Y32" s="159"/>
      <c r="Z32" s="160"/>
      <c r="AA32" s="6"/>
      <c r="AB32" s="6"/>
      <c r="AC32" s="6"/>
      <c r="AD32" s="6"/>
      <c r="AE32" s="99" t="s">
        <v>47</v>
      </c>
      <c r="AF32" s="100"/>
      <c r="AG32" s="101"/>
      <c r="AH32" s="6"/>
      <c r="AI32" s="6"/>
      <c r="AJ32" s="6"/>
      <c r="AK32" s="6"/>
      <c r="AL32" s="99" t="s">
        <v>47</v>
      </c>
      <c r="AM32" s="100"/>
      <c r="AN32" s="101"/>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1:88" ht="15" customHeight="1">
      <c r="A33" s="6"/>
      <c r="B33" s="34"/>
      <c r="C33" s="31" t="s">
        <v>33</v>
      </c>
      <c r="D33" s="32" t="s">
        <v>45</v>
      </c>
      <c r="E33" s="64" t="s">
        <v>44</v>
      </c>
      <c r="F33" s="6"/>
      <c r="G33" s="6"/>
      <c r="H33" s="6"/>
      <c r="I33" s="6"/>
      <c r="J33" s="31" t="s">
        <v>33</v>
      </c>
      <c r="K33" s="32" t="s">
        <v>45</v>
      </c>
      <c r="L33" s="64" t="s">
        <v>44</v>
      </c>
      <c r="M33" s="6"/>
      <c r="N33" s="6"/>
      <c r="O33" s="6"/>
      <c r="P33" s="6"/>
      <c r="Q33" s="31" t="s">
        <v>33</v>
      </c>
      <c r="R33" s="32" t="s">
        <v>45</v>
      </c>
      <c r="S33" s="64" t="s">
        <v>44</v>
      </c>
      <c r="T33" s="6"/>
      <c r="U33" s="6"/>
      <c r="V33" s="6"/>
      <c r="W33" s="6"/>
      <c r="X33" s="31" t="s">
        <v>33</v>
      </c>
      <c r="Y33" s="32" t="s">
        <v>45</v>
      </c>
      <c r="Z33" s="64" t="s">
        <v>44</v>
      </c>
      <c r="AA33" s="6"/>
      <c r="AB33" s="6"/>
      <c r="AC33" s="6"/>
      <c r="AD33" s="6"/>
      <c r="AE33" s="31" t="s">
        <v>33</v>
      </c>
      <c r="AF33" s="32" t="s">
        <v>45</v>
      </c>
      <c r="AG33" s="64" t="s">
        <v>44</v>
      </c>
      <c r="AH33" s="6"/>
      <c r="AI33" s="6"/>
      <c r="AJ33" s="6"/>
      <c r="AK33" s="6"/>
      <c r="AL33" s="31" t="s">
        <v>33</v>
      </c>
      <c r="AM33" s="32" t="s">
        <v>45</v>
      </c>
      <c r="AN33" s="64" t="s">
        <v>44</v>
      </c>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88">
      <c r="A34" s="6"/>
      <c r="B34" s="35"/>
      <c r="C34" s="58">
        <v>3.2000000000000001E-2</v>
      </c>
      <c r="D34" s="59">
        <f>LOG(C34)</f>
        <v>-1.494850021680094</v>
      </c>
      <c r="E34" s="60">
        <f>AVERAGE(C7:C8)</f>
        <v>28.48888906868925</v>
      </c>
      <c r="F34" s="6"/>
      <c r="G34" s="6"/>
      <c r="H34" s="6"/>
      <c r="I34" s="6"/>
      <c r="J34" s="58">
        <v>3.2000000000000001E-2</v>
      </c>
      <c r="K34" s="59">
        <f>LOG(J34)</f>
        <v>-1.494850021680094</v>
      </c>
      <c r="L34" s="60">
        <f>AVERAGE(R7:R8)</f>
        <v>31.945953272746749</v>
      </c>
      <c r="M34" s="6"/>
      <c r="N34" s="6"/>
      <c r="O34" s="6"/>
      <c r="P34" s="6"/>
      <c r="Q34" s="58">
        <v>3.2000000000000001E-2</v>
      </c>
      <c r="R34" s="59">
        <f>LOG(Q34)</f>
        <v>-1.494850021680094</v>
      </c>
      <c r="S34" s="60">
        <f>AVERAGE(I10:I11)</f>
        <v>25.221671752446699</v>
      </c>
      <c r="T34" s="6"/>
      <c r="U34" s="6"/>
      <c r="V34" s="6"/>
      <c r="W34" s="6"/>
      <c r="X34" s="58">
        <v>3.2000000000000001E-2</v>
      </c>
      <c r="Y34" s="59">
        <f>LOG(X34)</f>
        <v>-1.494850021680094</v>
      </c>
      <c r="Z34" s="60">
        <f>AVERAGE(C13:C14)</f>
        <v>26.41969186216145</v>
      </c>
      <c r="AA34" s="6"/>
      <c r="AB34" s="6"/>
      <c r="AC34" s="6"/>
      <c r="AD34" s="6"/>
      <c r="AE34" s="58">
        <v>3.2000000000000001E-2</v>
      </c>
      <c r="AF34" s="59">
        <f>LOG(AE34)</f>
        <v>-1.494850021680094</v>
      </c>
      <c r="AG34" s="60">
        <f>AVERAGE(R13:R14)</f>
        <v>26.384009168675401</v>
      </c>
      <c r="AH34" s="6"/>
      <c r="AI34" s="6"/>
      <c r="AJ34" s="6"/>
      <c r="AK34" s="6"/>
      <c r="AL34" s="58">
        <v>3.2000000000000001E-2</v>
      </c>
      <c r="AM34" s="59">
        <f>LOG(AL34)</f>
        <v>-1.494850021680094</v>
      </c>
      <c r="AN34" s="60">
        <f>AVERAGE(I16:I17)</f>
        <v>27.806037511664151</v>
      </c>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88">
      <c r="A35" s="6"/>
      <c r="B35" s="35"/>
      <c r="C35" s="58">
        <v>0.16</v>
      </c>
      <c r="D35" s="59">
        <f>LOG(C35)</f>
        <v>-0.79588001734407521</v>
      </c>
      <c r="E35" s="60">
        <f>AVERAGE(D7:D8)</f>
        <v>26.263599490578549</v>
      </c>
      <c r="F35" s="6"/>
      <c r="G35" s="6"/>
      <c r="H35" s="6"/>
      <c r="I35" s="6"/>
      <c r="J35" s="58">
        <v>0.16</v>
      </c>
      <c r="K35" s="59">
        <f>LOG(J35)</f>
        <v>-0.79588001734407521</v>
      </c>
      <c r="L35" s="60">
        <f>AVERAGE(S7:S8)</f>
        <v>27.067183974416551</v>
      </c>
      <c r="M35" s="6"/>
      <c r="N35" s="6"/>
      <c r="O35" s="6"/>
      <c r="Q35" s="58">
        <v>0.16</v>
      </c>
      <c r="R35" s="59">
        <f>LOG(Q35)</f>
        <v>-0.79588001734407521</v>
      </c>
      <c r="S35" s="60">
        <f>AVERAGE(J10:J11)</f>
        <v>23.870656693319901</v>
      </c>
      <c r="T35" s="6"/>
      <c r="U35" s="6"/>
      <c r="V35" s="6"/>
      <c r="W35" s="6"/>
      <c r="X35" s="58">
        <v>0.16</v>
      </c>
      <c r="Y35" s="59">
        <f>LOG(X35)</f>
        <v>-0.79588001734407521</v>
      </c>
      <c r="Z35" s="60">
        <f>AVERAGE(D13:D14)</f>
        <v>24.234180038529502</v>
      </c>
      <c r="AA35" s="6"/>
      <c r="AB35" s="6"/>
      <c r="AC35" s="6"/>
      <c r="AD35" s="6"/>
      <c r="AE35" s="58">
        <v>0.16</v>
      </c>
      <c r="AF35" s="59">
        <f>LOG(AE35)</f>
        <v>-0.79588001734407521</v>
      </c>
      <c r="AG35" s="60">
        <f>AVERAGE(S13:S14)</f>
        <v>24.034032469352201</v>
      </c>
      <c r="AH35" s="6"/>
      <c r="AI35" s="6"/>
      <c r="AJ35" s="6"/>
      <c r="AK35" s="6"/>
      <c r="AL35" s="58">
        <v>0.16</v>
      </c>
      <c r="AM35" s="59">
        <f>LOG(AL35)</f>
        <v>-0.79588001734407521</v>
      </c>
      <c r="AN35" s="60">
        <f>AVERAGE(J16:J17)</f>
        <v>25.300101370363947</v>
      </c>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88">
      <c r="A36" s="6"/>
      <c r="B36" s="35"/>
      <c r="C36" s="58">
        <v>0.8</v>
      </c>
      <c r="D36" s="59">
        <f>LOG(C36)</f>
        <v>-9.6910013008056392E-2</v>
      </c>
      <c r="E36" s="60">
        <f>AVERAGE(E7:E8)</f>
        <v>23.967078994068</v>
      </c>
      <c r="F36" s="6"/>
      <c r="G36" s="6"/>
      <c r="H36" s="6"/>
      <c r="I36" s="6"/>
      <c r="J36" s="58">
        <v>0.8</v>
      </c>
      <c r="K36" s="59">
        <f>LOG(J36)</f>
        <v>-9.6910013008056392E-2</v>
      </c>
      <c r="L36" s="60">
        <f>AVERAGE(T7:T8)</f>
        <v>21.795432904692248</v>
      </c>
      <c r="M36" s="6"/>
      <c r="N36" s="6"/>
      <c r="O36" s="6"/>
      <c r="P36" s="6"/>
      <c r="Q36" s="58">
        <v>0.8</v>
      </c>
      <c r="R36" s="59">
        <f>LOG(Q36)</f>
        <v>-9.6910013008056392E-2</v>
      </c>
      <c r="S36" s="60">
        <f>AVERAGE(K10:K11)</f>
        <v>23.93498659356095</v>
      </c>
      <c r="T36" s="6"/>
      <c r="U36" s="6"/>
      <c r="V36" s="6"/>
      <c r="W36" s="6"/>
      <c r="X36" s="58">
        <v>0.8</v>
      </c>
      <c r="Y36" s="59">
        <f>LOG(X36)</f>
        <v>-9.6910013008056392E-2</v>
      </c>
      <c r="Z36" s="60">
        <f>AVERAGE(E13:E14)</f>
        <v>22.001024850057</v>
      </c>
      <c r="AA36" s="6"/>
      <c r="AB36" s="6"/>
      <c r="AC36" s="6"/>
      <c r="AD36" s="6"/>
      <c r="AE36" s="58">
        <v>0.8</v>
      </c>
      <c r="AF36" s="59">
        <f>LOG(AE36)</f>
        <v>-9.6910013008056392E-2</v>
      </c>
      <c r="AG36" s="60">
        <f>AVERAGE(T13:T14)</f>
        <v>21.872038334001303</v>
      </c>
      <c r="AH36" s="6"/>
      <c r="AI36" s="6"/>
      <c r="AJ36" s="6"/>
      <c r="AK36" s="6"/>
      <c r="AL36" s="58">
        <v>0.8</v>
      </c>
      <c r="AM36" s="59">
        <f>LOG(AL36)</f>
        <v>-9.6910013008056392E-2</v>
      </c>
      <c r="AN36" s="60">
        <f>AVERAGE(K16:K17)</f>
        <v>22.924149076354201</v>
      </c>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1:88">
      <c r="A37" s="6"/>
      <c r="B37" s="35"/>
      <c r="C37" s="58">
        <v>4</v>
      </c>
      <c r="D37" s="59">
        <f>LOG(C37)</f>
        <v>0.6020599913279624</v>
      </c>
      <c r="E37" s="60">
        <f>AVERAGE(F7:F8)</f>
        <v>21.500907997181951</v>
      </c>
      <c r="F37" s="6"/>
      <c r="G37" s="6"/>
      <c r="H37" s="6"/>
      <c r="I37" s="6"/>
      <c r="J37" s="58">
        <v>4</v>
      </c>
      <c r="K37" s="59">
        <f>LOG(J37)</f>
        <v>0.6020599913279624</v>
      </c>
      <c r="L37" s="60">
        <f>AVERAGE(U7:U8)</f>
        <v>18.5337561597491</v>
      </c>
      <c r="M37" s="6"/>
      <c r="N37" s="6"/>
      <c r="O37" s="6"/>
      <c r="Q37" s="58">
        <v>4</v>
      </c>
      <c r="R37" s="59">
        <f>LOG(Q37)</f>
        <v>0.6020599913279624</v>
      </c>
      <c r="S37" s="60">
        <f>AVERAGE(L10:L11)</f>
        <v>24.666780579453551</v>
      </c>
      <c r="T37" s="6"/>
      <c r="U37" s="6"/>
      <c r="V37" s="6"/>
      <c r="W37" s="6"/>
      <c r="X37" s="58">
        <v>4</v>
      </c>
      <c r="Y37" s="59">
        <f>LOG(X37)</f>
        <v>0.6020599913279624</v>
      </c>
      <c r="Z37" s="60">
        <f>AVERAGE(F13:F14)</f>
        <v>19.91038383255605</v>
      </c>
      <c r="AA37" s="6"/>
      <c r="AB37" s="6"/>
      <c r="AC37" s="6"/>
      <c r="AD37" s="6"/>
      <c r="AE37" s="58">
        <v>4</v>
      </c>
      <c r="AF37" s="59">
        <f>LOG(AE37)</f>
        <v>0.6020599913279624</v>
      </c>
      <c r="AG37" s="60">
        <f>AVERAGE(U13:U14)</f>
        <v>19.46314992242085</v>
      </c>
      <c r="AH37" s="6"/>
      <c r="AI37" s="6"/>
      <c r="AJ37" s="6"/>
      <c r="AK37" s="6"/>
      <c r="AL37" s="58">
        <v>4</v>
      </c>
      <c r="AM37" s="59">
        <f>LOG(AL37)</f>
        <v>0.6020599913279624</v>
      </c>
      <c r="AN37" s="60">
        <f>AVERAGE(L16:L17)</f>
        <v>20.630432182372751</v>
      </c>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88">
      <c r="A38" s="6"/>
      <c r="B38" s="35"/>
      <c r="C38" s="61">
        <v>20</v>
      </c>
      <c r="D38" s="62">
        <f>LOG(C38)</f>
        <v>1.3010299956639813</v>
      </c>
      <c r="E38" s="63">
        <f>AVERAGE(G7:G8)</f>
        <v>19.2780300667741</v>
      </c>
      <c r="F38" s="6"/>
      <c r="G38" s="6"/>
      <c r="H38" s="6"/>
      <c r="I38" s="6"/>
      <c r="J38" s="61">
        <v>20</v>
      </c>
      <c r="K38" s="62">
        <f>LOG(J38)</f>
        <v>1.3010299956639813</v>
      </c>
      <c r="L38" s="63">
        <f>AVERAGE(V7:V8)</f>
        <v>16.124990615771448</v>
      </c>
      <c r="M38" s="6"/>
      <c r="N38" s="6"/>
      <c r="O38" s="6"/>
      <c r="P38" s="6"/>
      <c r="Q38" s="61">
        <v>20</v>
      </c>
      <c r="R38" s="62">
        <f>LOG(Q38)</f>
        <v>1.3010299956639813</v>
      </c>
      <c r="S38" s="63">
        <f>AVERAGE(M10:M11)</f>
        <v>23.127790550416449</v>
      </c>
      <c r="T38" s="6"/>
      <c r="U38" s="6"/>
      <c r="V38" s="6"/>
      <c r="W38" s="6"/>
      <c r="X38" s="61">
        <v>20</v>
      </c>
      <c r="Y38" s="62">
        <f>LOG(X38)</f>
        <v>1.3010299956639813</v>
      </c>
      <c r="Z38" s="63">
        <f>AVERAGE(G13:G14)</f>
        <v>17.650963212248801</v>
      </c>
      <c r="AA38" s="6"/>
      <c r="AB38" s="6"/>
      <c r="AC38" s="6"/>
      <c r="AD38" s="6"/>
      <c r="AE38" s="61">
        <v>20</v>
      </c>
      <c r="AF38" s="62">
        <f>LOG(AE38)</f>
        <v>1.3010299956639813</v>
      </c>
      <c r="AG38" s="63">
        <f>AVERAGE(V13:V14)</f>
        <v>17.046849519788552</v>
      </c>
      <c r="AH38" s="6"/>
      <c r="AI38" s="6"/>
      <c r="AJ38" s="6"/>
      <c r="AK38" s="6"/>
      <c r="AL38" s="61">
        <v>20</v>
      </c>
      <c r="AM38" s="62">
        <f>LOG(AL38)</f>
        <v>1.3010299956639813</v>
      </c>
      <c r="AN38" s="63">
        <f>AVERAGE(M16:M17)</f>
        <v>18.177436224487099</v>
      </c>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88">
      <c r="A39" s="6"/>
      <c r="B39" s="41"/>
      <c r="C39" s="102" t="s">
        <v>46</v>
      </c>
      <c r="D39" s="103"/>
      <c r="E39" s="33">
        <f>(10^(-1/-3.3169)-1)*100</f>
        <v>100.21025906517056</v>
      </c>
      <c r="F39" s="6"/>
      <c r="G39" s="6"/>
      <c r="H39" s="6"/>
      <c r="I39" s="6"/>
      <c r="J39" s="102" t="s">
        <v>46</v>
      </c>
      <c r="K39" s="103"/>
      <c r="L39" s="33">
        <f>(10^(-1/-5.7478)-1)*100</f>
        <v>49.272432354948762</v>
      </c>
      <c r="M39" s="6"/>
      <c r="N39" s="6"/>
      <c r="O39" s="6"/>
      <c r="P39" s="6"/>
      <c r="Q39" s="102" t="s">
        <v>46</v>
      </c>
      <c r="R39" s="103"/>
      <c r="S39" s="33">
        <f>(10^(-1/-0.4852)-1)*100</f>
        <v>11408.156806459867</v>
      </c>
      <c r="T39" s="6"/>
      <c r="U39" s="6"/>
      <c r="V39" s="6"/>
      <c r="W39" s="6"/>
      <c r="X39" s="102" t="s">
        <v>46</v>
      </c>
      <c r="Y39" s="103"/>
      <c r="Z39" s="33">
        <f>(10^(-1/-3.1276)-1)*100</f>
        <v>108.80167648448649</v>
      </c>
      <c r="AA39" s="6"/>
      <c r="AB39" s="6"/>
      <c r="AC39" s="6"/>
      <c r="AD39" s="6"/>
      <c r="AE39" s="102" t="s">
        <v>46</v>
      </c>
      <c r="AF39" s="103"/>
      <c r="AG39" s="33">
        <f>(10^(-1/-3.3256)-1)*100</f>
        <v>99.846993205381992</v>
      </c>
      <c r="AH39" s="6"/>
      <c r="AI39" s="6"/>
      <c r="AJ39" s="6"/>
      <c r="AK39" s="6"/>
      <c r="AL39" s="102" t="s">
        <v>46</v>
      </c>
      <c r="AM39" s="103"/>
      <c r="AN39" s="33">
        <f>(10^(-1/-3.4232)-1)*100</f>
        <v>95.9405524120493</v>
      </c>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88">
      <c r="A40" s="6"/>
      <c r="B40" s="41"/>
      <c r="C40" s="102" t="s">
        <v>50</v>
      </c>
      <c r="D40" s="103"/>
      <c r="E40" s="33">
        <f>SUM(E39/100)+1</f>
        <v>2.0021025906517056</v>
      </c>
      <c r="F40" s="6"/>
      <c r="G40" s="6"/>
      <c r="H40" s="6"/>
      <c r="I40" s="6"/>
      <c r="J40" s="102" t="s">
        <v>50</v>
      </c>
      <c r="K40" s="103"/>
      <c r="L40" s="33">
        <f>SUM(L39/100)+1</f>
        <v>1.4927243235494876</v>
      </c>
      <c r="M40" s="6"/>
      <c r="N40" s="6"/>
      <c r="O40" s="6"/>
      <c r="P40" s="6"/>
      <c r="Q40" s="102" t="s">
        <v>50</v>
      </c>
      <c r="R40" s="103"/>
      <c r="S40" s="33">
        <f>SUM(S39/100)+1</f>
        <v>115.08156806459867</v>
      </c>
      <c r="T40" s="6"/>
      <c r="U40" s="6"/>
      <c r="V40" s="6"/>
      <c r="W40" s="6"/>
      <c r="X40" s="102" t="s">
        <v>50</v>
      </c>
      <c r="Y40" s="103"/>
      <c r="Z40" s="33">
        <f>SUM(Z39/100)+1</f>
        <v>2.0880167648448649</v>
      </c>
      <c r="AA40" s="6"/>
      <c r="AB40" s="6"/>
      <c r="AC40" s="6"/>
      <c r="AD40" s="6"/>
      <c r="AE40" s="102" t="s">
        <v>50</v>
      </c>
      <c r="AF40" s="103"/>
      <c r="AG40" s="33">
        <f>SUM(AG39/100)+1</f>
        <v>1.99846993205382</v>
      </c>
      <c r="AH40" s="6"/>
      <c r="AI40" s="6"/>
      <c r="AJ40" s="6"/>
      <c r="AK40" s="6"/>
      <c r="AL40" s="102" t="s">
        <v>50</v>
      </c>
      <c r="AM40" s="103"/>
      <c r="AN40" s="33">
        <f>SUM(AN39/100)+1</f>
        <v>1.9594055241204931</v>
      </c>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1:88">
      <c r="A41" s="6"/>
      <c r="B41" s="39"/>
      <c r="C41" s="38"/>
      <c r="E41" s="38"/>
      <c r="F41" s="6"/>
      <c r="G41" s="6"/>
      <c r="H41" s="38"/>
      <c r="I41" s="38"/>
      <c r="J41" s="6"/>
      <c r="K41" s="38"/>
      <c r="L41" s="6"/>
      <c r="M41" s="38"/>
      <c r="N41" s="38"/>
      <c r="O41" s="38"/>
      <c r="P41" s="6"/>
      <c r="Q41" s="6"/>
      <c r="R41" s="38"/>
      <c r="S41" s="38"/>
      <c r="T41" s="38"/>
      <c r="U41" s="6"/>
      <c r="V41" s="6"/>
      <c r="W41" s="38"/>
      <c r="X41" s="38"/>
      <c r="Y41" s="38"/>
      <c r="Z41" s="6"/>
      <c r="AA41" s="6"/>
      <c r="AB41" s="6"/>
      <c r="AC41" s="6"/>
      <c r="AD41" s="6"/>
      <c r="AE41" s="6"/>
      <c r="AF41" s="38"/>
      <c r="AG41" s="6"/>
      <c r="AH41" s="6"/>
      <c r="AI41" s="6"/>
      <c r="AJ41" s="6"/>
      <c r="AK41" s="6"/>
      <c r="AL41" s="38"/>
      <c r="AM41" s="38"/>
      <c r="AN41" s="38"/>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1:88">
      <c r="A42" s="6"/>
      <c r="B42" s="40"/>
      <c r="C42" s="116" t="s">
        <v>94</v>
      </c>
      <c r="D42" s="117"/>
      <c r="E42" s="117"/>
      <c r="F42" s="117"/>
      <c r="G42" s="117"/>
      <c r="H42" s="118"/>
      <c r="J42" s="116" t="s">
        <v>95</v>
      </c>
      <c r="K42" s="117"/>
      <c r="L42" s="117"/>
      <c r="M42" s="117"/>
      <c r="N42" s="117"/>
      <c r="O42" s="118"/>
      <c r="Q42" s="116" t="s">
        <v>96</v>
      </c>
      <c r="R42" s="117"/>
      <c r="S42" s="117"/>
      <c r="T42" s="117"/>
      <c r="U42" s="117"/>
      <c r="V42" s="118"/>
      <c r="X42" s="116" t="s">
        <v>97</v>
      </c>
      <c r="Y42" s="117"/>
      <c r="Z42" s="117"/>
      <c r="AA42" s="117"/>
      <c r="AB42" s="117"/>
      <c r="AC42" s="118"/>
      <c r="AD42" s="6"/>
      <c r="AE42" s="116" t="s">
        <v>98</v>
      </c>
      <c r="AF42" s="117"/>
      <c r="AG42" s="117"/>
      <c r="AH42" s="117"/>
      <c r="AI42" s="117"/>
      <c r="AJ42" s="118"/>
      <c r="AL42" s="116" t="s">
        <v>99</v>
      </c>
      <c r="AM42" s="117"/>
      <c r="AN42" s="117"/>
      <c r="AO42" s="117"/>
      <c r="AP42" s="117"/>
      <c r="AQ42" s="118"/>
      <c r="AR42" s="38"/>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8" ht="15" customHeight="1">
      <c r="A43" s="6"/>
      <c r="B43" s="40"/>
      <c r="C43" s="129" t="s">
        <v>17</v>
      </c>
      <c r="D43" s="82" t="s">
        <v>62</v>
      </c>
      <c r="E43" s="82" t="s">
        <v>64</v>
      </c>
      <c r="F43" s="82" t="s">
        <v>66</v>
      </c>
      <c r="G43" s="83" t="s">
        <v>68</v>
      </c>
      <c r="H43" s="81" t="s">
        <v>70</v>
      </c>
      <c r="I43" s="6"/>
      <c r="J43" s="120" t="s">
        <v>18</v>
      </c>
      <c r="K43" s="82" t="s">
        <v>62</v>
      </c>
      <c r="L43" s="82" t="s">
        <v>64</v>
      </c>
      <c r="M43" s="82" t="s">
        <v>66</v>
      </c>
      <c r="N43" s="82" t="s">
        <v>68</v>
      </c>
      <c r="O43" s="84" t="s">
        <v>70</v>
      </c>
      <c r="P43" s="35"/>
      <c r="Q43" s="120" t="s">
        <v>26</v>
      </c>
      <c r="R43" s="82" t="s">
        <v>62</v>
      </c>
      <c r="S43" s="82" t="s">
        <v>64</v>
      </c>
      <c r="T43" s="82" t="s">
        <v>66</v>
      </c>
      <c r="U43" s="82" t="s">
        <v>68</v>
      </c>
      <c r="V43" s="84" t="s">
        <v>70</v>
      </c>
      <c r="W43" s="85"/>
      <c r="X43" s="120" t="s">
        <v>19</v>
      </c>
      <c r="Y43" s="82" t="s">
        <v>62</v>
      </c>
      <c r="Z43" s="82" t="s">
        <v>64</v>
      </c>
      <c r="AA43" s="82" t="s">
        <v>66</v>
      </c>
      <c r="AB43" s="82" t="s">
        <v>68</v>
      </c>
      <c r="AC43" s="84" t="s">
        <v>70</v>
      </c>
      <c r="AD43" s="85"/>
      <c r="AE43" s="119" t="s">
        <v>20</v>
      </c>
      <c r="AF43" s="82" t="s">
        <v>62</v>
      </c>
      <c r="AG43" s="82" t="s">
        <v>64</v>
      </c>
      <c r="AH43" s="82" t="s">
        <v>66</v>
      </c>
      <c r="AI43" s="82" t="s">
        <v>68</v>
      </c>
      <c r="AJ43" s="84" t="s">
        <v>70</v>
      </c>
      <c r="AK43" s="85"/>
      <c r="AL43" s="119" t="s">
        <v>21</v>
      </c>
      <c r="AM43" s="82" t="s">
        <v>62</v>
      </c>
      <c r="AN43" s="82" t="s">
        <v>64</v>
      </c>
      <c r="AO43" s="82" t="s">
        <v>66</v>
      </c>
      <c r="AP43" s="82" t="s">
        <v>68</v>
      </c>
      <c r="AQ43" s="84" t="s">
        <v>70</v>
      </c>
      <c r="AR43" s="38"/>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8" ht="15" customHeight="1">
      <c r="A44" s="6"/>
      <c r="B44" s="40"/>
      <c r="C44" s="129"/>
      <c r="D44" s="42" t="s">
        <v>35</v>
      </c>
      <c r="E44" s="42">
        <f>AVERAGE(H7:H8)</f>
        <v>20.679344641764452</v>
      </c>
      <c r="F44" s="50">
        <f>10^((E44-23.578)/-3.3169)</f>
        <v>7.4800578887823326</v>
      </c>
      <c r="G44" s="50">
        <f>SUM(E44*(LOG(E40)/LOG(2)))</f>
        <v>20.710692498819913</v>
      </c>
      <c r="H44" s="50">
        <f>10^((G44-23.578)/-3.3169)</f>
        <v>7.3190381115976484</v>
      </c>
      <c r="I44" s="6"/>
      <c r="J44" s="120"/>
      <c r="K44" s="42" t="s">
        <v>35</v>
      </c>
      <c r="L44" s="42">
        <f>AVERAGE(W7:W8)</f>
        <v>17.780226170963303</v>
      </c>
      <c r="M44" s="49">
        <f>10^((L44 -22.536)/-5.7478)</f>
        <v>6.7205942195184409</v>
      </c>
      <c r="N44" s="49">
        <f t="shared" ref="N44:N53" si="0">SUM(L44*(LOG($L$40)/LOG(2)))</f>
        <v>10.276041763940039</v>
      </c>
      <c r="O44" s="49">
        <f>10^((N44 -22.536)/-5.7478)</f>
        <v>135.82594881715968</v>
      </c>
      <c r="P44" s="6"/>
      <c r="Q44" s="120"/>
      <c r="R44" s="42" t="s">
        <v>35</v>
      </c>
      <c r="S44" s="42">
        <f>AVERAGE(N10:N11)</f>
        <v>24.306776677385798</v>
      </c>
      <c r="T44" s="49">
        <f t="shared" ref="T44:T49" si="1">10^((S44- 24.117)/-0.4852)</f>
        <v>0.40632091025266415</v>
      </c>
      <c r="U44" s="49">
        <f t="shared" ref="U44:U53" si="2">SUM(S44*(LOG($S$40)/LOG(2)))</f>
        <v>166.41666187296124</v>
      </c>
      <c r="V44" s="49">
        <f t="shared" ref="V44:V49" si="3">10^((U44- 24.117)/-0.4852)</f>
        <v>5.2429497417117081E-294</v>
      </c>
      <c r="W44" s="6"/>
      <c r="X44" s="120" t="s">
        <v>19</v>
      </c>
      <c r="Y44" s="42" t="s">
        <v>35</v>
      </c>
      <c r="Z44" s="42">
        <f>AVERAGE(H13:H14)</f>
        <v>18.87577966665485</v>
      </c>
      <c r="AA44" s="49">
        <f t="shared" ref="AA44:AA53" si="4">10^((Z44-21.74)/-3.1276)</f>
        <v>8.2373699401489624</v>
      </c>
      <c r="AB44" s="49">
        <f t="shared" ref="AB44:AB53" si="5">SUM(Z44*(LOG($Z$40)/LOG(2)))</f>
        <v>20.048594061761214</v>
      </c>
      <c r="AC44" s="49">
        <f t="shared" ref="AC44:AC53" si="6">10^((AB44-21.74)/-3.1276)</f>
        <v>3.4737611571815519</v>
      </c>
      <c r="AD44" s="6"/>
      <c r="AE44" s="120"/>
      <c r="AF44" s="42" t="s">
        <v>35</v>
      </c>
      <c r="AG44" s="42">
        <f>AVERAGE(W13:W14)</f>
        <v>18.287267556007947</v>
      </c>
      <c r="AH44" s="49">
        <f t="shared" ref="AH44:AH53" si="7">10^((AG44 -21.438)/-3.3256)</f>
        <v>8.8596740091989776</v>
      </c>
      <c r="AI44" s="49">
        <f t="shared" ref="AI44:AI53" si="8">SUM(AG44*(LOG($AG$40)/LOG(2)))</f>
        <v>18.267075978176855</v>
      </c>
      <c r="AJ44" s="49">
        <f t="shared" ref="AJ44:AJ53" si="9">10^((AI44 -21.438)/-3.3256)</f>
        <v>8.9844046039965253</v>
      </c>
      <c r="AK44" s="6"/>
      <c r="AL44" s="120" t="s">
        <v>21</v>
      </c>
      <c r="AM44" s="42" t="s">
        <v>35</v>
      </c>
      <c r="AN44" s="42">
        <f>AVERAGE(N16:N17)</f>
        <v>19.82080304702065</v>
      </c>
      <c r="AO44" s="49">
        <f>10^((AN44- 22.636)/-3.4232)</f>
        <v>6.6433558872926213</v>
      </c>
      <c r="AP44" s="42">
        <f t="shared" ref="AP44:AP53" si="10">SUM(AN44*(LOG($AN$40)/LOG(2)))</f>
        <v>19.234424662633479</v>
      </c>
      <c r="AQ44" s="49">
        <f>10^((AP44- 22.636)/-3.4232)</f>
        <v>9.8555963936304263</v>
      </c>
      <c r="AR44" s="36"/>
      <c r="AS44" s="3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c r="A45" s="6"/>
      <c r="B45" s="40"/>
      <c r="C45" s="129"/>
      <c r="D45" s="43" t="s">
        <v>36</v>
      </c>
      <c r="E45" s="43">
        <f>AVERAGE(I7:I8)</f>
        <v>20.15902862094795</v>
      </c>
      <c r="F45" s="50">
        <f>10^((E45- 23.578)/-3.3169)</f>
        <v>10.734285084255855</v>
      </c>
      <c r="G45" s="50">
        <f>SUM(E45*(LOG(E40)/LOG(2)))</f>
        <v>20.189587729978424</v>
      </c>
      <c r="H45" s="50">
        <f>10^((G45- 23.578)/-3.3169)</f>
        <v>10.508965630118553</v>
      </c>
      <c r="I45" s="6"/>
      <c r="J45" s="120"/>
      <c r="K45" s="43" t="s">
        <v>36</v>
      </c>
      <c r="L45" s="43">
        <f>AVERAGE(X7:X8)</f>
        <v>17.096167205519698</v>
      </c>
      <c r="M45" s="50">
        <f>10^((L45-22.536)/-5.7478)</f>
        <v>8.8393429861556427</v>
      </c>
      <c r="N45" s="50">
        <f t="shared" si="0"/>
        <v>9.8806914219193196</v>
      </c>
      <c r="O45" s="50">
        <f>10^((N45-22.536)/-5.7478)</f>
        <v>159.13497698370344</v>
      </c>
      <c r="P45" s="6"/>
      <c r="Q45" s="120"/>
      <c r="R45" s="43" t="s">
        <v>36</v>
      </c>
      <c r="S45" s="43">
        <f>AVERAGE(O10:O11)</f>
        <v>24.108652026602797</v>
      </c>
      <c r="T45" s="50">
        <f t="shared" si="1"/>
        <v>1.0404116854235035</v>
      </c>
      <c r="U45" s="50">
        <f t="shared" si="2"/>
        <v>165.06019888094599</v>
      </c>
      <c r="V45" s="50">
        <f t="shared" si="3"/>
        <v>3.2753200900880042E-291</v>
      </c>
      <c r="W45" s="6"/>
      <c r="X45" s="120"/>
      <c r="Y45" s="43" t="s">
        <v>36</v>
      </c>
      <c r="Z45" s="43">
        <f>AVERAGE(I13:I14)</f>
        <v>18.893640655574099</v>
      </c>
      <c r="AA45" s="50">
        <f t="shared" si="4"/>
        <v>8.1297615083884587</v>
      </c>
      <c r="AB45" s="50">
        <f t="shared" si="5"/>
        <v>20.067564812782226</v>
      </c>
      <c r="AC45" s="50">
        <f t="shared" si="6"/>
        <v>3.4255819447925853</v>
      </c>
      <c r="AD45" s="6"/>
      <c r="AE45" s="120"/>
      <c r="AF45" s="43" t="s">
        <v>36</v>
      </c>
      <c r="AG45" s="43">
        <f>AVERAGE(X13:X14)</f>
        <v>18.0221442708322</v>
      </c>
      <c r="AH45" s="50">
        <f t="shared" si="7"/>
        <v>10.644853352571129</v>
      </c>
      <c r="AI45" s="50">
        <f t="shared" si="8"/>
        <v>18.002245424401853</v>
      </c>
      <c r="AJ45" s="50">
        <f t="shared" si="9"/>
        <v>10.792528857064363</v>
      </c>
      <c r="AK45" s="6"/>
      <c r="AL45" s="120"/>
      <c r="AM45" s="43" t="s">
        <v>36</v>
      </c>
      <c r="AN45" s="43">
        <f>AVERAGE(O16:O17)</f>
        <v>19.412267166771102</v>
      </c>
      <c r="AO45" s="50">
        <f t="shared" ref="AO45:AO53" si="11">10^((AN45-22.636)/-3.4232)</f>
        <v>8.7444155511444919</v>
      </c>
      <c r="AP45" s="43">
        <f t="shared" si="10"/>
        <v>18.837974902651442</v>
      </c>
      <c r="AQ45" s="50">
        <f t="shared" ref="AQ45:AQ53" si="12">10^((AP45-22.636)/-3.4232)</f>
        <v>12.867540081546007</v>
      </c>
      <c r="AR45" s="36"/>
      <c r="AS45" s="3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row>
    <row r="46" spans="1:88">
      <c r="A46" s="6"/>
      <c r="B46" s="40"/>
      <c r="C46" s="129"/>
      <c r="D46" s="44" t="s">
        <v>37</v>
      </c>
      <c r="E46" s="44">
        <f>AVERAGE(J7:J8)</f>
        <v>19.077333181722551</v>
      </c>
      <c r="F46" s="51">
        <f t="shared" ref="F46:F53" si="13">10^((E46-23.578)/-3.3169)</f>
        <v>22.745186949203916</v>
      </c>
      <c r="G46" s="51">
        <f>SUM(E46*(LOG(E40)/LOG(2)))</f>
        <v>19.106252546622162</v>
      </c>
      <c r="H46" s="51">
        <f t="shared" ref="H46:H53" si="14">10^((G46-23.578)/-3.3169)</f>
        <v>22.29311301312719</v>
      </c>
      <c r="I46" s="6"/>
      <c r="J46" s="120"/>
      <c r="K46" s="44" t="s">
        <v>37</v>
      </c>
      <c r="L46" s="44">
        <f>AVERAGE(Y7:Y8)</f>
        <v>15.273995016727351</v>
      </c>
      <c r="M46" s="51">
        <f t="shared" ref="M46:M53" si="15">10^((L46 -22.536)/-5.7478)</f>
        <v>18.34175093582828</v>
      </c>
      <c r="N46" s="51">
        <f t="shared" si="0"/>
        <v>8.8275710997661996</v>
      </c>
      <c r="O46" s="51">
        <f t="shared" ref="O46:O53" si="16">10^((N46 -22.536)/-5.7478)</f>
        <v>242.65380632550591</v>
      </c>
      <c r="P46" s="6"/>
      <c r="Q46" s="120"/>
      <c r="R46" s="44" t="s">
        <v>37</v>
      </c>
      <c r="S46" s="44">
        <f>AVERAGE(P10:P11)</f>
        <v>22.947680082781599</v>
      </c>
      <c r="T46" s="51">
        <f t="shared" si="1"/>
        <v>257.02483990975077</v>
      </c>
      <c r="U46" s="51">
        <f t="shared" si="2"/>
        <v>157.11158940535728</v>
      </c>
      <c r="V46" s="51">
        <f t="shared" si="3"/>
        <v>7.8955747269356347E-275</v>
      </c>
      <c r="W46" s="6"/>
      <c r="X46" s="120"/>
      <c r="Y46" s="44" t="s">
        <v>37</v>
      </c>
      <c r="Z46" s="44">
        <f>AVERAGE(J13:J14)</f>
        <v>18.061633633623401</v>
      </c>
      <c r="AA46" s="51">
        <f t="shared" si="4"/>
        <v>15.000257801272886</v>
      </c>
      <c r="AB46" s="51">
        <f t="shared" si="5"/>
        <v>19.183862452710098</v>
      </c>
      <c r="AC46" s="51">
        <f t="shared" si="6"/>
        <v>6.5657453507009924</v>
      </c>
      <c r="AD46" s="6"/>
      <c r="AE46" s="120"/>
      <c r="AF46" s="44" t="s">
        <v>37</v>
      </c>
      <c r="AG46" s="44">
        <f>AVERAGE(Y13:Y14)</f>
        <v>17.690729542205801</v>
      </c>
      <c r="AH46" s="51">
        <f t="shared" si="7"/>
        <v>13.390454016412175</v>
      </c>
      <c r="AI46" s="51">
        <f t="shared" si="8"/>
        <v>17.671196621754657</v>
      </c>
      <c r="AJ46" s="51">
        <f t="shared" si="9"/>
        <v>13.572779856006484</v>
      </c>
      <c r="AK46" s="6"/>
      <c r="AL46" s="120"/>
      <c r="AM46" s="44" t="s">
        <v>37</v>
      </c>
      <c r="AN46" s="44">
        <f>AVERAGE(P16:P17)</f>
        <v>18.854026355212703</v>
      </c>
      <c r="AO46" s="51">
        <f t="shared" si="11"/>
        <v>12.729358269313474</v>
      </c>
      <c r="AP46" s="44">
        <f t="shared" si="10"/>
        <v>18.296249080137837</v>
      </c>
      <c r="AQ46" s="51">
        <f t="shared" si="12"/>
        <v>18.524513948036287</v>
      </c>
      <c r="AR46" s="36"/>
      <c r="AS46" s="3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row>
    <row r="47" spans="1:88">
      <c r="A47" s="6"/>
      <c r="B47" s="40"/>
      <c r="C47" s="129"/>
      <c r="D47" s="45" t="s">
        <v>38</v>
      </c>
      <c r="E47" s="45">
        <f>AVERAGE(K7:K8)</f>
        <v>19.56687150612845</v>
      </c>
      <c r="F47" s="52">
        <f t="shared" si="13"/>
        <v>16.191996419650053</v>
      </c>
      <c r="G47" s="52">
        <f>SUM(E47*(LOG(E40)/LOG(2)))</f>
        <v>19.596532963085743</v>
      </c>
      <c r="H47" s="52">
        <f t="shared" si="14"/>
        <v>15.861997438174814</v>
      </c>
      <c r="I47" s="6"/>
      <c r="J47" s="120"/>
      <c r="K47" s="45" t="s">
        <v>38</v>
      </c>
      <c r="L47" s="45">
        <f>AVERAGE(C10:C11)</f>
        <v>15.229527827224299</v>
      </c>
      <c r="M47" s="52">
        <f t="shared" si="15"/>
        <v>18.671412601062482</v>
      </c>
      <c r="N47" s="52">
        <f t="shared" si="0"/>
        <v>8.8018713875091841</v>
      </c>
      <c r="O47" s="52">
        <f t="shared" si="16"/>
        <v>245.16492328187411</v>
      </c>
      <c r="P47" s="6"/>
      <c r="Q47" s="120"/>
      <c r="R47" s="45" t="s">
        <v>38</v>
      </c>
      <c r="S47" s="45">
        <f>AVERAGE(Q10:Q11)</f>
        <v>22.722630781531649</v>
      </c>
      <c r="T47" s="52">
        <f t="shared" si="1"/>
        <v>747.83021103533235</v>
      </c>
      <c r="U47" s="52">
        <f t="shared" si="2"/>
        <v>155.57078644460506</v>
      </c>
      <c r="V47" s="52">
        <f t="shared" si="3"/>
        <v>1.1830076200417223E-271</v>
      </c>
      <c r="W47" s="6"/>
      <c r="X47" s="120"/>
      <c r="Y47" s="45" t="s">
        <v>38</v>
      </c>
      <c r="Z47" s="45">
        <f>AVERAGE(K13:K14)</f>
        <v>18.28967463663335</v>
      </c>
      <c r="AA47" s="52">
        <f t="shared" si="4"/>
        <v>12.681956678467159</v>
      </c>
      <c r="AB47" s="52">
        <f t="shared" si="5"/>
        <v>19.426072394737545</v>
      </c>
      <c r="AC47" s="52">
        <f t="shared" si="6"/>
        <v>5.4934007913316636</v>
      </c>
      <c r="AD47" s="6"/>
      <c r="AE47" s="120"/>
      <c r="AF47" s="45" t="s">
        <v>38</v>
      </c>
      <c r="AG47" s="45">
        <f>AVERAGE(C16:C17)</f>
        <v>17.605071070528602</v>
      </c>
      <c r="AH47" s="52">
        <f t="shared" si="7"/>
        <v>14.208642946687043</v>
      </c>
      <c r="AI47" s="52">
        <f t="shared" si="8"/>
        <v>17.585632728433271</v>
      </c>
      <c r="AJ47" s="52">
        <f t="shared" si="9"/>
        <v>14.401166251674329</v>
      </c>
      <c r="AK47" s="6"/>
      <c r="AL47" s="120"/>
      <c r="AM47" s="45" t="s">
        <v>38</v>
      </c>
      <c r="AN47" s="45">
        <f>AVERAGE(Q16:Q17)</f>
        <v>18.72243979388405</v>
      </c>
      <c r="AO47" s="52">
        <f t="shared" si="11"/>
        <v>13.907406400741946</v>
      </c>
      <c r="AP47" s="45">
        <f t="shared" si="10"/>
        <v>18.168555373960206</v>
      </c>
      <c r="AQ47" s="52">
        <f t="shared" si="12"/>
        <v>20.185953094842919</v>
      </c>
      <c r="AR47" s="36"/>
      <c r="AS47" s="3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row>
    <row r="48" spans="1:88">
      <c r="A48" s="6"/>
      <c r="B48" s="40"/>
      <c r="C48" s="129"/>
      <c r="D48" s="45" t="s">
        <v>39</v>
      </c>
      <c r="E48" s="45">
        <f>AVERAGE(L7:L8)</f>
        <v>20.761296570450249</v>
      </c>
      <c r="F48" s="52">
        <f t="shared" si="13"/>
        <v>7.0663895128759737</v>
      </c>
      <c r="G48" s="52">
        <f>SUM(E48*(LOG(E40)/LOG(2)))</f>
        <v>20.792768658587029</v>
      </c>
      <c r="H48" s="52">
        <f t="shared" si="14"/>
        <v>6.9136783172294773</v>
      </c>
      <c r="I48" s="6"/>
      <c r="J48" s="120"/>
      <c r="K48" s="45" t="s">
        <v>39</v>
      </c>
      <c r="L48" s="45">
        <f>AVERAGE(D10:D11)</f>
        <v>17.420612022405599</v>
      </c>
      <c r="M48" s="52">
        <f t="shared" si="15"/>
        <v>7.7619922224992139</v>
      </c>
      <c r="N48" s="52">
        <f t="shared" si="0"/>
        <v>10.06820357482197</v>
      </c>
      <c r="O48" s="52">
        <f t="shared" si="16"/>
        <v>147.61903245813724</v>
      </c>
      <c r="P48" s="6"/>
      <c r="Q48" s="120"/>
      <c r="R48" s="45" t="s">
        <v>39</v>
      </c>
      <c r="S48" s="45">
        <f>AVERAGE(R10:R11)</f>
        <v>24.097031222646599</v>
      </c>
      <c r="T48" s="52">
        <f t="shared" si="1"/>
        <v>1.0994000828592925</v>
      </c>
      <c r="U48" s="52">
        <f t="shared" si="2"/>
        <v>164.98063689589389</v>
      </c>
      <c r="V48" s="52">
        <f t="shared" si="3"/>
        <v>4.7778384309737385E-291</v>
      </c>
      <c r="W48" s="6"/>
      <c r="X48" s="120"/>
      <c r="Y48" s="45" t="s">
        <v>39</v>
      </c>
      <c r="Z48" s="45">
        <f>AVERAGE(L13:L14)</f>
        <v>18.719280599654951</v>
      </c>
      <c r="AA48" s="52">
        <f t="shared" si="4"/>
        <v>9.2432913087694573</v>
      </c>
      <c r="AB48" s="52">
        <f t="shared" si="5"/>
        <v>19.882371191991862</v>
      </c>
      <c r="AC48" s="52">
        <f t="shared" si="6"/>
        <v>3.9259707047909007</v>
      </c>
      <c r="AD48" s="6"/>
      <c r="AE48" s="120"/>
      <c r="AF48" s="45" t="s">
        <v>39</v>
      </c>
      <c r="AG48" s="45">
        <f>AVERAGE(D16:D17)</f>
        <v>18.5592270655265</v>
      </c>
      <c r="AH48" s="52">
        <f t="shared" si="7"/>
        <v>7.3390553911229324</v>
      </c>
      <c r="AI48" s="52">
        <f t="shared" si="8"/>
        <v>18.538735208192932</v>
      </c>
      <c r="AJ48" s="52">
        <f t="shared" si="9"/>
        <v>7.4439255039891092</v>
      </c>
      <c r="AK48" s="6"/>
      <c r="AL48" s="120"/>
      <c r="AM48" s="45" t="s">
        <v>39</v>
      </c>
      <c r="AN48" s="45">
        <f>AVERAGE(R16:R17)</f>
        <v>19.630480965367653</v>
      </c>
      <c r="AO48" s="52">
        <f t="shared" si="11"/>
        <v>7.5506654564431095</v>
      </c>
      <c r="AP48" s="45">
        <f t="shared" si="10"/>
        <v>19.049733067015186</v>
      </c>
      <c r="AQ48" s="52">
        <f t="shared" si="12"/>
        <v>11.159270840617499</v>
      </c>
      <c r="AR48" s="36"/>
      <c r="AS48" s="3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row>
    <row r="49" spans="1:88">
      <c r="A49" s="6"/>
      <c r="B49" s="40"/>
      <c r="C49" s="129"/>
      <c r="D49" s="45" t="s">
        <v>40</v>
      </c>
      <c r="E49" s="45">
        <f>AVERAGE(M7:M8)</f>
        <v>19.802945498728899</v>
      </c>
      <c r="F49" s="52">
        <f t="shared" si="13"/>
        <v>13.744448491229504</v>
      </c>
      <c r="G49" s="52">
        <f>SUM(E49*(LOG(E40)/LOG(2)))</f>
        <v>19.832964820691235</v>
      </c>
      <c r="H49" s="52">
        <f t="shared" si="14"/>
        <v>13.460986940882275</v>
      </c>
      <c r="I49" s="6"/>
      <c r="J49" s="120"/>
      <c r="K49" s="45" t="s">
        <v>40</v>
      </c>
      <c r="L49" s="45">
        <f>AVERAGE(E10:E11)</f>
        <v>16.3833063150113</v>
      </c>
      <c r="M49" s="52">
        <f t="shared" si="15"/>
        <v>11.760972791148324</v>
      </c>
      <c r="N49" s="52">
        <f t="shared" si="0"/>
        <v>9.4686950720243548</v>
      </c>
      <c r="O49" s="52">
        <f t="shared" si="16"/>
        <v>187.6915019974364</v>
      </c>
      <c r="P49" s="6"/>
      <c r="Q49" s="120"/>
      <c r="R49" s="45" t="s">
        <v>40</v>
      </c>
      <c r="S49" s="45">
        <f>AVERAGE(S10:S11)</f>
        <v>23.526836824576201</v>
      </c>
      <c r="T49" s="52">
        <f t="shared" si="1"/>
        <v>16.456205811321567</v>
      </c>
      <c r="U49" s="52">
        <f t="shared" si="2"/>
        <v>161.07679355191729</v>
      </c>
      <c r="V49" s="52">
        <f t="shared" si="3"/>
        <v>5.3097627900141664E-283</v>
      </c>
      <c r="W49" s="6"/>
      <c r="X49" s="120"/>
      <c r="Y49" s="45" t="s">
        <v>40</v>
      </c>
      <c r="Z49" s="45">
        <f>AVERAGE(M13:M14)</f>
        <v>18.280869168798603</v>
      </c>
      <c r="AA49" s="52">
        <f t="shared" si="4"/>
        <v>12.764437247534627</v>
      </c>
      <c r="AB49" s="52">
        <f t="shared" si="5"/>
        <v>19.41671981416814</v>
      </c>
      <c r="AC49" s="52">
        <f t="shared" si="6"/>
        <v>5.53135616356737</v>
      </c>
      <c r="AD49" s="6"/>
      <c r="AE49" s="120"/>
      <c r="AF49" s="45" t="s">
        <v>40</v>
      </c>
      <c r="AG49" s="45">
        <f>AVERAGE(E16:E17)</f>
        <v>17.926812237248051</v>
      </c>
      <c r="AH49" s="52">
        <f t="shared" si="7"/>
        <v>11.371186913122694</v>
      </c>
      <c r="AI49" s="52">
        <f t="shared" si="8"/>
        <v>17.907018650073631</v>
      </c>
      <c r="AJ49" s="52">
        <f t="shared" si="9"/>
        <v>11.528098612024204</v>
      </c>
      <c r="AK49" s="6"/>
      <c r="AL49" s="120"/>
      <c r="AM49" s="45" t="s">
        <v>40</v>
      </c>
      <c r="AN49" s="45">
        <f>AVERAGE(S16:S17)</f>
        <v>19.0652339365251</v>
      </c>
      <c r="AO49" s="52">
        <f t="shared" si="11"/>
        <v>11.043522927290846</v>
      </c>
      <c r="AP49" s="45">
        <f t="shared" si="10"/>
        <v>18.501208299060149</v>
      </c>
      <c r="AQ49" s="52">
        <f t="shared" si="12"/>
        <v>16.138874615497645</v>
      </c>
      <c r="AR49" s="36"/>
      <c r="AS49" s="3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row>
    <row r="50" spans="1:88">
      <c r="A50" s="6"/>
      <c r="B50" s="40"/>
      <c r="C50" s="129"/>
      <c r="D50" s="46" t="s">
        <v>41</v>
      </c>
      <c r="E50" s="46">
        <f>AVERAGE(N7:N8)</f>
        <v>20.388507603200601</v>
      </c>
      <c r="F50" s="53">
        <f t="shared" si="13"/>
        <v>9.1535245276097719</v>
      </c>
      <c r="G50" s="53">
        <f>SUM(E50*(LOG(E40)/LOG(2)))</f>
        <v>20.419414579847651</v>
      </c>
      <c r="H50" s="53">
        <f t="shared" si="14"/>
        <v>8.9592224257304434</v>
      </c>
      <c r="I50" s="6"/>
      <c r="J50" s="120"/>
      <c r="K50" s="46" t="s">
        <v>41</v>
      </c>
      <c r="L50" s="46">
        <f>AVERAGE(F10:F11)</f>
        <v>16.35763529642675</v>
      </c>
      <c r="M50" s="53">
        <f t="shared" si="15"/>
        <v>11.882545310771622</v>
      </c>
      <c r="N50" s="53">
        <f t="shared" si="0"/>
        <v>9.4538585645153272</v>
      </c>
      <c r="O50" s="53">
        <f t="shared" si="16"/>
        <v>188.81037706217873</v>
      </c>
      <c r="P50" s="6"/>
      <c r="Q50" s="120"/>
      <c r="R50" s="46" t="s">
        <v>41</v>
      </c>
      <c r="S50" s="46">
        <f>AVERAGE(T10:T11)</f>
        <v>23.573185826615401</v>
      </c>
      <c r="T50" s="53">
        <f>10^((S50-24.117)/-0.4852)</f>
        <v>13.206999141107852</v>
      </c>
      <c r="U50" s="53">
        <f t="shared" si="2"/>
        <v>161.39412259570133</v>
      </c>
      <c r="V50" s="53">
        <f>10^((U50-24.117)/-0.4852)</f>
        <v>1.1777636036625133E-283</v>
      </c>
      <c r="W50" s="6"/>
      <c r="X50" s="120"/>
      <c r="Y50" s="46" t="s">
        <v>41</v>
      </c>
      <c r="Z50" s="46">
        <f>AVERAGE(N13:N14)</f>
        <v>18.804523185077848</v>
      </c>
      <c r="AA50" s="53">
        <f t="shared" si="4"/>
        <v>8.6810386364971563</v>
      </c>
      <c r="AB50" s="53">
        <f t="shared" si="5"/>
        <v>19.972910180160795</v>
      </c>
      <c r="AC50" s="53">
        <f t="shared" si="6"/>
        <v>3.6728117019007822</v>
      </c>
      <c r="AD50" s="6"/>
      <c r="AE50" s="120"/>
      <c r="AF50" s="46" t="s">
        <v>41</v>
      </c>
      <c r="AG50" s="46">
        <f>AVERAGE(F16:F17)</f>
        <v>17.998864432531651</v>
      </c>
      <c r="AH50" s="53">
        <f t="shared" si="7"/>
        <v>10.817823086261813</v>
      </c>
      <c r="AI50" s="53">
        <f t="shared" si="8"/>
        <v>17.97899129014186</v>
      </c>
      <c r="AJ50" s="53">
        <f t="shared" si="9"/>
        <v>10.967702996926864</v>
      </c>
      <c r="AK50" s="6"/>
      <c r="AL50" s="120"/>
      <c r="AM50" s="46" t="s">
        <v>41</v>
      </c>
      <c r="AN50" s="46">
        <f>AVERAGE(T16:T17)</f>
        <v>19.247359796450048</v>
      </c>
      <c r="AO50" s="53">
        <f t="shared" si="11"/>
        <v>9.7702177428705088</v>
      </c>
      <c r="AP50" s="46">
        <f t="shared" si="10"/>
        <v>18.677946149869395</v>
      </c>
      <c r="AQ50" s="53">
        <f t="shared" si="12"/>
        <v>14.329921839555036</v>
      </c>
      <c r="AR50" s="36"/>
      <c r="AS50" s="3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c r="A51" s="6"/>
      <c r="B51" s="40"/>
      <c r="C51" s="129"/>
      <c r="D51" s="47" t="s">
        <v>42</v>
      </c>
      <c r="E51" s="47">
        <f>AVERAGE(O7:O8)</f>
        <v>20.113130033868501</v>
      </c>
      <c r="F51" s="54">
        <f t="shared" si="13"/>
        <v>11.081815661347507</v>
      </c>
      <c r="G51" s="54">
        <f>SUM(E51*(LOG(E40)/LOG(2)))</f>
        <v>20.14361956514534</v>
      </c>
      <c r="H51" s="54">
        <f t="shared" si="14"/>
        <v>10.849725356933183</v>
      </c>
      <c r="I51" s="6"/>
      <c r="J51" s="120"/>
      <c r="K51" s="47" t="s">
        <v>42</v>
      </c>
      <c r="L51" s="47">
        <f>AVERAGE(G10:G11)</f>
        <v>15.925192187418251</v>
      </c>
      <c r="M51" s="54">
        <f t="shared" si="15"/>
        <v>14.130117143263364</v>
      </c>
      <c r="N51" s="54">
        <f t="shared" si="0"/>
        <v>9.2039290413489372</v>
      </c>
      <c r="O51" s="54">
        <f t="shared" si="16"/>
        <v>208.69329708765156</v>
      </c>
      <c r="P51" s="6"/>
      <c r="Q51" s="120"/>
      <c r="R51" s="47" t="s">
        <v>42</v>
      </c>
      <c r="S51" s="47">
        <f>AVERAGE(U10:U11)</f>
        <v>23.328779824260302</v>
      </c>
      <c r="T51" s="54">
        <f>10^((S51- 24.117)/-0.4852)</f>
        <v>42.12368251794549</v>
      </c>
      <c r="U51" s="54">
        <f t="shared" si="2"/>
        <v>159.72079372970273</v>
      </c>
      <c r="V51" s="54">
        <f>10^((U51- 24.117)/-0.4852)</f>
        <v>3.3097758175438271E-280</v>
      </c>
      <c r="W51" s="6"/>
      <c r="X51" s="120"/>
      <c r="Y51" s="47" t="s">
        <v>42</v>
      </c>
      <c r="Z51" s="47">
        <f>AVERAGE(O13:O14)</f>
        <v>18.757351178575249</v>
      </c>
      <c r="AA51" s="54">
        <f t="shared" si="4"/>
        <v>8.98781620040603</v>
      </c>
      <c r="AB51" s="54">
        <f t="shared" si="5"/>
        <v>19.922807221440628</v>
      </c>
      <c r="AC51" s="54">
        <f t="shared" si="6"/>
        <v>3.8108186496242431</v>
      </c>
      <c r="AD51" s="6"/>
      <c r="AE51" s="120"/>
      <c r="AF51" s="47" t="s">
        <v>42</v>
      </c>
      <c r="AG51" s="47">
        <f>AVERAGE(G16:G17)</f>
        <v>17.947293986249001</v>
      </c>
      <c r="AH51" s="54">
        <f t="shared" si="7"/>
        <v>11.211067957889615</v>
      </c>
      <c r="AI51" s="54">
        <f t="shared" si="8"/>
        <v>17.9274777844971</v>
      </c>
      <c r="AJ51" s="54">
        <f t="shared" si="9"/>
        <v>11.365948131350487</v>
      </c>
      <c r="AK51" s="6"/>
      <c r="AL51" s="120"/>
      <c r="AM51" s="47" t="s">
        <v>42</v>
      </c>
      <c r="AN51" s="47">
        <f>AVERAGE(U16:U17)</f>
        <v>19.157185397964248</v>
      </c>
      <c r="AO51" s="54">
        <f t="shared" si="11"/>
        <v>10.381171798287772</v>
      </c>
      <c r="AP51" s="47">
        <f t="shared" si="10"/>
        <v>18.59043946963758</v>
      </c>
      <c r="AQ51" s="54">
        <f t="shared" si="12"/>
        <v>15.198707315191687</v>
      </c>
      <c r="AR51" s="36"/>
      <c r="AS51" s="3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row>
    <row r="52" spans="1:88">
      <c r="A52" s="6"/>
      <c r="B52" s="37"/>
      <c r="C52" s="130"/>
      <c r="D52" s="48" t="s">
        <v>43</v>
      </c>
      <c r="E52" s="48">
        <f>AVERAGE(P7:P8)</f>
        <v>21.415945295581452</v>
      </c>
      <c r="F52" s="55">
        <f t="shared" si="13"/>
        <v>4.4856969834138765</v>
      </c>
      <c r="G52" s="55">
        <f>SUM(E52*(LOG(E40)/LOG(2)))</f>
        <v>21.448409766939871</v>
      </c>
      <c r="H52" s="55">
        <f t="shared" si="14"/>
        <v>4.3857345148816487</v>
      </c>
      <c r="I52" s="6"/>
      <c r="J52" s="121"/>
      <c r="K52" s="48" t="s">
        <v>43</v>
      </c>
      <c r="L52" s="48">
        <f>AVERAGE(H10:H11)</f>
        <v>17.501330101931799</v>
      </c>
      <c r="M52" s="55">
        <f t="shared" si="15"/>
        <v>7.515015891186736</v>
      </c>
      <c r="N52" s="55">
        <f t="shared" si="0"/>
        <v>10.114854407513336</v>
      </c>
      <c r="O52" s="55">
        <f t="shared" si="16"/>
        <v>144.88587930374348</v>
      </c>
      <c r="P52" s="6"/>
      <c r="Q52" s="121"/>
      <c r="R52" s="48" t="s">
        <v>43</v>
      </c>
      <c r="S52" s="48">
        <f>AVERAGE(V10:V11)</f>
        <v>24.422604166678852</v>
      </c>
      <c r="T52" s="55">
        <f>10^((S52-24.117)/-0.4852)</f>
        <v>0.23450280878169757</v>
      </c>
      <c r="U52" s="55">
        <f t="shared" si="2"/>
        <v>167.20967628112871</v>
      </c>
      <c r="V52" s="55">
        <f>10^((U52-24.117)/-0.4852)</f>
        <v>1.2166577393074201E-295</v>
      </c>
      <c r="W52" s="6"/>
      <c r="X52" s="121"/>
      <c r="Y52" s="48" t="s">
        <v>43</v>
      </c>
      <c r="Z52" s="48">
        <f>AVERAGE(P13:P14)</f>
        <v>19.1240538033387</v>
      </c>
      <c r="AA52" s="55">
        <f t="shared" si="4"/>
        <v>6.8613076431757785</v>
      </c>
      <c r="AB52" s="55">
        <f t="shared" si="5"/>
        <v>20.312294288735245</v>
      </c>
      <c r="AC52" s="55">
        <f t="shared" si="6"/>
        <v>2.8607903438597853</v>
      </c>
      <c r="AD52" s="6"/>
      <c r="AE52" s="121"/>
      <c r="AF52" s="48" t="s">
        <v>43</v>
      </c>
      <c r="AG52" s="48">
        <f>AVERAGE(H16:H17)</f>
        <v>18.37097852526205</v>
      </c>
      <c r="AH52" s="55">
        <f t="shared" si="7"/>
        <v>8.3607657042554475</v>
      </c>
      <c r="AI52" s="55">
        <f t="shared" si="8"/>
        <v>18.350694519377075</v>
      </c>
      <c r="AJ52" s="55">
        <f t="shared" si="9"/>
        <v>8.479015038331541</v>
      </c>
      <c r="AK52" s="6"/>
      <c r="AL52" s="121"/>
      <c r="AM52" s="48" t="s">
        <v>43</v>
      </c>
      <c r="AN52" s="48">
        <f>AVERAGE(V16:V17)</f>
        <v>20.1974246924465</v>
      </c>
      <c r="AO52" s="55">
        <f t="shared" si="11"/>
        <v>5.1566442764864542</v>
      </c>
      <c r="AP52" s="48">
        <f t="shared" si="10"/>
        <v>19.59990433810755</v>
      </c>
      <c r="AQ52" s="55">
        <f t="shared" si="12"/>
        <v>7.7075687159777351</v>
      </c>
      <c r="AR52" s="36"/>
      <c r="AS52" s="3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row>
    <row r="53" spans="1:88">
      <c r="A53" s="6"/>
      <c r="B53" s="6"/>
      <c r="C53" s="124" t="s">
        <v>34</v>
      </c>
      <c r="D53" s="125"/>
      <c r="E53" s="57">
        <f>AVERAGE(Q7:Q8)</f>
        <v>38.831318450284201</v>
      </c>
      <c r="F53" s="56">
        <f t="shared" si="13"/>
        <v>2.5196083375315919E-5</v>
      </c>
      <c r="G53" s="56">
        <f>SUM(E53*(LOG(E40)/LOG(2)))</f>
        <v>38.890182918242054</v>
      </c>
      <c r="H53" s="56">
        <f t="shared" si="14"/>
        <v>2.4187233905099652E-5</v>
      </c>
      <c r="I53" s="6"/>
      <c r="J53" s="124" t="s">
        <v>34</v>
      </c>
      <c r="K53" s="125"/>
      <c r="L53" s="57">
        <f>AVERAGE(Z7:Z8)</f>
        <v>37.563736996212654</v>
      </c>
      <c r="M53" s="56">
        <f t="shared" si="15"/>
        <v>2.4292945977074836E-3</v>
      </c>
      <c r="N53" s="56">
        <f t="shared" si="0"/>
        <v>21.709877392511682</v>
      </c>
      <c r="O53" s="56">
        <f t="shared" si="16"/>
        <v>1.3922861044162682</v>
      </c>
      <c r="P53" s="6"/>
      <c r="Q53" s="124" t="s">
        <v>34</v>
      </c>
      <c r="R53" s="125"/>
      <c r="S53" s="57">
        <f>AVERAGE(W10:W11)</f>
        <v>33.2676771698588</v>
      </c>
      <c r="T53" s="56">
        <f>10^((S53-24.117)/-0.4852)</f>
        <v>1.3816611497354317E-19</v>
      </c>
      <c r="U53" s="56">
        <f t="shared" si="2"/>
        <v>227.7675833516011</v>
      </c>
      <c r="V53" s="56">
        <f>10^((U53-24.117)/-0.4852)</f>
        <v>0</v>
      </c>
      <c r="W53" s="6"/>
      <c r="X53" s="124" t="s">
        <v>34</v>
      </c>
      <c r="Y53" s="125"/>
      <c r="Z53" s="57" t="e">
        <f>AVERAGE(Q13:Q14)</f>
        <v>#DIV/0!</v>
      </c>
      <c r="AA53" s="56" t="e">
        <f t="shared" si="4"/>
        <v>#DIV/0!</v>
      </c>
      <c r="AB53" s="56" t="e">
        <f t="shared" si="5"/>
        <v>#DIV/0!</v>
      </c>
      <c r="AC53" s="56" t="e">
        <f t="shared" si="6"/>
        <v>#DIV/0!</v>
      </c>
      <c r="AD53" s="6"/>
      <c r="AE53" s="122" t="s">
        <v>34</v>
      </c>
      <c r="AF53" s="123"/>
      <c r="AG53" s="57">
        <f>AVERAGE(Z13:Z14)</f>
        <v>36.964380140096395</v>
      </c>
      <c r="AH53" s="56">
        <f t="shared" si="7"/>
        <v>2.1441465636465204E-5</v>
      </c>
      <c r="AI53" s="56">
        <f t="shared" si="8"/>
        <v>36.923566543626009</v>
      </c>
      <c r="AJ53" s="56">
        <f t="shared" si="9"/>
        <v>2.2056013534421593E-5</v>
      </c>
      <c r="AK53" s="6"/>
      <c r="AL53" s="122" t="s">
        <v>34</v>
      </c>
      <c r="AM53" s="123"/>
      <c r="AN53" s="57">
        <f>AVERAGE(W16:W17)</f>
        <v>38.128029628641848</v>
      </c>
      <c r="AO53" s="56">
        <f t="shared" si="11"/>
        <v>2.9812696137256457E-5</v>
      </c>
      <c r="AP53" s="57">
        <f t="shared" si="10"/>
        <v>37.000050486703408</v>
      </c>
      <c r="AQ53" s="56">
        <f t="shared" si="12"/>
        <v>6.3666562589190088E-5</v>
      </c>
      <c r="AR53" s="36"/>
      <c r="AS53" s="3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row>
    <row r="54" spans="1:88">
      <c r="A54" s="6"/>
      <c r="B54" s="6"/>
      <c r="C54" s="104" t="s">
        <v>84</v>
      </c>
      <c r="D54" s="105"/>
      <c r="E54" s="86">
        <f>AVERAGE(E44:E52)</f>
        <v>20.218266994710344</v>
      </c>
      <c r="F54" s="86">
        <f>AVERAGE(F44:F52)</f>
        <v>11.409266835374311</v>
      </c>
      <c r="G54" s="86">
        <f>AVERAGE(G44:G52)</f>
        <v>20.248915903301928</v>
      </c>
      <c r="H54" s="86">
        <f>AVERAGE(H44:H52)</f>
        <v>11.172495749852803</v>
      </c>
      <c r="I54" s="6"/>
      <c r="J54" s="104" t="s">
        <v>84</v>
      </c>
      <c r="K54" s="105"/>
      <c r="L54" s="86">
        <f>AVERAGE(L44:L52)</f>
        <v>16.551999127069816</v>
      </c>
      <c r="M54" s="86">
        <f>AVERAGE(M44:M52)</f>
        <v>11.735971566826011</v>
      </c>
      <c r="N54" s="86">
        <f>AVERAGE(N44:N52)</f>
        <v>9.5661907037065177</v>
      </c>
      <c r="O54" s="86">
        <f>AVERAGE(O44:O52)</f>
        <v>184.49774925748781</v>
      </c>
      <c r="P54" s="6"/>
      <c r="Q54" s="104" t="s">
        <v>84</v>
      </c>
      <c r="R54" s="105"/>
      <c r="S54" s="86">
        <f>AVERAGE(S44:S52)</f>
        <v>23.670464159231024</v>
      </c>
      <c r="T54" s="86">
        <f>AVERAGE(T44:T52)</f>
        <v>119.9358415447528</v>
      </c>
      <c r="U54" s="86">
        <f>AVERAGE(U44:U52)</f>
        <v>162.06013996202373</v>
      </c>
      <c r="V54" s="86">
        <f>AVERAGE(V44:V52)</f>
        <v>1.3153302009229769E-272</v>
      </c>
      <c r="W54" s="6"/>
      <c r="X54" s="104" t="s">
        <v>84</v>
      </c>
      <c r="Y54" s="105"/>
      <c r="Z54" s="86">
        <f>AVERAGE(Z44:Z52)</f>
        <v>18.645200725325672</v>
      </c>
      <c r="AA54" s="86">
        <f>AVERAGE(AA44:AA52)</f>
        <v>10.065248551628946</v>
      </c>
      <c r="AB54" s="86">
        <f>AVERAGE(AB44:AB52)</f>
        <v>19.803688490943085</v>
      </c>
      <c r="AC54" s="86">
        <f>AVERAGE(AC44:AC52)</f>
        <v>4.3066929786388748</v>
      </c>
      <c r="AD54" s="6"/>
      <c r="AE54" s="104" t="s">
        <v>84</v>
      </c>
      <c r="AF54" s="105"/>
      <c r="AG54" s="86">
        <f>AVERAGE(AG44:AG52)</f>
        <v>18.045376520710199</v>
      </c>
      <c r="AH54" s="86">
        <f>AVERAGE(AH44:AH52)</f>
        <v>10.689280375280202</v>
      </c>
      <c r="AI54" s="86">
        <f>AVERAGE(AI44:AI52)</f>
        <v>18.025452022783249</v>
      </c>
      <c r="AJ54" s="86">
        <f>AVERAGE(AJ44:AJ52)</f>
        <v>10.837285539040433</v>
      </c>
      <c r="AK54" s="6"/>
      <c r="AL54" s="104" t="s">
        <v>84</v>
      </c>
      <c r="AM54" s="105"/>
      <c r="AN54" s="86">
        <f>AVERAGE(AN44:AN52)</f>
        <v>19.345246794626895</v>
      </c>
      <c r="AO54" s="86">
        <f>AVERAGE(AO44:AO52)</f>
        <v>9.5474175899856917</v>
      </c>
      <c r="AP54" s="86">
        <f>AVERAGE(AP44:AP52)</f>
        <v>18.772937260341426</v>
      </c>
      <c r="AQ54" s="86">
        <f>AVERAGE(AQ44:AQ52)</f>
        <v>13.996438538321691</v>
      </c>
      <c r="AR54" s="36"/>
      <c r="AS54" s="3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c r="A55" s="6"/>
      <c r="B55" s="6"/>
      <c r="C55" s="104" t="s">
        <v>85</v>
      </c>
      <c r="D55" s="105"/>
      <c r="E55" s="86">
        <f>(E56/SQRT(9))</f>
        <v>0.218976007833625</v>
      </c>
      <c r="F55" s="86">
        <f>(F56/SQRT(9))</f>
        <v>1.7381590386796786</v>
      </c>
      <c r="G55" s="86">
        <f>(G56/SQRT(9))</f>
        <v>0.21930795397171879</v>
      </c>
      <c r="H55" s="86">
        <f>(H56/SQRT(9))</f>
        <v>1.7047014431800538</v>
      </c>
      <c r="I55" s="6"/>
      <c r="J55" s="104" t="s">
        <v>85</v>
      </c>
      <c r="K55" s="105"/>
      <c r="L55" s="86">
        <f>(L56/SQRT(9))</f>
        <v>0.30024114955544395</v>
      </c>
      <c r="M55" s="86">
        <f>(M56/SQRT(9))</f>
        <v>1.4257081891579848</v>
      </c>
      <c r="N55" s="86">
        <f>(N56/SQRT(9))</f>
        <v>0.17352369775383766</v>
      </c>
      <c r="O55" s="86">
        <f>(O56/SQRT(9))</f>
        <v>12.966343277537021</v>
      </c>
      <c r="P55" s="6"/>
      <c r="Q55" s="104" t="s">
        <v>85</v>
      </c>
      <c r="R55" s="105"/>
      <c r="S55" s="86">
        <f>(S56/SQRT(9))</f>
        <v>0.18961368397960321</v>
      </c>
      <c r="T55" s="86">
        <f>(T56/SQRT(9))</f>
        <v>78.415834055052144</v>
      </c>
      <c r="U55" s="86">
        <f>(U56/SQRT(9))</f>
        <v>1.2981925473762133</v>
      </c>
      <c r="V55" s="86">
        <f>(V56/SQRT(9))</f>
        <v>0</v>
      </c>
      <c r="W55" s="6"/>
      <c r="X55" s="104" t="s">
        <v>85</v>
      </c>
      <c r="Y55" s="105"/>
      <c r="Z55" s="86">
        <f>(Z56/SQRT(9))</f>
        <v>0.11040471837045591</v>
      </c>
      <c r="AA55" s="86">
        <f>(AA56/SQRT(9))</f>
        <v>0.8577324128667182</v>
      </c>
      <c r="AB55" s="86">
        <f>(AB56/SQRT(9))</f>
        <v>0.11726452735738085</v>
      </c>
      <c r="AC55" s="86">
        <f>(AC56/SQRT(9))</f>
        <v>0.3907069525484686</v>
      </c>
      <c r="AD55" s="6"/>
      <c r="AE55" s="104" t="s">
        <v>85</v>
      </c>
      <c r="AF55" s="105"/>
      <c r="AG55" s="86">
        <f>(AG56/SQRT(9))</f>
        <v>9.779005441968959E-2</v>
      </c>
      <c r="AH55" s="86">
        <f>(AH56/SQRT(9))</f>
        <v>0.70650815148793378</v>
      </c>
      <c r="AI55" s="86">
        <f>(AI56/SQRT(9))</f>
        <v>9.7682081181540661E-2</v>
      </c>
      <c r="AJ55" s="86">
        <f>(AJ56/SQRT(9))</f>
        <v>0.71551926620971595</v>
      </c>
      <c r="AK55" s="6"/>
      <c r="AL55" s="104" t="s">
        <v>85</v>
      </c>
      <c r="AM55" s="105"/>
      <c r="AN55" s="86">
        <f>(AN56/SQRT(9))</f>
        <v>0.14868781677593998</v>
      </c>
      <c r="AO55" s="86">
        <f>(AO56/SQRT(9))</f>
        <v>0.89208911492067522</v>
      </c>
      <c r="AP55" s="86">
        <f>(AP56/SQRT(9))</f>
        <v>0.14428903830201548</v>
      </c>
      <c r="AQ55" s="86">
        <f>(AQ56/SQRT(9))</f>
        <v>1.2716308213506349</v>
      </c>
      <c r="AR55" s="36"/>
      <c r="AS55" s="3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row>
    <row r="56" spans="1:88">
      <c r="A56" s="6"/>
      <c r="B56" s="6"/>
      <c r="C56" s="104" t="s">
        <v>86</v>
      </c>
      <c r="D56" s="105"/>
      <c r="E56" s="86">
        <f>_xlfn.STDEV.P(E44:E52)</f>
        <v>0.65692802350087498</v>
      </c>
      <c r="F56" s="86">
        <f>_xlfn.STDEV.P(F44:F52)</f>
        <v>5.2144771160390357</v>
      </c>
      <c r="G56" s="86">
        <f>_xlfn.STDEV.P(G44:G52)</f>
        <v>0.65792386191515639</v>
      </c>
      <c r="H56" s="86">
        <f>_xlfn.STDEV.P(H44:H52)</f>
        <v>5.1141043295401616</v>
      </c>
      <c r="I56" s="6"/>
      <c r="J56" s="104" t="s">
        <v>86</v>
      </c>
      <c r="K56" s="105"/>
      <c r="L56" s="86">
        <f>_xlfn.STDEV.P(L44:L52)</f>
        <v>0.90072344866633181</v>
      </c>
      <c r="M56" s="86">
        <f>_xlfn.STDEV.P(M44:M52)</f>
        <v>4.2771245674739546</v>
      </c>
      <c r="N56" s="86">
        <f>_xlfn.STDEV.P(N44:N52)</f>
        <v>0.52057109326151296</v>
      </c>
      <c r="O56" s="86">
        <f>_xlfn.STDEV.P(O44:O52)</f>
        <v>38.899029832611063</v>
      </c>
      <c r="P56" s="6"/>
      <c r="Q56" s="104" t="s">
        <v>86</v>
      </c>
      <c r="R56" s="105"/>
      <c r="S56" s="86">
        <f>_xlfn.STDEV.P(S44:S52)</f>
        <v>0.56884105193880963</v>
      </c>
      <c r="T56" s="86">
        <f>_xlfn.STDEV.P(T44:T52)</f>
        <v>235.24750216515642</v>
      </c>
      <c r="U56" s="86">
        <f>_xlfn.STDEV.P(U44:U52)</f>
        <v>3.89457764212864</v>
      </c>
      <c r="V56" s="86">
        <f>_xlfn.STDEV.P(V44:V52)</f>
        <v>0</v>
      </c>
      <c r="W56" s="6"/>
      <c r="X56" s="104" t="s">
        <v>86</v>
      </c>
      <c r="Y56" s="105"/>
      <c r="Z56" s="86">
        <f>_xlfn.STDEV.P(Z44:Z52)</f>
        <v>0.33121415511136776</v>
      </c>
      <c r="AA56" s="86">
        <f>_xlfn.STDEV.P(AA44:AA52)</f>
        <v>2.5731972386001547</v>
      </c>
      <c r="AB56" s="86">
        <f>_xlfn.STDEV.P(AB44:AB52)</f>
        <v>0.35179358207214256</v>
      </c>
      <c r="AC56" s="86">
        <f>_xlfn.STDEV.P(AC44:AC52)</f>
        <v>1.1721208576454059</v>
      </c>
      <c r="AD56" s="6"/>
      <c r="AE56" s="104" t="s">
        <v>86</v>
      </c>
      <c r="AF56" s="105"/>
      <c r="AG56" s="86">
        <f>_xlfn.STDEV.P(AG44:AG52)</f>
        <v>0.29337016325906878</v>
      </c>
      <c r="AH56" s="86">
        <f>_xlfn.STDEV.P(AH44:AH52)</f>
        <v>2.1195244544638014</v>
      </c>
      <c r="AI56" s="86">
        <f>_xlfn.STDEV.P(AI44:AI52)</f>
        <v>0.293046243544622</v>
      </c>
      <c r="AJ56" s="86">
        <f>_xlfn.STDEV.P(AJ44:AJ52)</f>
        <v>2.1465577986291478</v>
      </c>
      <c r="AK56" s="6"/>
      <c r="AL56" s="104" t="s">
        <v>86</v>
      </c>
      <c r="AM56" s="105"/>
      <c r="AN56" s="86">
        <f>_xlfn.STDEV.P(AN44:AN52)</f>
        <v>0.44606345032781991</v>
      </c>
      <c r="AO56" s="86">
        <f>_xlfn.STDEV.P(AO44:AO52)</f>
        <v>2.6762673447620258</v>
      </c>
      <c r="AP56" s="86">
        <f>_xlfn.STDEV.P(AP44:AP52)</f>
        <v>0.4328671149060464</v>
      </c>
      <c r="AQ56" s="86">
        <f>_xlfn.STDEV.P(AQ44:AQ52)</f>
        <v>3.8148924640519049</v>
      </c>
      <c r="AR56" s="36"/>
      <c r="AS56" s="3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row>
    <row r="57" spans="1:88">
      <c r="A57" s="6"/>
      <c r="B57" s="6"/>
      <c r="C57" s="104" t="s">
        <v>87</v>
      </c>
      <c r="D57" s="105"/>
      <c r="E57" s="86">
        <f>SUM(E56/E54)</f>
        <v>3.2491806724718068E-2</v>
      </c>
      <c r="F57" s="86">
        <f>SUM(F56/F54)</f>
        <v>0.45703875553787598</v>
      </c>
      <c r="G57" s="86">
        <f>SUM(G56/G54)</f>
        <v>3.2491806724718075E-2</v>
      </c>
      <c r="H57" s="86">
        <f>SUM(H56/H54)</f>
        <v>0.45774054822151439</v>
      </c>
      <c r="I57" s="6"/>
      <c r="J57" s="104" t="s">
        <v>87</v>
      </c>
      <c r="K57" s="105"/>
      <c r="L57" s="86">
        <f>SUM(L56/L54)</f>
        <v>5.4417804263489349E-2</v>
      </c>
      <c r="M57" s="86">
        <f>SUM(M56/M54)</f>
        <v>0.36444571658336944</v>
      </c>
      <c r="N57" s="86">
        <f>SUM(N56/N54)</f>
        <v>5.4417804263489376E-2</v>
      </c>
      <c r="O57" s="86">
        <f>SUM(O56/O54)</f>
        <v>0.21083742207783249</v>
      </c>
      <c r="P57" s="6"/>
      <c r="Q57" s="104" t="s">
        <v>87</v>
      </c>
      <c r="R57" s="105"/>
      <c r="S57" s="86">
        <f>SUM(S56/S54)</f>
        <v>2.4031681343982966E-2</v>
      </c>
      <c r="T57" s="86">
        <f>SUM(T56/T54)</f>
        <v>1.9614445451435489</v>
      </c>
      <c r="U57" s="86">
        <f>SUM(U56/U54)</f>
        <v>2.4031681343983004E-2</v>
      </c>
      <c r="V57" s="86">
        <f>SUM(V56/V54)</f>
        <v>0</v>
      </c>
      <c r="W57" s="6"/>
      <c r="X57" s="104" t="s">
        <v>87</v>
      </c>
      <c r="Y57" s="105"/>
      <c r="Z57" s="86">
        <f>SUM(Z56/Z54)</f>
        <v>1.7764043412065895E-2</v>
      </c>
      <c r="AA57" s="86">
        <f>SUM(AA56/AA54)</f>
        <v>0.25565163397616369</v>
      </c>
      <c r="AB57" s="86">
        <f>SUM(AB56/AB54)</f>
        <v>1.7764043412065889E-2</v>
      </c>
      <c r="AC57" s="86">
        <f>SUM(AC56/AC54)</f>
        <v>0.27216262302864536</v>
      </c>
      <c r="AD57" s="6"/>
      <c r="AE57" s="104" t="s">
        <v>87</v>
      </c>
      <c r="AF57" s="105"/>
      <c r="AG57" s="86">
        <f>SUM(AG56/AG54)</f>
        <v>1.6257358937474962E-2</v>
      </c>
      <c r="AH57" s="86">
        <f>SUM(AH56/AH54)</f>
        <v>0.19828504633159102</v>
      </c>
      <c r="AI57" s="86">
        <f>SUM(AI56/AI54)</f>
        <v>1.6257358937474996E-2</v>
      </c>
      <c r="AJ57" s="86">
        <f>SUM(AJ56/AJ54)</f>
        <v>0.19807153653895609</v>
      </c>
      <c r="AK57" s="6"/>
      <c r="AL57" s="104" t="s">
        <v>87</v>
      </c>
      <c r="AM57" s="105"/>
      <c r="AN57" s="86">
        <f>SUM(AN56/AN54)</f>
        <v>2.3058038755634443E-2</v>
      </c>
      <c r="AO57" s="86">
        <f>SUM(AO56/AO54)</f>
        <v>0.28031321763585254</v>
      </c>
      <c r="AP57" s="86">
        <f>SUM(AP56/AP54)</f>
        <v>2.305803875563444E-2</v>
      </c>
      <c r="AQ57" s="86">
        <f>SUM(AQ56/AQ54)</f>
        <v>0.27256165585315734</v>
      </c>
      <c r="AR57" s="36"/>
      <c r="AS57" s="3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row>
    <row r="58" spans="1:8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88">
      <c r="A59" s="6"/>
      <c r="B59" s="6"/>
      <c r="C59" s="131" t="s">
        <v>48</v>
      </c>
      <c r="D59" s="131"/>
      <c r="E59" s="131"/>
      <c r="F59" s="6"/>
      <c r="G59" s="6"/>
      <c r="H59" s="6"/>
      <c r="I59" s="6"/>
      <c r="J59" s="96" t="s">
        <v>23</v>
      </c>
      <c r="K59" s="97"/>
      <c r="L59" s="98"/>
      <c r="M59" s="6"/>
      <c r="N59" s="6"/>
      <c r="O59" s="6"/>
      <c r="P59" s="6"/>
      <c r="Q59" s="131" t="s">
        <v>27</v>
      </c>
      <c r="R59" s="131"/>
      <c r="S59" s="131"/>
      <c r="T59" s="6"/>
      <c r="U59" s="6"/>
      <c r="V59" s="6"/>
      <c r="W59" s="6"/>
      <c r="X59" s="131" t="s">
        <v>24</v>
      </c>
      <c r="Y59" s="131"/>
      <c r="Z59" s="131"/>
      <c r="AA59" s="6"/>
      <c r="AB59" s="6"/>
      <c r="AC59" s="6"/>
      <c r="AD59" s="6"/>
      <c r="AE59" s="131" t="s">
        <v>25</v>
      </c>
      <c r="AF59" s="131"/>
      <c r="AG59" s="131"/>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row>
    <row r="60" spans="1:88" ht="15" customHeight="1">
      <c r="A60" s="6"/>
      <c r="B60" s="6"/>
      <c r="C60" s="132" t="s">
        <v>47</v>
      </c>
      <c r="D60" s="133"/>
      <c r="E60" s="134"/>
      <c r="F60" s="6"/>
      <c r="G60" s="6"/>
      <c r="H60" s="6"/>
      <c r="I60" s="6"/>
      <c r="J60" s="99" t="s">
        <v>47</v>
      </c>
      <c r="K60" s="100"/>
      <c r="L60" s="101"/>
      <c r="M60" s="6"/>
      <c r="N60" s="6"/>
      <c r="O60" s="6"/>
      <c r="P60" s="6"/>
      <c r="Q60" s="99" t="s">
        <v>47</v>
      </c>
      <c r="R60" s="100"/>
      <c r="S60" s="101"/>
      <c r="T60" s="6"/>
      <c r="U60" s="6"/>
      <c r="V60" s="6"/>
      <c r="W60" s="6"/>
      <c r="X60" s="99" t="s">
        <v>47</v>
      </c>
      <c r="Y60" s="159"/>
      <c r="Z60" s="160"/>
      <c r="AA60" s="6"/>
      <c r="AB60" s="6"/>
      <c r="AC60" s="6"/>
      <c r="AD60" s="6"/>
      <c r="AE60" s="99" t="s">
        <v>47</v>
      </c>
      <c r="AF60" s="100"/>
      <c r="AG60" s="101"/>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row>
    <row r="61" spans="1:88" ht="16">
      <c r="A61" s="6"/>
      <c r="B61" s="6"/>
      <c r="C61" s="31" t="s">
        <v>33</v>
      </c>
      <c r="D61" s="32" t="s">
        <v>45</v>
      </c>
      <c r="E61" s="64" t="s">
        <v>44</v>
      </c>
      <c r="F61" s="6"/>
      <c r="G61" s="6"/>
      <c r="H61" s="6"/>
      <c r="I61" s="6"/>
      <c r="J61" s="31" t="s">
        <v>33</v>
      </c>
      <c r="K61" s="32" t="s">
        <v>45</v>
      </c>
      <c r="L61" s="64" t="s">
        <v>44</v>
      </c>
      <c r="M61" s="6"/>
      <c r="N61" s="6"/>
      <c r="O61" s="6"/>
      <c r="P61" s="6"/>
      <c r="Q61" s="31" t="s">
        <v>33</v>
      </c>
      <c r="R61" s="32" t="s">
        <v>45</v>
      </c>
      <c r="S61" s="64" t="s">
        <v>44</v>
      </c>
      <c r="T61" s="6"/>
      <c r="U61" s="6"/>
      <c r="V61" s="6"/>
      <c r="W61" s="6"/>
      <c r="X61" s="31" t="s">
        <v>33</v>
      </c>
      <c r="Y61" s="32" t="s">
        <v>45</v>
      </c>
      <c r="Z61" s="64" t="s">
        <v>44</v>
      </c>
      <c r="AA61" s="6"/>
      <c r="AB61" s="6"/>
      <c r="AC61" s="6"/>
      <c r="AD61" s="6"/>
      <c r="AE61" s="31" t="s">
        <v>33</v>
      </c>
      <c r="AF61" s="32" t="s">
        <v>45</v>
      </c>
      <c r="AG61" s="64" t="s">
        <v>44</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row>
    <row r="62" spans="1:88">
      <c r="A62" s="6"/>
      <c r="B62" s="6"/>
      <c r="C62" s="58">
        <v>3.2000000000000001E-2</v>
      </c>
      <c r="D62" s="59">
        <f>LOG(C62)</f>
        <v>-1.494850021680094</v>
      </c>
      <c r="E62" s="60">
        <f>AVERAGE(C19:C20)</f>
        <v>28.978429465094351</v>
      </c>
      <c r="F62" s="6"/>
      <c r="G62" s="6"/>
      <c r="H62" s="6"/>
      <c r="I62" s="6"/>
      <c r="J62" s="58">
        <v>3.2000000000000001E-2</v>
      </c>
      <c r="K62" s="59">
        <f>LOG(J62)</f>
        <v>-1.494850021680094</v>
      </c>
      <c r="L62" s="60">
        <f>AVERAGE(R19:R20)</f>
        <v>28.177004356755653</v>
      </c>
      <c r="M62" s="6"/>
      <c r="N62" s="6"/>
      <c r="O62" s="6"/>
      <c r="P62" s="6"/>
      <c r="Q62" s="58">
        <v>3.2000000000000001E-2</v>
      </c>
      <c r="R62" s="59">
        <f>LOG(Q62)</f>
        <v>-1.494850021680094</v>
      </c>
      <c r="S62" s="60">
        <f>AVERAGE(I22:I23)</f>
        <v>24.521476770681499</v>
      </c>
      <c r="T62" s="6"/>
      <c r="U62" s="6"/>
      <c r="V62" s="6"/>
      <c r="W62" s="6"/>
      <c r="X62" s="58">
        <v>3.2000000000000001E-2</v>
      </c>
      <c r="Y62" s="59">
        <f>LOG(X62)</f>
        <v>-1.494850021680094</v>
      </c>
      <c r="Z62" s="60">
        <f>AVERAGE(C25:C26)</f>
        <v>26.567772319973251</v>
      </c>
      <c r="AA62" s="6"/>
      <c r="AB62" s="6"/>
      <c r="AC62" s="6"/>
      <c r="AD62" s="6"/>
      <c r="AE62" s="58">
        <v>3.2000000000000001E-2</v>
      </c>
      <c r="AF62" s="59">
        <f>LOG(AE62)</f>
        <v>-1.494850021680094</v>
      </c>
      <c r="AG62" s="60">
        <f>AVERAGE(I28:I29)</f>
        <v>30.195730915036748</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row>
    <row r="63" spans="1:88">
      <c r="A63" s="6"/>
      <c r="B63" s="6"/>
      <c r="C63" s="58">
        <v>0.16</v>
      </c>
      <c r="D63" s="59">
        <f>LOG(C63)</f>
        <v>-0.79588001734407521</v>
      </c>
      <c r="E63" s="60">
        <f>AVERAGE(D19:D20)</f>
        <v>27.435824873388349</v>
      </c>
      <c r="F63" s="6"/>
      <c r="G63" s="6"/>
      <c r="H63" s="6"/>
      <c r="I63" s="6"/>
      <c r="J63" s="58">
        <v>0.16</v>
      </c>
      <c r="K63" s="59">
        <f>LOG(J63)</f>
        <v>-0.79588001734407521</v>
      </c>
      <c r="L63" s="60">
        <f>AVERAGE(S19:S20)</f>
        <v>26.1082192306122</v>
      </c>
      <c r="M63" s="6"/>
      <c r="N63" s="6"/>
      <c r="O63" s="6"/>
      <c r="P63" s="6"/>
      <c r="Q63" s="58">
        <v>0.16</v>
      </c>
      <c r="R63" s="59">
        <f>LOG(Q63)</f>
        <v>-0.79588001734407521</v>
      </c>
      <c r="S63" s="60">
        <f>AVERAGE(J22:J23)</f>
        <v>22.900029642085102</v>
      </c>
      <c r="T63" s="6"/>
      <c r="U63" s="6"/>
      <c r="V63" s="6"/>
      <c r="W63" s="6"/>
      <c r="X63" s="58">
        <v>0.16</v>
      </c>
      <c r="Y63" s="59">
        <f>LOG(X63)</f>
        <v>-0.79588001734407521</v>
      </c>
      <c r="Z63" s="60">
        <f>AVERAGE(D25:D26)</f>
        <v>24.038299205144298</v>
      </c>
      <c r="AA63" s="6"/>
      <c r="AB63" s="6"/>
      <c r="AC63" s="6"/>
      <c r="AD63" s="6"/>
      <c r="AE63" s="58">
        <v>0.16</v>
      </c>
      <c r="AF63" s="59">
        <f>LOG(AE63)</f>
        <v>-0.79588001734407521</v>
      </c>
      <c r="AG63" s="60">
        <f>AVERAGE(J28:J29)</f>
        <v>28.928250248561248</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row>
    <row r="64" spans="1:88">
      <c r="A64" s="6"/>
      <c r="B64" s="6"/>
      <c r="C64" s="58">
        <v>0.8</v>
      </c>
      <c r="D64" s="59">
        <f>LOG(C64)</f>
        <v>-9.6910013008056392E-2</v>
      </c>
      <c r="E64" s="60">
        <f>AVERAGE(E19:E20)</f>
        <v>26.311545100666951</v>
      </c>
      <c r="F64" s="6"/>
      <c r="G64" s="6"/>
      <c r="H64" s="6"/>
      <c r="I64" s="6"/>
      <c r="J64" s="58">
        <v>0.8</v>
      </c>
      <c r="K64" s="59">
        <f>LOG(J64)</f>
        <v>-9.6910013008056392E-2</v>
      </c>
      <c r="L64" s="60">
        <f>AVERAGE(T19:T20)</f>
        <v>24.377711036539299</v>
      </c>
      <c r="M64" s="6"/>
      <c r="N64" s="6"/>
      <c r="O64" s="6"/>
      <c r="P64" s="6"/>
      <c r="Q64" s="58">
        <v>0.8</v>
      </c>
      <c r="R64" s="59">
        <f>LOG(Q64)</f>
        <v>-9.6910013008056392E-2</v>
      </c>
      <c r="S64" s="60">
        <f>AVERAGE(K22:K23)</f>
        <v>20.949955940353448</v>
      </c>
      <c r="T64" s="6"/>
      <c r="U64" s="6"/>
      <c r="V64" s="6"/>
      <c r="W64" s="6"/>
      <c r="X64" s="58">
        <v>0.8</v>
      </c>
      <c r="Y64" s="59">
        <f>LOG(X64)</f>
        <v>-9.6910013008056392E-2</v>
      </c>
      <c r="Z64" s="60">
        <f>AVERAGE(E25:E26)</f>
        <v>21.8919944787479</v>
      </c>
      <c r="AA64" s="6"/>
      <c r="AB64" s="6"/>
      <c r="AC64" s="6"/>
      <c r="AD64" s="6"/>
      <c r="AE64" s="58">
        <v>0.8</v>
      </c>
      <c r="AF64" s="59">
        <f>LOG(AE64)</f>
        <v>-9.6910013008056392E-2</v>
      </c>
      <c r="AG64" s="60">
        <f>AVERAGE(K28:K29)</f>
        <v>28.5400296166979</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row>
    <row r="65" spans="1:81">
      <c r="A65" s="6"/>
      <c r="B65" s="6"/>
      <c r="C65" s="58">
        <v>4</v>
      </c>
      <c r="D65" s="59">
        <f>LOG(C65)</f>
        <v>0.6020599913279624</v>
      </c>
      <c r="E65" s="60">
        <f>AVERAGE(F19:F20)</f>
        <v>24.252879548749149</v>
      </c>
      <c r="F65" s="6"/>
      <c r="G65" s="6"/>
      <c r="H65" s="6"/>
      <c r="I65" s="6"/>
      <c r="J65" s="58">
        <v>4</v>
      </c>
      <c r="K65" s="59">
        <f>LOG(J65)</f>
        <v>0.6020599913279624</v>
      </c>
      <c r="L65" s="60">
        <f>AVERAGE(U19)</f>
        <v>22.1954667613029</v>
      </c>
      <c r="M65" s="6"/>
      <c r="N65" s="6"/>
      <c r="O65" s="6"/>
      <c r="P65" s="6"/>
      <c r="Q65" s="58">
        <v>4</v>
      </c>
      <c r="R65" s="59">
        <f>LOG(Q65)</f>
        <v>0.6020599913279624</v>
      </c>
      <c r="S65" s="60">
        <f>AVERAGE(L22)</f>
        <v>20.894966442976401</v>
      </c>
      <c r="T65" s="6"/>
      <c r="U65" s="6"/>
      <c r="V65" s="6"/>
      <c r="W65" s="6"/>
      <c r="X65" s="58">
        <v>4</v>
      </c>
      <c r="Y65" s="59">
        <f>LOG(X65)</f>
        <v>0.6020599913279624</v>
      </c>
      <c r="Z65" s="93">
        <f>AVERAGE(F25:F26)</f>
        <v>35.156105480875155</v>
      </c>
      <c r="AA65" s="6"/>
      <c r="AB65" s="6"/>
      <c r="AC65" s="6"/>
      <c r="AD65" s="6"/>
      <c r="AE65" s="58">
        <v>4</v>
      </c>
      <c r="AF65" s="59">
        <f>LOG(AE65)</f>
        <v>0.6020599913279624</v>
      </c>
      <c r="AG65" s="60">
        <f>AVERAGE(L28:L29)</f>
        <v>27.43156661078125</v>
      </c>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row>
    <row r="66" spans="1:81">
      <c r="A66" s="6"/>
      <c r="B66" s="6"/>
      <c r="C66" s="61">
        <v>20</v>
      </c>
      <c r="D66" s="62">
        <f>LOG(C66)</f>
        <v>1.3010299956639813</v>
      </c>
      <c r="E66" s="63">
        <f>AVERAGE(G19:G20)</f>
        <v>21.857612367103648</v>
      </c>
      <c r="F66" s="6"/>
      <c r="G66" s="6"/>
      <c r="H66" s="6"/>
      <c r="I66" s="6"/>
      <c r="J66" s="61">
        <v>20</v>
      </c>
      <c r="K66" s="62">
        <f>LOG(J66)</f>
        <v>1.3010299956639813</v>
      </c>
      <c r="L66" s="63">
        <f>AVERAGE(V19:V20)</f>
        <v>20.156110285068102</v>
      </c>
      <c r="M66" s="6"/>
      <c r="N66" s="6"/>
      <c r="O66" s="6"/>
      <c r="P66" s="6"/>
      <c r="Q66" s="61">
        <v>20</v>
      </c>
      <c r="R66" s="62">
        <f>LOG(Q66)</f>
        <v>1.3010299956639813</v>
      </c>
      <c r="S66" s="63">
        <f>AVERAGE(M22:M23)</f>
        <v>16.437200251011049</v>
      </c>
      <c r="T66" s="6"/>
      <c r="U66" s="6"/>
      <c r="V66" s="6"/>
      <c r="W66" s="6"/>
      <c r="X66" s="61">
        <v>20</v>
      </c>
      <c r="Y66" s="62">
        <f>LOG(X66)</f>
        <v>1.3010299956639813</v>
      </c>
      <c r="Z66" s="63">
        <f>AVERAGE(G25:G26)</f>
        <v>16.898807639463449</v>
      </c>
      <c r="AA66" s="6"/>
      <c r="AB66" s="6"/>
      <c r="AC66" s="6"/>
      <c r="AD66" s="6"/>
      <c r="AE66" s="61">
        <v>20</v>
      </c>
      <c r="AF66" s="62">
        <f>LOG(AE66)</f>
        <v>1.3010299956639813</v>
      </c>
      <c r="AG66" s="63">
        <f>AVERAGE(M28:M29)</f>
        <v>24.812957428591151</v>
      </c>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row>
    <row r="67" spans="1:81">
      <c r="A67" s="6"/>
      <c r="B67" s="6"/>
      <c r="C67" s="102" t="s">
        <v>46</v>
      </c>
      <c r="D67" s="103"/>
      <c r="E67" s="33">
        <f>(10^(-1/-2.4929)-1)*100</f>
        <v>151.84842279667973</v>
      </c>
      <c r="F67" s="6"/>
      <c r="G67" s="6"/>
      <c r="H67" s="6"/>
      <c r="I67" s="6"/>
      <c r="J67" s="102" t="s">
        <v>46</v>
      </c>
      <c r="K67" s="103"/>
      <c r="L67" s="33">
        <f>(10^(-1/-2.8548)-1)*100</f>
        <v>124.02022832335997</v>
      </c>
      <c r="M67" s="6"/>
      <c r="N67" s="6"/>
      <c r="O67" s="6"/>
      <c r="P67" s="6"/>
      <c r="Q67" s="102" t="s">
        <v>46</v>
      </c>
      <c r="R67" s="103"/>
      <c r="S67" s="33">
        <f>(10^(-1/-2.6001)-1)*100</f>
        <v>142.43794398585536</v>
      </c>
      <c r="T67" s="6"/>
      <c r="U67" s="6"/>
      <c r="V67" s="6"/>
      <c r="W67" s="6"/>
      <c r="X67" s="102" t="s">
        <v>46</v>
      </c>
      <c r="Y67" s="103"/>
      <c r="Z67" s="33">
        <f>(10^(-1/-3.438)-1)*100</f>
        <v>95.374006688710253</v>
      </c>
      <c r="AA67" s="6"/>
      <c r="AB67" s="6"/>
      <c r="AC67" s="6"/>
      <c r="AD67" s="6"/>
      <c r="AE67" s="102" t="s">
        <v>46</v>
      </c>
      <c r="AF67" s="103"/>
      <c r="AG67" s="33">
        <f>(10^(-1/-1.7543)-1)*100</f>
        <v>271.55912491348118</v>
      </c>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row>
    <row r="68" spans="1:81">
      <c r="A68" s="6"/>
      <c r="B68" s="6"/>
      <c r="C68" s="102" t="s">
        <v>50</v>
      </c>
      <c r="D68" s="103"/>
      <c r="E68" s="33">
        <f>SUM(E67/100)+1</f>
        <v>2.5184842279667974</v>
      </c>
      <c r="F68" s="6"/>
      <c r="G68" s="6"/>
      <c r="H68" s="6"/>
      <c r="I68" s="6"/>
      <c r="J68" s="102" t="s">
        <v>50</v>
      </c>
      <c r="K68" s="103"/>
      <c r="L68" s="33">
        <f>SUM(L67/100)+1</f>
        <v>2.2402022832335997</v>
      </c>
      <c r="M68" s="6"/>
      <c r="N68" s="6"/>
      <c r="O68" s="6"/>
      <c r="P68" s="6"/>
      <c r="Q68" s="102" t="s">
        <v>50</v>
      </c>
      <c r="R68" s="103"/>
      <c r="S68" s="33">
        <f>SUM(S67/100)+1</f>
        <v>2.4243794398585536</v>
      </c>
      <c r="T68" s="6"/>
      <c r="U68" s="6"/>
      <c r="V68" s="6"/>
      <c r="W68" s="6"/>
      <c r="X68" s="102" t="s">
        <v>50</v>
      </c>
      <c r="Y68" s="103"/>
      <c r="Z68" s="33">
        <f>SUM(Z67/100)+1</f>
        <v>1.9537400668871026</v>
      </c>
      <c r="AA68" s="6"/>
      <c r="AB68" s="6"/>
      <c r="AC68" s="6"/>
      <c r="AD68" s="6"/>
      <c r="AE68" s="102" t="s">
        <v>50</v>
      </c>
      <c r="AF68" s="103"/>
      <c r="AG68" s="33">
        <f>SUM(AG67/100)+1</f>
        <v>3.7155912491348118</v>
      </c>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row>
    <row r="69" spans="1:81">
      <c r="A69" s="6"/>
      <c r="B69" s="6"/>
      <c r="C69" s="38"/>
      <c r="D69" s="38"/>
      <c r="E69" s="38"/>
      <c r="F69" s="6"/>
      <c r="G69" s="6"/>
      <c r="H69" s="38"/>
      <c r="I69" s="38"/>
      <c r="J69" s="38"/>
      <c r="K69" s="6"/>
      <c r="L69" s="6"/>
      <c r="M69" s="38"/>
      <c r="N69" s="38"/>
      <c r="O69" s="38"/>
      <c r="P69" s="6"/>
      <c r="Q69" s="6"/>
      <c r="R69" s="38"/>
      <c r="S69" s="38"/>
      <c r="T69" s="38"/>
      <c r="U69" s="6"/>
      <c r="V69" s="6"/>
      <c r="W69" s="38"/>
      <c r="X69" s="38"/>
      <c r="Y69" s="38"/>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row>
    <row r="70" spans="1:81">
      <c r="A70" s="6"/>
      <c r="B70" s="6"/>
      <c r="C70" s="116" t="s">
        <v>100</v>
      </c>
      <c r="D70" s="117"/>
      <c r="E70" s="117"/>
      <c r="F70" s="117"/>
      <c r="G70" s="117"/>
      <c r="H70" s="118"/>
      <c r="I70" s="6"/>
      <c r="J70" s="116" t="s">
        <v>101</v>
      </c>
      <c r="K70" s="117"/>
      <c r="L70" s="117"/>
      <c r="M70" s="117"/>
      <c r="N70" s="117"/>
      <c r="O70" s="118"/>
      <c r="P70" s="6"/>
      <c r="Q70" s="116" t="s">
        <v>102</v>
      </c>
      <c r="R70" s="117"/>
      <c r="S70" s="117"/>
      <c r="T70" s="117"/>
      <c r="U70" s="117"/>
      <c r="V70" s="118"/>
      <c r="W70" s="6"/>
      <c r="X70" s="116" t="s">
        <v>103</v>
      </c>
      <c r="Y70" s="117"/>
      <c r="Z70" s="117"/>
      <c r="AA70" s="117"/>
      <c r="AB70" s="117"/>
      <c r="AC70" s="118"/>
      <c r="AD70" s="6"/>
      <c r="AE70" s="116" t="s">
        <v>104</v>
      </c>
      <c r="AF70" s="117"/>
      <c r="AG70" s="117"/>
      <c r="AH70" s="117"/>
      <c r="AI70" s="117"/>
      <c r="AJ70" s="118"/>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5" customHeight="1">
      <c r="A71" s="6"/>
      <c r="B71" s="6"/>
      <c r="C71" s="119" t="s">
        <v>48</v>
      </c>
      <c r="D71" s="82" t="s">
        <v>62</v>
      </c>
      <c r="E71" s="82" t="s">
        <v>64</v>
      </c>
      <c r="F71" s="82" t="s">
        <v>66</v>
      </c>
      <c r="G71" s="83" t="s">
        <v>68</v>
      </c>
      <c r="H71" s="81" t="s">
        <v>70</v>
      </c>
      <c r="I71" s="6"/>
      <c r="J71" s="119" t="s">
        <v>23</v>
      </c>
      <c r="K71" s="82" t="s">
        <v>62</v>
      </c>
      <c r="L71" s="82" t="s">
        <v>64</v>
      </c>
      <c r="M71" s="82" t="s">
        <v>66</v>
      </c>
      <c r="N71" s="83" t="s">
        <v>68</v>
      </c>
      <c r="O71" s="81" t="s">
        <v>70</v>
      </c>
      <c r="P71" s="6"/>
      <c r="Q71" s="119" t="s">
        <v>27</v>
      </c>
      <c r="R71" s="82" t="s">
        <v>62</v>
      </c>
      <c r="S71" s="82" t="s">
        <v>64</v>
      </c>
      <c r="T71" s="82" t="s">
        <v>66</v>
      </c>
      <c r="U71" s="83" t="s">
        <v>68</v>
      </c>
      <c r="V71" s="81" t="s">
        <v>70</v>
      </c>
      <c r="W71" s="6"/>
      <c r="X71" s="119" t="s">
        <v>24</v>
      </c>
      <c r="Y71" s="82" t="s">
        <v>62</v>
      </c>
      <c r="Z71" s="82" t="s">
        <v>64</v>
      </c>
      <c r="AA71" s="82" t="s">
        <v>66</v>
      </c>
      <c r="AB71" s="83" t="s">
        <v>68</v>
      </c>
      <c r="AC71" s="81" t="s">
        <v>70</v>
      </c>
      <c r="AD71" s="6"/>
      <c r="AE71" s="119" t="s">
        <v>25</v>
      </c>
      <c r="AF71" s="82" t="s">
        <v>62</v>
      </c>
      <c r="AG71" s="82" t="s">
        <v>64</v>
      </c>
      <c r="AH71" s="82" t="s">
        <v>66</v>
      </c>
      <c r="AI71" s="83" t="s">
        <v>68</v>
      </c>
      <c r="AJ71" s="81" t="s">
        <v>70</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5" customHeight="1">
      <c r="A72" s="6"/>
      <c r="B72" s="6"/>
      <c r="C72" s="120"/>
      <c r="D72" s="42" t="s">
        <v>35</v>
      </c>
      <c r="E72" s="42">
        <f>AVERAGE(H19:H20)</f>
        <v>23.197396049905798</v>
      </c>
      <c r="F72" s="50">
        <f>10^((E72- 25.526)/-2.4929)</f>
        <v>8.5920027658042599</v>
      </c>
      <c r="G72" s="50">
        <f>SUM(E72*(LOG(E68)/LOG(2)))</f>
        <v>30.911822241730995</v>
      </c>
      <c r="H72" s="50">
        <f>10^((G72- 25.526)/-2.4929)</f>
        <v>6.9109123321996523E-3</v>
      </c>
      <c r="I72" s="6"/>
      <c r="J72" s="120"/>
      <c r="K72" s="42" t="s">
        <v>35</v>
      </c>
      <c r="L72" s="42">
        <f>AVERAGE(W19:W20)</f>
        <v>21.277441764903053</v>
      </c>
      <c r="M72" s="50">
        <f t="shared" ref="M72:M80" si="17">10^((L72 - 23.926)/-2.8548)</f>
        <v>8.4675182689165371</v>
      </c>
      <c r="N72" s="50">
        <f t="shared" ref="N72:N81" si="18">SUM(L72*(LOG($L$68)/LOG(2)))</f>
        <v>24.759048474905843</v>
      </c>
      <c r="O72" s="50">
        <f t="shared" ref="O72:O80" si="19">10^((N72 - 23.926)/-2.8548)</f>
        <v>0.51073280339681482</v>
      </c>
      <c r="P72" s="6"/>
      <c r="Q72" s="120"/>
      <c r="R72" s="42" t="s">
        <v>35</v>
      </c>
      <c r="S72" s="42">
        <f>AVERAGE(N22:N23)</f>
        <v>18.117346387886901</v>
      </c>
      <c r="T72" s="50">
        <f>10^((S72- 20.889)/-2.6001)</f>
        <v>11.64071404335205</v>
      </c>
      <c r="U72" s="50">
        <f t="shared" ref="U72:U81" si="20">SUM(S72*(LOG($S$68)/LOG(2)))</f>
        <v>23.147002796326131</v>
      </c>
      <c r="V72" s="50">
        <f>10^((U72- 20.889)/-2.6001)</f>
        <v>0.13538507414795076</v>
      </c>
      <c r="W72" s="6"/>
      <c r="X72" s="120"/>
      <c r="Y72" s="42" t="s">
        <v>35</v>
      </c>
      <c r="Z72" s="42">
        <f>AVERAGE(H25:H26)</f>
        <v>20.311966887201599</v>
      </c>
      <c r="AA72" s="50">
        <f t="shared" ref="AA72:AA81" si="21">10^((Z72-21.415)/-3.438)</f>
        <v>2.0933203387292081</v>
      </c>
      <c r="AB72" s="50">
        <f t="shared" ref="AB72:AB81" si="22">SUM(Z72*(LOG($Z$68)/LOG(2)))</f>
        <v>19.626205196339964</v>
      </c>
      <c r="AC72" s="50">
        <f t="shared" ref="AC72:AC81" si="23">10^((AB72-21.415)/-3.438)</f>
        <v>3.3136069314344163</v>
      </c>
      <c r="AD72" s="6"/>
      <c r="AE72" s="120"/>
      <c r="AF72" s="42" t="s">
        <v>35</v>
      </c>
      <c r="AG72" s="42">
        <f>AVERAGE(N28:N29)</f>
        <v>26.92880436305105</v>
      </c>
      <c r="AH72" s="50">
        <f t="shared" ref="AH72:AH81" si="24">10^((AG72-27.812)/-1.7543)</f>
        <v>3.1874705576383642</v>
      </c>
      <c r="AI72" s="50">
        <f t="shared" ref="AI72:AI81" si="25">SUM(AG72*(LOG($AG$68)/LOG(2)))</f>
        <v>50.992163127939726</v>
      </c>
      <c r="AJ72" s="50">
        <f t="shared" ref="AJ72:AJ81" si="26">10^((AI72-27.812)/-1.7543)</f>
        <v>6.1187056798096361E-14</v>
      </c>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c r="A73" s="6"/>
      <c r="B73" s="6"/>
      <c r="C73" s="120"/>
      <c r="D73" s="43" t="s">
        <v>36</v>
      </c>
      <c r="E73" s="43">
        <f>AVERAGE(I19:I20)</f>
        <v>22.734959285765598</v>
      </c>
      <c r="F73" s="50">
        <f t="shared" ref="F73:F81" si="27">10^((E73-25.526)/-2.4929)</f>
        <v>13.170308202999607</v>
      </c>
      <c r="G73" s="50">
        <f>SUM(E73*(LOG(E68)/LOG(2)))</f>
        <v>30.295599497575139</v>
      </c>
      <c r="H73" s="50">
        <f t="shared" ref="H73:H81" si="28">10^((G73-25.526)/-2.4929)</f>
        <v>1.2210304774030357E-2</v>
      </c>
      <c r="I73" s="6"/>
      <c r="J73" s="120"/>
      <c r="K73" s="43" t="s">
        <v>36</v>
      </c>
      <c r="L73" s="43">
        <f>AVERAGE(X19:X20)</f>
        <v>20.792311005016849</v>
      </c>
      <c r="M73" s="50">
        <f t="shared" si="17"/>
        <v>12.522506191025155</v>
      </c>
      <c r="N73" s="50">
        <f t="shared" si="18"/>
        <v>24.194536249545035</v>
      </c>
      <c r="O73" s="50">
        <f t="shared" si="19"/>
        <v>0.80525824364990772</v>
      </c>
      <c r="P73" s="6"/>
      <c r="Q73" s="120"/>
      <c r="R73" s="43" t="s">
        <v>36</v>
      </c>
      <c r="S73" s="43">
        <f>AVERAGE(O22:O23)</f>
        <v>17.547907963574652</v>
      </c>
      <c r="T73" s="50">
        <f t="shared" ref="T73:T81" si="29">10^((S73 -20.889)/-2.6001)</f>
        <v>19.274626720038192</v>
      </c>
      <c r="U73" s="50">
        <f t="shared" si="20"/>
        <v>22.41947943182813</v>
      </c>
      <c r="V73" s="50">
        <f t="shared" ref="V73:V81" si="30">10^((U73 -20.889)/-2.6001)</f>
        <v>0.25785568096644113</v>
      </c>
      <c r="W73" s="6"/>
      <c r="X73" s="120"/>
      <c r="Y73" s="43" t="s">
        <v>36</v>
      </c>
      <c r="Z73" s="43">
        <f>AVERAGE(I25:I26)</f>
        <v>19.646321112943248</v>
      </c>
      <c r="AA73" s="50">
        <f t="shared" si="21"/>
        <v>3.2692635924860838</v>
      </c>
      <c r="AB73" s="50">
        <f t="shared" si="22"/>
        <v>18.983032596353961</v>
      </c>
      <c r="AC73" s="50">
        <f t="shared" si="23"/>
        <v>5.0977500208697366</v>
      </c>
      <c r="AD73" s="6"/>
      <c r="AE73" s="120"/>
      <c r="AF73" s="43" t="s">
        <v>36</v>
      </c>
      <c r="AG73" s="43">
        <f>AVERAGE(O28:O29)</f>
        <v>26.0622636737641</v>
      </c>
      <c r="AH73" s="50">
        <f t="shared" si="24"/>
        <v>9.940279098483698</v>
      </c>
      <c r="AI73" s="50">
        <f t="shared" si="25"/>
        <v>49.351288784266821</v>
      </c>
      <c r="AJ73" s="50">
        <f t="shared" si="26"/>
        <v>5.2723443959047221E-13</v>
      </c>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c r="A74" s="6"/>
      <c r="B74" s="6"/>
      <c r="C74" s="120"/>
      <c r="D74" s="44" t="s">
        <v>37</v>
      </c>
      <c r="E74" s="44">
        <f>AVERAGE(J19:J20)</f>
        <v>21.78423420154315</v>
      </c>
      <c r="F74" s="51">
        <f t="shared" si="27"/>
        <v>31.693417490746238</v>
      </c>
      <c r="G74" s="51">
        <f>SUM(E74*(LOG(E68)/LOG(2)))</f>
        <v>29.02870537113898</v>
      </c>
      <c r="H74" s="51">
        <f t="shared" si="28"/>
        <v>3.9348433331715449E-2</v>
      </c>
      <c r="I74" s="6"/>
      <c r="J74" s="120"/>
      <c r="K74" s="44" t="s">
        <v>37</v>
      </c>
      <c r="L74" s="44">
        <f>AVERAGE(Y19:Y20)</f>
        <v>20.2209378019352</v>
      </c>
      <c r="M74" s="51">
        <f t="shared" si="17"/>
        <v>19.853450383341144</v>
      </c>
      <c r="N74" s="51">
        <f t="shared" si="18"/>
        <v>23.529669815475149</v>
      </c>
      <c r="O74" s="51">
        <f t="shared" si="19"/>
        <v>1.3766685931978895</v>
      </c>
      <c r="P74" s="6"/>
      <c r="Q74" s="120"/>
      <c r="R74" s="44" t="s">
        <v>37</v>
      </c>
      <c r="S74" s="44">
        <f>AVERAGE(P22:P23)</f>
        <v>16.682850937383002</v>
      </c>
      <c r="T74" s="51">
        <f t="shared" si="29"/>
        <v>41.465549090350777</v>
      </c>
      <c r="U74" s="51">
        <f t="shared" si="20"/>
        <v>21.314269155690383</v>
      </c>
      <c r="V74" s="51">
        <f t="shared" si="30"/>
        <v>0.68618501689309186</v>
      </c>
      <c r="W74" s="6"/>
      <c r="X74" s="120"/>
      <c r="Y74" s="44" t="s">
        <v>37</v>
      </c>
      <c r="Z74" s="44">
        <f>AVERAGE(J25:J26)</f>
        <v>18.845906578026799</v>
      </c>
      <c r="AA74" s="51">
        <f t="shared" si="21"/>
        <v>5.5880970357465642</v>
      </c>
      <c r="AB74" s="51">
        <f t="shared" si="22"/>
        <v>18.20964122605287</v>
      </c>
      <c r="AC74" s="51">
        <f t="shared" si="23"/>
        <v>8.5572140386133224</v>
      </c>
      <c r="AD74" s="6"/>
      <c r="AE74" s="120"/>
      <c r="AF74" s="44" t="s">
        <v>37</v>
      </c>
      <c r="AG74" s="44">
        <f>AVERAGE(P28:P29)</f>
        <v>25.264644628504701</v>
      </c>
      <c r="AH74" s="51">
        <f t="shared" si="24"/>
        <v>28.318074036914783</v>
      </c>
      <c r="AI74" s="51">
        <f t="shared" si="25"/>
        <v>47.840923900572797</v>
      </c>
      <c r="AJ74" s="51">
        <f t="shared" si="26"/>
        <v>3.8278414544802025E-12</v>
      </c>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c r="A75" s="6"/>
      <c r="B75" s="6"/>
      <c r="C75" s="120"/>
      <c r="D75" s="45" t="s">
        <v>38</v>
      </c>
      <c r="E75" s="45">
        <f>AVERAGE(K19:K20)</f>
        <v>21.578033869969399</v>
      </c>
      <c r="F75" s="52">
        <f t="shared" si="27"/>
        <v>38.342825660879129</v>
      </c>
      <c r="G75" s="52">
        <f>SUM(E75*(LOG(E68)/LOG(2)))</f>
        <v>28.753931944756079</v>
      </c>
      <c r="H75" s="52">
        <f t="shared" si="28"/>
        <v>5.0716566900969096E-2</v>
      </c>
      <c r="I75" s="6"/>
      <c r="J75" s="120"/>
      <c r="K75" s="45" t="s">
        <v>38</v>
      </c>
      <c r="L75" s="45">
        <f>AVERAGE(C22:C23)</f>
        <v>19.879545317280801</v>
      </c>
      <c r="M75" s="52">
        <f t="shared" si="17"/>
        <v>26.146973367027314</v>
      </c>
      <c r="N75" s="52">
        <f t="shared" si="18"/>
        <v>23.132415616877402</v>
      </c>
      <c r="O75" s="52">
        <f t="shared" si="19"/>
        <v>1.8966294059939506</v>
      </c>
      <c r="P75" s="6"/>
      <c r="Q75" s="120"/>
      <c r="R75" s="45" t="s">
        <v>38</v>
      </c>
      <c r="S75" s="45">
        <f>AVERAGE(Q22:Q23)</f>
        <v>16.537328555245651</v>
      </c>
      <c r="T75" s="52">
        <f t="shared" si="29"/>
        <v>47.168863795936019</v>
      </c>
      <c r="U75" s="52">
        <f t="shared" si="20"/>
        <v>21.128347502808957</v>
      </c>
      <c r="V75" s="52">
        <f t="shared" si="30"/>
        <v>0.80899680912946148</v>
      </c>
      <c r="W75" s="6"/>
      <c r="X75" s="120"/>
      <c r="Y75" s="45" t="s">
        <v>38</v>
      </c>
      <c r="Z75" s="45">
        <f>AVERAGE(K25:K26)</f>
        <v>16.940382807065451</v>
      </c>
      <c r="AA75" s="52">
        <f t="shared" si="21"/>
        <v>20.022463384171253</v>
      </c>
      <c r="AB75" s="52">
        <f t="shared" si="22"/>
        <v>16.368450722785791</v>
      </c>
      <c r="AC75" s="52">
        <f t="shared" si="23"/>
        <v>29.367944690801441</v>
      </c>
      <c r="AD75" s="6"/>
      <c r="AE75" s="120"/>
      <c r="AF75" s="45" t="s">
        <v>38</v>
      </c>
      <c r="AG75" s="45">
        <f>AVERAGE(Q28:Q29)</f>
        <v>25.086099835963601</v>
      </c>
      <c r="AH75" s="52">
        <f t="shared" si="24"/>
        <v>35.7963900469409</v>
      </c>
      <c r="AI75" s="52">
        <f t="shared" si="25"/>
        <v>47.502832945469272</v>
      </c>
      <c r="AJ75" s="52">
        <f t="shared" si="26"/>
        <v>5.9658898304517419E-12</v>
      </c>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c r="A76" s="6"/>
      <c r="B76" s="6"/>
      <c r="C76" s="120"/>
      <c r="D76" s="45" t="s">
        <v>39</v>
      </c>
      <c r="E76" s="45">
        <f>AVERAGE(L19:L20)</f>
        <v>23.100731328499549</v>
      </c>
      <c r="F76" s="52">
        <f t="shared" si="27"/>
        <v>9.3944296939359528</v>
      </c>
      <c r="G76" s="52">
        <f>SUM(E76*(LOG(E68)/LOG(2)))</f>
        <v>30.78301111660609</v>
      </c>
      <c r="H76" s="52">
        <f t="shared" si="28"/>
        <v>7.7840672626586869E-3</v>
      </c>
      <c r="I76" s="6"/>
      <c r="J76" s="120"/>
      <c r="K76" s="45" t="s">
        <v>39</v>
      </c>
      <c r="L76" s="45">
        <f>AVERAGE(D22:D23)</f>
        <v>21.159534681531699</v>
      </c>
      <c r="M76" s="52">
        <f t="shared" si="17"/>
        <v>9.3123113661358285</v>
      </c>
      <c r="N76" s="52">
        <f t="shared" si="18"/>
        <v>24.621848372328596</v>
      </c>
      <c r="O76" s="52">
        <f t="shared" si="19"/>
        <v>0.5704967797269318</v>
      </c>
      <c r="P76" s="6"/>
      <c r="Q76" s="120"/>
      <c r="R76" s="45" t="s">
        <v>39</v>
      </c>
      <c r="S76" s="45">
        <f>AVERAGE(R22:R23)</f>
        <v>18.00481539853255</v>
      </c>
      <c r="T76" s="52">
        <f t="shared" si="29"/>
        <v>12.860537082055162</v>
      </c>
      <c r="U76" s="52">
        <f t="shared" si="20"/>
        <v>23.003231458653854</v>
      </c>
      <c r="V76" s="52">
        <f t="shared" si="30"/>
        <v>0.15376777448654963</v>
      </c>
      <c r="W76" s="6"/>
      <c r="X76" s="120"/>
      <c r="Y76" s="45" t="s">
        <v>39</v>
      </c>
      <c r="Z76" s="45">
        <f>AVERAGE(L25:L26)</f>
        <v>18.15143285276325</v>
      </c>
      <c r="AA76" s="52">
        <f t="shared" si="21"/>
        <v>8.8974033127687271</v>
      </c>
      <c r="AB76" s="52">
        <f t="shared" si="22"/>
        <v>17.538613948823649</v>
      </c>
      <c r="AC76" s="52">
        <f t="shared" si="23"/>
        <v>13.412568112004767</v>
      </c>
      <c r="AD76" s="6"/>
      <c r="AE76" s="120"/>
      <c r="AF76" s="45" t="s">
        <v>39</v>
      </c>
      <c r="AG76" s="45">
        <f>AVERAGE(R28:R29)</f>
        <v>27.653237259607998</v>
      </c>
      <c r="AH76" s="52">
        <f t="shared" si="24"/>
        <v>1.231683706917635</v>
      </c>
      <c r="AI76" s="52">
        <f t="shared" si="25"/>
        <v>52.363943320571067</v>
      </c>
      <c r="AJ76" s="52">
        <f t="shared" si="26"/>
        <v>1.0108961391967059E-14</v>
      </c>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c r="A77" s="6"/>
      <c r="B77" s="6"/>
      <c r="C77" s="120"/>
      <c r="D77" s="45" t="s">
        <v>40</v>
      </c>
      <c r="E77" s="45">
        <f>AVERAGE(M19:M20)</f>
        <v>22.2627481862413</v>
      </c>
      <c r="F77" s="52">
        <f t="shared" si="27"/>
        <v>20.371280912673996</v>
      </c>
      <c r="G77" s="52">
        <f>SUM(E77*(LOG(E68)/LOG(2)))</f>
        <v>29.6663519071273</v>
      </c>
      <c r="H77" s="52">
        <f t="shared" si="28"/>
        <v>2.1834457282813476E-2</v>
      </c>
      <c r="I77" s="6"/>
      <c r="J77" s="120"/>
      <c r="K77" s="45" t="s">
        <v>40</v>
      </c>
      <c r="L77" s="45">
        <f>AVERAGE(E22:E23)</f>
        <v>20.585002305041748</v>
      </c>
      <c r="M77" s="52">
        <f t="shared" si="17"/>
        <v>14.801606232820138</v>
      </c>
      <c r="N77" s="52">
        <f t="shared" si="18"/>
        <v>23.953305832436353</v>
      </c>
      <c r="O77" s="52">
        <f t="shared" si="19"/>
        <v>0.97821679610943013</v>
      </c>
      <c r="P77" s="6"/>
      <c r="Q77" s="120"/>
      <c r="R77" s="45" t="s">
        <v>40</v>
      </c>
      <c r="S77" s="45">
        <f>AVERAGE(S22:S23)</f>
        <v>17.1721260382471</v>
      </c>
      <c r="T77" s="52">
        <f t="shared" si="29"/>
        <v>26.885116773227594</v>
      </c>
      <c r="U77" s="52">
        <f t="shared" si="20"/>
        <v>21.939374614591692</v>
      </c>
      <c r="V77" s="52">
        <f t="shared" si="30"/>
        <v>0.3944802830191792</v>
      </c>
      <c r="W77" s="6"/>
      <c r="X77" s="120"/>
      <c r="Y77" s="45" t="s">
        <v>40</v>
      </c>
      <c r="Z77" s="45">
        <f>AVERAGE(M25:M26)</f>
        <v>17.537748976785601</v>
      </c>
      <c r="AA77" s="52">
        <f t="shared" si="21"/>
        <v>13.420340413284352</v>
      </c>
      <c r="AB77" s="52">
        <f t="shared" si="22"/>
        <v>16.94564893748289</v>
      </c>
      <c r="AC77" s="52">
        <f t="shared" si="23"/>
        <v>19.951969200016038</v>
      </c>
      <c r="AD77" s="6"/>
      <c r="AE77" s="120"/>
      <c r="AF77" s="45" t="s">
        <v>40</v>
      </c>
      <c r="AG77" s="45">
        <f>AVERAGE(S28:S29)</f>
        <v>26.533288799928901</v>
      </c>
      <c r="AH77" s="52">
        <f t="shared" si="24"/>
        <v>5.3567465699453596</v>
      </c>
      <c r="AI77" s="52">
        <f t="shared" si="25"/>
        <v>50.243218100806018</v>
      </c>
      <c r="AJ77" s="52">
        <f t="shared" si="26"/>
        <v>1.6352311363767212E-13</v>
      </c>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c r="A78" s="6"/>
      <c r="B78" s="6"/>
      <c r="C78" s="120"/>
      <c r="D78" s="46" t="s">
        <v>41</v>
      </c>
      <c r="E78" s="46">
        <f>AVERAGE(N19:N20)</f>
        <v>22.00826040943025</v>
      </c>
      <c r="F78" s="53">
        <f t="shared" si="27"/>
        <v>25.769344401669468</v>
      </c>
      <c r="G78" s="53">
        <f>SUM(E78*(LOG(E68)/LOG(2)))</f>
        <v>29.327232770541777</v>
      </c>
      <c r="H78" s="53">
        <f t="shared" si="28"/>
        <v>2.9865954060802453E-2</v>
      </c>
      <c r="I78" s="6"/>
      <c r="J78" s="120"/>
      <c r="K78" s="46" t="s">
        <v>41</v>
      </c>
      <c r="L78" s="46">
        <f>AVERAGE(F22:F23)</f>
        <v>21.006138314410798</v>
      </c>
      <c r="M78" s="53">
        <f t="shared" si="17"/>
        <v>10.538778529392111</v>
      </c>
      <c r="N78" s="53">
        <f t="shared" si="18"/>
        <v>24.443351909671815</v>
      </c>
      <c r="O78" s="53">
        <f t="shared" si="19"/>
        <v>0.65883737742314197</v>
      </c>
      <c r="P78" s="6"/>
      <c r="Q78" s="120"/>
      <c r="R78" s="46" t="s">
        <v>41</v>
      </c>
      <c r="S78" s="46">
        <f>AVERAGE(T22:T23)</f>
        <v>16.78529396813525</v>
      </c>
      <c r="T78" s="53">
        <f t="shared" si="29"/>
        <v>37.869342987950603</v>
      </c>
      <c r="U78" s="53">
        <f t="shared" si="20"/>
        <v>21.445151960959912</v>
      </c>
      <c r="V78" s="53">
        <f t="shared" si="30"/>
        <v>0.61108781834254211</v>
      </c>
      <c r="W78" s="6"/>
      <c r="X78" s="120"/>
      <c r="Y78" s="46" t="s">
        <v>41</v>
      </c>
      <c r="Z78" s="46">
        <f>AVERAGE(N25:N26)</f>
        <v>16.881542842998449</v>
      </c>
      <c r="AA78" s="53">
        <f t="shared" si="21"/>
        <v>20.827258107950843</v>
      </c>
      <c r="AB78" s="53">
        <f t="shared" si="22"/>
        <v>16.31159728190844</v>
      </c>
      <c r="AC78" s="53">
        <f t="shared" si="23"/>
        <v>30.50776069072629</v>
      </c>
      <c r="AD78" s="6"/>
      <c r="AE78" s="120"/>
      <c r="AF78" s="46" t="s">
        <v>41</v>
      </c>
      <c r="AG78" s="46">
        <f>AVERAGE(T28:T29)</f>
        <v>25.3265480553172</v>
      </c>
      <c r="AH78" s="53">
        <f t="shared" si="24"/>
        <v>26.108205989102746</v>
      </c>
      <c r="AI78" s="53">
        <f t="shared" si="25"/>
        <v>47.95814372198204</v>
      </c>
      <c r="AJ78" s="53">
        <f t="shared" si="26"/>
        <v>3.2819757598820805E-12</v>
      </c>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c r="A79" s="6"/>
      <c r="B79" s="6"/>
      <c r="C79" s="120"/>
      <c r="D79" s="47" t="s">
        <v>42</v>
      </c>
      <c r="E79" s="47">
        <f>AVERAGE(O19:O20)</f>
        <v>21.686684241097502</v>
      </c>
      <c r="F79" s="54">
        <f t="shared" si="27"/>
        <v>34.681684896349985</v>
      </c>
      <c r="G79" s="54">
        <f>SUM(E79*(LOG(E68)/LOG(2)))</f>
        <v>28.898714615689684</v>
      </c>
      <c r="H79" s="54">
        <f t="shared" si="28"/>
        <v>4.4368202842292266E-2</v>
      </c>
      <c r="I79" s="6"/>
      <c r="J79" s="120"/>
      <c r="K79" s="47" t="s">
        <v>42</v>
      </c>
      <c r="L79" s="47">
        <f>AVERAGE(G22:G23)</f>
        <v>20.8328455396218</v>
      </c>
      <c r="M79" s="54">
        <f t="shared" si="17"/>
        <v>12.119718283581333</v>
      </c>
      <c r="N79" s="54">
        <f t="shared" si="18"/>
        <v>24.241703409877587</v>
      </c>
      <c r="O79" s="54">
        <f t="shared" si="19"/>
        <v>0.77519885987810655</v>
      </c>
      <c r="P79" s="6"/>
      <c r="Q79" s="120"/>
      <c r="R79" s="47" t="s">
        <v>42</v>
      </c>
      <c r="S79" s="47">
        <f>AVERAGE(U22:U23)</f>
        <v>16.5562358285888</v>
      </c>
      <c r="T79" s="54">
        <f t="shared" si="29"/>
        <v>46.385652118053095</v>
      </c>
      <c r="U79" s="54">
        <f t="shared" si="20"/>
        <v>21.152503728537322</v>
      </c>
      <c r="V79" s="54">
        <f t="shared" si="30"/>
        <v>0.79187441234555278</v>
      </c>
      <c r="W79" s="6"/>
      <c r="X79" s="120"/>
      <c r="Y79" s="47" t="s">
        <v>42</v>
      </c>
      <c r="Z79" s="47">
        <f>AVERAGE(O25:O26)</f>
        <v>16.713535244284849</v>
      </c>
      <c r="AA79" s="54">
        <f t="shared" si="21"/>
        <v>23.307727339479488</v>
      </c>
      <c r="AB79" s="54">
        <f t="shared" si="22"/>
        <v>16.149261865293759</v>
      </c>
      <c r="AC79" s="54">
        <f t="shared" si="23"/>
        <v>34.011697783956464</v>
      </c>
      <c r="AD79" s="6"/>
      <c r="AE79" s="120"/>
      <c r="AF79" s="47" t="s">
        <v>42</v>
      </c>
      <c r="AG79" s="47">
        <f>AVERAGE(U28:U29)</f>
        <v>24.77856633062315</v>
      </c>
      <c r="AH79" s="54">
        <f t="shared" si="24"/>
        <v>53.597177467897019</v>
      </c>
      <c r="AI79" s="54">
        <f t="shared" si="25"/>
        <v>46.920490021505501</v>
      </c>
      <c r="AJ79" s="54">
        <f t="shared" si="26"/>
        <v>1.2812295939042756E-11</v>
      </c>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c r="A80" s="6"/>
      <c r="B80" s="6"/>
      <c r="C80" s="121"/>
      <c r="D80" s="48" t="s">
        <v>43</v>
      </c>
      <c r="E80" s="48">
        <f>AVERAGE(P19:P20)</f>
        <v>22.931589495460848</v>
      </c>
      <c r="F80" s="55">
        <f t="shared" si="27"/>
        <v>10.982971235430764</v>
      </c>
      <c r="G80" s="55">
        <f>SUM(E80*(LOG(E68)/LOG(2)))</f>
        <v>30.557620203536167</v>
      </c>
      <c r="H80" s="55">
        <f t="shared" si="28"/>
        <v>9.5856091893198169E-3</v>
      </c>
      <c r="I80" s="6"/>
      <c r="J80" s="121"/>
      <c r="K80" s="48" t="s">
        <v>43</v>
      </c>
      <c r="L80" s="48">
        <f>AVERAGE(H22:H23)</f>
        <v>22.0030138770774</v>
      </c>
      <c r="M80" s="55">
        <f t="shared" si="17"/>
        <v>4.716257327586348</v>
      </c>
      <c r="N80" s="55">
        <f t="shared" si="18"/>
        <v>25.603345232751835</v>
      </c>
      <c r="O80" s="55">
        <f t="shared" si="19"/>
        <v>0.25849215987719504</v>
      </c>
      <c r="P80" s="6"/>
      <c r="Q80" s="121"/>
      <c r="R80" s="48" t="s">
        <v>43</v>
      </c>
      <c r="S80" s="48">
        <f>AVERAGE(V22:V23)</f>
        <v>17.84909114089065</v>
      </c>
      <c r="T80" s="55">
        <f t="shared" si="29"/>
        <v>14.762188538248591</v>
      </c>
      <c r="U80" s="55">
        <f t="shared" si="20"/>
        <v>22.804275731367937</v>
      </c>
      <c r="V80" s="55">
        <f t="shared" si="30"/>
        <v>0.18339344948784367</v>
      </c>
      <c r="W80" s="6"/>
      <c r="X80" s="121"/>
      <c r="Y80" s="48" t="s">
        <v>43</v>
      </c>
      <c r="Z80" s="48">
        <f>AVERAGE(P25:P26)</f>
        <v>17.6421672613161</v>
      </c>
      <c r="AA80" s="55">
        <f t="shared" si="21"/>
        <v>12.513872378330953</v>
      </c>
      <c r="AB80" s="55">
        <f t="shared" si="22"/>
        <v>17.046541908105869</v>
      </c>
      <c r="AC80" s="55">
        <f t="shared" si="23"/>
        <v>18.648304497558225</v>
      </c>
      <c r="AD80" s="6"/>
      <c r="AE80" s="121"/>
      <c r="AF80" s="48" t="s">
        <v>43</v>
      </c>
      <c r="AG80" s="48">
        <f>AVERAGE(V28:V29)</f>
        <v>26.751903529681847</v>
      </c>
      <c r="AH80" s="55">
        <f t="shared" si="24"/>
        <v>4.0205419514667522</v>
      </c>
      <c r="AI80" s="55">
        <f t="shared" si="25"/>
        <v>50.657185160443781</v>
      </c>
      <c r="AJ80" s="55">
        <f t="shared" si="26"/>
        <v>9.4974356847708461E-14</v>
      </c>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c r="A81" s="6"/>
      <c r="B81" s="6"/>
      <c r="C81" s="122" t="s">
        <v>34</v>
      </c>
      <c r="D81" s="123"/>
      <c r="E81" s="57">
        <f>AVERAGE(Q19:Q20)</f>
        <v>30.6196514292978</v>
      </c>
      <c r="F81" s="56">
        <f t="shared" si="27"/>
        <v>9.0518335666068591E-3</v>
      </c>
      <c r="G81" s="56">
        <f>SUM(E81*(LOG(E68)/LOG(2)))</f>
        <v>40.802390925685884</v>
      </c>
      <c r="H81" s="56">
        <f t="shared" si="28"/>
        <v>7.4480095350148418E-7</v>
      </c>
      <c r="I81" s="6"/>
      <c r="J81" s="122" t="s">
        <v>34</v>
      </c>
      <c r="K81" s="123"/>
      <c r="L81" s="57">
        <f>AVERAGE(Z19:Z20)</f>
        <v>38.036795770612002</v>
      </c>
      <c r="M81" s="56">
        <f t="shared" ref="M81:O81" si="31">10^((L81 -25.426)/-3.2283)</f>
        <v>1.240717483071473E-4</v>
      </c>
      <c r="N81" s="56">
        <f t="shared" si="18"/>
        <v>44.260718968014864</v>
      </c>
      <c r="O81" s="56">
        <f t="shared" si="31"/>
        <v>1.4646943203122298E-6</v>
      </c>
      <c r="P81" s="6"/>
      <c r="Q81" s="122" t="s">
        <v>34</v>
      </c>
      <c r="R81" s="123"/>
      <c r="S81" s="57">
        <f>AVERAGE(W22:W23)</f>
        <v>39.399104745553501</v>
      </c>
      <c r="T81" s="56">
        <f t="shared" si="29"/>
        <v>7.6033109423308529E-8</v>
      </c>
      <c r="U81" s="56">
        <f t="shared" si="20"/>
        <v>50.336907414201065</v>
      </c>
      <c r="V81" s="56">
        <f t="shared" si="30"/>
        <v>4.7240813420473181E-12</v>
      </c>
      <c r="W81" s="6"/>
      <c r="X81" s="122" t="s">
        <v>34</v>
      </c>
      <c r="Y81" s="123"/>
      <c r="Z81" s="57">
        <f>AVERAGE(Q25:Q26)</f>
        <v>35.431994978426403</v>
      </c>
      <c r="AA81" s="56">
        <f t="shared" si="21"/>
        <v>8.3737841724849612E-5</v>
      </c>
      <c r="AB81" s="56">
        <f t="shared" si="22"/>
        <v>34.235759039192146</v>
      </c>
      <c r="AC81" s="56">
        <f t="shared" si="23"/>
        <v>1.8658084795315189E-4</v>
      </c>
      <c r="AD81" s="6"/>
      <c r="AE81" s="122" t="s">
        <v>34</v>
      </c>
      <c r="AF81" s="123"/>
      <c r="AG81" s="57">
        <f>AVERAGE(W28:W29)</f>
        <v>36.728585922849902</v>
      </c>
      <c r="AH81" s="56">
        <f t="shared" si="24"/>
        <v>8.2660298931956477E-6</v>
      </c>
      <c r="AI81" s="56">
        <f t="shared" si="25"/>
        <v>69.548949132189236</v>
      </c>
      <c r="AJ81" s="56">
        <f t="shared" si="26"/>
        <v>1.6172353456796986E-24</v>
      </c>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c r="A82" s="6"/>
      <c r="B82" s="6"/>
      <c r="C82" s="104" t="s">
        <v>84</v>
      </c>
      <c r="D82" s="105"/>
      <c r="E82" s="86">
        <f>AVERAGE(E72:E80)</f>
        <v>22.364959674212603</v>
      </c>
      <c r="F82" s="86">
        <f>AVERAGE(F72:F80)</f>
        <v>21.444251695609935</v>
      </c>
      <c r="G82" s="86">
        <f>AVERAGE(G72:G80)</f>
        <v>29.802554407633572</v>
      </c>
      <c r="H82" s="86">
        <f>AVERAGE(H72:H80)</f>
        <v>2.4736056441866803E-2</v>
      </c>
      <c r="I82" s="6"/>
      <c r="J82" s="104" t="s">
        <v>84</v>
      </c>
      <c r="K82" s="105"/>
      <c r="L82" s="86">
        <f>AVERAGE(L72:L80)</f>
        <v>20.861863400757706</v>
      </c>
      <c r="M82" s="86">
        <f>AVERAGE(M72:M80)</f>
        <v>13.164346661091768</v>
      </c>
      <c r="N82" s="86">
        <f>AVERAGE(N72:N80)</f>
        <v>24.275469434874399</v>
      </c>
      <c r="O82" s="86">
        <f>AVERAGE(O72:O80)</f>
        <v>0.87005900213926313</v>
      </c>
      <c r="P82" s="6"/>
      <c r="Q82" s="104" t="s">
        <v>84</v>
      </c>
      <c r="R82" s="105"/>
      <c r="S82" s="86">
        <f>AVERAGE(S72:S80)</f>
        <v>17.25033291316495</v>
      </c>
      <c r="T82" s="86">
        <f>AVERAGE(T72:T80)</f>
        <v>28.701399016579121</v>
      </c>
      <c r="U82" s="86">
        <f>AVERAGE(U72:U80)</f>
        <v>22.039292931196034</v>
      </c>
      <c r="V82" s="86">
        <f>AVERAGE(V72:V80)</f>
        <v>0.44700292431317923</v>
      </c>
      <c r="W82" s="6"/>
      <c r="X82" s="104" t="s">
        <v>84</v>
      </c>
      <c r="Y82" s="105"/>
      <c r="Z82" s="86">
        <f>AVERAGE(Z72:Z80)</f>
        <v>18.074556062598372</v>
      </c>
      <c r="AA82" s="86">
        <f>AVERAGE(AA72:AA80)</f>
        <v>12.215527322549718</v>
      </c>
      <c r="AB82" s="86">
        <f>AVERAGE(AB72:AB80)</f>
        <v>17.464332631460803</v>
      </c>
      <c r="AC82" s="86">
        <f>AVERAGE(AC72:AC80)</f>
        <v>18.096535107331189</v>
      </c>
      <c r="AD82" s="6"/>
      <c r="AE82" s="104" t="s">
        <v>84</v>
      </c>
      <c r="AF82" s="105"/>
      <c r="AG82" s="86">
        <f>AVERAGE(AG72:AG80)</f>
        <v>26.042817386271395</v>
      </c>
      <c r="AH82" s="86">
        <f>AVERAGE(AH72:AH80)</f>
        <v>18.617396602811919</v>
      </c>
      <c r="AI82" s="86">
        <f>AVERAGE(AI72:AI80)</f>
        <v>49.314465453728552</v>
      </c>
      <c r="AJ82" s="86">
        <f>AVERAGE(AJ72:AJ80)</f>
        <v>2.9716701013469667E-12</v>
      </c>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c r="A83" s="6"/>
      <c r="B83" s="6"/>
      <c r="C83" s="104" t="s">
        <v>85</v>
      </c>
      <c r="D83" s="105"/>
      <c r="E83" s="86">
        <f>(E84/SQRT(9))</f>
        <v>0.20020090917007782</v>
      </c>
      <c r="F83" s="86">
        <f>(F84/SQRT(9))</f>
        <v>3.6412750024623244</v>
      </c>
      <c r="G83" s="86">
        <f>(G84/SQRT(9))</f>
        <v>0.26677886188538441</v>
      </c>
      <c r="H83" s="86">
        <f>(H84/SQRT(9))</f>
        <v>5.3289345147867579E-3</v>
      </c>
      <c r="I83" s="6"/>
      <c r="J83" s="104" t="s">
        <v>85</v>
      </c>
      <c r="K83" s="105"/>
      <c r="L83" s="86">
        <f>(L84/SQRT(9))</f>
        <v>0.19380591370497344</v>
      </c>
      <c r="M83" s="86">
        <f>(M84/SQRT(9))</f>
        <v>2.0264873385397868</v>
      </c>
      <c r="N83" s="86">
        <f>(N84/SQRT(9))</f>
        <v>0.22551818330246146</v>
      </c>
      <c r="O83" s="86">
        <f>(O84/SQRT(9))</f>
        <v>0.15606571837528468</v>
      </c>
      <c r="P83" s="6"/>
      <c r="Q83" s="104" t="s">
        <v>85</v>
      </c>
      <c r="R83" s="105"/>
      <c r="S83" s="86">
        <f>(S84/SQRT(9))</f>
        <v>0.20192217721395153</v>
      </c>
      <c r="T83" s="86">
        <f>(T84/SQRT(9))</f>
        <v>4.6204312387102897</v>
      </c>
      <c r="U83" s="86">
        <f>(U84/SQRT(9))</f>
        <v>0.25797890599125045</v>
      </c>
      <c r="V83" s="86">
        <f>(V84/SQRT(9))</f>
        <v>8.78569011974068E-2</v>
      </c>
      <c r="W83" s="6"/>
      <c r="X83" s="104" t="s">
        <v>85</v>
      </c>
      <c r="Y83" s="105"/>
      <c r="Z83" s="86">
        <f>(Z84/SQRT(9))</f>
        <v>0.40237678639350222</v>
      </c>
      <c r="AA83" s="86">
        <f>(AA84/SQRT(9))</f>
        <v>2.4773420928956518</v>
      </c>
      <c r="AB83" s="86">
        <f>(AB84/SQRT(9))</f>
        <v>0.38879195795551663</v>
      </c>
      <c r="AC83" s="86">
        <f>(AC84/SQRT(9))</f>
        <v>3.5807514472388071</v>
      </c>
      <c r="AD83" s="6"/>
      <c r="AE83" s="104" t="s">
        <v>85</v>
      </c>
      <c r="AF83" s="105"/>
      <c r="AG83" s="86">
        <f>(AG84/SQRT(9))</f>
        <v>0.309408085119453</v>
      </c>
      <c r="AH83" s="86">
        <f>(AH84/SQRT(9))</f>
        <v>5.7450668660364554</v>
      </c>
      <c r="AI83" s="86">
        <f>(AI84/SQRT(9))</f>
        <v>0.58589261286188865</v>
      </c>
      <c r="AJ83" s="86">
        <f>(AJ84/SQRT(9))</f>
        <v>1.3426097546008468E-12</v>
      </c>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c r="A84" s="6"/>
      <c r="B84" s="6"/>
      <c r="C84" s="104" t="s">
        <v>86</v>
      </c>
      <c r="D84" s="105"/>
      <c r="E84" s="86">
        <f>_xlfn.STDEV.P(E72:E80)</f>
        <v>0.60060272751023347</v>
      </c>
      <c r="F84" s="86">
        <f>_xlfn.STDEV.P(F72:F80)</f>
        <v>10.923825007386974</v>
      </c>
      <c r="G84" s="86">
        <f>_xlfn.STDEV.P(G72:G80)</f>
        <v>0.80033658565615318</v>
      </c>
      <c r="H84" s="86">
        <f>_xlfn.STDEV.P(H72:H80)</f>
        <v>1.5986803544360273E-2</v>
      </c>
      <c r="I84" s="6"/>
      <c r="J84" s="104" t="s">
        <v>86</v>
      </c>
      <c r="K84" s="105"/>
      <c r="L84" s="86">
        <f>_xlfn.STDEV.P(L72:L80)</f>
        <v>0.58141774111492028</v>
      </c>
      <c r="M84" s="86">
        <f>_xlfn.STDEV.P(M72:M80)</f>
        <v>6.0794620156193604</v>
      </c>
      <c r="N84" s="86">
        <f>_xlfn.STDEV.P(N72:N80)</f>
        <v>0.67655454990738439</v>
      </c>
      <c r="O84" s="86">
        <f>_xlfn.STDEV.P(O72:O80)</f>
        <v>0.46819715512585408</v>
      </c>
      <c r="P84" s="6"/>
      <c r="Q84" s="104" t="s">
        <v>86</v>
      </c>
      <c r="R84" s="105"/>
      <c r="S84" s="86">
        <f>_xlfn.STDEV.P(S72:S80)</f>
        <v>0.60576653164185457</v>
      </c>
      <c r="T84" s="86">
        <f>_xlfn.STDEV.P(T72:T80)</f>
        <v>13.861293716130868</v>
      </c>
      <c r="U84" s="86">
        <f>_xlfn.STDEV.P(U72:U80)</f>
        <v>0.7739367179737513</v>
      </c>
      <c r="V84" s="86">
        <f>_xlfn.STDEV.P(V72:V80)</f>
        <v>0.2635707035922204</v>
      </c>
      <c r="W84" s="6"/>
      <c r="X84" s="104" t="s">
        <v>86</v>
      </c>
      <c r="Y84" s="105"/>
      <c r="Z84" s="86">
        <f>_xlfn.STDEV.P(Z72:Z80)</f>
        <v>1.2071303591805067</v>
      </c>
      <c r="AA84" s="86">
        <f>_xlfn.STDEV.P(AA72:AA80)</f>
        <v>7.4320262786869558</v>
      </c>
      <c r="AB84" s="86">
        <f>_xlfn.STDEV.P(AB72:AB80)</f>
        <v>1.16637587386655</v>
      </c>
      <c r="AC84" s="86">
        <f>_xlfn.STDEV.P(AC72:AC80)</f>
        <v>10.742254341716421</v>
      </c>
      <c r="AD84" s="6"/>
      <c r="AE84" s="104" t="s">
        <v>86</v>
      </c>
      <c r="AF84" s="105"/>
      <c r="AG84" s="86">
        <f>_xlfn.STDEV.P(AG72:AG80)</f>
        <v>0.92822425535835906</v>
      </c>
      <c r="AH84" s="86">
        <f>_xlfn.STDEV.P(AH72:AH80)</f>
        <v>17.235200598109365</v>
      </c>
      <c r="AI84" s="86">
        <f>_xlfn.STDEV.P(AI72:AI80)</f>
        <v>1.757677838585666</v>
      </c>
      <c r="AJ84" s="86">
        <f>_xlfn.STDEV.P(AJ72:AJ80)</f>
        <v>4.0278292638025403E-12</v>
      </c>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c r="A85" s="6"/>
      <c r="B85" s="6"/>
      <c r="C85" s="104" t="s">
        <v>87</v>
      </c>
      <c r="D85" s="105"/>
      <c r="E85" s="86">
        <f>SUM(E84/E82)</f>
        <v>2.6854630469231047E-2</v>
      </c>
      <c r="F85" s="86">
        <f>SUM(F84/F82)</f>
        <v>0.50940574483292866</v>
      </c>
      <c r="G85" s="86">
        <f>SUM(G84/G82)</f>
        <v>2.6854630469231068E-2</v>
      </c>
      <c r="H85" s="86">
        <f>SUM(H84/H82)</f>
        <v>0.64629556380304598</v>
      </c>
      <c r="I85" s="6"/>
      <c r="J85" s="104" t="s">
        <v>87</v>
      </c>
      <c r="K85" s="105"/>
      <c r="L85" s="86">
        <f>SUM(L84/L82)</f>
        <v>2.7869885347528597E-2</v>
      </c>
      <c r="M85" s="86">
        <f>SUM(M84/M82)</f>
        <v>0.46181266508179053</v>
      </c>
      <c r="N85" s="86">
        <f>SUM(N84/N82)</f>
        <v>2.78698853475286E-2</v>
      </c>
      <c r="O85" s="86">
        <f>SUM(O84/O82)</f>
        <v>0.5381211549730206</v>
      </c>
      <c r="P85" s="6"/>
      <c r="Q85" s="104" t="s">
        <v>87</v>
      </c>
      <c r="R85" s="105"/>
      <c r="S85" s="86">
        <f>SUM(S84/S82)</f>
        <v>3.5116222666030476E-2</v>
      </c>
      <c r="T85" s="86">
        <f>SUM(T84/T82)</f>
        <v>0.48294836457707196</v>
      </c>
      <c r="U85" s="86">
        <f>SUM(U84/U82)</f>
        <v>3.5116222666030469E-2</v>
      </c>
      <c r="V85" s="86">
        <f>SUM(V84/V82)</f>
        <v>0.58963977472227336</v>
      </c>
      <c r="W85" s="6"/>
      <c r="X85" s="104" t="s">
        <v>87</v>
      </c>
      <c r="Y85" s="105"/>
      <c r="Z85" s="86">
        <f>SUM(Z84/Z82)</f>
        <v>6.6786169187215513E-2</v>
      </c>
      <c r="AA85" s="86">
        <f>SUM(AA84/AA82)</f>
        <v>0.60840814174002322</v>
      </c>
      <c r="AB85" s="86">
        <f>SUM(AB84/AB82)</f>
        <v>6.6786169187215513E-2</v>
      </c>
      <c r="AC85" s="86">
        <f>SUM(AC84/AC82)</f>
        <v>0.59360834977545318</v>
      </c>
      <c r="AD85" s="6"/>
      <c r="AE85" s="104" t="s">
        <v>87</v>
      </c>
      <c r="AF85" s="105"/>
      <c r="AG85" s="86">
        <f>SUM(AG84/AG82)</f>
        <v>3.5642236459703366E-2</v>
      </c>
      <c r="AH85" s="86">
        <f>SUM(AH84/AH82)</f>
        <v>0.9257578256406811</v>
      </c>
      <c r="AI85" s="86">
        <f>SUM(AI84/AI82)</f>
        <v>3.5642236459703366E-2</v>
      </c>
      <c r="AJ85" s="86">
        <f>SUM(AJ84/AJ82)</f>
        <v>1.3554092905456931</v>
      </c>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s="6" customFormat="1" ht="21.75" customHeight="1"/>
    <row r="87" spans="1:81" s="6" customFormat="1"/>
    <row r="88" spans="1:81" s="6" customFormat="1"/>
    <row r="89" spans="1:81" s="6" customFormat="1"/>
    <row r="90" spans="1:81" s="6" customFormat="1"/>
    <row r="91" spans="1:81" s="6" customFormat="1"/>
    <row r="92" spans="1:81" s="6" customFormat="1"/>
    <row r="93" spans="1:81" s="6" customFormat="1"/>
    <row r="94" spans="1:81" s="6" customFormat="1"/>
    <row r="95" spans="1:81" s="6" customFormat="1"/>
    <row r="96" spans="1:81" s="6" customFormat="1"/>
    <row r="97" s="6" customFormat="1"/>
    <row r="98" s="6" customFormat="1"/>
    <row r="99" s="6" customFormat="1"/>
    <row r="100" s="6" customFormat="1"/>
    <row r="101" s="6" customFormat="1"/>
    <row r="102" s="6" customFormat="1"/>
    <row r="103" s="6" customFormat="1"/>
    <row r="104" s="6" customFormat="1"/>
    <row r="105" s="6" customFormat="1"/>
    <row r="106" s="6" customFormat="1"/>
    <row r="107" s="6" customFormat="1"/>
    <row r="108" s="6" customFormat="1"/>
    <row r="109" s="6" customFormat="1"/>
    <row r="110" s="6" customFormat="1"/>
    <row r="111" s="6" customFormat="1"/>
    <row r="112" s="6" customFormat="1"/>
    <row r="113" s="6" customFormat="1"/>
    <row r="114" s="6" customFormat="1"/>
    <row r="115" s="6" customFormat="1"/>
    <row r="116" s="6" customFormat="1"/>
    <row r="117" s="6" customFormat="1"/>
    <row r="118" s="6" customFormat="1"/>
    <row r="119" s="6" customFormat="1"/>
    <row r="120" s="6" customFormat="1"/>
    <row r="121" s="6" customFormat="1"/>
    <row r="122" s="6" customFormat="1"/>
    <row r="123" s="6" customFormat="1"/>
    <row r="124" s="6" customFormat="1"/>
    <row r="125" s="6" customFormat="1"/>
    <row r="126" s="6" customFormat="1"/>
    <row r="127" s="6" customFormat="1"/>
    <row r="128" s="6" customFormat="1"/>
    <row r="129" s="6" customFormat="1"/>
    <row r="130" s="6" customFormat="1"/>
    <row r="131" s="6" customFormat="1"/>
    <row r="132" s="6" customFormat="1"/>
    <row r="133" s="6" customFormat="1"/>
    <row r="134" s="6" customFormat="1"/>
    <row r="135" s="6" customFormat="1"/>
    <row r="136" s="6" customFormat="1"/>
    <row r="137" s="6" customFormat="1"/>
    <row r="138" s="6" customFormat="1"/>
    <row r="139" s="6" customFormat="1"/>
    <row r="140" s="6" customFormat="1"/>
    <row r="141" s="6" customFormat="1"/>
    <row r="142" s="6" customFormat="1"/>
    <row r="143" s="6" customFormat="1"/>
    <row r="144" s="6" customFormat="1"/>
    <row r="145" s="6" customFormat="1"/>
    <row r="146" s="6" customFormat="1"/>
    <row r="147" s="6" customFormat="1"/>
    <row r="148" s="6" customFormat="1"/>
    <row r="149" s="6" customFormat="1"/>
    <row r="150" s="6" customFormat="1"/>
  </sheetData>
  <mergeCells count="149">
    <mergeCell ref="AH5:AL6"/>
    <mergeCell ref="C6:Q6"/>
    <mergeCell ref="R6:Z6"/>
    <mergeCell ref="AK7:AL7"/>
    <mergeCell ref="AK8:AL8"/>
    <mergeCell ref="C9:H9"/>
    <mergeCell ref="I9:W9"/>
    <mergeCell ref="X9:Z11"/>
    <mergeCell ref="AK9:AL9"/>
    <mergeCell ref="AK10:AL10"/>
    <mergeCell ref="C18:Q18"/>
    <mergeCell ref="R18:Z18"/>
    <mergeCell ref="C21:H21"/>
    <mergeCell ref="I21:W21"/>
    <mergeCell ref="X21:Z23"/>
    <mergeCell ref="C24:Q24"/>
    <mergeCell ref="AK11:AL11"/>
    <mergeCell ref="C12:Q12"/>
    <mergeCell ref="R12:Z12"/>
    <mergeCell ref="C15:H15"/>
    <mergeCell ref="I15:W15"/>
    <mergeCell ref="X15:Z17"/>
    <mergeCell ref="R24:Z26"/>
    <mergeCell ref="C32:E32"/>
    <mergeCell ref="Q32:S32"/>
    <mergeCell ref="X32:Z32"/>
    <mergeCell ref="AE32:AG32"/>
    <mergeCell ref="AL32:AN32"/>
    <mergeCell ref="AG26:AK28"/>
    <mergeCell ref="I27:W27"/>
    <mergeCell ref="X27:Z29"/>
    <mergeCell ref="C31:E31"/>
    <mergeCell ref="Q31:S31"/>
    <mergeCell ref="X31:Z31"/>
    <mergeCell ref="AE31:AG31"/>
    <mergeCell ref="AL31:AN31"/>
    <mergeCell ref="C27:H29"/>
    <mergeCell ref="AE42:AJ42"/>
    <mergeCell ref="AL42:AQ42"/>
    <mergeCell ref="C40:D40"/>
    <mergeCell ref="Q40:R40"/>
    <mergeCell ref="X40:Y40"/>
    <mergeCell ref="AE40:AF40"/>
    <mergeCell ref="AL40:AM40"/>
    <mergeCell ref="C39:D39"/>
    <mergeCell ref="Q39:R39"/>
    <mergeCell ref="X39:Y39"/>
    <mergeCell ref="AE39:AF39"/>
    <mergeCell ref="AL39:AM39"/>
    <mergeCell ref="AE54:AF54"/>
    <mergeCell ref="AL54:AM54"/>
    <mergeCell ref="C53:D53"/>
    <mergeCell ref="J53:K53"/>
    <mergeCell ref="Q53:R53"/>
    <mergeCell ref="X53:Y53"/>
    <mergeCell ref="AE53:AF53"/>
    <mergeCell ref="AL53:AM53"/>
    <mergeCell ref="C43:C52"/>
    <mergeCell ref="J43:J52"/>
    <mergeCell ref="Q43:Q52"/>
    <mergeCell ref="X43:X52"/>
    <mergeCell ref="AE43:AE52"/>
    <mergeCell ref="AL43:AL52"/>
    <mergeCell ref="AE57:AF57"/>
    <mergeCell ref="AL57:AM57"/>
    <mergeCell ref="C56:D56"/>
    <mergeCell ref="J56:K56"/>
    <mergeCell ref="Q56:R56"/>
    <mergeCell ref="X56:Y56"/>
    <mergeCell ref="AE56:AF56"/>
    <mergeCell ref="AL56:AM56"/>
    <mergeCell ref="C55:D55"/>
    <mergeCell ref="J55:K55"/>
    <mergeCell ref="Q55:R55"/>
    <mergeCell ref="X55:Y55"/>
    <mergeCell ref="AE55:AF55"/>
    <mergeCell ref="AL55:AM55"/>
    <mergeCell ref="AE67:AF67"/>
    <mergeCell ref="C60:E60"/>
    <mergeCell ref="Q60:S60"/>
    <mergeCell ref="X60:Z60"/>
    <mergeCell ref="AE60:AG60"/>
    <mergeCell ref="C59:E59"/>
    <mergeCell ref="Q59:S59"/>
    <mergeCell ref="X59:Z59"/>
    <mergeCell ref="AE59:AG59"/>
    <mergeCell ref="C70:H70"/>
    <mergeCell ref="J70:O70"/>
    <mergeCell ref="Q70:V70"/>
    <mergeCell ref="X70:AC70"/>
    <mergeCell ref="AE70:AJ70"/>
    <mergeCell ref="C68:D68"/>
    <mergeCell ref="Q68:R68"/>
    <mergeCell ref="X68:Y68"/>
    <mergeCell ref="AE68:AF68"/>
    <mergeCell ref="C81:D81"/>
    <mergeCell ref="J81:K81"/>
    <mergeCell ref="Q81:R81"/>
    <mergeCell ref="X81:Y81"/>
    <mergeCell ref="AE81:AF81"/>
    <mergeCell ref="C71:C80"/>
    <mergeCell ref="J71:J80"/>
    <mergeCell ref="Q71:Q80"/>
    <mergeCell ref="X71:X80"/>
    <mergeCell ref="AE71:AE80"/>
    <mergeCell ref="C83:D83"/>
    <mergeCell ref="J83:K83"/>
    <mergeCell ref="Q83:R83"/>
    <mergeCell ref="X83:Y83"/>
    <mergeCell ref="AE83:AF83"/>
    <mergeCell ref="C82:D82"/>
    <mergeCell ref="J82:K82"/>
    <mergeCell ref="Q82:R82"/>
    <mergeCell ref="X82:Y82"/>
    <mergeCell ref="AE82:AF82"/>
    <mergeCell ref="C85:D85"/>
    <mergeCell ref="J85:K85"/>
    <mergeCell ref="Q85:R85"/>
    <mergeCell ref="X85:Y85"/>
    <mergeCell ref="AE85:AF85"/>
    <mergeCell ref="C84:D84"/>
    <mergeCell ref="J84:K84"/>
    <mergeCell ref="Q84:R84"/>
    <mergeCell ref="X84:Y84"/>
    <mergeCell ref="AE84:AF84"/>
    <mergeCell ref="B1:Z4"/>
    <mergeCell ref="J31:L31"/>
    <mergeCell ref="J32:L32"/>
    <mergeCell ref="J39:K39"/>
    <mergeCell ref="J40:K40"/>
    <mergeCell ref="J59:L59"/>
    <mergeCell ref="J60:L60"/>
    <mergeCell ref="J67:K67"/>
    <mergeCell ref="J68:K68"/>
    <mergeCell ref="C67:D67"/>
    <mergeCell ref="Q67:R67"/>
    <mergeCell ref="X67:Y67"/>
    <mergeCell ref="C57:D57"/>
    <mergeCell ref="J57:K57"/>
    <mergeCell ref="Q57:R57"/>
    <mergeCell ref="X57:Y57"/>
    <mergeCell ref="C54:D54"/>
    <mergeCell ref="J54:K54"/>
    <mergeCell ref="Q54:R54"/>
    <mergeCell ref="X54:Y54"/>
    <mergeCell ref="C42:H42"/>
    <mergeCell ref="J42:O42"/>
    <mergeCell ref="Q42:V42"/>
    <mergeCell ref="X42:AC4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EDFE9-7036-4231-BA50-E0332F0E30EC}">
  <dimension ref="A1:CJ150"/>
  <sheetViews>
    <sheetView zoomScale="55" zoomScaleNormal="55" workbookViewId="0">
      <selection activeCell="B1" sqref="B1:Z4"/>
    </sheetView>
  </sheetViews>
  <sheetFormatPr baseColWidth="10" defaultColWidth="8.83203125" defaultRowHeight="15"/>
  <cols>
    <col min="1" max="2" width="3.33203125" customWidth="1"/>
    <col min="3" max="31" width="8.6640625" customWidth="1"/>
    <col min="32" max="32" width="10.5" bestFit="1" customWidth="1"/>
    <col min="33" max="38" width="8.6640625" customWidth="1"/>
    <col min="39" max="39" width="14.33203125" customWidth="1"/>
  </cols>
  <sheetData>
    <row r="1" spans="1:76" s="6" customFormat="1">
      <c r="B1" s="94" t="s">
        <v>116</v>
      </c>
      <c r="C1" s="94"/>
      <c r="D1" s="94"/>
      <c r="E1" s="94"/>
      <c r="F1" s="94"/>
      <c r="G1" s="94"/>
      <c r="H1" s="94"/>
      <c r="I1" s="94"/>
      <c r="J1" s="94"/>
      <c r="K1" s="94"/>
      <c r="L1" s="94"/>
      <c r="M1" s="94"/>
      <c r="N1" s="94"/>
      <c r="O1" s="94"/>
      <c r="P1" s="94"/>
      <c r="Q1" s="94"/>
      <c r="R1" s="94"/>
      <c r="S1" s="94"/>
      <c r="T1" s="94"/>
      <c r="U1" s="94"/>
      <c r="V1" s="94"/>
      <c r="W1" s="94"/>
      <c r="X1" s="94"/>
      <c r="Y1" s="94"/>
      <c r="Z1" s="94"/>
    </row>
    <row r="2" spans="1:76" s="6" customFormat="1">
      <c r="B2" s="94"/>
      <c r="C2" s="94"/>
      <c r="D2" s="94"/>
      <c r="E2" s="94"/>
      <c r="F2" s="94"/>
      <c r="G2" s="94"/>
      <c r="H2" s="94"/>
      <c r="I2" s="94"/>
      <c r="J2" s="94"/>
      <c r="K2" s="94"/>
      <c r="L2" s="94"/>
      <c r="M2" s="94"/>
      <c r="N2" s="94"/>
      <c r="O2" s="94"/>
      <c r="P2" s="94"/>
      <c r="Q2" s="94"/>
      <c r="R2" s="94"/>
      <c r="S2" s="94"/>
      <c r="T2" s="94"/>
      <c r="U2" s="94"/>
      <c r="V2" s="94"/>
      <c r="W2" s="94"/>
      <c r="X2" s="94"/>
      <c r="Y2" s="94"/>
      <c r="Z2" s="94"/>
    </row>
    <row r="3" spans="1:76" s="6" customFormat="1">
      <c r="B3" s="94"/>
      <c r="C3" s="94"/>
      <c r="D3" s="94"/>
      <c r="E3" s="94"/>
      <c r="F3" s="94"/>
      <c r="G3" s="94"/>
      <c r="H3" s="94"/>
      <c r="I3" s="94"/>
      <c r="J3" s="94"/>
      <c r="K3" s="94"/>
      <c r="L3" s="94"/>
      <c r="M3" s="94"/>
      <c r="N3" s="94"/>
      <c r="O3" s="94"/>
      <c r="P3" s="94"/>
      <c r="Q3" s="94"/>
      <c r="R3" s="94"/>
      <c r="S3" s="94"/>
      <c r="T3" s="94"/>
      <c r="U3" s="94"/>
      <c r="V3" s="94"/>
      <c r="W3" s="94"/>
      <c r="X3" s="94"/>
      <c r="Y3" s="94"/>
      <c r="Z3" s="94"/>
    </row>
    <row r="4" spans="1:76" ht="16" thickBot="1">
      <c r="A4" s="6"/>
      <c r="B4" s="95"/>
      <c r="C4" s="95"/>
      <c r="D4" s="95"/>
      <c r="E4" s="95"/>
      <c r="F4" s="95"/>
      <c r="G4" s="95"/>
      <c r="H4" s="95"/>
      <c r="I4" s="95"/>
      <c r="J4" s="95"/>
      <c r="K4" s="95"/>
      <c r="L4" s="95"/>
      <c r="M4" s="95"/>
      <c r="N4" s="95"/>
      <c r="O4" s="95"/>
      <c r="P4" s="95"/>
      <c r="Q4" s="95"/>
      <c r="R4" s="95"/>
      <c r="S4" s="95"/>
      <c r="T4" s="95"/>
      <c r="U4" s="95"/>
      <c r="V4" s="95"/>
      <c r="W4" s="95"/>
      <c r="X4" s="95"/>
      <c r="Y4" s="95"/>
      <c r="Z4" s="95"/>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row>
    <row r="5" spans="1:76" ht="16" thickBot="1">
      <c r="A5" s="6"/>
      <c r="B5" s="22"/>
      <c r="C5" s="23">
        <v>1</v>
      </c>
      <c r="D5" s="8">
        <v>2</v>
      </c>
      <c r="E5" s="23">
        <v>3</v>
      </c>
      <c r="F5" s="8">
        <v>4</v>
      </c>
      <c r="G5" s="23">
        <v>5</v>
      </c>
      <c r="H5" s="8">
        <v>6</v>
      </c>
      <c r="I5" s="23">
        <v>7</v>
      </c>
      <c r="J5" s="8">
        <v>8</v>
      </c>
      <c r="K5" s="23">
        <v>9</v>
      </c>
      <c r="L5" s="8">
        <v>10</v>
      </c>
      <c r="M5" s="23">
        <v>11</v>
      </c>
      <c r="N5" s="8">
        <v>12</v>
      </c>
      <c r="O5" s="23">
        <v>13</v>
      </c>
      <c r="P5" s="8">
        <v>14</v>
      </c>
      <c r="Q5" s="23">
        <v>15</v>
      </c>
      <c r="R5" s="8">
        <v>16</v>
      </c>
      <c r="S5" s="23">
        <v>17</v>
      </c>
      <c r="T5" s="8">
        <v>18</v>
      </c>
      <c r="U5" s="23">
        <v>19</v>
      </c>
      <c r="V5" s="8">
        <v>20</v>
      </c>
      <c r="W5" s="23">
        <v>21</v>
      </c>
      <c r="X5" s="8">
        <v>22</v>
      </c>
      <c r="Y5" s="23">
        <v>23</v>
      </c>
      <c r="Z5" s="9">
        <v>24</v>
      </c>
      <c r="AA5" s="6"/>
      <c r="AB5" s="6"/>
      <c r="AC5" s="6"/>
      <c r="AD5" s="6"/>
      <c r="AE5" s="6"/>
      <c r="AF5" s="6"/>
      <c r="AG5" s="6"/>
      <c r="AH5" s="106" t="s">
        <v>88</v>
      </c>
      <c r="AI5" s="107"/>
      <c r="AJ5" s="107"/>
      <c r="AK5" s="107"/>
      <c r="AL5" s="108"/>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1:76" ht="16" thickBot="1">
      <c r="A6" s="6"/>
      <c r="B6" s="30" t="s">
        <v>15</v>
      </c>
      <c r="C6" s="147" t="s">
        <v>17</v>
      </c>
      <c r="D6" s="148"/>
      <c r="E6" s="148"/>
      <c r="F6" s="148"/>
      <c r="G6" s="148"/>
      <c r="H6" s="148"/>
      <c r="I6" s="148"/>
      <c r="J6" s="148"/>
      <c r="K6" s="148"/>
      <c r="L6" s="148"/>
      <c r="M6" s="148"/>
      <c r="N6" s="148"/>
      <c r="O6" s="148"/>
      <c r="P6" s="148"/>
      <c r="Q6" s="149"/>
      <c r="R6" s="147" t="s">
        <v>18</v>
      </c>
      <c r="S6" s="148"/>
      <c r="T6" s="148"/>
      <c r="U6" s="148"/>
      <c r="V6" s="148"/>
      <c r="W6" s="148"/>
      <c r="X6" s="148"/>
      <c r="Y6" s="148"/>
      <c r="Z6" s="149"/>
      <c r="AA6" s="6"/>
      <c r="AB6" s="6"/>
      <c r="AC6" s="6"/>
      <c r="AD6" s="6"/>
      <c r="AE6" s="6"/>
      <c r="AF6" s="6"/>
      <c r="AG6" s="6"/>
      <c r="AH6" s="109"/>
      <c r="AI6" s="110"/>
      <c r="AJ6" s="110"/>
      <c r="AK6" s="110"/>
      <c r="AL6" s="111"/>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c r="A7" s="6"/>
      <c r="B7" s="20" t="s">
        <v>0</v>
      </c>
      <c r="C7" s="65">
        <v>28.073970698950699</v>
      </c>
      <c r="D7" s="69">
        <v>25.740148883579</v>
      </c>
      <c r="E7" s="66">
        <v>23.319121355588901</v>
      </c>
      <c r="F7" s="66">
        <v>20.9145960875186</v>
      </c>
      <c r="G7" s="66">
        <v>18.6534886017091</v>
      </c>
      <c r="H7" s="24">
        <v>19.244526130140802</v>
      </c>
      <c r="I7" s="24">
        <v>19.1860514876876</v>
      </c>
      <c r="J7" s="24">
        <v>24.2638839634219</v>
      </c>
      <c r="K7" s="25">
        <v>19.3891730255494</v>
      </c>
      <c r="L7" s="25">
        <v>19.272133936123801</v>
      </c>
      <c r="M7" s="25">
        <v>20.975475442498801</v>
      </c>
      <c r="N7" s="26">
        <v>19.6520225542369</v>
      </c>
      <c r="O7" s="26">
        <v>21.219655007923901</v>
      </c>
      <c r="P7" s="26">
        <v>20.448122094508399</v>
      </c>
      <c r="Q7" s="27">
        <v>35.051984984095</v>
      </c>
      <c r="R7" s="65">
        <v>30.360583551708999</v>
      </c>
      <c r="S7" s="66">
        <v>25.203690661012399</v>
      </c>
      <c r="T7" s="66">
        <v>21.178097362983099</v>
      </c>
      <c r="U7" s="66">
        <v>18.2334368475844</v>
      </c>
      <c r="V7" s="66">
        <v>15.8232551912457</v>
      </c>
      <c r="W7" s="24">
        <v>15.700521503348099</v>
      </c>
      <c r="X7" s="24">
        <v>15.398066290164801</v>
      </c>
      <c r="Y7" s="24">
        <v>18.824249646154001</v>
      </c>
      <c r="Z7" s="27">
        <v>34.4257897624489</v>
      </c>
      <c r="AA7" s="6"/>
      <c r="AB7" s="1"/>
      <c r="AC7" s="6" t="s">
        <v>28</v>
      </c>
      <c r="AD7" s="6"/>
      <c r="AE7" s="6"/>
      <c r="AF7" s="6"/>
      <c r="AG7" s="6"/>
      <c r="AH7" s="87" t="s">
        <v>89</v>
      </c>
      <c r="AI7" s="88"/>
      <c r="AJ7" s="88"/>
      <c r="AK7" s="112">
        <v>45150</v>
      </c>
      <c r="AL7" s="113"/>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1:76" ht="16" thickBot="1">
      <c r="A8" s="6"/>
      <c r="B8" s="21" t="s">
        <v>1</v>
      </c>
      <c r="C8" s="67">
        <v>28.1679234379489</v>
      </c>
      <c r="D8" s="70">
        <v>25.835437363484299</v>
      </c>
      <c r="E8" s="68">
        <v>23.062742322901499</v>
      </c>
      <c r="F8" s="68">
        <v>21.080777796821899</v>
      </c>
      <c r="G8" s="68">
        <v>18.671718096661198</v>
      </c>
      <c r="H8" s="10">
        <v>19.302065536249099</v>
      </c>
      <c r="I8" s="10">
        <v>19.121806430317498</v>
      </c>
      <c r="J8" s="10">
        <v>24.191069109303399</v>
      </c>
      <c r="K8" s="11">
        <v>19.415400424663201</v>
      </c>
      <c r="L8" s="11">
        <v>19.130691560455301</v>
      </c>
      <c r="M8" s="11">
        <v>21.007364202085999</v>
      </c>
      <c r="N8" s="12">
        <v>19.7065171864941</v>
      </c>
      <c r="O8" s="12">
        <v>21.185227143715402</v>
      </c>
      <c r="P8" s="12">
        <v>20.442593637010901</v>
      </c>
      <c r="Q8" s="13">
        <v>36.511367827801898</v>
      </c>
      <c r="R8" s="67">
        <v>30.1895566941376</v>
      </c>
      <c r="S8" s="68">
        <v>26.287822165391699</v>
      </c>
      <c r="T8" s="68">
        <v>21.258869555233399</v>
      </c>
      <c r="U8" s="68">
        <v>18.2082603242728</v>
      </c>
      <c r="V8" s="68">
        <v>15.752251117158799</v>
      </c>
      <c r="W8" s="10">
        <v>15.6879801175004</v>
      </c>
      <c r="X8" s="10">
        <v>15.6316972420182</v>
      </c>
      <c r="Y8" s="10">
        <v>18.8775999987228</v>
      </c>
      <c r="Z8" s="13">
        <v>32.613331653987998</v>
      </c>
      <c r="AA8" s="6"/>
      <c r="AB8" s="2"/>
      <c r="AC8" s="6" t="s">
        <v>29</v>
      </c>
      <c r="AD8" s="6"/>
      <c r="AE8" s="6"/>
      <c r="AF8" s="6"/>
      <c r="AG8" s="6"/>
      <c r="AH8" s="87" t="s">
        <v>90</v>
      </c>
      <c r="AI8" s="88"/>
      <c r="AJ8" s="88"/>
      <c r="AK8" s="112">
        <v>45157</v>
      </c>
      <c r="AL8" s="113"/>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1:76" ht="16" thickBot="1">
      <c r="A9" s="6"/>
      <c r="B9" s="30" t="s">
        <v>15</v>
      </c>
      <c r="C9" s="144" t="s">
        <v>18</v>
      </c>
      <c r="D9" s="145"/>
      <c r="E9" s="145"/>
      <c r="F9" s="145"/>
      <c r="G9" s="145"/>
      <c r="H9" s="146"/>
      <c r="I9" s="144" t="s">
        <v>26</v>
      </c>
      <c r="J9" s="145"/>
      <c r="K9" s="145"/>
      <c r="L9" s="145"/>
      <c r="M9" s="145"/>
      <c r="N9" s="145"/>
      <c r="O9" s="145"/>
      <c r="P9" s="145"/>
      <c r="Q9" s="145"/>
      <c r="R9" s="145"/>
      <c r="S9" s="145"/>
      <c r="T9" s="145"/>
      <c r="U9" s="145"/>
      <c r="V9" s="145"/>
      <c r="W9" s="146"/>
      <c r="X9" s="135"/>
      <c r="Y9" s="136"/>
      <c r="Z9" s="137"/>
      <c r="AA9" s="6"/>
      <c r="AB9" s="3"/>
      <c r="AC9" s="6" t="s">
        <v>30</v>
      </c>
      <c r="AD9" s="6"/>
      <c r="AE9" s="6"/>
      <c r="AF9" s="6"/>
      <c r="AG9" s="6"/>
      <c r="AH9" s="87" t="s">
        <v>91</v>
      </c>
      <c r="AI9" s="88"/>
      <c r="AJ9" s="88"/>
      <c r="AK9" s="112">
        <v>45160</v>
      </c>
      <c r="AL9" s="113"/>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1:76">
      <c r="A10" s="6"/>
      <c r="B10" s="20" t="s">
        <v>2</v>
      </c>
      <c r="C10" s="28">
        <v>15.738630665811399</v>
      </c>
      <c r="D10" s="25">
        <v>15.9029209873238</v>
      </c>
      <c r="E10" s="25">
        <v>16.9633244074926</v>
      </c>
      <c r="F10" s="26">
        <v>15.994767990979</v>
      </c>
      <c r="G10" s="26">
        <v>17.390936680686799</v>
      </c>
      <c r="H10" s="29">
        <v>16.294357849931501</v>
      </c>
      <c r="I10" s="65">
        <v>26.981192117498601</v>
      </c>
      <c r="J10" s="66">
        <v>25.486360383983101</v>
      </c>
      <c r="K10" s="66">
        <v>24.667552789226701</v>
      </c>
      <c r="L10" s="66">
        <v>25.076571684104501</v>
      </c>
      <c r="M10" s="66">
        <v>23.1009607644779</v>
      </c>
      <c r="N10" s="24">
        <v>23.143932451966499</v>
      </c>
      <c r="O10" s="24">
        <v>23.026539478175</v>
      </c>
      <c r="P10" s="24">
        <v>27.108664521892401</v>
      </c>
      <c r="Q10" s="25">
        <v>23.204863041801602</v>
      </c>
      <c r="R10" s="25">
        <v>23.1060976738774</v>
      </c>
      <c r="S10" s="25">
        <v>23.962225981112901</v>
      </c>
      <c r="T10" s="26">
        <v>23.3333160252214</v>
      </c>
      <c r="U10" s="26">
        <v>24.572724273265401</v>
      </c>
      <c r="V10" s="26">
        <v>23.764197043493699</v>
      </c>
      <c r="W10" s="27">
        <v>31.023396366460101</v>
      </c>
      <c r="X10" s="138"/>
      <c r="Y10" s="139"/>
      <c r="Z10" s="140"/>
      <c r="AA10" s="6"/>
      <c r="AB10" s="4"/>
      <c r="AC10" s="6" t="s">
        <v>31</v>
      </c>
      <c r="AD10" s="6"/>
      <c r="AE10" s="6"/>
      <c r="AF10" s="6"/>
      <c r="AG10" s="6"/>
      <c r="AH10" s="87" t="s">
        <v>92</v>
      </c>
      <c r="AI10" s="88"/>
      <c r="AJ10" s="88"/>
      <c r="AK10" s="112">
        <v>45176</v>
      </c>
      <c r="AL10" s="113"/>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1:76" ht="18" thickBot="1">
      <c r="A11" s="6"/>
      <c r="B11" s="21" t="s">
        <v>3</v>
      </c>
      <c r="C11" s="14">
        <v>15.822124153823999</v>
      </c>
      <c r="D11" s="11">
        <v>15.9458463235664</v>
      </c>
      <c r="E11" s="11">
        <v>17.124339718117898</v>
      </c>
      <c r="F11" s="12">
        <v>15.9712129638693</v>
      </c>
      <c r="G11" s="12">
        <v>17.349369622114999</v>
      </c>
      <c r="H11" s="15">
        <v>16.2585362217702</v>
      </c>
      <c r="I11" s="67">
        <v>27.0712378177208</v>
      </c>
      <c r="J11" s="68">
        <v>25.549580763488802</v>
      </c>
      <c r="K11" s="68">
        <v>24.627955171614499</v>
      </c>
      <c r="L11" s="68">
        <v>25.127496149604699</v>
      </c>
      <c r="M11" s="68">
        <v>23.053156605461599</v>
      </c>
      <c r="N11" s="10">
        <v>23.084528031663599</v>
      </c>
      <c r="O11" s="10">
        <v>23.138533001915501</v>
      </c>
      <c r="P11" s="10">
        <v>27.276571501715399</v>
      </c>
      <c r="Q11" s="11">
        <v>23.028354921007601</v>
      </c>
      <c r="R11" s="16">
        <v>22.9794236399295</v>
      </c>
      <c r="S11" s="16">
        <v>23.975908157623898</v>
      </c>
      <c r="T11" s="17">
        <v>23.271531534268401</v>
      </c>
      <c r="U11" s="17">
        <v>24.536243069333299</v>
      </c>
      <c r="V11" s="17">
        <v>23.863490381751301</v>
      </c>
      <c r="W11" s="18">
        <v>31.1278007915712</v>
      </c>
      <c r="X11" s="141"/>
      <c r="Y11" s="142"/>
      <c r="Z11" s="143"/>
      <c r="AA11" s="6"/>
      <c r="AB11" s="5"/>
      <c r="AC11" s="6" t="s">
        <v>32</v>
      </c>
      <c r="AD11" s="6"/>
      <c r="AE11" s="6"/>
      <c r="AF11" s="6"/>
      <c r="AG11" s="6"/>
      <c r="AH11" s="89" t="s">
        <v>93</v>
      </c>
      <c r="AI11" s="90"/>
      <c r="AJ11" s="90"/>
      <c r="AK11" s="114">
        <v>45187</v>
      </c>
      <c r="AL11" s="115"/>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1:76" ht="16" thickBot="1">
      <c r="A12" s="6"/>
      <c r="B12" s="30" t="s">
        <v>15</v>
      </c>
      <c r="C12" s="147" t="s">
        <v>19</v>
      </c>
      <c r="D12" s="148"/>
      <c r="E12" s="148"/>
      <c r="F12" s="148"/>
      <c r="G12" s="148"/>
      <c r="H12" s="148"/>
      <c r="I12" s="148"/>
      <c r="J12" s="148"/>
      <c r="K12" s="148"/>
      <c r="L12" s="148"/>
      <c r="M12" s="148"/>
      <c r="N12" s="148"/>
      <c r="O12" s="148"/>
      <c r="P12" s="148"/>
      <c r="Q12" s="149"/>
      <c r="R12" s="147" t="s">
        <v>20</v>
      </c>
      <c r="S12" s="148"/>
      <c r="T12" s="148"/>
      <c r="U12" s="148"/>
      <c r="V12" s="148"/>
      <c r="W12" s="148"/>
      <c r="X12" s="148"/>
      <c r="Y12" s="148"/>
      <c r="Z12" s="149"/>
      <c r="AA12" s="6"/>
      <c r="AB12" s="19"/>
      <c r="AC12" s="6" t="s">
        <v>16</v>
      </c>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1:76">
      <c r="A13" s="6"/>
      <c r="B13" s="20" t="s">
        <v>4</v>
      </c>
      <c r="C13" s="65">
        <v>26.475973101389499</v>
      </c>
      <c r="D13" s="66">
        <v>23.950142971057801</v>
      </c>
      <c r="E13" s="66">
        <v>21.896853950174702</v>
      </c>
      <c r="F13" s="66">
        <v>19.670341261042601</v>
      </c>
      <c r="G13" s="66">
        <v>17.305088885743501</v>
      </c>
      <c r="H13" s="24">
        <v>18.5845273251824</v>
      </c>
      <c r="I13" s="24">
        <v>18.795365948213401</v>
      </c>
      <c r="J13" s="24">
        <v>21.067955572401999</v>
      </c>
      <c r="K13" s="25">
        <v>18.7859275587337</v>
      </c>
      <c r="L13" s="25">
        <v>18.277560254037599</v>
      </c>
      <c r="M13" s="25">
        <v>20.326752509578998</v>
      </c>
      <c r="N13" s="26">
        <v>18.4230113967213</v>
      </c>
      <c r="O13" s="26">
        <v>20.0053977469464</v>
      </c>
      <c r="P13" s="26">
        <v>19.452062366159499</v>
      </c>
      <c r="Q13" s="27">
        <v>32.888998254989197</v>
      </c>
      <c r="R13" s="65">
        <v>25.189504041564899</v>
      </c>
      <c r="S13" s="66">
        <v>22.912276509237302</v>
      </c>
      <c r="T13" s="66">
        <v>20.581683064486398</v>
      </c>
      <c r="U13" s="66">
        <v>18.8758516674161</v>
      </c>
      <c r="V13" s="66">
        <v>16.107370694917499</v>
      </c>
      <c r="W13" s="24">
        <v>17.844666830151599</v>
      </c>
      <c r="X13" s="24">
        <v>17.813998494748802</v>
      </c>
      <c r="Y13" s="24">
        <v>22.448187406412298</v>
      </c>
      <c r="Z13" s="27">
        <v>36.670816358477097</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1:76" ht="16" thickBot="1">
      <c r="A14" s="6"/>
      <c r="B14" s="21" t="s">
        <v>5</v>
      </c>
      <c r="C14" s="67">
        <v>26.3558654358254</v>
      </c>
      <c r="D14" s="68">
        <v>24.069582479767298</v>
      </c>
      <c r="E14" s="68">
        <v>22.012111737860401</v>
      </c>
      <c r="F14" s="68">
        <v>19.646338398450698</v>
      </c>
      <c r="G14" s="68">
        <v>17.370785419351499</v>
      </c>
      <c r="H14" s="10">
        <v>18.742307022206301</v>
      </c>
      <c r="I14" s="10">
        <v>18.684335698221702</v>
      </c>
      <c r="J14" s="10">
        <v>21.091194086806301</v>
      </c>
      <c r="K14" s="11">
        <v>18.946328063963101</v>
      </c>
      <c r="L14" s="11">
        <v>18.292848283988299</v>
      </c>
      <c r="M14" s="11">
        <v>20.3298030408939</v>
      </c>
      <c r="N14" s="12">
        <v>18.733122470277898</v>
      </c>
      <c r="O14" s="12">
        <v>19.954549192315699</v>
      </c>
      <c r="P14" s="12">
        <v>19.556517294003001</v>
      </c>
      <c r="Q14" s="13">
        <v>38.031631104013996</v>
      </c>
      <c r="R14" s="67">
        <v>25.235686703129101</v>
      </c>
      <c r="S14" s="68">
        <v>22.87222356389</v>
      </c>
      <c r="T14" s="68">
        <v>20.627292704410401</v>
      </c>
      <c r="U14" s="68">
        <v>18.441928025995399</v>
      </c>
      <c r="V14" s="68">
        <v>15.970376323096</v>
      </c>
      <c r="W14" s="10">
        <v>17.845615755954601</v>
      </c>
      <c r="X14" s="10">
        <v>17.759055628245399</v>
      </c>
      <c r="Y14" s="10">
        <v>22.347623112371</v>
      </c>
      <c r="Z14" s="13">
        <v>34.7816980287527</v>
      </c>
      <c r="AA14" s="6"/>
      <c r="AB14" s="6" t="s">
        <v>62</v>
      </c>
      <c r="AC14" s="6" t="s">
        <v>63</v>
      </c>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1:76" ht="16" thickBot="1">
      <c r="A15" s="6"/>
      <c r="B15" s="30" t="s">
        <v>15</v>
      </c>
      <c r="C15" s="147" t="s">
        <v>20</v>
      </c>
      <c r="D15" s="148"/>
      <c r="E15" s="148"/>
      <c r="F15" s="148"/>
      <c r="G15" s="148"/>
      <c r="H15" s="149"/>
      <c r="I15" s="147" t="s">
        <v>21</v>
      </c>
      <c r="J15" s="148"/>
      <c r="K15" s="148"/>
      <c r="L15" s="148"/>
      <c r="M15" s="148"/>
      <c r="N15" s="148"/>
      <c r="O15" s="148"/>
      <c r="P15" s="148"/>
      <c r="Q15" s="148"/>
      <c r="R15" s="148"/>
      <c r="S15" s="148"/>
      <c r="T15" s="148"/>
      <c r="U15" s="148"/>
      <c r="V15" s="148"/>
      <c r="W15" s="149"/>
      <c r="X15" s="135"/>
      <c r="Y15" s="136"/>
      <c r="Z15" s="137"/>
      <c r="AA15" s="6"/>
      <c r="AB15" s="6" t="s">
        <v>64</v>
      </c>
      <c r="AC15" s="6" t="s">
        <v>65</v>
      </c>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1:76">
      <c r="A16" s="6"/>
      <c r="B16" s="20" t="s">
        <v>6</v>
      </c>
      <c r="C16" s="28">
        <v>18.014685876258799</v>
      </c>
      <c r="D16" s="25">
        <v>17.734877994939101</v>
      </c>
      <c r="E16" s="25">
        <v>19.023049383225999</v>
      </c>
      <c r="F16" s="26">
        <v>17.7121855027784</v>
      </c>
      <c r="G16" s="26">
        <v>18.577123051462099</v>
      </c>
      <c r="H16" s="29">
        <v>18.0166041379814</v>
      </c>
      <c r="I16" s="65">
        <v>27.8055631329999</v>
      </c>
      <c r="J16" s="66">
        <v>25.259801280456699</v>
      </c>
      <c r="K16" s="66">
        <v>22.909683662004198</v>
      </c>
      <c r="L16" s="66">
        <v>20.622336330629601</v>
      </c>
      <c r="M16" s="66">
        <v>18.272448859078601</v>
      </c>
      <c r="N16" s="24">
        <v>18.879204547314799</v>
      </c>
      <c r="O16" s="24">
        <v>18.9990603194193</v>
      </c>
      <c r="P16" s="24">
        <v>22.404674845757999</v>
      </c>
      <c r="Q16" s="25">
        <v>18.9988136889638</v>
      </c>
      <c r="R16" s="25">
        <v>18.9839756829947</v>
      </c>
      <c r="S16" s="25">
        <v>20.685616837456099</v>
      </c>
      <c r="T16" s="26">
        <v>18.806058540951899</v>
      </c>
      <c r="U16" s="26">
        <v>20.0842870164198</v>
      </c>
      <c r="V16" s="26">
        <v>19.4958450769903</v>
      </c>
      <c r="W16" s="27">
        <v>34.045913727577997</v>
      </c>
      <c r="X16" s="138"/>
      <c r="Y16" s="139"/>
      <c r="Z16" s="140"/>
      <c r="AA16" s="6"/>
      <c r="AB16" s="6" t="s">
        <v>66</v>
      </c>
      <c r="AC16" s="6" t="s">
        <v>67</v>
      </c>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1:76" ht="16" thickBot="1">
      <c r="A17" s="6"/>
      <c r="B17" s="21" t="s">
        <v>7</v>
      </c>
      <c r="C17" s="14">
        <v>18.001582819261898</v>
      </c>
      <c r="D17" s="11">
        <v>17.714778493727</v>
      </c>
      <c r="E17" s="11">
        <v>19.267730849929201</v>
      </c>
      <c r="F17" s="12">
        <v>17.8337726229231</v>
      </c>
      <c r="G17" s="12">
        <v>18.6658765535994</v>
      </c>
      <c r="H17" s="15">
        <v>18.227643610402598</v>
      </c>
      <c r="I17" s="67">
        <v>27.332867033450299</v>
      </c>
      <c r="J17" s="68">
        <v>25.197203750675499</v>
      </c>
      <c r="K17" s="68">
        <v>22.888529347939699</v>
      </c>
      <c r="L17" s="68">
        <v>20.493048648918599</v>
      </c>
      <c r="M17" s="68">
        <v>18.137514724504602</v>
      </c>
      <c r="N17" s="10">
        <v>18.833520007225701</v>
      </c>
      <c r="O17" s="10">
        <v>18.930396594002801</v>
      </c>
      <c r="P17" s="10">
        <v>22.499235884904099</v>
      </c>
      <c r="Q17" s="11">
        <v>18.888682322915798</v>
      </c>
      <c r="R17" s="16">
        <v>18.694421234458201</v>
      </c>
      <c r="S17" s="16">
        <v>20.768333651771901</v>
      </c>
      <c r="T17" s="17">
        <v>18.752400579239101</v>
      </c>
      <c r="U17" s="17">
        <v>20.083157839335801</v>
      </c>
      <c r="V17" s="17">
        <v>19.4891118669223</v>
      </c>
      <c r="W17" s="18">
        <v>35.766805986018397</v>
      </c>
      <c r="X17" s="141"/>
      <c r="Y17" s="142"/>
      <c r="Z17" s="143"/>
      <c r="AA17" s="6"/>
      <c r="AB17" s="6" t="s">
        <v>68</v>
      </c>
      <c r="AC17" s="6" t="s">
        <v>69</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1:76" ht="16" thickBot="1">
      <c r="A18" s="6"/>
      <c r="B18" s="30" t="s">
        <v>15</v>
      </c>
      <c r="C18" s="147" t="s">
        <v>22</v>
      </c>
      <c r="D18" s="148"/>
      <c r="E18" s="148"/>
      <c r="F18" s="148"/>
      <c r="G18" s="148"/>
      <c r="H18" s="148"/>
      <c r="I18" s="148"/>
      <c r="J18" s="148"/>
      <c r="K18" s="148"/>
      <c r="L18" s="148"/>
      <c r="M18" s="148"/>
      <c r="N18" s="148"/>
      <c r="O18" s="148"/>
      <c r="P18" s="148"/>
      <c r="Q18" s="149"/>
      <c r="R18" s="147" t="s">
        <v>23</v>
      </c>
      <c r="S18" s="148"/>
      <c r="T18" s="148"/>
      <c r="U18" s="148"/>
      <c r="V18" s="148"/>
      <c r="W18" s="148"/>
      <c r="X18" s="148"/>
      <c r="Y18" s="148"/>
      <c r="Z18" s="149"/>
      <c r="AA18" s="6"/>
      <c r="AB18" s="6" t="s">
        <v>70</v>
      </c>
      <c r="AC18" s="6" t="s">
        <v>71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1:76">
      <c r="A19" s="6"/>
      <c r="B19" s="20" t="s">
        <v>8</v>
      </c>
      <c r="C19" s="65">
        <v>28.7775367986257</v>
      </c>
      <c r="D19" s="66">
        <v>27.0469565242106</v>
      </c>
      <c r="E19" s="66">
        <v>25.536244006456801</v>
      </c>
      <c r="F19" s="66">
        <v>23.358723944585101</v>
      </c>
      <c r="G19" s="66">
        <v>20.981004648029401</v>
      </c>
      <c r="H19" s="24">
        <v>21.242979598802101</v>
      </c>
      <c r="I19" s="24">
        <v>21.080660824625699</v>
      </c>
      <c r="J19" s="24">
        <v>25.433832622367898</v>
      </c>
      <c r="K19" s="25">
        <v>21.374141818720201</v>
      </c>
      <c r="L19" s="25">
        <v>21.203497946493801</v>
      </c>
      <c r="M19" s="25">
        <v>22.236180791162401</v>
      </c>
      <c r="N19" s="26">
        <v>21.182117854630199</v>
      </c>
      <c r="O19" s="26">
        <v>22.332239876876901</v>
      </c>
      <c r="P19" s="26">
        <v>21.610526144029599</v>
      </c>
      <c r="Q19" s="27">
        <v>30.598578324047601</v>
      </c>
      <c r="R19" s="65">
        <v>29.0629205294839</v>
      </c>
      <c r="S19" s="66">
        <v>26.8332568963156</v>
      </c>
      <c r="T19" s="66">
        <v>25.201346935046601</v>
      </c>
      <c r="U19" s="69">
        <v>22.973139840817201</v>
      </c>
      <c r="V19" s="66">
        <v>20.511472253154</v>
      </c>
      <c r="W19" s="24">
        <v>21.325235978908701</v>
      </c>
      <c r="X19" s="24">
        <v>21.550894001042199</v>
      </c>
      <c r="Y19" s="24">
        <v>26.492922615829301</v>
      </c>
      <c r="Z19" s="27">
        <v>35.001302521811802</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1:76" ht="16" thickBot="1">
      <c r="A20" s="6"/>
      <c r="B20" s="21" t="s">
        <v>9</v>
      </c>
      <c r="C20" s="67">
        <v>28.693138904480001</v>
      </c>
      <c r="D20" s="68">
        <v>27.0246676596471</v>
      </c>
      <c r="E20" s="68">
        <v>25.557675796037898</v>
      </c>
      <c r="F20" s="68">
        <v>23.348543015431499</v>
      </c>
      <c r="G20" s="68">
        <v>20.878892599067701</v>
      </c>
      <c r="H20" s="10">
        <v>21.250315388748099</v>
      </c>
      <c r="I20" s="10">
        <v>21.254384033888499</v>
      </c>
      <c r="J20" s="10">
        <v>25.502911588228798</v>
      </c>
      <c r="K20" s="11">
        <v>21.3830626327406</v>
      </c>
      <c r="L20" s="11">
        <v>21.185487497739999</v>
      </c>
      <c r="M20" s="11">
        <v>22.1402525698965</v>
      </c>
      <c r="N20" s="12">
        <v>21.1270903262959</v>
      </c>
      <c r="O20" s="12">
        <v>22.392876716523901</v>
      </c>
      <c r="P20" s="12">
        <v>21.656066989045499</v>
      </c>
      <c r="Q20" s="13">
        <v>30.595529916691</v>
      </c>
      <c r="R20" s="67">
        <v>28.823642861587398</v>
      </c>
      <c r="S20" s="68">
        <v>27.0010548149626</v>
      </c>
      <c r="T20" s="68">
        <v>25.218074482528198</v>
      </c>
      <c r="U20" s="70">
        <v>22.986848150282299</v>
      </c>
      <c r="V20" s="68">
        <v>20.721286303463401</v>
      </c>
      <c r="W20" s="10">
        <v>21.487431393239</v>
      </c>
      <c r="X20" s="10">
        <v>21.401657315328102</v>
      </c>
      <c r="Y20" s="10">
        <v>26.737106140878801</v>
      </c>
      <c r="Z20" s="13">
        <v>35.562209588431003</v>
      </c>
      <c r="AA20" s="6"/>
      <c r="AB20" s="6" t="s">
        <v>72</v>
      </c>
      <c r="AC20" s="6" t="s">
        <v>73</v>
      </c>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1:76" ht="16" thickBot="1">
      <c r="A21" s="6"/>
      <c r="B21" s="30" t="s">
        <v>15</v>
      </c>
      <c r="C21" s="147" t="s">
        <v>23</v>
      </c>
      <c r="D21" s="148"/>
      <c r="E21" s="148"/>
      <c r="F21" s="148"/>
      <c r="G21" s="148"/>
      <c r="H21" s="149"/>
      <c r="I21" s="147" t="s">
        <v>27</v>
      </c>
      <c r="J21" s="148"/>
      <c r="K21" s="148"/>
      <c r="L21" s="148"/>
      <c r="M21" s="148"/>
      <c r="N21" s="148"/>
      <c r="O21" s="148"/>
      <c r="P21" s="148"/>
      <c r="Q21" s="148"/>
      <c r="R21" s="148"/>
      <c r="S21" s="148"/>
      <c r="T21" s="148"/>
      <c r="U21" s="148"/>
      <c r="V21" s="148"/>
      <c r="W21" s="149"/>
      <c r="X21" s="135"/>
      <c r="Y21" s="136"/>
      <c r="Z21" s="137"/>
      <c r="AA21" s="6"/>
      <c r="AB21" s="6" t="s">
        <v>74</v>
      </c>
      <c r="AC21" s="6" t="s">
        <v>75</v>
      </c>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1:76">
      <c r="A22" s="6"/>
      <c r="B22" s="20" t="s">
        <v>10</v>
      </c>
      <c r="C22" s="28">
        <v>21.4567254477838</v>
      </c>
      <c r="D22" s="25">
        <v>21.140495886271001</v>
      </c>
      <c r="E22" s="25">
        <v>22.976419704392899</v>
      </c>
      <c r="F22" s="26">
        <v>21.7788400931415</v>
      </c>
      <c r="G22" s="26">
        <v>23.161072463153801</v>
      </c>
      <c r="H22" s="29">
        <v>22.4048346663179</v>
      </c>
      <c r="I22" s="65">
        <v>25.513266933643202</v>
      </c>
      <c r="J22" s="66">
        <v>23.398412470290001</v>
      </c>
      <c r="K22" s="66">
        <v>21.391134036444701</v>
      </c>
      <c r="L22" s="66">
        <v>19.046117874347399</v>
      </c>
      <c r="M22" s="66">
        <v>16.784458228469301</v>
      </c>
      <c r="N22" s="24">
        <v>17.3210129633976</v>
      </c>
      <c r="O22" s="24">
        <v>17.556757383119098</v>
      </c>
      <c r="P22" s="24">
        <v>21.6630306905009</v>
      </c>
      <c r="Q22" s="25">
        <v>17.382197038908998</v>
      </c>
      <c r="R22" s="25">
        <v>17.3046074417596</v>
      </c>
      <c r="S22" s="25">
        <v>19.047103744146401</v>
      </c>
      <c r="T22" s="26">
        <v>17.044505659723701</v>
      </c>
      <c r="U22" s="26">
        <v>18.455243227920501</v>
      </c>
      <c r="V22" s="26">
        <v>17.6662066894514</v>
      </c>
      <c r="W22" s="27">
        <v>31.457966381877</v>
      </c>
      <c r="X22" s="138"/>
      <c r="Y22" s="139"/>
      <c r="Z22" s="140"/>
      <c r="AA22" s="6"/>
      <c r="AB22" s="6" t="s">
        <v>76</v>
      </c>
      <c r="AC22" s="6" t="s">
        <v>77</v>
      </c>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1:76" ht="16" thickBot="1">
      <c r="A23" s="6"/>
      <c r="B23" s="21" t="s">
        <v>11</v>
      </c>
      <c r="C23" s="14">
        <v>21.447631411204899</v>
      </c>
      <c r="D23" s="11">
        <v>21.099729580419599</v>
      </c>
      <c r="E23" s="11">
        <v>22.966224387134901</v>
      </c>
      <c r="F23" s="12">
        <v>21.700744143949802</v>
      </c>
      <c r="G23" s="12">
        <v>23.127837368108601</v>
      </c>
      <c r="H23" s="15">
        <v>22.4115006100619</v>
      </c>
      <c r="I23" s="67">
        <v>25.4581688848466</v>
      </c>
      <c r="J23" s="68">
        <v>23.613142053786099</v>
      </c>
      <c r="K23" s="68">
        <v>21.398591641148801</v>
      </c>
      <c r="L23" s="68">
        <v>19.129768794654701</v>
      </c>
      <c r="M23" s="68">
        <v>16.811560358446702</v>
      </c>
      <c r="N23" s="10">
        <v>17.060469945443401</v>
      </c>
      <c r="O23" s="10">
        <v>17.323510583412201</v>
      </c>
      <c r="P23" s="10">
        <v>21.620289387602298</v>
      </c>
      <c r="Q23" s="11">
        <v>17.512466150858799</v>
      </c>
      <c r="R23" s="16">
        <v>17.416431724189099</v>
      </c>
      <c r="S23" s="16">
        <v>18.982615762509301</v>
      </c>
      <c r="T23" s="17">
        <v>17.012367937778301</v>
      </c>
      <c r="U23" s="17">
        <v>18.593988914468301</v>
      </c>
      <c r="V23" s="17">
        <v>17.800426267346801</v>
      </c>
      <c r="W23" s="18">
        <v>31.0463109453862</v>
      </c>
      <c r="X23" s="141"/>
      <c r="Y23" s="142"/>
      <c r="Z23" s="143"/>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1:76" ht="16" thickBot="1">
      <c r="A24" s="6"/>
      <c r="B24" s="30" t="s">
        <v>15</v>
      </c>
      <c r="C24" s="147" t="s">
        <v>24</v>
      </c>
      <c r="D24" s="148"/>
      <c r="E24" s="148"/>
      <c r="F24" s="148"/>
      <c r="G24" s="148"/>
      <c r="H24" s="148"/>
      <c r="I24" s="148"/>
      <c r="J24" s="148"/>
      <c r="K24" s="148"/>
      <c r="L24" s="148"/>
      <c r="M24" s="148"/>
      <c r="N24" s="148"/>
      <c r="O24" s="148"/>
      <c r="P24" s="148"/>
      <c r="Q24" s="149"/>
      <c r="R24" s="150"/>
      <c r="S24" s="151"/>
      <c r="T24" s="151"/>
      <c r="U24" s="151"/>
      <c r="V24" s="151"/>
      <c r="W24" s="151"/>
      <c r="X24" s="151"/>
      <c r="Y24" s="151"/>
      <c r="Z24" s="152"/>
      <c r="AA24" s="6"/>
      <c r="AB24" s="71" t="s">
        <v>78</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1:76">
      <c r="A25" s="6"/>
      <c r="B25" s="20" t="s">
        <v>12</v>
      </c>
      <c r="C25" s="65">
        <v>27.642293479419401</v>
      </c>
      <c r="D25" s="66">
        <v>25.166505348687402</v>
      </c>
      <c r="E25" s="66">
        <v>23.084139887326199</v>
      </c>
      <c r="F25" s="66">
        <v>20.729959179588999</v>
      </c>
      <c r="G25" s="66">
        <v>18.241612497760698</v>
      </c>
      <c r="H25" s="24">
        <v>20.3126837078864</v>
      </c>
      <c r="I25" s="24">
        <v>20.3819844286106</v>
      </c>
      <c r="J25" s="24">
        <v>23.954590903175301</v>
      </c>
      <c r="K25" s="25">
        <v>18.6281245376836</v>
      </c>
      <c r="L25" s="25">
        <v>18.332635561566999</v>
      </c>
      <c r="M25" s="25">
        <v>19.892770964609401</v>
      </c>
      <c r="N25" s="26">
        <v>17.627919110904202</v>
      </c>
      <c r="O25" s="26">
        <v>18.952594307336099</v>
      </c>
      <c r="P25" s="26">
        <v>18.157040296207398</v>
      </c>
      <c r="Q25" s="27">
        <v>35.166827896005202</v>
      </c>
      <c r="R25" s="153"/>
      <c r="S25" s="154"/>
      <c r="T25" s="154"/>
      <c r="U25" s="154"/>
      <c r="V25" s="154"/>
      <c r="W25" s="154"/>
      <c r="X25" s="154"/>
      <c r="Y25" s="154"/>
      <c r="Z25" s="155"/>
      <c r="AA25" s="6"/>
      <c r="AB25" s="6" t="s">
        <v>70</v>
      </c>
      <c r="AC25" s="6" t="s">
        <v>79</v>
      </c>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1:76" ht="16" thickBot="1">
      <c r="A26" s="6"/>
      <c r="B26" s="21" t="s">
        <v>13</v>
      </c>
      <c r="C26" s="67">
        <v>27.682161320689101</v>
      </c>
      <c r="D26" s="68">
        <v>25.365538197352102</v>
      </c>
      <c r="E26" s="68">
        <v>23.081864347433299</v>
      </c>
      <c r="F26" s="68">
        <v>20.763875509554499</v>
      </c>
      <c r="G26" s="68">
        <v>18.0242281414925</v>
      </c>
      <c r="H26" s="10">
        <v>20.295610011328801</v>
      </c>
      <c r="I26" s="10">
        <v>20.2934180536542</v>
      </c>
      <c r="J26" s="10">
        <v>24.021442668236201</v>
      </c>
      <c r="K26" s="11">
        <v>18.567724770342</v>
      </c>
      <c r="L26" s="11">
        <v>18.3533537600714</v>
      </c>
      <c r="M26" s="11">
        <v>20.047140913125801</v>
      </c>
      <c r="N26" s="12">
        <v>17.643429229121999</v>
      </c>
      <c r="O26" s="12">
        <v>18.945493576403202</v>
      </c>
      <c r="P26" s="12">
        <v>18.176680215790402</v>
      </c>
      <c r="Q26" s="13">
        <v>34.7508710380311</v>
      </c>
      <c r="R26" s="156"/>
      <c r="S26" s="157"/>
      <c r="T26" s="157"/>
      <c r="U26" s="157"/>
      <c r="V26" s="157"/>
      <c r="W26" s="157"/>
      <c r="X26" s="157"/>
      <c r="Y26" s="157"/>
      <c r="Z26" s="158"/>
      <c r="AA26" s="6"/>
      <c r="AB26" s="72" t="s">
        <v>72</v>
      </c>
      <c r="AC26" s="73" t="s">
        <v>80</v>
      </c>
      <c r="AD26" s="73"/>
      <c r="AE26" s="73"/>
      <c r="AF26" s="73"/>
      <c r="AG26" s="126" t="s">
        <v>81</v>
      </c>
      <c r="AH26" s="126"/>
      <c r="AI26" s="126"/>
      <c r="AJ26" s="126"/>
      <c r="AK26" s="126"/>
      <c r="AL26" s="74"/>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1:76" ht="16" thickBot="1">
      <c r="A27" s="6"/>
      <c r="B27" s="30" t="s">
        <v>15</v>
      </c>
      <c r="C27" s="150"/>
      <c r="D27" s="151"/>
      <c r="E27" s="151"/>
      <c r="F27" s="151"/>
      <c r="G27" s="151"/>
      <c r="H27" s="152"/>
      <c r="I27" s="147" t="s">
        <v>25</v>
      </c>
      <c r="J27" s="148"/>
      <c r="K27" s="148"/>
      <c r="L27" s="148"/>
      <c r="M27" s="148"/>
      <c r="N27" s="148"/>
      <c r="O27" s="148"/>
      <c r="P27" s="148"/>
      <c r="Q27" s="148"/>
      <c r="R27" s="148"/>
      <c r="S27" s="148"/>
      <c r="T27" s="148"/>
      <c r="U27" s="148"/>
      <c r="V27" s="148"/>
      <c r="W27" s="149"/>
      <c r="X27" s="135"/>
      <c r="Y27" s="136"/>
      <c r="Z27" s="137"/>
      <c r="AA27" s="6"/>
      <c r="AB27" s="75" t="s">
        <v>74</v>
      </c>
      <c r="AC27" s="6" t="s">
        <v>82</v>
      </c>
      <c r="AD27" s="6"/>
      <c r="AE27" s="6"/>
      <c r="AF27" s="7"/>
      <c r="AG27" s="127"/>
      <c r="AH27" s="127"/>
      <c r="AI27" s="127"/>
      <c r="AJ27" s="127"/>
      <c r="AK27" s="127"/>
      <c r="AL27" s="7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1:76">
      <c r="A28" s="6"/>
      <c r="B28" s="20" t="s">
        <v>14</v>
      </c>
      <c r="C28" s="153"/>
      <c r="D28" s="154"/>
      <c r="E28" s="154"/>
      <c r="F28" s="154"/>
      <c r="G28" s="154"/>
      <c r="H28" s="155"/>
      <c r="I28" s="65">
        <v>29.086469726587001</v>
      </c>
      <c r="J28" s="66">
        <v>27.952194449331699</v>
      </c>
      <c r="K28" s="66">
        <v>28.571154634185199</v>
      </c>
      <c r="L28" s="66">
        <v>27.665365682822401</v>
      </c>
      <c r="M28" s="66">
        <v>26.559598465950199</v>
      </c>
      <c r="N28" s="24">
        <v>24.005104475656601</v>
      </c>
      <c r="O28" s="24">
        <v>23.727129234608402</v>
      </c>
      <c r="P28" s="24">
        <v>29.108694599017401</v>
      </c>
      <c r="Q28" s="25">
        <v>24.423332714693</v>
      </c>
      <c r="R28" s="25">
        <v>24.319719819223</v>
      </c>
      <c r="S28" s="25">
        <v>25.835586381784601</v>
      </c>
      <c r="T28" s="26">
        <v>23.9779975994506</v>
      </c>
      <c r="U28" s="26">
        <v>25.236376059530599</v>
      </c>
      <c r="V28" s="26">
        <v>24.7785751618574</v>
      </c>
      <c r="W28" s="27">
        <v>34.459838393983802</v>
      </c>
      <c r="X28" s="138"/>
      <c r="Y28" s="139"/>
      <c r="Z28" s="140"/>
      <c r="AA28" s="6"/>
      <c r="AB28" s="77" t="s">
        <v>76</v>
      </c>
      <c r="AC28" s="78" t="s">
        <v>83</v>
      </c>
      <c r="AD28" s="78"/>
      <c r="AE28" s="78"/>
      <c r="AF28" s="79"/>
      <c r="AG28" s="128"/>
      <c r="AH28" s="128"/>
      <c r="AI28" s="128"/>
      <c r="AJ28" s="128"/>
      <c r="AK28" s="128"/>
      <c r="AL28" s="80"/>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1:76" ht="16" thickBot="1">
      <c r="A29" s="6"/>
      <c r="B29" s="21" t="s">
        <v>15</v>
      </c>
      <c r="C29" s="156"/>
      <c r="D29" s="157"/>
      <c r="E29" s="157"/>
      <c r="F29" s="157"/>
      <c r="G29" s="157"/>
      <c r="H29" s="158"/>
      <c r="I29" s="67">
        <v>29.605945747402298</v>
      </c>
      <c r="J29" s="68">
        <v>27.946267287346402</v>
      </c>
      <c r="K29" s="68">
        <v>28.109855505086301</v>
      </c>
      <c r="L29" s="68">
        <v>27.632614940788098</v>
      </c>
      <c r="M29" s="68">
        <v>26.4174233407165</v>
      </c>
      <c r="N29" s="10">
        <v>23.832054099451302</v>
      </c>
      <c r="O29" s="10">
        <v>23.836284920195599</v>
      </c>
      <c r="P29" s="10">
        <v>29.091324871044701</v>
      </c>
      <c r="Q29" s="11">
        <v>24.519806032179702</v>
      </c>
      <c r="R29" s="11">
        <v>24.206042119630901</v>
      </c>
      <c r="S29" s="11">
        <v>25.979368600743101</v>
      </c>
      <c r="T29" s="12">
        <v>23.968896599565401</v>
      </c>
      <c r="U29" s="12">
        <v>25.412951027753898</v>
      </c>
      <c r="V29" s="12">
        <v>24.625860055794298</v>
      </c>
      <c r="W29" s="13" t="s">
        <v>49</v>
      </c>
      <c r="X29" s="141"/>
      <c r="Y29" s="142"/>
      <c r="Z29" s="143"/>
      <c r="AA29" s="6"/>
      <c r="AB29" s="6"/>
      <c r="AC29" s="6"/>
      <c r="AD29" s="6"/>
      <c r="AE29" s="6"/>
      <c r="AF29" s="6"/>
      <c r="AG29" s="6"/>
      <c r="AH29" s="6"/>
      <c r="AI29" s="6"/>
      <c r="AJ29" s="7"/>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1:76">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1:76">
      <c r="A31" s="6"/>
      <c r="B31" s="6"/>
      <c r="C31" s="131" t="s">
        <v>17</v>
      </c>
      <c r="D31" s="131"/>
      <c r="E31" s="131"/>
      <c r="F31" s="6"/>
      <c r="G31" s="6"/>
      <c r="H31" s="6"/>
      <c r="I31" s="6"/>
      <c r="J31" s="166" t="s">
        <v>18</v>
      </c>
      <c r="K31" s="167"/>
      <c r="L31" s="168"/>
      <c r="M31" s="6"/>
      <c r="N31" s="6"/>
      <c r="O31" s="6"/>
      <c r="P31" s="6"/>
      <c r="Q31" s="131" t="s">
        <v>26</v>
      </c>
      <c r="R31" s="131"/>
      <c r="S31" s="131"/>
      <c r="T31" s="6"/>
      <c r="U31" s="6"/>
      <c r="V31" s="6"/>
      <c r="W31" s="6"/>
      <c r="X31" s="96" t="s">
        <v>19</v>
      </c>
      <c r="Y31" s="97"/>
      <c r="Z31" s="98"/>
      <c r="AA31" s="6"/>
      <c r="AB31" s="6"/>
      <c r="AC31" s="6"/>
      <c r="AD31" s="6"/>
      <c r="AE31" s="96" t="s">
        <v>20</v>
      </c>
      <c r="AF31" s="97"/>
      <c r="AG31" s="98"/>
      <c r="AH31" s="6"/>
      <c r="AI31" s="6"/>
      <c r="AJ31" s="6"/>
      <c r="AK31" s="6"/>
      <c r="AL31" s="96" t="s">
        <v>21</v>
      </c>
      <c r="AM31" s="97"/>
      <c r="AN31" s="98"/>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1:76" ht="15" customHeight="1">
      <c r="A32" s="6"/>
      <c r="B32" s="37"/>
      <c r="C32" s="132" t="s">
        <v>47</v>
      </c>
      <c r="D32" s="133"/>
      <c r="E32" s="134"/>
      <c r="F32" s="6"/>
      <c r="G32" s="6"/>
      <c r="H32" s="6"/>
      <c r="I32" s="6"/>
      <c r="J32" s="163" t="s">
        <v>47</v>
      </c>
      <c r="K32" s="164"/>
      <c r="L32" s="165"/>
      <c r="M32" s="6"/>
      <c r="N32" s="6"/>
      <c r="O32" s="6"/>
      <c r="P32" s="6"/>
      <c r="Q32" s="99" t="s">
        <v>47</v>
      </c>
      <c r="R32" s="100"/>
      <c r="S32" s="101"/>
      <c r="T32" s="6"/>
      <c r="U32" s="6"/>
      <c r="V32" s="6"/>
      <c r="W32" s="6"/>
      <c r="X32" s="99" t="s">
        <v>47</v>
      </c>
      <c r="Y32" s="169"/>
      <c r="Z32" s="170"/>
      <c r="AA32" s="6"/>
      <c r="AB32" s="6"/>
      <c r="AC32" s="6"/>
      <c r="AD32" s="6"/>
      <c r="AE32" s="99" t="s">
        <v>47</v>
      </c>
      <c r="AF32" s="169"/>
      <c r="AG32" s="170"/>
      <c r="AH32" s="6"/>
      <c r="AI32" s="6"/>
      <c r="AJ32" s="6"/>
      <c r="AK32" s="6"/>
      <c r="AL32" s="99" t="s">
        <v>47</v>
      </c>
      <c r="AM32" s="169"/>
      <c r="AN32" s="170"/>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1:88" ht="15" customHeight="1">
      <c r="A33" s="6"/>
      <c r="B33" s="34"/>
      <c r="C33" s="31" t="s">
        <v>33</v>
      </c>
      <c r="D33" s="32" t="s">
        <v>45</v>
      </c>
      <c r="E33" s="64" t="s">
        <v>44</v>
      </c>
      <c r="F33" s="6"/>
      <c r="G33" s="6"/>
      <c r="H33" s="6"/>
      <c r="I33" s="6"/>
      <c r="J33" s="31" t="s">
        <v>33</v>
      </c>
      <c r="K33" s="32" t="s">
        <v>45</v>
      </c>
      <c r="L33" s="64" t="s">
        <v>44</v>
      </c>
      <c r="M33" s="6"/>
      <c r="N33" s="6"/>
      <c r="O33" s="6"/>
      <c r="P33" s="6"/>
      <c r="Q33" s="31" t="s">
        <v>33</v>
      </c>
      <c r="R33" s="32" t="s">
        <v>45</v>
      </c>
      <c r="S33" s="64" t="s">
        <v>44</v>
      </c>
      <c r="T33" s="6"/>
      <c r="U33" s="6"/>
      <c r="V33" s="6"/>
      <c r="W33" s="6"/>
      <c r="X33" s="31" t="s">
        <v>33</v>
      </c>
      <c r="Y33" s="32" t="s">
        <v>45</v>
      </c>
      <c r="Z33" s="64" t="s">
        <v>44</v>
      </c>
      <c r="AA33" s="6"/>
      <c r="AB33" s="6"/>
      <c r="AC33" s="6"/>
      <c r="AD33" s="6"/>
      <c r="AE33" s="31" t="s">
        <v>33</v>
      </c>
      <c r="AF33" s="32" t="s">
        <v>45</v>
      </c>
      <c r="AG33" s="64" t="s">
        <v>44</v>
      </c>
      <c r="AH33" s="6"/>
      <c r="AI33" s="6"/>
      <c r="AJ33" s="6"/>
      <c r="AK33" s="6"/>
      <c r="AL33" s="31" t="s">
        <v>33</v>
      </c>
      <c r="AM33" s="32" t="s">
        <v>45</v>
      </c>
      <c r="AN33" s="64" t="s">
        <v>44</v>
      </c>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88">
      <c r="A34" s="6"/>
      <c r="B34" s="35"/>
      <c r="C34" s="58">
        <v>3.2000000000000001E-2</v>
      </c>
      <c r="D34" s="59">
        <f>LOG(C34)</f>
        <v>-1.494850021680094</v>
      </c>
      <c r="E34" s="60">
        <f>AVERAGE(C7:C8)</f>
        <v>28.120947068449802</v>
      </c>
      <c r="F34" s="6"/>
      <c r="G34" s="6"/>
      <c r="H34" s="6"/>
      <c r="I34" s="6"/>
      <c r="J34" s="58">
        <v>3.2000000000000001E-2</v>
      </c>
      <c r="K34" s="59">
        <f>LOG(J34)</f>
        <v>-1.494850021680094</v>
      </c>
      <c r="L34" s="60">
        <f>AVERAGE(R7:R8)</f>
        <v>30.275070122923299</v>
      </c>
      <c r="M34" s="6"/>
      <c r="N34" s="6"/>
      <c r="O34" s="6"/>
      <c r="P34" s="6"/>
      <c r="Q34" s="58">
        <v>3.2000000000000001E-2</v>
      </c>
      <c r="R34" s="59">
        <f>LOG(Q34)</f>
        <v>-1.494850021680094</v>
      </c>
      <c r="S34" s="60">
        <f>AVERAGE(I10:I11)</f>
        <v>27.0262149676097</v>
      </c>
      <c r="T34" s="6"/>
      <c r="U34" s="6"/>
      <c r="V34" s="6"/>
      <c r="W34" s="6"/>
      <c r="X34" s="58">
        <v>3.2000000000000001E-2</v>
      </c>
      <c r="Y34" s="59">
        <f>LOG(X34)</f>
        <v>-1.494850021680094</v>
      </c>
      <c r="Z34" s="60">
        <f>AVERAGE(C13:C14)</f>
        <v>26.41591926860745</v>
      </c>
      <c r="AA34" s="6"/>
      <c r="AB34" s="6"/>
      <c r="AC34" s="6"/>
      <c r="AD34" s="6"/>
      <c r="AE34" s="58">
        <v>3.2000000000000001E-2</v>
      </c>
      <c r="AF34" s="59">
        <f>LOG(AE34)</f>
        <v>-1.494850021680094</v>
      </c>
      <c r="AG34" s="60">
        <f>AVERAGE(R13:R14)</f>
        <v>25.212595372347</v>
      </c>
      <c r="AH34" s="6"/>
      <c r="AI34" s="6"/>
      <c r="AJ34" s="6"/>
      <c r="AK34" s="6"/>
      <c r="AL34" s="58">
        <v>3.2000000000000001E-2</v>
      </c>
      <c r="AM34" s="59">
        <f>LOG(AL34)</f>
        <v>-1.494850021680094</v>
      </c>
      <c r="AN34" s="60">
        <f>AVERAGE(I16:I17)</f>
        <v>27.5692150832251</v>
      </c>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88">
      <c r="A35" s="6"/>
      <c r="B35" s="35"/>
      <c r="C35" s="58">
        <v>0.16</v>
      </c>
      <c r="D35" s="59">
        <f>LOG(C35)</f>
        <v>-0.79588001734407521</v>
      </c>
      <c r="E35" s="60">
        <f>AVERAGE(D7:D8)</f>
        <v>25.78779312353165</v>
      </c>
      <c r="F35" s="6"/>
      <c r="G35" s="6"/>
      <c r="H35" s="6"/>
      <c r="I35" s="6"/>
      <c r="J35" s="58">
        <v>0.16</v>
      </c>
      <c r="K35" s="59">
        <f>LOG(J35)</f>
        <v>-0.79588001734407521</v>
      </c>
      <c r="L35" s="60">
        <f>AVERAGE(S7:S8)</f>
        <v>25.745756413202049</v>
      </c>
      <c r="M35" s="6"/>
      <c r="N35" s="6"/>
      <c r="O35" s="6"/>
      <c r="P35" s="6"/>
      <c r="Q35" s="58">
        <v>0.16</v>
      </c>
      <c r="R35" s="59">
        <f>LOG(Q35)</f>
        <v>-0.79588001734407521</v>
      </c>
      <c r="S35" s="60">
        <f>AVERAGE(J10:J11)</f>
        <v>25.517970573735951</v>
      </c>
      <c r="T35" s="6"/>
      <c r="U35" s="6"/>
      <c r="V35" s="6"/>
      <c r="W35" s="6"/>
      <c r="X35" s="58">
        <v>0.16</v>
      </c>
      <c r="Y35" s="59">
        <f>LOG(X35)</f>
        <v>-0.79588001734407521</v>
      </c>
      <c r="Z35" s="60">
        <f>AVERAGE(D13:D14)</f>
        <v>24.00986272541255</v>
      </c>
      <c r="AA35" s="6"/>
      <c r="AB35" s="6"/>
      <c r="AC35" s="6"/>
      <c r="AD35" s="6"/>
      <c r="AE35" s="58">
        <v>0.16</v>
      </c>
      <c r="AF35" s="59">
        <f>LOG(AE35)</f>
        <v>-0.79588001734407521</v>
      </c>
      <c r="AG35" s="60">
        <f>AVERAGE(S13:S14)</f>
        <v>22.892250036563652</v>
      </c>
      <c r="AH35" s="6"/>
      <c r="AI35" s="6"/>
      <c r="AJ35" s="6"/>
      <c r="AK35" s="6"/>
      <c r="AL35" s="58">
        <v>0.16</v>
      </c>
      <c r="AM35" s="59">
        <f>LOG(AL35)</f>
        <v>-0.79588001734407521</v>
      </c>
      <c r="AN35" s="60">
        <f>AVERAGE(J16:J17)</f>
        <v>25.228502515566099</v>
      </c>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88">
      <c r="A36" s="6"/>
      <c r="B36" s="35"/>
      <c r="C36" s="58">
        <v>0.8</v>
      </c>
      <c r="D36" s="59">
        <f>LOG(C36)</f>
        <v>-9.6910013008056392E-2</v>
      </c>
      <c r="E36" s="60">
        <f>AVERAGE(E7:E8)</f>
        <v>23.190931839245202</v>
      </c>
      <c r="F36" s="6"/>
      <c r="G36" s="6"/>
      <c r="H36" s="6"/>
      <c r="I36" s="6"/>
      <c r="J36" s="58">
        <v>0.8</v>
      </c>
      <c r="K36" s="59">
        <f>LOG(J36)</f>
        <v>-9.6910013008056392E-2</v>
      </c>
      <c r="L36" s="60">
        <f>AVERAGE(T7:T8)</f>
        <v>21.218483459108249</v>
      </c>
      <c r="M36" s="6"/>
      <c r="N36" s="6"/>
      <c r="O36" s="6"/>
      <c r="P36" s="6"/>
      <c r="Q36" s="58">
        <v>0.8</v>
      </c>
      <c r="R36" s="59">
        <f>LOG(Q36)</f>
        <v>-9.6910013008056392E-2</v>
      </c>
      <c r="S36" s="60">
        <f>AVERAGE(K10:K11)</f>
        <v>24.6477539804206</v>
      </c>
      <c r="T36" s="6"/>
      <c r="U36" s="6"/>
      <c r="V36" s="6"/>
      <c r="W36" s="6"/>
      <c r="X36" s="58">
        <v>0.8</v>
      </c>
      <c r="Y36" s="59">
        <f>LOG(X36)</f>
        <v>-9.6910013008056392E-2</v>
      </c>
      <c r="Z36" s="60">
        <f>AVERAGE(E13:E14)</f>
        <v>21.954482844017551</v>
      </c>
      <c r="AA36" s="6"/>
      <c r="AB36" s="6"/>
      <c r="AC36" s="6"/>
      <c r="AD36" s="6"/>
      <c r="AE36" s="58">
        <v>0.8</v>
      </c>
      <c r="AF36" s="59">
        <f>LOG(AE36)</f>
        <v>-9.6910013008056392E-2</v>
      </c>
      <c r="AG36" s="60">
        <f>AVERAGE(T13:T14)</f>
        <v>20.6044878844484</v>
      </c>
      <c r="AH36" s="6"/>
      <c r="AI36" s="6"/>
      <c r="AJ36" s="6"/>
      <c r="AK36" s="6"/>
      <c r="AL36" s="58">
        <v>0.8</v>
      </c>
      <c r="AM36" s="59">
        <f>LOG(AL36)</f>
        <v>-9.6910013008056392E-2</v>
      </c>
      <c r="AN36" s="60">
        <f>AVERAGE(K16:K17)</f>
        <v>22.899106504971947</v>
      </c>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1:88">
      <c r="A37" s="6"/>
      <c r="B37" s="35"/>
      <c r="C37" s="58">
        <v>4</v>
      </c>
      <c r="D37" s="59">
        <f>LOG(C37)</f>
        <v>0.6020599913279624</v>
      </c>
      <c r="E37" s="60">
        <f>AVERAGE(F7:F8)</f>
        <v>20.997686942170247</v>
      </c>
      <c r="F37" s="6"/>
      <c r="G37" s="6"/>
      <c r="H37" s="6"/>
      <c r="I37" s="6"/>
      <c r="J37" s="58">
        <v>4</v>
      </c>
      <c r="K37" s="59">
        <f>LOG(J37)</f>
        <v>0.6020599913279624</v>
      </c>
      <c r="L37" s="60">
        <f>AVERAGE(U7:U8)</f>
        <v>18.2208485859286</v>
      </c>
      <c r="M37" s="6"/>
      <c r="N37" s="6"/>
      <c r="O37" s="6"/>
      <c r="P37" s="6"/>
      <c r="Q37" s="58">
        <v>4</v>
      </c>
      <c r="R37" s="59">
        <f>LOG(Q37)</f>
        <v>0.6020599913279624</v>
      </c>
      <c r="S37" s="60">
        <f>AVERAGE(L10:L11)</f>
        <v>25.102033916854602</v>
      </c>
      <c r="T37" s="6"/>
      <c r="U37" s="6"/>
      <c r="V37" s="6"/>
      <c r="W37" s="6"/>
      <c r="X37" s="58">
        <v>4</v>
      </c>
      <c r="Y37" s="59">
        <f>LOG(X37)</f>
        <v>0.6020599913279624</v>
      </c>
      <c r="Z37" s="60">
        <f>AVERAGE(F13:F14)</f>
        <v>19.658339829746652</v>
      </c>
      <c r="AA37" s="6"/>
      <c r="AB37" s="6"/>
      <c r="AC37" s="6"/>
      <c r="AD37" s="6"/>
      <c r="AE37" s="58">
        <v>4</v>
      </c>
      <c r="AF37" s="59">
        <f>LOG(AE37)</f>
        <v>0.6020599913279624</v>
      </c>
      <c r="AG37" s="60">
        <f>AVERAGE(U13:U14)</f>
        <v>18.658889846705748</v>
      </c>
      <c r="AH37" s="6"/>
      <c r="AI37" s="6"/>
      <c r="AJ37" s="6"/>
      <c r="AK37" s="6"/>
      <c r="AL37" s="58">
        <v>4</v>
      </c>
      <c r="AM37" s="59">
        <f>LOG(AL37)</f>
        <v>0.6020599913279624</v>
      </c>
      <c r="AN37" s="60">
        <f>AVERAGE(L16:L17)</f>
        <v>20.557692489774098</v>
      </c>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88">
      <c r="A38" s="6"/>
      <c r="B38" s="35"/>
      <c r="C38" s="61">
        <v>20</v>
      </c>
      <c r="D38" s="62">
        <f>LOG(C38)</f>
        <v>1.3010299956639813</v>
      </c>
      <c r="E38" s="63">
        <f>AVERAGE(G7:G8)</f>
        <v>18.662603349185147</v>
      </c>
      <c r="F38" s="6"/>
      <c r="G38" s="6"/>
      <c r="H38" s="6"/>
      <c r="I38" s="6"/>
      <c r="J38" s="61">
        <v>20</v>
      </c>
      <c r="K38" s="62">
        <f>LOG(J38)</f>
        <v>1.3010299956639813</v>
      </c>
      <c r="L38" s="63">
        <f>AVERAGE(V7:V8)</f>
        <v>15.78775315420225</v>
      </c>
      <c r="M38" s="6"/>
      <c r="N38" s="6"/>
      <c r="O38" s="6"/>
      <c r="P38" s="6"/>
      <c r="Q38" s="61">
        <v>20</v>
      </c>
      <c r="R38" s="62">
        <f>LOG(Q38)</f>
        <v>1.3010299956639813</v>
      </c>
      <c r="S38" s="63">
        <f>AVERAGE(M10:M11)</f>
        <v>23.077058684969749</v>
      </c>
      <c r="T38" s="6"/>
      <c r="U38" s="6"/>
      <c r="V38" s="6"/>
      <c r="W38" s="6"/>
      <c r="X38" s="61">
        <v>20</v>
      </c>
      <c r="Y38" s="62">
        <f>LOG(X38)</f>
        <v>1.3010299956639813</v>
      </c>
      <c r="Z38" s="63">
        <f>AVERAGE(G13:G14)</f>
        <v>17.3379371525475</v>
      </c>
      <c r="AA38" s="6"/>
      <c r="AB38" s="6"/>
      <c r="AC38" s="6"/>
      <c r="AD38" s="6"/>
      <c r="AE38" s="61">
        <v>20</v>
      </c>
      <c r="AF38" s="62">
        <f>LOG(AE38)</f>
        <v>1.3010299956639813</v>
      </c>
      <c r="AG38" s="63">
        <f>AVERAGE(V13:V14)</f>
        <v>16.038873509006748</v>
      </c>
      <c r="AH38" s="6"/>
      <c r="AI38" s="6"/>
      <c r="AJ38" s="6"/>
      <c r="AK38" s="6"/>
      <c r="AL38" s="61">
        <v>20</v>
      </c>
      <c r="AM38" s="62">
        <f>LOG(AL38)</f>
        <v>1.3010299956639813</v>
      </c>
      <c r="AN38" s="63">
        <f>AVERAGE(M16:M17)</f>
        <v>18.204981791791603</v>
      </c>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88">
      <c r="A39" s="6"/>
      <c r="B39" s="41"/>
      <c r="C39" s="102" t="s">
        <v>46</v>
      </c>
      <c r="D39" s="103"/>
      <c r="E39" s="33">
        <f>(10^(-1/-3.3917)-1)*100</f>
        <v>97.168438578167056</v>
      </c>
      <c r="F39" s="6"/>
      <c r="G39" s="6"/>
      <c r="H39" s="6"/>
      <c r="I39" s="6"/>
      <c r="J39" s="161" t="s">
        <v>46</v>
      </c>
      <c r="K39" s="162"/>
      <c r="L39" s="33">
        <f>(10^(-1/-5.2219)-1)*100</f>
        <v>55.417950543446807</v>
      </c>
      <c r="M39" s="6"/>
      <c r="N39" s="6"/>
      <c r="O39" s="6"/>
      <c r="P39" s="6"/>
      <c r="Q39" s="102" t="s">
        <v>46</v>
      </c>
      <c r="R39" s="103"/>
      <c r="S39" s="33">
        <f>(10^(-1/-1.1895)-1)*100</f>
        <v>592.93000161614304</v>
      </c>
      <c r="T39" s="6"/>
      <c r="U39" s="6"/>
      <c r="V39" s="6"/>
      <c r="W39" s="6"/>
      <c r="X39" s="161" t="s">
        <v>46</v>
      </c>
      <c r="Y39" s="162"/>
      <c r="Z39" s="33">
        <f>(10^(-1/-3.2201)-1)*100</f>
        <v>104.43222800459115</v>
      </c>
      <c r="AA39" s="6"/>
      <c r="AB39" s="6"/>
      <c r="AC39" s="6"/>
      <c r="AD39" s="6"/>
      <c r="AE39" s="161" t="s">
        <v>46</v>
      </c>
      <c r="AF39" s="162"/>
      <c r="AG39" s="33">
        <f>(10^(-1/-3.2306)-1)*100</f>
        <v>103.95766133766627</v>
      </c>
      <c r="AH39" s="6"/>
      <c r="AI39" s="6"/>
      <c r="AJ39" s="6"/>
      <c r="AK39" s="6"/>
      <c r="AL39" s="161" t="s">
        <v>46</v>
      </c>
      <c r="AM39" s="162"/>
      <c r="AN39" s="33">
        <f>(10^(-1/-3.3477)-1)*100</f>
        <v>98.935618689946963</v>
      </c>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88">
      <c r="A40" s="6"/>
      <c r="B40" s="41"/>
      <c r="C40" s="102" t="s">
        <v>50</v>
      </c>
      <c r="D40" s="103"/>
      <c r="E40" s="33">
        <f>SUM(E39/100)+1</f>
        <v>1.9716843857816706</v>
      </c>
      <c r="F40" s="6"/>
      <c r="G40" s="6"/>
      <c r="H40" s="6"/>
      <c r="I40" s="6"/>
      <c r="J40" s="102" t="s">
        <v>50</v>
      </c>
      <c r="K40" s="103"/>
      <c r="L40" s="33">
        <f>SUM(L39/100)+1</f>
        <v>1.554179505434468</v>
      </c>
      <c r="M40" s="6"/>
      <c r="N40" s="6"/>
      <c r="O40" s="6"/>
      <c r="P40" s="6"/>
      <c r="Q40" s="102" t="s">
        <v>50</v>
      </c>
      <c r="R40" s="103"/>
      <c r="S40" s="33">
        <f>SUM(S39/100)+1</f>
        <v>6.9293000161614309</v>
      </c>
      <c r="U40" s="6"/>
      <c r="V40" s="6"/>
      <c r="X40" s="102" t="s">
        <v>50</v>
      </c>
      <c r="Y40" s="103"/>
      <c r="Z40" s="33">
        <f>SUM(Z39/100)+1</f>
        <v>2.0443222800459115</v>
      </c>
      <c r="AA40" s="6"/>
      <c r="AB40" s="6"/>
      <c r="AC40" s="6"/>
      <c r="AD40" s="6"/>
      <c r="AE40" s="102" t="s">
        <v>50</v>
      </c>
      <c r="AF40" s="103"/>
      <c r="AG40" s="33">
        <f>SUM(AG39/100)+1</f>
        <v>2.0395766133766626</v>
      </c>
      <c r="AH40" s="6"/>
      <c r="AI40" s="6"/>
      <c r="AJ40" s="6"/>
      <c r="AK40" s="6"/>
      <c r="AL40" s="102" t="s">
        <v>50</v>
      </c>
      <c r="AM40" s="103"/>
      <c r="AN40" s="33">
        <f>SUM(AN39/100)+1</f>
        <v>1.9893561868994696</v>
      </c>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1:88">
      <c r="A41" s="6"/>
      <c r="B41" s="39"/>
      <c r="C41" s="38"/>
      <c r="E41" s="38"/>
      <c r="F41" s="6"/>
      <c r="G41" s="6"/>
      <c r="H41" s="38"/>
      <c r="I41" s="38"/>
      <c r="J41" s="38"/>
      <c r="K41" s="6"/>
      <c r="L41" s="6"/>
      <c r="M41" s="38"/>
      <c r="N41" s="38"/>
      <c r="O41" s="38"/>
      <c r="P41" s="6"/>
      <c r="Q41" s="6"/>
      <c r="R41" s="38"/>
      <c r="S41" s="38"/>
      <c r="T41" s="38"/>
      <c r="U41" s="6"/>
      <c r="V41" s="6"/>
      <c r="W41" s="38"/>
      <c r="X41" s="38"/>
      <c r="Y41" s="38"/>
      <c r="Z41" s="6"/>
      <c r="AA41" s="6"/>
      <c r="AB41" s="38"/>
      <c r="AC41" s="38"/>
      <c r="AD41" s="38"/>
      <c r="AE41" s="6"/>
      <c r="AF41" s="38"/>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1:88">
      <c r="A42" s="6"/>
      <c r="B42" s="40"/>
      <c r="C42" s="116" t="s">
        <v>105</v>
      </c>
      <c r="D42" s="117"/>
      <c r="E42" s="117"/>
      <c r="F42" s="117"/>
      <c r="G42" s="117"/>
      <c r="H42" s="118"/>
      <c r="J42" s="116" t="s">
        <v>106</v>
      </c>
      <c r="K42" s="117"/>
      <c r="L42" s="117"/>
      <c r="M42" s="117"/>
      <c r="N42" s="117"/>
      <c r="O42" s="118"/>
      <c r="Q42" s="116" t="s">
        <v>107</v>
      </c>
      <c r="R42" s="117"/>
      <c r="S42" s="117"/>
      <c r="T42" s="117"/>
      <c r="U42" s="117"/>
      <c r="V42" s="118"/>
      <c r="X42" s="116" t="s">
        <v>108</v>
      </c>
      <c r="Y42" s="117"/>
      <c r="Z42" s="117"/>
      <c r="AA42" s="117"/>
      <c r="AB42" s="117"/>
      <c r="AC42" s="118"/>
      <c r="AE42" s="116" t="s">
        <v>109</v>
      </c>
      <c r="AF42" s="117"/>
      <c r="AG42" s="117"/>
      <c r="AH42" s="117"/>
      <c r="AI42" s="117"/>
      <c r="AJ42" s="118"/>
      <c r="AL42" s="116" t="s">
        <v>110</v>
      </c>
      <c r="AM42" s="117"/>
      <c r="AN42" s="117"/>
      <c r="AO42" s="117"/>
      <c r="AP42" s="117"/>
      <c r="AQ42" s="118"/>
      <c r="AR42" s="38"/>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8" ht="15" customHeight="1">
      <c r="A43" s="6"/>
      <c r="B43" s="40"/>
      <c r="C43" s="129" t="s">
        <v>17</v>
      </c>
      <c r="D43" s="82" t="s">
        <v>62</v>
      </c>
      <c r="E43" s="82" t="s">
        <v>64</v>
      </c>
      <c r="F43" s="82" t="s">
        <v>66</v>
      </c>
      <c r="G43" s="83" t="s">
        <v>68</v>
      </c>
      <c r="H43" s="81" t="s">
        <v>70</v>
      </c>
      <c r="I43" s="6"/>
      <c r="J43" s="120" t="s">
        <v>18</v>
      </c>
      <c r="K43" s="82" t="s">
        <v>62</v>
      </c>
      <c r="L43" s="82" t="s">
        <v>64</v>
      </c>
      <c r="M43" s="82" t="s">
        <v>66</v>
      </c>
      <c r="N43" s="82" t="s">
        <v>68</v>
      </c>
      <c r="O43" s="84" t="s">
        <v>70</v>
      </c>
      <c r="P43" s="35"/>
      <c r="Q43" s="120" t="s">
        <v>26</v>
      </c>
      <c r="R43" s="82" t="s">
        <v>62</v>
      </c>
      <c r="S43" s="82" t="s">
        <v>64</v>
      </c>
      <c r="T43" s="82" t="s">
        <v>66</v>
      </c>
      <c r="U43" s="82" t="s">
        <v>68</v>
      </c>
      <c r="V43" s="84" t="s">
        <v>70</v>
      </c>
      <c r="W43" s="85"/>
      <c r="X43" s="120" t="s">
        <v>19</v>
      </c>
      <c r="Y43" s="82" t="s">
        <v>62</v>
      </c>
      <c r="Z43" s="82" t="s">
        <v>64</v>
      </c>
      <c r="AA43" s="82" t="s">
        <v>66</v>
      </c>
      <c r="AB43" s="82" t="s">
        <v>68</v>
      </c>
      <c r="AC43" s="84" t="s">
        <v>70</v>
      </c>
      <c r="AD43" s="85"/>
      <c r="AE43" s="119" t="s">
        <v>20</v>
      </c>
      <c r="AF43" s="82" t="s">
        <v>62</v>
      </c>
      <c r="AG43" s="82" t="s">
        <v>64</v>
      </c>
      <c r="AH43" s="82" t="s">
        <v>66</v>
      </c>
      <c r="AI43" s="82" t="s">
        <v>68</v>
      </c>
      <c r="AJ43" s="84" t="s">
        <v>70</v>
      </c>
      <c r="AK43" s="85"/>
      <c r="AL43" s="119" t="s">
        <v>21</v>
      </c>
      <c r="AM43" s="82" t="s">
        <v>62</v>
      </c>
      <c r="AN43" s="82" t="s">
        <v>64</v>
      </c>
      <c r="AO43" s="82" t="s">
        <v>66</v>
      </c>
      <c r="AP43" s="82" t="s">
        <v>68</v>
      </c>
      <c r="AQ43" s="84" t="s">
        <v>70</v>
      </c>
      <c r="AR43" s="38"/>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8" ht="15" customHeight="1">
      <c r="A44" s="6"/>
      <c r="B44" s="40"/>
      <c r="C44" s="129"/>
      <c r="D44" s="42" t="s">
        <v>35</v>
      </c>
      <c r="E44" s="42">
        <f>AVERAGE(H7:H8)</f>
        <v>19.27329583319495</v>
      </c>
      <c r="F44" s="50">
        <f>10^((E44-23.023)/-3.3917)</f>
        <v>12.751257520646666</v>
      </c>
      <c r="G44" s="50">
        <f>SUM(E44*(LOG(E40)/LOG(2)))</f>
        <v>18.876817793249948</v>
      </c>
      <c r="H44" s="50">
        <f>10^((G44-23.023)/-3.3917)</f>
        <v>16.689739959611259</v>
      </c>
      <c r="I44" s="6"/>
      <c r="J44" s="120"/>
      <c r="K44" s="42" t="s">
        <v>35</v>
      </c>
      <c r="L44" s="42">
        <f>AVERAGE(W7:W8)</f>
        <v>15.694250810424251</v>
      </c>
      <c r="M44" s="49">
        <f>10^((L44 -21.744)/-5.2219)</f>
        <v>14.405690993433396</v>
      </c>
      <c r="N44" s="49">
        <f t="shared" ref="N44:N53" si="0">SUM(L44*(LOG($L$40)/LOG(2)))</f>
        <v>9.9839469724347616</v>
      </c>
      <c r="O44" s="49">
        <f>10^((N44 -21.744)/-5.2219)</f>
        <v>178.67508812464277</v>
      </c>
      <c r="P44" s="6"/>
      <c r="Q44" s="120"/>
      <c r="R44" s="42" t="s">
        <v>35</v>
      </c>
      <c r="S44" s="42">
        <f>AVERAGE(N10:N11)</f>
        <v>23.114230241815051</v>
      </c>
      <c r="T44" s="49">
        <f t="shared" ref="T44:T49" si="1">10^((S44- 24.959)/-1.1895)</f>
        <v>35.553168987973258</v>
      </c>
      <c r="U44" s="49">
        <f t="shared" ref="U44:U53" si="2">SUM(S44*(LOG($S$40)/LOG(2)))</f>
        <v>64.551333192081159</v>
      </c>
      <c r="V44" s="49">
        <f t="shared" ref="V44:V49" si="3">10^((U44- 24.959)/-1.1895)</f>
        <v>5.1897512098234182E-34</v>
      </c>
      <c r="W44" s="6"/>
      <c r="X44" s="120" t="s">
        <v>19</v>
      </c>
      <c r="Y44" s="42" t="s">
        <v>35</v>
      </c>
      <c r="Z44" s="42">
        <f>AVERAGE(H13:H14)</f>
        <v>18.663417173694349</v>
      </c>
      <c r="AA44" s="49">
        <f t="shared" ref="AA44:AA53" si="4">10^((Z44-21.563)/-3.2201)</f>
        <v>7.9517660887587773</v>
      </c>
      <c r="AB44" s="49">
        <f t="shared" ref="AB44:AB53" si="5">SUM(Z44*(LOG($Z$40)/LOG(2)))</f>
        <v>19.253603880593317</v>
      </c>
      <c r="AC44" s="49">
        <f t="shared" ref="AC44:AC53" si="6">10^((AB44-21.563)/-3.2201)</f>
        <v>5.2141256318342064</v>
      </c>
      <c r="AD44" s="6"/>
      <c r="AE44" s="120"/>
      <c r="AF44" s="42" t="s">
        <v>35</v>
      </c>
      <c r="AG44" s="42">
        <f>AVERAGE(W13:W14)</f>
        <v>17.8451412930531</v>
      </c>
      <c r="AH44" s="49">
        <f>10^((AG44 -20.368)/-3.2306)</f>
        <v>6.0384537391206408</v>
      </c>
      <c r="AI44" s="49">
        <f t="shared" ref="AI44:AI53" si="7">SUM(AG44*(LOG($AG$40)/LOG(2)))</f>
        <v>18.349618095284992</v>
      </c>
      <c r="AJ44" s="49">
        <f>10^((AI44 -20.368)/-3.2306)</f>
        <v>4.2147321716733694</v>
      </c>
      <c r="AK44" s="6"/>
      <c r="AL44" s="120" t="s">
        <v>21</v>
      </c>
      <c r="AM44" s="42" t="s">
        <v>35</v>
      </c>
      <c r="AN44" s="42">
        <f>AVERAGE(N16:N17)</f>
        <v>18.85636227727025</v>
      </c>
      <c r="AO44" s="49">
        <f>10^((AN44- 22.567)/-3.3477)</f>
        <v>12.835537274865157</v>
      </c>
      <c r="AP44" s="42">
        <f t="shared" ref="AP44:AP53" si="8">SUM(AN44*(LOG($AN$40)/LOG(2)))</f>
        <v>18.711198618824351</v>
      </c>
      <c r="AQ44" s="49">
        <f>10^((AP44- 22.567)/-3.3477)</f>
        <v>14.183266350496703</v>
      </c>
      <c r="AR44" s="36"/>
      <c r="AS44" s="3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c r="A45" s="6"/>
      <c r="B45" s="40"/>
      <c r="C45" s="129"/>
      <c r="D45" s="43" t="s">
        <v>36</v>
      </c>
      <c r="E45" s="43">
        <f>AVERAGE(I7:I8)</f>
        <v>19.153928959002549</v>
      </c>
      <c r="F45" s="50">
        <f>10^((E45- 23.023)/-3.3917)</f>
        <v>13.827600868642996</v>
      </c>
      <c r="G45" s="50">
        <f>SUM(E45*(LOG(E40)/LOG(2)))</f>
        <v>18.75990645882219</v>
      </c>
      <c r="H45" s="50">
        <f>10^((G45- 23.023)/-3.3917)</f>
        <v>18.06838781614065</v>
      </c>
      <c r="I45" s="6"/>
      <c r="J45" s="120"/>
      <c r="K45" s="43" t="s">
        <v>36</v>
      </c>
      <c r="L45" s="43">
        <f>AVERAGE(X7:X8)</f>
        <v>15.5148817660915</v>
      </c>
      <c r="M45" s="50">
        <f>10^((L45-21.744)/-5.2219)</f>
        <v>15.591341282760443</v>
      </c>
      <c r="N45" s="50">
        <f t="shared" si="0"/>
        <v>9.8698407912129724</v>
      </c>
      <c r="O45" s="50">
        <f>10^((N45-21.744)/-5.2219)</f>
        <v>187.89510800895269</v>
      </c>
      <c r="P45" s="6"/>
      <c r="Q45" s="120"/>
      <c r="R45" s="43" t="s">
        <v>36</v>
      </c>
      <c r="S45" s="43">
        <f>AVERAGE(O10:O11)</f>
        <v>23.082536240045251</v>
      </c>
      <c r="T45" s="50">
        <f t="shared" si="1"/>
        <v>37.802726771467235</v>
      </c>
      <c r="U45" s="50">
        <f t="shared" si="2"/>
        <v>64.462821048391788</v>
      </c>
      <c r="V45" s="50">
        <f t="shared" si="3"/>
        <v>6.1596744101998247E-34</v>
      </c>
      <c r="W45" s="6"/>
      <c r="X45" s="120"/>
      <c r="Y45" s="43" t="s">
        <v>36</v>
      </c>
      <c r="Z45" s="43">
        <f>AVERAGE(I13:I14)</f>
        <v>18.739850823217552</v>
      </c>
      <c r="AA45" s="50">
        <f t="shared" si="4"/>
        <v>7.5288245260042563</v>
      </c>
      <c r="AB45" s="50">
        <f t="shared" si="5"/>
        <v>19.33245456465465</v>
      </c>
      <c r="AC45" s="50">
        <f t="shared" si="6"/>
        <v>4.9282696415398748</v>
      </c>
      <c r="AD45" s="6"/>
      <c r="AE45" s="120"/>
      <c r="AF45" s="43" t="s">
        <v>36</v>
      </c>
      <c r="AG45" s="43">
        <f>AVERAGE(X13:X14)</f>
        <v>17.7865270614971</v>
      </c>
      <c r="AH45" s="50">
        <f>10^((AG45 -20.368)/-3.2306)</f>
        <v>6.296064871304206</v>
      </c>
      <c r="AI45" s="50">
        <f t="shared" si="7"/>
        <v>18.289346856949663</v>
      </c>
      <c r="AJ45" s="50">
        <f>10^((AI45 -20.368)/-3.2306)</f>
        <v>4.399733211656228</v>
      </c>
      <c r="AK45" s="6"/>
      <c r="AL45" s="120"/>
      <c r="AM45" s="43" t="s">
        <v>36</v>
      </c>
      <c r="AN45" s="43">
        <f>AVERAGE(O16:O17)</f>
        <v>18.96472845671105</v>
      </c>
      <c r="AO45" s="50">
        <f t="shared" ref="AO45:AO52" si="9">10^((AN45-22.567)/-3.3477)</f>
        <v>11.913619203527709</v>
      </c>
      <c r="AP45" s="43">
        <f t="shared" si="8"/>
        <v>18.818730552994079</v>
      </c>
      <c r="AQ45" s="50">
        <f t="shared" ref="AQ45:AQ52" si="10">10^((AP45-22.567)/-3.3477)</f>
        <v>13.172103075491549</v>
      </c>
      <c r="AR45" s="36"/>
      <c r="AS45" s="3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row>
    <row r="46" spans="1:88">
      <c r="A46" s="6"/>
      <c r="B46" s="40"/>
      <c r="C46" s="129"/>
      <c r="D46" s="44" t="s">
        <v>37</v>
      </c>
      <c r="E46" s="44">
        <f>AVERAGE(J7:J8)</f>
        <v>24.227476536362651</v>
      </c>
      <c r="F46" s="51">
        <f t="shared" ref="F46:F53" si="11">10^((E46-23.023)/-3.3917)</f>
        <v>0.44144364900551614</v>
      </c>
      <c r="G46" s="51">
        <f>SUM(E46*(LOG(E40)/LOG(2)))</f>
        <v>23.729084227486943</v>
      </c>
      <c r="H46" s="51">
        <f t="shared" ref="H46:H53" si="12">10^((G46-23.023)/-3.3917)</f>
        <v>0.61918434036442516</v>
      </c>
      <c r="I46" s="6"/>
      <c r="J46" s="120"/>
      <c r="K46" s="44" t="s">
        <v>37</v>
      </c>
      <c r="L46" s="44">
        <f>AVERAGE(Y7:Y8)</f>
        <v>18.850924822438401</v>
      </c>
      <c r="M46" s="51">
        <f t="shared" ref="M46:M53" si="13">10^((L46 -21.744)/-5.2219)</f>
        <v>3.5811895106692551</v>
      </c>
      <c r="N46" s="51">
        <f t="shared" si="0"/>
        <v>11.992075065065913</v>
      </c>
      <c r="O46" s="51">
        <f t="shared" ref="O46:O53" si="14">10^((N46 -21.744)/-5.2219)</f>
        <v>73.706384806796081</v>
      </c>
      <c r="P46" s="6"/>
      <c r="Q46" s="120"/>
      <c r="R46" s="44" t="s">
        <v>37</v>
      </c>
      <c r="S46" s="44">
        <f>AVERAGE(P10:P11)</f>
        <v>27.192618011803901</v>
      </c>
      <c r="T46" s="51">
        <f t="shared" si="1"/>
        <v>1.3250159048946976E-2</v>
      </c>
      <c r="U46" s="51">
        <f t="shared" si="2"/>
        <v>75.94108595792477</v>
      </c>
      <c r="V46" s="51">
        <f t="shared" si="3"/>
        <v>1.3800744492500055E-43</v>
      </c>
      <c r="W46" s="6"/>
      <c r="X46" s="120"/>
      <c r="Y46" s="44" t="s">
        <v>37</v>
      </c>
      <c r="Z46" s="44">
        <f>AVERAGE(J13:J14)</f>
        <v>21.079574829604148</v>
      </c>
      <c r="AA46" s="51">
        <f t="shared" si="4"/>
        <v>1.4129519012909544</v>
      </c>
      <c r="AB46" s="51">
        <f t="shared" si="5"/>
        <v>21.746166844117418</v>
      </c>
      <c r="AC46" s="51">
        <f t="shared" si="6"/>
        <v>0.8772384390652449</v>
      </c>
      <c r="AD46" s="6"/>
      <c r="AE46" s="120"/>
      <c r="AF46" s="44" t="s">
        <v>37</v>
      </c>
      <c r="AG46" s="44">
        <f>AVERAGE(Y13:Y14)</f>
        <v>22.397905259391649</v>
      </c>
      <c r="AH46" s="51">
        <f>10^((AG46 - 20.368)/-3.2306)</f>
        <v>0.2353222966394489</v>
      </c>
      <c r="AI46" s="51">
        <f t="shared" si="7"/>
        <v>23.031087336036197</v>
      </c>
      <c r="AJ46" s="51">
        <f>10^((AI46 - 20.368)/-3.2306)</f>
        <v>0.14985384246616326</v>
      </c>
      <c r="AK46" s="6"/>
      <c r="AL46" s="120"/>
      <c r="AM46" s="44" t="s">
        <v>37</v>
      </c>
      <c r="AN46" s="44">
        <f>AVERAGE(P16:P17)</f>
        <v>22.451955365331049</v>
      </c>
      <c r="AO46" s="51">
        <f t="shared" si="9"/>
        <v>1.0823439055322956</v>
      </c>
      <c r="AP46" s="44">
        <f t="shared" si="8"/>
        <v>22.279111423738762</v>
      </c>
      <c r="AQ46" s="51">
        <f t="shared" si="10"/>
        <v>1.2189781763653673</v>
      </c>
      <c r="AR46" s="36"/>
      <c r="AS46" s="3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row>
    <row r="47" spans="1:88">
      <c r="A47" s="6"/>
      <c r="B47" s="40"/>
      <c r="C47" s="129"/>
      <c r="D47" s="45" t="s">
        <v>38</v>
      </c>
      <c r="E47" s="45">
        <f>AVERAGE(K7:K8)</f>
        <v>19.4022867251063</v>
      </c>
      <c r="F47" s="52">
        <f t="shared" si="11"/>
        <v>11.682120399231058</v>
      </c>
      <c r="G47" s="52">
        <f>SUM(E47*(LOG(E40)/LOG(2)))</f>
        <v>19.003155166197111</v>
      </c>
      <c r="H47" s="52">
        <f t="shared" si="12"/>
        <v>15.317947892823314</v>
      </c>
      <c r="I47" s="6"/>
      <c r="J47" s="120"/>
      <c r="K47" s="45" t="s">
        <v>38</v>
      </c>
      <c r="L47" s="45">
        <f>AVERAGE(C10:C11)</f>
        <v>15.780377409817699</v>
      </c>
      <c r="M47" s="52">
        <f t="shared" si="13"/>
        <v>13.868859533796032</v>
      </c>
      <c r="N47" s="52">
        <f t="shared" si="0"/>
        <v>10.038736679292841</v>
      </c>
      <c r="O47" s="52">
        <f t="shared" si="14"/>
        <v>174.41013232212867</v>
      </c>
      <c r="P47" s="6"/>
      <c r="Q47" s="120"/>
      <c r="R47" s="45" t="s">
        <v>38</v>
      </c>
      <c r="S47" s="45">
        <f>AVERAGE(Q10:Q11)</f>
        <v>23.116608981404603</v>
      </c>
      <c r="T47" s="52">
        <f t="shared" si="1"/>
        <v>35.389834854364487</v>
      </c>
      <c r="U47" s="52">
        <f t="shared" si="2"/>
        <v>64.557976321020163</v>
      </c>
      <c r="V47" s="52">
        <f t="shared" si="3"/>
        <v>5.1234409008480688E-34</v>
      </c>
      <c r="W47" s="6"/>
      <c r="X47" s="120"/>
      <c r="Y47" s="45" t="s">
        <v>38</v>
      </c>
      <c r="Z47" s="45">
        <f>AVERAGE(K13:K14)</f>
        <v>18.866127811348399</v>
      </c>
      <c r="AA47" s="52">
        <f t="shared" si="4"/>
        <v>6.8787881921384502</v>
      </c>
      <c r="AB47" s="52">
        <f t="shared" si="5"/>
        <v>19.462724765769405</v>
      </c>
      <c r="AC47" s="52">
        <f t="shared" si="6"/>
        <v>4.4899254865094456</v>
      </c>
      <c r="AD47" s="6"/>
      <c r="AE47" s="120"/>
      <c r="AF47" s="45" t="s">
        <v>38</v>
      </c>
      <c r="AG47" s="45">
        <f>AVERAGE(C16:C17)</f>
        <v>18.008134347760347</v>
      </c>
      <c r="AH47" s="52">
        <f>10^((AG47 -20.368)/-3.2306)</f>
        <v>5.3761684700824395</v>
      </c>
      <c r="AI47" s="52">
        <f t="shared" si="7"/>
        <v>18.517218914855199</v>
      </c>
      <c r="AJ47" s="52">
        <f>10^((AI47 -20.368)/-3.2306)</f>
        <v>3.7401655064479504</v>
      </c>
      <c r="AK47" s="6"/>
      <c r="AL47" s="120"/>
      <c r="AM47" s="45" t="s">
        <v>38</v>
      </c>
      <c r="AN47" s="45">
        <f>AVERAGE(Q16:Q17)</f>
        <v>18.943748005939799</v>
      </c>
      <c r="AO47" s="52">
        <f t="shared" si="9"/>
        <v>12.086786156851959</v>
      </c>
      <c r="AP47" s="45">
        <f t="shared" si="8"/>
        <v>18.79791161794601</v>
      </c>
      <c r="AQ47" s="52">
        <f t="shared" si="10"/>
        <v>13.362077849356677</v>
      </c>
      <c r="AR47" s="36"/>
      <c r="AS47" s="3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row>
    <row r="48" spans="1:88">
      <c r="A48" s="6"/>
      <c r="B48" s="40"/>
      <c r="C48" s="129"/>
      <c r="D48" s="45" t="s">
        <v>39</v>
      </c>
      <c r="E48" s="45">
        <f>AVERAGE(L7:L8)</f>
        <v>19.201412748289549</v>
      </c>
      <c r="F48" s="52">
        <f t="shared" si="11"/>
        <v>13.388959823702779</v>
      </c>
      <c r="G48" s="52">
        <f>SUM(E48*(LOG(E40)/LOG(2)))</f>
        <v>18.806413441657995</v>
      </c>
      <c r="H48" s="52">
        <f t="shared" si="12"/>
        <v>17.506825617235382</v>
      </c>
      <c r="I48" s="6"/>
      <c r="J48" s="120"/>
      <c r="K48" s="45" t="s">
        <v>39</v>
      </c>
      <c r="L48" s="45">
        <f>AVERAGE(D10:D11)</f>
        <v>15.9243836554451</v>
      </c>
      <c r="M48" s="52">
        <f t="shared" si="13"/>
        <v>13.015575745356674</v>
      </c>
      <c r="N48" s="52">
        <f t="shared" si="0"/>
        <v>10.130346704990176</v>
      </c>
      <c r="O48" s="52">
        <f t="shared" si="14"/>
        <v>167.50519615453609</v>
      </c>
      <c r="P48" s="6"/>
      <c r="Q48" s="120"/>
      <c r="R48" s="45" t="s">
        <v>39</v>
      </c>
      <c r="S48" s="45">
        <f>AVERAGE(R10:R11)</f>
        <v>23.04276065690345</v>
      </c>
      <c r="T48" s="52">
        <f t="shared" si="1"/>
        <v>40.828369552186999</v>
      </c>
      <c r="U48" s="52">
        <f t="shared" si="2"/>
        <v>64.351739394647126</v>
      </c>
      <c r="V48" s="52">
        <f t="shared" si="3"/>
        <v>7.6373540102418799E-34</v>
      </c>
      <c r="W48" s="6"/>
      <c r="X48" s="120"/>
      <c r="Y48" s="45" t="s">
        <v>39</v>
      </c>
      <c r="Z48" s="45">
        <f>AVERAGE(L13:L14)</f>
        <v>18.285204269012951</v>
      </c>
      <c r="AA48" s="52">
        <f t="shared" si="4"/>
        <v>10.421191400770732</v>
      </c>
      <c r="AB48" s="52">
        <f t="shared" si="5"/>
        <v>18.863430881646053</v>
      </c>
      <c r="AC48" s="52">
        <f t="shared" si="6"/>
        <v>6.8920666220473077</v>
      </c>
      <c r="AD48" s="6"/>
      <c r="AE48" s="120"/>
      <c r="AF48" s="45" t="s">
        <v>39</v>
      </c>
      <c r="AG48" s="45">
        <f>AVERAGE(D16:D17)</f>
        <v>17.72482824433305</v>
      </c>
      <c r="AH48" s="52">
        <f>10^((AG48 - 20.368)/-3.2306)</f>
        <v>6.5791145408683498</v>
      </c>
      <c r="AI48" s="52">
        <f t="shared" si="7"/>
        <v>18.225903832694549</v>
      </c>
      <c r="AJ48" s="52">
        <f>10^((AI48 - 20.368)/-3.2306)</f>
        <v>4.603249323647713</v>
      </c>
      <c r="AK48" s="6"/>
      <c r="AL48" s="120"/>
      <c r="AM48" s="45" t="s">
        <v>39</v>
      </c>
      <c r="AN48" s="45">
        <f>AVERAGE(R16:R17)</f>
        <v>18.83919845872645</v>
      </c>
      <c r="AO48" s="52">
        <f t="shared" si="9"/>
        <v>12.9879647195523</v>
      </c>
      <c r="AP48" s="45">
        <f t="shared" si="8"/>
        <v>18.694166934074762</v>
      </c>
      <c r="AQ48" s="52">
        <f t="shared" si="10"/>
        <v>14.35039438172409</v>
      </c>
      <c r="AR48" s="36"/>
      <c r="AS48" s="3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row>
    <row r="49" spans="1:88">
      <c r="A49" s="6"/>
      <c r="B49" s="40"/>
      <c r="C49" s="129"/>
      <c r="D49" s="45" t="s">
        <v>40</v>
      </c>
      <c r="E49" s="45">
        <f>AVERAGE(M7:M8)</f>
        <v>20.9914198222924</v>
      </c>
      <c r="F49" s="52">
        <f t="shared" si="11"/>
        <v>3.9717857357001187</v>
      </c>
      <c r="G49" s="52">
        <f>SUM(E49*(LOG(E40)/LOG(2)))</f>
        <v>20.559597623389042</v>
      </c>
      <c r="H49" s="52">
        <f t="shared" si="12"/>
        <v>5.3247980951763783</v>
      </c>
      <c r="I49" s="6"/>
      <c r="J49" s="120"/>
      <c r="K49" s="45" t="s">
        <v>40</v>
      </c>
      <c r="L49" s="45">
        <f>AVERAGE(E10:E11)</f>
        <v>17.043832062805251</v>
      </c>
      <c r="M49" s="52">
        <f t="shared" si="13"/>
        <v>7.9448864674356878</v>
      </c>
      <c r="N49" s="52">
        <f t="shared" si="0"/>
        <v>10.842487327213236</v>
      </c>
      <c r="O49" s="52">
        <f t="shared" si="14"/>
        <v>122.36367613920616</v>
      </c>
      <c r="P49" s="6"/>
      <c r="Q49" s="120"/>
      <c r="R49" s="45" t="s">
        <v>40</v>
      </c>
      <c r="S49" s="45">
        <f>AVERAGE(S10:S11)</f>
        <v>23.9690670693684</v>
      </c>
      <c r="T49" s="52">
        <f t="shared" si="1"/>
        <v>6.7955730778039936</v>
      </c>
      <c r="U49" s="52">
        <f t="shared" si="2"/>
        <v>66.938644225283213</v>
      </c>
      <c r="V49" s="52">
        <f t="shared" si="3"/>
        <v>5.1069257256209856E-36</v>
      </c>
      <c r="W49" s="6"/>
      <c r="X49" s="120"/>
      <c r="Y49" s="45" t="s">
        <v>40</v>
      </c>
      <c r="Z49" s="45">
        <f>AVERAGE(M13:M14)</f>
        <v>20.328277775236451</v>
      </c>
      <c r="AA49" s="52">
        <f t="shared" si="4"/>
        <v>2.4179215107709302</v>
      </c>
      <c r="AB49" s="52">
        <f t="shared" si="5"/>
        <v>20.971111786041529</v>
      </c>
      <c r="AC49" s="52">
        <f t="shared" si="6"/>
        <v>1.5268996906646404</v>
      </c>
      <c r="AD49" s="6"/>
      <c r="AE49" s="120"/>
      <c r="AF49" s="45" t="s">
        <v>40</v>
      </c>
      <c r="AG49" s="45">
        <f>AVERAGE(E16:E17)</f>
        <v>19.145390116577602</v>
      </c>
      <c r="AH49" s="52">
        <f>10^((AG49 -20.368)/-3.2306)</f>
        <v>2.3902685213657882</v>
      </c>
      <c r="AI49" s="52">
        <f t="shared" si="7"/>
        <v>19.686624563807953</v>
      </c>
      <c r="AJ49" s="52">
        <f>10^((AI49 -20.368)/-3.2306)</f>
        <v>1.6252230327689177</v>
      </c>
      <c r="AK49" s="6"/>
      <c r="AL49" s="120"/>
      <c r="AM49" s="45" t="s">
        <v>40</v>
      </c>
      <c r="AN49" s="45">
        <f>AVERAGE(S16:S17)</f>
        <v>20.726975244614</v>
      </c>
      <c r="AO49" s="52">
        <f t="shared" si="9"/>
        <v>3.5451815849712682</v>
      </c>
      <c r="AP49" s="45">
        <f t="shared" si="8"/>
        <v>20.567410875263047</v>
      </c>
      <c r="AQ49" s="52">
        <f t="shared" si="10"/>
        <v>3.9564197781145038</v>
      </c>
      <c r="AR49" s="36"/>
      <c r="AS49" s="3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row>
    <row r="50" spans="1:88">
      <c r="A50" s="6"/>
      <c r="B50" s="40"/>
      <c r="C50" s="129"/>
      <c r="D50" s="46" t="s">
        <v>41</v>
      </c>
      <c r="E50" s="46">
        <f>AVERAGE(N7:N8)</f>
        <v>19.679269870365502</v>
      </c>
      <c r="F50" s="53">
        <f t="shared" si="11"/>
        <v>9.6795838944959076</v>
      </c>
      <c r="G50" s="53">
        <f>SUM(E50*(LOG(E40)/LOG(2)))</f>
        <v>19.274440389550239</v>
      </c>
      <c r="H50" s="53">
        <f t="shared" si="12"/>
        <v>12.741353312996774</v>
      </c>
      <c r="I50" s="6"/>
      <c r="J50" s="120"/>
      <c r="K50" s="46" t="s">
        <v>41</v>
      </c>
      <c r="L50" s="46">
        <f>AVERAGE(F10:F11)</f>
        <v>15.982990477424149</v>
      </c>
      <c r="M50" s="53">
        <f t="shared" si="13"/>
        <v>12.683529066396598</v>
      </c>
      <c r="N50" s="53">
        <f t="shared" si="0"/>
        <v>10.167629618964835</v>
      </c>
      <c r="O50" s="53">
        <f t="shared" si="14"/>
        <v>164.77395341293641</v>
      </c>
      <c r="P50" s="6"/>
      <c r="Q50" s="120"/>
      <c r="R50" s="46" t="s">
        <v>41</v>
      </c>
      <c r="S50" s="46">
        <f>AVERAGE(T10:T11)</f>
        <v>23.302423779744899</v>
      </c>
      <c r="T50" s="53">
        <f>10^((S50-24.959)/-1.1895)</f>
        <v>24.698240265355004</v>
      </c>
      <c r="U50" s="53">
        <f t="shared" si="2"/>
        <v>65.076903096179862</v>
      </c>
      <c r="V50" s="53">
        <f>10^((U50-24.959)/-1.1895)</f>
        <v>1.8763139597597531E-34</v>
      </c>
      <c r="W50" s="6"/>
      <c r="X50" s="120"/>
      <c r="Y50" s="46" t="s">
        <v>41</v>
      </c>
      <c r="Z50" s="46">
        <f>AVERAGE(N13:N14)</f>
        <v>18.578066933499599</v>
      </c>
      <c r="AA50" s="53">
        <f t="shared" si="4"/>
        <v>8.4521862578520359</v>
      </c>
      <c r="AB50" s="53">
        <f t="shared" si="5"/>
        <v>19.165554639635484</v>
      </c>
      <c r="AC50" s="53">
        <f t="shared" si="6"/>
        <v>5.5529674359269157</v>
      </c>
      <c r="AD50" s="6"/>
      <c r="AE50" s="120"/>
      <c r="AF50" s="46" t="s">
        <v>41</v>
      </c>
      <c r="AG50" s="46">
        <f>AVERAGE(F16:F17)</f>
        <v>17.772979062850752</v>
      </c>
      <c r="AH50" s="53">
        <f>10^((AG50 -20.368)/-3.2306)</f>
        <v>6.3571556062430981</v>
      </c>
      <c r="AI50" s="53">
        <f t="shared" si="7"/>
        <v>18.275415860437313</v>
      </c>
      <c r="AJ50" s="53">
        <f>10^((AI50 -20.368)/-3.2306)</f>
        <v>4.4436366881097529</v>
      </c>
      <c r="AK50" s="6"/>
      <c r="AL50" s="120"/>
      <c r="AM50" s="46" t="s">
        <v>41</v>
      </c>
      <c r="AN50" s="46">
        <f>AVERAGE(T16:T17)</f>
        <v>18.779229560095501</v>
      </c>
      <c r="AO50" s="53">
        <f t="shared" si="9"/>
        <v>13.534884772300094</v>
      </c>
      <c r="AP50" s="46">
        <f t="shared" si="8"/>
        <v>18.634659699501295</v>
      </c>
      <c r="AQ50" s="53">
        <f t="shared" si="10"/>
        <v>14.949938096065335</v>
      </c>
      <c r="AR50" s="36"/>
      <c r="AS50" s="3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c r="A51" s="6"/>
      <c r="B51" s="40"/>
      <c r="C51" s="129"/>
      <c r="D51" s="47" t="s">
        <v>42</v>
      </c>
      <c r="E51" s="47">
        <f>AVERAGE(O7:O8)</f>
        <v>21.20244107581965</v>
      </c>
      <c r="F51" s="54">
        <f t="shared" si="11"/>
        <v>3.4416670549872705</v>
      </c>
      <c r="G51" s="54">
        <f>SUM(E51*(LOG(E40)/LOG(2)))</f>
        <v>20.766277881286413</v>
      </c>
      <c r="H51" s="54">
        <f t="shared" si="12"/>
        <v>4.6277093605342126</v>
      </c>
      <c r="I51" s="6"/>
      <c r="J51" s="120"/>
      <c r="K51" s="47" t="s">
        <v>42</v>
      </c>
      <c r="L51" s="47">
        <f>AVERAGE(G10:G11)</f>
        <v>17.370153151400899</v>
      </c>
      <c r="M51" s="54">
        <f t="shared" si="13"/>
        <v>6.8801328266003301</v>
      </c>
      <c r="N51" s="54">
        <f t="shared" si="0"/>
        <v>11.050077513191543</v>
      </c>
      <c r="O51" s="54">
        <f t="shared" si="14"/>
        <v>111.66028983329178</v>
      </c>
      <c r="P51" s="6"/>
      <c r="Q51" s="120"/>
      <c r="R51" s="47" t="s">
        <v>42</v>
      </c>
      <c r="S51" s="47">
        <f>AVERAGE(U10:U11)</f>
        <v>24.554483671299351</v>
      </c>
      <c r="T51" s="54">
        <f>10^((S51- 24.959)/-1.1895)</f>
        <v>2.188127254717771</v>
      </c>
      <c r="U51" s="54">
        <f t="shared" si="2"/>
        <v>68.573542802137297</v>
      </c>
      <c r="V51" s="54">
        <f>10^((U51- 24.959)/-1.1895)</f>
        <v>2.156342262132635E-37</v>
      </c>
      <c r="W51" s="6"/>
      <c r="X51" s="120"/>
      <c r="Y51" s="47" t="s">
        <v>42</v>
      </c>
      <c r="Z51" s="47">
        <f>AVERAGE(O13:O14)</f>
        <v>19.979973469631048</v>
      </c>
      <c r="AA51" s="54">
        <f t="shared" si="4"/>
        <v>3.1017577694954488</v>
      </c>
      <c r="AB51" s="54">
        <f t="shared" si="5"/>
        <v>20.611793175327321</v>
      </c>
      <c r="AC51" s="54">
        <f t="shared" si="6"/>
        <v>1.9742251145482204</v>
      </c>
      <c r="AD51" s="6"/>
      <c r="AE51" s="120"/>
      <c r="AF51" s="47" t="s">
        <v>42</v>
      </c>
      <c r="AG51" s="47">
        <f>AVERAGE(G16:G17)</f>
        <v>18.621499802530749</v>
      </c>
      <c r="AH51" s="54">
        <f>10^((AG51 -20.368)/-3.2306)</f>
        <v>3.4722558015134952</v>
      </c>
      <c r="AI51" s="54">
        <f t="shared" si="7"/>
        <v>19.147924027414838</v>
      </c>
      <c r="AJ51" s="54">
        <f>10^((AI51 -20.368)/-3.2306)</f>
        <v>2.3859555318087469</v>
      </c>
      <c r="AK51" s="6"/>
      <c r="AL51" s="120"/>
      <c r="AM51" s="47" t="s">
        <v>42</v>
      </c>
      <c r="AN51" s="47">
        <f>AVERAGE(U16:U17)</f>
        <v>20.083722427877802</v>
      </c>
      <c r="AO51" s="54">
        <f t="shared" si="9"/>
        <v>5.5180568846571241</v>
      </c>
      <c r="AP51" s="47">
        <f t="shared" si="8"/>
        <v>19.929110070522057</v>
      </c>
      <c r="AQ51" s="54">
        <f t="shared" si="10"/>
        <v>6.1372077471450881</v>
      </c>
      <c r="AR51" s="36"/>
      <c r="AS51" s="3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row>
    <row r="52" spans="1:88">
      <c r="A52" s="6"/>
      <c r="B52" s="37"/>
      <c r="C52" s="130"/>
      <c r="D52" s="48" t="s">
        <v>43</v>
      </c>
      <c r="E52" s="48">
        <f>AVERAGE(P7:P8)</f>
        <v>20.44535786575965</v>
      </c>
      <c r="F52" s="55">
        <f t="shared" si="11"/>
        <v>5.7542045714010834</v>
      </c>
      <c r="G52" s="55">
        <f>SUM(E52*(LOG(E40)/LOG(2)))</f>
        <v>20.024768907713923</v>
      </c>
      <c r="H52" s="55">
        <f t="shared" si="12"/>
        <v>7.6558012686166617</v>
      </c>
      <c r="I52" s="6"/>
      <c r="J52" s="121"/>
      <c r="K52" s="48" t="s">
        <v>43</v>
      </c>
      <c r="L52" s="48">
        <f>AVERAGE(H10:H11)</f>
        <v>16.27644703585085</v>
      </c>
      <c r="M52" s="55">
        <f t="shared" si="13"/>
        <v>11.144044354235529</v>
      </c>
      <c r="N52" s="55">
        <f t="shared" si="0"/>
        <v>10.354312930798958</v>
      </c>
      <c r="O52" s="55">
        <f t="shared" si="14"/>
        <v>151.75342013719231</v>
      </c>
      <c r="P52" s="6"/>
      <c r="Q52" s="121"/>
      <c r="R52" s="48" t="s">
        <v>43</v>
      </c>
      <c r="S52" s="48">
        <f>AVERAGE(V10:V11)</f>
        <v>23.8138437126225</v>
      </c>
      <c r="T52" s="55">
        <f>10^((S52-24.959)/-1.1895)</f>
        <v>9.1774222178676528</v>
      </c>
      <c r="U52" s="55">
        <f t="shared" si="2"/>
        <v>66.505150463402657</v>
      </c>
      <c r="V52" s="55">
        <f>10^((U52-24.959)/-1.1895)</f>
        <v>1.1819337583079382E-35</v>
      </c>
      <c r="W52" s="6"/>
      <c r="X52" s="121"/>
      <c r="Y52" s="48" t="s">
        <v>43</v>
      </c>
      <c r="Z52" s="48">
        <f>AVERAGE(P13:P14)</f>
        <v>19.504289830081248</v>
      </c>
      <c r="AA52" s="55">
        <f t="shared" si="4"/>
        <v>4.3584405795473051</v>
      </c>
      <c r="AB52" s="55">
        <f t="shared" si="5"/>
        <v>20.121067158589096</v>
      </c>
      <c r="AC52" s="55">
        <f t="shared" si="6"/>
        <v>2.8040859650205969</v>
      </c>
      <c r="AD52" s="6"/>
      <c r="AE52" s="121"/>
      <c r="AF52" s="48" t="s">
        <v>43</v>
      </c>
      <c r="AG52" s="48">
        <f>AVERAGE(H16:H17)</f>
        <v>18.122123874191999</v>
      </c>
      <c r="AH52" s="55">
        <f>10^((AG52 -20.368)/-3.2306)</f>
        <v>4.9566533705356628</v>
      </c>
      <c r="AI52" s="55">
        <f t="shared" si="7"/>
        <v>18.634430891075162</v>
      </c>
      <c r="AJ52" s="55">
        <f>10^((AI52 -20.368)/-3.2306)</f>
        <v>3.4404006635689734</v>
      </c>
      <c r="AK52" s="6"/>
      <c r="AL52" s="121"/>
      <c r="AM52" s="48" t="s">
        <v>43</v>
      </c>
      <c r="AN52" s="48">
        <f>AVERAGE(V16:V17)</f>
        <v>19.4924784719563</v>
      </c>
      <c r="AO52" s="55">
        <f t="shared" si="9"/>
        <v>8.2870157134532807</v>
      </c>
      <c r="AP52" s="48">
        <f t="shared" si="8"/>
        <v>19.342417742025482</v>
      </c>
      <c r="AQ52" s="55">
        <f t="shared" si="10"/>
        <v>9.1880465212267417</v>
      </c>
      <c r="AR52" s="36"/>
      <c r="AS52" s="3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row>
    <row r="53" spans="1:88">
      <c r="A53" s="6"/>
      <c r="B53" s="6"/>
      <c r="C53" s="124" t="s">
        <v>34</v>
      </c>
      <c r="D53" s="125"/>
      <c r="E53" s="57">
        <f>AVERAGE(Q7:Q8)</f>
        <v>35.781676405948446</v>
      </c>
      <c r="F53" s="56">
        <f t="shared" si="11"/>
        <v>1.7308724168256455E-4</v>
      </c>
      <c r="G53" s="56">
        <f>SUM(E53*(LOG(E40)/LOG(2)))</f>
        <v>35.045598412326683</v>
      </c>
      <c r="H53" s="56">
        <f t="shared" si="12"/>
        <v>2.8529120070100504E-4</v>
      </c>
      <c r="I53" s="6"/>
      <c r="J53" s="124" t="s">
        <v>34</v>
      </c>
      <c r="K53" s="125"/>
      <c r="L53" s="57">
        <f>AVERAGE(Z7:Z8)</f>
        <v>33.519560708218449</v>
      </c>
      <c r="M53" s="56">
        <f t="shared" si="13"/>
        <v>5.558610659554505E-3</v>
      </c>
      <c r="N53" s="56">
        <f t="shared" si="0"/>
        <v>21.323573880180284</v>
      </c>
      <c r="O53" s="56">
        <f t="shared" si="14"/>
        <v>1.2036829174188055</v>
      </c>
      <c r="P53" s="6"/>
      <c r="Q53" s="124" t="s">
        <v>34</v>
      </c>
      <c r="R53" s="125"/>
      <c r="S53" s="57">
        <f>AVERAGE(W10:W11)</f>
        <v>31.075598579015651</v>
      </c>
      <c r="T53" s="56">
        <f>10^((S53-24.959)/-1.1895)</f>
        <v>7.2084289625372138E-6</v>
      </c>
      <c r="U53" s="56">
        <f t="shared" si="2"/>
        <v>86.785123148443802</v>
      </c>
      <c r="V53" s="56">
        <f>10^((U53-24.959)/-1.1895)</f>
        <v>1.0554454029505597E-52</v>
      </c>
      <c r="W53" s="6"/>
      <c r="X53" s="124" t="s">
        <v>34</v>
      </c>
      <c r="Y53" s="125"/>
      <c r="Z53" s="57">
        <f>AVERAGE(Q13:Q14)</f>
        <v>35.460314679501593</v>
      </c>
      <c r="AA53" s="56">
        <f t="shared" si="4"/>
        <v>4.832788566428231E-5</v>
      </c>
      <c r="AB53" s="56">
        <f t="shared" si="5"/>
        <v>36.58166379534272</v>
      </c>
      <c r="AC53" s="56">
        <f t="shared" si="6"/>
        <v>2.1675221435454566E-5</v>
      </c>
      <c r="AD53" s="6"/>
      <c r="AE53" s="122" t="s">
        <v>34</v>
      </c>
      <c r="AF53" s="123"/>
      <c r="AG53" s="57">
        <f>AVERAGE(Z13:Z14)</f>
        <v>35.726257193614899</v>
      </c>
      <c r="AH53" s="56">
        <f>10^((AG53 -20.368)/-3.2306)</f>
        <v>1.7619951432221123E-5</v>
      </c>
      <c r="AI53" s="56">
        <f t="shared" si="7"/>
        <v>36.736227789463591</v>
      </c>
      <c r="AJ53" s="56">
        <f>10^((AI53 -20.368)/-3.2306)</f>
        <v>8.5778487651661616E-6</v>
      </c>
      <c r="AK53" s="6"/>
      <c r="AL53" s="122" t="s">
        <v>34</v>
      </c>
      <c r="AM53" s="123"/>
      <c r="AN53" s="57">
        <f>AVERAGE(W16:W17)</f>
        <v>34.906359856798197</v>
      </c>
      <c r="AO53" s="56">
        <f t="shared" ref="AO53:AQ53" si="15">10^((AN53-22.41)/-3.3733)</f>
        <v>1.9747353079437217E-4</v>
      </c>
      <c r="AP53" s="57">
        <f t="shared" si="8"/>
        <v>34.637637033947584</v>
      </c>
      <c r="AQ53" s="56">
        <f t="shared" si="15"/>
        <v>2.3723053834277E-4</v>
      </c>
      <c r="AR53" s="36"/>
      <c r="AS53" s="3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row>
    <row r="54" spans="1:88">
      <c r="A54" s="6"/>
      <c r="B54" s="6"/>
      <c r="C54" s="104" t="s">
        <v>84</v>
      </c>
      <c r="D54" s="105"/>
      <c r="E54" s="86">
        <f>AVERAGE(E44:E52)</f>
        <v>20.397432159577026</v>
      </c>
      <c r="F54" s="86">
        <f>AVERAGE(F44:F52)</f>
        <v>8.3265137242014884</v>
      </c>
      <c r="G54" s="86">
        <f>AVERAGE(G44:G52)</f>
        <v>19.977829098817089</v>
      </c>
      <c r="H54" s="86">
        <f>AVERAGE(H44:H52)</f>
        <v>10.950194184833229</v>
      </c>
      <c r="I54" s="6"/>
      <c r="J54" s="104" t="s">
        <v>84</v>
      </c>
      <c r="K54" s="105"/>
      <c r="L54" s="86">
        <f>AVERAGE(L44:L52)</f>
        <v>16.493137910188679</v>
      </c>
      <c r="M54" s="86">
        <f>AVERAGE(M44:M52)</f>
        <v>11.012805531187107</v>
      </c>
      <c r="N54" s="86">
        <f>AVERAGE(N44:N52)</f>
        <v>10.492161511462804</v>
      </c>
      <c r="O54" s="86">
        <f>AVERAGE(O44:O52)</f>
        <v>148.08258321552032</v>
      </c>
      <c r="P54" s="6"/>
      <c r="Q54" s="104" t="s">
        <v>84</v>
      </c>
      <c r="R54" s="105"/>
      <c r="S54" s="86">
        <f>AVERAGE(S44:S52)</f>
        <v>23.909841373889712</v>
      </c>
      <c r="T54" s="86">
        <f>AVERAGE(T44:T52)</f>
        <v>21.382968126753926</v>
      </c>
      <c r="U54" s="86">
        <f>AVERAGE(U44:U52)</f>
        <v>66.773244055674226</v>
      </c>
      <c r="V54" s="86">
        <f>AVERAGE(V44:V52)</f>
        <v>2.9064392741780171E-34</v>
      </c>
      <c r="W54" s="6"/>
      <c r="X54" s="104" t="s">
        <v>84</v>
      </c>
      <c r="Y54" s="105"/>
      <c r="Z54" s="86">
        <f>AVERAGE(Z44:Z52)</f>
        <v>19.336086990591745</v>
      </c>
      <c r="AA54" s="86">
        <f>AVERAGE(AA44:AA52)</f>
        <v>5.8359809140698768</v>
      </c>
      <c r="AB54" s="86">
        <f>AVERAGE(AB44:AB52)</f>
        <v>19.947545299597138</v>
      </c>
      <c r="AC54" s="86">
        <f>AVERAGE(AC44:AC52)</f>
        <v>3.8066448919062728</v>
      </c>
      <c r="AD54" s="6"/>
      <c r="AE54" s="104" t="s">
        <v>84</v>
      </c>
      <c r="AF54" s="105"/>
      <c r="AG54" s="86">
        <f>AVERAGE(AG44:AG52)</f>
        <v>18.602725451354036</v>
      </c>
      <c r="AH54" s="86">
        <f>AVERAGE(AH44:AH52)</f>
        <v>4.6334952464081258</v>
      </c>
      <c r="AI54" s="86">
        <f>AVERAGE(AI44:AI52)</f>
        <v>19.128618930950651</v>
      </c>
      <c r="AJ54" s="86">
        <f>AVERAGE(AJ44:AJ52)</f>
        <v>3.2225499969053129</v>
      </c>
      <c r="AK54" s="6"/>
      <c r="AL54" s="104" t="s">
        <v>84</v>
      </c>
      <c r="AM54" s="105"/>
      <c r="AN54" s="86">
        <f>AVERAGE(AN44:AN52)</f>
        <v>19.68204425205802</v>
      </c>
      <c r="AO54" s="86">
        <f>AVERAGE(AO44:AO52)</f>
        <v>9.0879322461901317</v>
      </c>
      <c r="AP54" s="86">
        <f>AVERAGE(AP44:AP52)</f>
        <v>19.530524170543316</v>
      </c>
      <c r="AQ54" s="86">
        <f>AVERAGE(AQ44:AQ52)</f>
        <v>10.057603552887336</v>
      </c>
      <c r="AR54" s="36"/>
      <c r="AS54" s="3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c r="A55" s="6"/>
      <c r="B55" s="6"/>
      <c r="C55" s="104" t="s">
        <v>85</v>
      </c>
      <c r="D55" s="105"/>
      <c r="E55" s="86">
        <f>(E56/SQRT(9))</f>
        <v>0.5142285860050998</v>
      </c>
      <c r="F55" s="86">
        <f>(F56/SQRT(9))</f>
        <v>1.5720398806411338</v>
      </c>
      <c r="G55" s="86">
        <f>(G56/SQRT(9))</f>
        <v>0.50365020109223813</v>
      </c>
      <c r="H55" s="86">
        <f>(H56/SQRT(9))</f>
        <v>2.0430178902848297</v>
      </c>
      <c r="I55" s="6"/>
      <c r="J55" s="104" t="s">
        <v>85</v>
      </c>
      <c r="K55" s="105"/>
      <c r="L55" s="86">
        <f>(L56/SQRT(9))</f>
        <v>0.34003447282773586</v>
      </c>
      <c r="M55" s="86">
        <f>(M56/SQRT(9))</f>
        <v>1.2628175575984968</v>
      </c>
      <c r="N55" s="86">
        <f>(N56/SQRT(9))</f>
        <v>0.21631399845203267</v>
      </c>
      <c r="O55" s="86">
        <f>(O56/SQRT(9))</f>
        <v>11.865115187440615</v>
      </c>
      <c r="P55" s="6"/>
      <c r="Q55" s="104" t="s">
        <v>85</v>
      </c>
      <c r="R55" s="105"/>
      <c r="S55" s="86">
        <f>(S56/SQRT(9))</f>
        <v>0.41976393968601577</v>
      </c>
      <c r="T55" s="86">
        <f>(T56/SQRT(9))</f>
        <v>5.2617701748899863</v>
      </c>
      <c r="U55" s="86">
        <f>(U56/SQRT(9))</f>
        <v>1.172278793159798</v>
      </c>
      <c r="V55" s="86">
        <f>(V56/SQRT(9))</f>
        <v>9.7477165784483519E-35</v>
      </c>
      <c r="W55" s="6"/>
      <c r="X55" s="104" t="s">
        <v>85</v>
      </c>
      <c r="Y55" s="105"/>
      <c r="Z55" s="86">
        <f>(Z56/SQRT(9))</f>
        <v>0.29762158367262148</v>
      </c>
      <c r="AA55" s="86">
        <f>(AA56/SQRT(9))</f>
        <v>0.97628558109460062</v>
      </c>
      <c r="AB55" s="86">
        <f>(AB56/SQRT(9))</f>
        <v>0.30703316681064291</v>
      </c>
      <c r="AC55" s="86">
        <f>(AC56/SQRT(9))</f>
        <v>0.65184385347783225</v>
      </c>
      <c r="AD55" s="6"/>
      <c r="AE55" s="104" t="s">
        <v>85</v>
      </c>
      <c r="AF55" s="105"/>
      <c r="AG55" s="86">
        <f>(AG56/SQRT(9))</f>
        <v>0.47116928087900584</v>
      </c>
      <c r="AH55" s="86">
        <f>(AH56/SQRT(9))</f>
        <v>0.68380696118768058</v>
      </c>
      <c r="AI55" s="86">
        <f>(AI56/SQRT(9))</f>
        <v>0.48448909540018709</v>
      </c>
      <c r="AJ55" s="86">
        <f>(AJ56/SQRT(9))</f>
        <v>0.4814556021336987</v>
      </c>
      <c r="AK55" s="6"/>
      <c r="AL55" s="104" t="s">
        <v>85</v>
      </c>
      <c r="AM55" s="105"/>
      <c r="AN55" s="86">
        <f>(AN56/SQRT(9))</f>
        <v>0.38854598082901659</v>
      </c>
      <c r="AO55" s="86">
        <f>(AO56/SQRT(9))</f>
        <v>1.4665186037800642</v>
      </c>
      <c r="AP55" s="86">
        <f>(AP56/SQRT(9))</f>
        <v>0.38555480176583212</v>
      </c>
      <c r="AQ55" s="86">
        <f>(AQ56/SQRT(9))</f>
        <v>1.6157982251623633</v>
      </c>
      <c r="AR55" s="36"/>
      <c r="AS55" s="3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row>
    <row r="56" spans="1:88">
      <c r="A56" s="6"/>
      <c r="B56" s="6"/>
      <c r="C56" s="104" t="s">
        <v>86</v>
      </c>
      <c r="D56" s="105"/>
      <c r="E56" s="86">
        <f>_xlfn.STDEV.P(E44:E52)</f>
        <v>1.5426857580152995</v>
      </c>
      <c r="F56" s="86">
        <f>_xlfn.STDEV.P(F44:F52)</f>
        <v>4.7161196419234015</v>
      </c>
      <c r="G56" s="86">
        <f>_xlfn.STDEV.P(G44:G52)</f>
        <v>1.5109506032767144</v>
      </c>
      <c r="H56" s="86">
        <f>_xlfn.STDEV.P(H44:H52)</f>
        <v>6.1290536708544892</v>
      </c>
      <c r="I56" s="6"/>
      <c r="J56" s="104" t="s">
        <v>86</v>
      </c>
      <c r="K56" s="105"/>
      <c r="L56" s="86">
        <f>_xlfn.STDEV.P(L44:L52)</f>
        <v>1.0201034184832076</v>
      </c>
      <c r="M56" s="86">
        <f>_xlfn.STDEV.P(M44:M52)</f>
        <v>3.7884526727954904</v>
      </c>
      <c r="N56" s="86">
        <f>_xlfn.STDEV.P(N44:N52)</f>
        <v>0.64894199535609798</v>
      </c>
      <c r="O56" s="86">
        <f>_xlfn.STDEV.P(O44:O52)</f>
        <v>35.595345562321846</v>
      </c>
      <c r="P56" s="6"/>
      <c r="Q56" s="104" t="s">
        <v>86</v>
      </c>
      <c r="R56" s="105"/>
      <c r="S56" s="86">
        <f>_xlfn.STDEV.P(S44:S52)</f>
        <v>1.2592918190580473</v>
      </c>
      <c r="T56" s="86">
        <f>_xlfn.STDEV.P(T44:T52)</f>
        <v>15.785310524669958</v>
      </c>
      <c r="U56" s="86">
        <f>_xlfn.STDEV.P(U44:U52)</f>
        <v>3.5168363794793942</v>
      </c>
      <c r="V56" s="86">
        <f>_xlfn.STDEV.P(V44:V52)</f>
        <v>2.9243149735345058E-34</v>
      </c>
      <c r="W56" s="6"/>
      <c r="X56" s="104" t="s">
        <v>86</v>
      </c>
      <c r="Y56" s="105"/>
      <c r="Z56" s="86">
        <f>_xlfn.STDEV.P(Z44:Z52)</f>
        <v>0.89286475101786444</v>
      </c>
      <c r="AA56" s="86">
        <f>_xlfn.STDEV.P(AA44:AA52)</f>
        <v>2.9288567432838017</v>
      </c>
      <c r="AB56" s="86">
        <f>_xlfn.STDEV.P(AB44:AB52)</f>
        <v>0.92109950043192867</v>
      </c>
      <c r="AC56" s="86">
        <f>_xlfn.STDEV.P(AC44:AC52)</f>
        <v>1.9555315604334969</v>
      </c>
      <c r="AD56" s="6"/>
      <c r="AE56" s="104" t="s">
        <v>86</v>
      </c>
      <c r="AF56" s="105"/>
      <c r="AG56" s="86">
        <f>_xlfn.STDEV.P(AG44:AG52)</f>
        <v>1.4135078426370176</v>
      </c>
      <c r="AH56" s="86">
        <f>_xlfn.STDEV.P(AH44:AH52)</f>
        <v>2.0514208835630416</v>
      </c>
      <c r="AI56" s="86">
        <f>_xlfn.STDEV.P(AI44:AI52)</f>
        <v>1.4534672862005613</v>
      </c>
      <c r="AJ56" s="86">
        <f>_xlfn.STDEV.P(AJ44:AJ52)</f>
        <v>1.4443668064010962</v>
      </c>
      <c r="AK56" s="6"/>
      <c r="AL56" s="104" t="s">
        <v>86</v>
      </c>
      <c r="AM56" s="105"/>
      <c r="AN56" s="86">
        <f>_xlfn.STDEV.P(AN44:AN52)</f>
        <v>1.1656379424870498</v>
      </c>
      <c r="AO56" s="86">
        <f>_xlfn.STDEV.P(AO44:AO52)</f>
        <v>4.3995558113401927</v>
      </c>
      <c r="AP56" s="86">
        <f>_xlfn.STDEV.P(AP44:AP52)</f>
        <v>1.1566644052974964</v>
      </c>
      <c r="AQ56" s="86">
        <f>_xlfn.STDEV.P(AQ44:AQ52)</f>
        <v>4.8473946754870898</v>
      </c>
      <c r="AR56" s="36"/>
      <c r="AS56" s="3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row>
    <row r="57" spans="1:88">
      <c r="A57" s="6"/>
      <c r="B57" s="6"/>
      <c r="C57" s="104" t="s">
        <v>87</v>
      </c>
      <c r="D57" s="105"/>
      <c r="E57" s="86">
        <f>SUM(E56/E54)</f>
        <v>7.5631370946414742E-2</v>
      </c>
      <c r="F57" s="86">
        <f>SUM(F56/F54)</f>
        <v>0.56639787048158341</v>
      </c>
      <c r="G57" s="86">
        <f>SUM(G56/G54)</f>
        <v>7.5631370946414769E-2</v>
      </c>
      <c r="H57" s="86">
        <f>SUM(H56/H54)</f>
        <v>0.55972100287898541</v>
      </c>
      <c r="I57" s="6"/>
      <c r="J57" s="104" t="s">
        <v>87</v>
      </c>
      <c r="K57" s="105"/>
      <c r="L57" s="86">
        <f>SUM(L56/L54)</f>
        <v>6.1850172116310026E-2</v>
      </c>
      <c r="M57" s="86">
        <f>SUM(M56/M54)</f>
        <v>0.34400431952303079</v>
      </c>
      <c r="N57" s="86">
        <f>SUM(N56/N54)</f>
        <v>6.1850172116310026E-2</v>
      </c>
      <c r="O57" s="86">
        <f>SUM(O56/O54)</f>
        <v>0.24037496368169212</v>
      </c>
      <c r="P57" s="6"/>
      <c r="Q57" s="104" t="s">
        <v>87</v>
      </c>
      <c r="R57" s="105"/>
      <c r="S57" s="86">
        <f>SUM(S56/S54)</f>
        <v>5.2668346868801605E-2</v>
      </c>
      <c r="T57" s="86">
        <f>SUM(T56/T54)</f>
        <v>0.73821886798398695</v>
      </c>
      <c r="U57" s="86">
        <f>SUM(U56/U54)</f>
        <v>5.2668346868801591E-2</v>
      </c>
      <c r="V57" s="86">
        <f>SUM(V56/V54)</f>
        <v>1.0061503777200176</v>
      </c>
      <c r="W57" s="6"/>
      <c r="X57" s="104" t="s">
        <v>87</v>
      </c>
      <c r="Y57" s="105"/>
      <c r="Z57" s="86">
        <f>SUM(Z56/Z54)</f>
        <v>4.6176082650657334E-2</v>
      </c>
      <c r="AA57" s="86">
        <f>SUM(AA56/AA54)</f>
        <v>0.50186194684473107</v>
      </c>
      <c r="AB57" s="86">
        <f>SUM(AB56/AB54)</f>
        <v>4.6176082650657334E-2</v>
      </c>
      <c r="AC57" s="86">
        <f>SUM(AC56/AC54)</f>
        <v>0.51371525738882762</v>
      </c>
      <c r="AD57" s="6"/>
      <c r="AE57" s="104" t="s">
        <v>87</v>
      </c>
      <c r="AF57" s="105"/>
      <c r="AG57" s="86">
        <f>SUM(AG56/AG54)</f>
        <v>7.5983911407676699E-2</v>
      </c>
      <c r="AH57" s="86">
        <f>SUM(AH56/AH54)</f>
        <v>0.44273723711129265</v>
      </c>
      <c r="AI57" s="86">
        <f>SUM(AI56/AI54)</f>
        <v>7.5983911407676685E-2</v>
      </c>
      <c r="AJ57" s="86">
        <f>SUM(AJ56/AJ54)</f>
        <v>0.44820617454753348</v>
      </c>
      <c r="AK57" s="6"/>
      <c r="AL57" s="104" t="s">
        <v>87</v>
      </c>
      <c r="AM57" s="105"/>
      <c r="AN57" s="86">
        <f>SUM(AN56/AN54)</f>
        <v>5.9223418439635245E-2</v>
      </c>
      <c r="AO57" s="86">
        <f>SUM(AO56/AO54)</f>
        <v>0.48410966236952158</v>
      </c>
      <c r="AP57" s="86">
        <f>SUM(AP56/AP54)</f>
        <v>5.9223418439635217E-2</v>
      </c>
      <c r="AQ57" s="86">
        <f>SUM(AQ56/AQ54)</f>
        <v>0.48196318834773516</v>
      </c>
      <c r="AR57" s="36"/>
      <c r="AS57" s="3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row>
    <row r="58" spans="1:8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88">
      <c r="A59" s="6"/>
      <c r="B59" s="6"/>
      <c r="C59" s="131" t="s">
        <v>48</v>
      </c>
      <c r="D59" s="131"/>
      <c r="E59" s="131"/>
      <c r="F59" s="6"/>
      <c r="G59" s="6"/>
      <c r="H59" s="6"/>
      <c r="I59" s="6"/>
      <c r="J59" s="96" t="s">
        <v>23</v>
      </c>
      <c r="K59" s="97"/>
      <c r="L59" s="98"/>
      <c r="M59" s="6"/>
      <c r="N59" s="6"/>
      <c r="O59" s="6"/>
      <c r="P59" s="6"/>
      <c r="Q59" s="131" t="s">
        <v>27</v>
      </c>
      <c r="R59" s="131"/>
      <c r="S59" s="131"/>
      <c r="T59" s="6"/>
      <c r="U59" s="6"/>
      <c r="V59" s="6"/>
      <c r="W59" s="6"/>
      <c r="X59" s="131" t="s">
        <v>24</v>
      </c>
      <c r="Y59" s="131"/>
      <c r="Z59" s="131"/>
      <c r="AA59" s="6"/>
      <c r="AB59" s="6"/>
      <c r="AC59" s="6"/>
      <c r="AD59" s="6"/>
      <c r="AE59" s="131" t="s">
        <v>25</v>
      </c>
      <c r="AF59" s="131"/>
      <c r="AG59" s="131"/>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row>
    <row r="60" spans="1:88" ht="15" customHeight="1">
      <c r="A60" s="6"/>
      <c r="B60" s="6"/>
      <c r="C60" s="132" t="s">
        <v>47</v>
      </c>
      <c r="D60" s="133"/>
      <c r="E60" s="134"/>
      <c r="F60" s="6"/>
      <c r="G60" s="6"/>
      <c r="H60" s="6"/>
      <c r="I60" s="6"/>
      <c r="J60" s="99" t="s">
        <v>47</v>
      </c>
      <c r="K60" s="169"/>
      <c r="L60" s="170"/>
      <c r="M60" s="6"/>
      <c r="N60" s="6"/>
      <c r="O60" s="6"/>
      <c r="P60" s="6"/>
      <c r="Q60" s="99" t="s">
        <v>47</v>
      </c>
      <c r="R60" s="100"/>
      <c r="S60" s="101"/>
      <c r="T60" s="6"/>
      <c r="U60" s="6"/>
      <c r="V60" s="6"/>
      <c r="W60" s="6"/>
      <c r="X60" s="99" t="s">
        <v>47</v>
      </c>
      <c r="Y60" s="159"/>
      <c r="Z60" s="160"/>
      <c r="AA60" s="6"/>
      <c r="AB60" s="6"/>
      <c r="AC60" s="6"/>
      <c r="AD60" s="6"/>
      <c r="AE60" s="99" t="s">
        <v>47</v>
      </c>
      <c r="AF60" s="100"/>
      <c r="AG60" s="101"/>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row>
    <row r="61" spans="1:88" ht="16">
      <c r="A61" s="6"/>
      <c r="B61" s="6"/>
      <c r="C61" s="31" t="s">
        <v>33</v>
      </c>
      <c r="D61" s="32" t="s">
        <v>45</v>
      </c>
      <c r="E61" s="64" t="s">
        <v>44</v>
      </c>
      <c r="F61" s="6"/>
      <c r="G61" s="6"/>
      <c r="H61" s="6"/>
      <c r="I61" s="6"/>
      <c r="J61" s="31" t="s">
        <v>33</v>
      </c>
      <c r="K61" s="32" t="s">
        <v>45</v>
      </c>
      <c r="L61" s="64" t="s">
        <v>44</v>
      </c>
      <c r="M61" s="6"/>
      <c r="N61" s="6"/>
      <c r="O61" s="6"/>
      <c r="P61" s="6"/>
      <c r="Q61" s="31" t="s">
        <v>33</v>
      </c>
      <c r="R61" s="32" t="s">
        <v>45</v>
      </c>
      <c r="S61" s="64" t="s">
        <v>44</v>
      </c>
      <c r="T61" s="6"/>
      <c r="U61" s="6"/>
      <c r="V61" s="6"/>
      <c r="W61" s="6"/>
      <c r="X61" s="31" t="s">
        <v>33</v>
      </c>
      <c r="Y61" s="32" t="s">
        <v>45</v>
      </c>
      <c r="Z61" s="64" t="s">
        <v>44</v>
      </c>
      <c r="AA61" s="6"/>
      <c r="AB61" s="6"/>
      <c r="AC61" s="6"/>
      <c r="AD61" s="6"/>
      <c r="AE61" s="31" t="s">
        <v>33</v>
      </c>
      <c r="AF61" s="32" t="s">
        <v>45</v>
      </c>
      <c r="AG61" s="64" t="s">
        <v>44</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row>
    <row r="62" spans="1:88">
      <c r="A62" s="6"/>
      <c r="B62" s="6"/>
      <c r="C62" s="58">
        <v>3.2000000000000001E-2</v>
      </c>
      <c r="D62" s="59">
        <f>LOG(C62)</f>
        <v>-1.494850021680094</v>
      </c>
      <c r="E62" s="60">
        <f>AVERAGE(C19:C20)</f>
        <v>28.735337851552849</v>
      </c>
      <c r="F62" s="6"/>
      <c r="G62" s="6"/>
      <c r="H62" s="6"/>
      <c r="I62" s="6"/>
      <c r="J62" s="58">
        <v>3.2000000000000001E-2</v>
      </c>
      <c r="K62" s="59">
        <f>LOG(J62)</f>
        <v>-1.494850021680094</v>
      </c>
      <c r="L62" s="60">
        <f>AVERAGE(R19:R20)</f>
        <v>28.943281695535649</v>
      </c>
      <c r="M62" s="6"/>
      <c r="N62" s="6"/>
      <c r="O62" s="6"/>
      <c r="P62" s="6"/>
      <c r="Q62" s="58">
        <v>3.2000000000000001E-2</v>
      </c>
      <c r="R62" s="59">
        <f>LOG(Q62)</f>
        <v>-1.494850021680094</v>
      </c>
      <c r="S62" s="60">
        <f>AVERAGE(I22:I23)</f>
        <v>25.485717909244901</v>
      </c>
      <c r="T62" s="6"/>
      <c r="U62" s="6"/>
      <c r="V62" s="6"/>
      <c r="W62" s="6"/>
      <c r="X62" s="58">
        <v>3.2000000000000001E-2</v>
      </c>
      <c r="Y62" s="59">
        <f>LOG(X62)</f>
        <v>-1.494850021680094</v>
      </c>
      <c r="Z62" s="60">
        <f>AVERAGE(C25:C26)</f>
        <v>27.662227400054249</v>
      </c>
      <c r="AA62" s="6"/>
      <c r="AB62" s="6"/>
      <c r="AC62" s="6"/>
      <c r="AD62" s="6"/>
      <c r="AE62" s="58">
        <v>3.2000000000000001E-2</v>
      </c>
      <c r="AF62" s="59">
        <f>LOG(AE62)</f>
        <v>-1.494850021680094</v>
      </c>
      <c r="AG62" s="60">
        <f>AVERAGE(I28:I29)</f>
        <v>29.34620773699465</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row>
    <row r="63" spans="1:88">
      <c r="A63" s="6"/>
      <c r="B63" s="6"/>
      <c r="C63" s="58">
        <v>0.16</v>
      </c>
      <c r="D63" s="59">
        <f>LOG(C63)</f>
        <v>-0.79588001734407521</v>
      </c>
      <c r="E63" s="60">
        <f>AVERAGE(D19:D20)</f>
        <v>27.03581209192885</v>
      </c>
      <c r="F63" s="6"/>
      <c r="G63" s="6"/>
      <c r="H63" s="6"/>
      <c r="I63" s="6"/>
      <c r="J63" s="58">
        <v>0.16</v>
      </c>
      <c r="K63" s="59">
        <f>LOG(J63)</f>
        <v>-0.79588001734407521</v>
      </c>
      <c r="L63" s="60">
        <f>AVERAGE(S19:S20)</f>
        <v>26.917155855639102</v>
      </c>
      <c r="M63" s="6"/>
      <c r="N63" s="6"/>
      <c r="O63" s="6"/>
      <c r="P63" s="6"/>
      <c r="Q63" s="58">
        <v>0.16</v>
      </c>
      <c r="R63" s="59">
        <f>LOG(Q63)</f>
        <v>-0.79588001734407521</v>
      </c>
      <c r="S63" s="60">
        <f>AVERAGE(J22:J23)</f>
        <v>23.505777262038052</v>
      </c>
      <c r="T63" s="6"/>
      <c r="U63" s="6"/>
      <c r="V63" s="6"/>
      <c r="W63" s="6"/>
      <c r="X63" s="58">
        <v>0.16</v>
      </c>
      <c r="Y63" s="59">
        <f>LOG(X63)</f>
        <v>-0.79588001734407521</v>
      </c>
      <c r="Z63" s="60">
        <f>AVERAGE(D25:D26)</f>
        <v>25.266021773019752</v>
      </c>
      <c r="AA63" s="6"/>
      <c r="AB63" s="6"/>
      <c r="AC63" s="6"/>
      <c r="AD63" s="6"/>
      <c r="AE63" s="58">
        <v>0.16</v>
      </c>
      <c r="AF63" s="59">
        <f>LOG(AE63)</f>
        <v>-0.79588001734407521</v>
      </c>
      <c r="AG63" s="60">
        <f>AVERAGE(J28:J29)</f>
        <v>27.94923086833905</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row>
    <row r="64" spans="1:88">
      <c r="A64" s="6"/>
      <c r="B64" s="6"/>
      <c r="C64" s="58">
        <v>0.8</v>
      </c>
      <c r="D64" s="59">
        <f>LOG(C64)</f>
        <v>-9.6910013008056392E-2</v>
      </c>
      <c r="E64" s="60">
        <f>AVERAGE(E19:E20)</f>
        <v>25.546959901247348</v>
      </c>
      <c r="F64" s="6"/>
      <c r="G64" s="6"/>
      <c r="H64" s="6"/>
      <c r="I64" s="6"/>
      <c r="J64" s="58">
        <v>0.8</v>
      </c>
      <c r="K64" s="59">
        <f>LOG(J64)</f>
        <v>-9.6910013008056392E-2</v>
      </c>
      <c r="L64" s="60">
        <f>AVERAGE(T19:T20)</f>
        <v>25.209710708787398</v>
      </c>
      <c r="M64" s="6"/>
      <c r="N64" s="6"/>
      <c r="O64" s="6"/>
      <c r="P64" s="6"/>
      <c r="Q64" s="58">
        <v>0.8</v>
      </c>
      <c r="R64" s="59">
        <f>LOG(Q64)</f>
        <v>-9.6910013008056392E-2</v>
      </c>
      <c r="S64" s="60">
        <f>AVERAGE(K22:K23)</f>
        <v>21.394862838796751</v>
      </c>
      <c r="T64" s="6"/>
      <c r="U64" s="6"/>
      <c r="V64" s="6"/>
      <c r="W64" s="6"/>
      <c r="X64" s="58">
        <v>0.8</v>
      </c>
      <c r="Y64" s="59">
        <f>LOG(X64)</f>
        <v>-9.6910013008056392E-2</v>
      </c>
      <c r="Z64" s="60">
        <f>AVERAGE(E25:E26)</f>
        <v>23.083002117379749</v>
      </c>
      <c r="AA64" s="6"/>
      <c r="AB64" s="6"/>
      <c r="AC64" s="6"/>
      <c r="AD64" s="6"/>
      <c r="AE64" s="58">
        <v>0.8</v>
      </c>
      <c r="AF64" s="59">
        <f>LOG(AE64)</f>
        <v>-9.6910013008056392E-2</v>
      </c>
      <c r="AG64" s="60">
        <f>AVERAGE(K28:K29)</f>
        <v>28.34050506963575</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row>
    <row r="65" spans="1:81">
      <c r="A65" s="6"/>
      <c r="B65" s="6"/>
      <c r="C65" s="58">
        <v>4</v>
      </c>
      <c r="D65" s="59">
        <f>LOG(C65)</f>
        <v>0.6020599913279624</v>
      </c>
      <c r="E65" s="60">
        <f>AVERAGE(F19:F20)</f>
        <v>23.353633480008298</v>
      </c>
      <c r="F65" s="6"/>
      <c r="G65" s="6"/>
      <c r="H65" s="6"/>
      <c r="I65" s="6"/>
      <c r="J65" s="58">
        <v>4</v>
      </c>
      <c r="K65" s="59">
        <f>LOG(J65)</f>
        <v>0.6020599913279624</v>
      </c>
      <c r="L65" s="60">
        <f>AVERAGE(U19:U20)</f>
        <v>22.979993995549748</v>
      </c>
      <c r="M65" s="6"/>
      <c r="N65" s="6"/>
      <c r="O65" s="6"/>
      <c r="P65" s="6"/>
      <c r="Q65" s="58">
        <v>4</v>
      </c>
      <c r="R65" s="59">
        <f>LOG(Q65)</f>
        <v>0.6020599913279624</v>
      </c>
      <c r="S65" s="60">
        <f>AVERAGE(L22:L23)</f>
        <v>19.087943334501048</v>
      </c>
      <c r="T65" s="6"/>
      <c r="U65" s="6"/>
      <c r="V65" s="6"/>
      <c r="W65" s="6"/>
      <c r="X65" s="58">
        <v>4</v>
      </c>
      <c r="Y65" s="59">
        <f>LOG(X65)</f>
        <v>0.6020599913279624</v>
      </c>
      <c r="Z65" s="60">
        <f>AVERAGE(F25:F26)</f>
        <v>20.746917344571749</v>
      </c>
      <c r="AA65" s="6"/>
      <c r="AB65" s="6"/>
      <c r="AC65" s="6"/>
      <c r="AD65" s="6"/>
      <c r="AE65" s="58">
        <v>4</v>
      </c>
      <c r="AF65" s="59">
        <f>LOG(AE65)</f>
        <v>0.6020599913279624</v>
      </c>
      <c r="AG65" s="60">
        <f>AVERAGE(L28:L29)</f>
        <v>27.64899031180525</v>
      </c>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row>
    <row r="66" spans="1:81">
      <c r="A66" s="6"/>
      <c r="B66" s="6"/>
      <c r="C66" s="61">
        <v>20</v>
      </c>
      <c r="D66" s="62">
        <f>LOG(C66)</f>
        <v>1.3010299956639813</v>
      </c>
      <c r="E66" s="63">
        <f>AVERAGE(G19:G20)</f>
        <v>20.929948623548551</v>
      </c>
      <c r="F66" s="6"/>
      <c r="G66" s="6"/>
      <c r="H66" s="6"/>
      <c r="I66" s="6"/>
      <c r="J66" s="61">
        <v>20</v>
      </c>
      <c r="K66" s="62">
        <f>LOG(J66)</f>
        <v>1.3010299956639813</v>
      </c>
      <c r="L66" s="63">
        <f>AVERAGE(V19:V20)</f>
        <v>20.616379278308699</v>
      </c>
      <c r="M66" s="6"/>
      <c r="N66" s="6"/>
      <c r="O66" s="6"/>
      <c r="P66" s="6"/>
      <c r="Q66" s="61">
        <v>20</v>
      </c>
      <c r="R66" s="62">
        <f>LOG(Q66)</f>
        <v>1.3010299956639813</v>
      </c>
      <c r="S66" s="63">
        <f>AVERAGE(M22:M23)</f>
        <v>16.798009293458001</v>
      </c>
      <c r="T66" s="6"/>
      <c r="U66" s="6"/>
      <c r="V66" s="6"/>
      <c r="W66" s="6"/>
      <c r="X66" s="61">
        <v>20</v>
      </c>
      <c r="Y66" s="62">
        <f>LOG(X66)</f>
        <v>1.3010299956639813</v>
      </c>
      <c r="Z66" s="63">
        <f>AVERAGE(G25:G26)</f>
        <v>18.132920319626599</v>
      </c>
      <c r="AA66" s="6"/>
      <c r="AB66" s="6"/>
      <c r="AC66" s="6"/>
      <c r="AD66" s="6"/>
      <c r="AE66" s="61">
        <v>20</v>
      </c>
      <c r="AF66" s="62">
        <f>LOG(AE66)</f>
        <v>1.3010299956639813</v>
      </c>
      <c r="AG66" s="63">
        <f>AVERAGE(M28:M29)</f>
        <v>26.488510903333349</v>
      </c>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row>
    <row r="67" spans="1:81">
      <c r="A67" s="6"/>
      <c r="B67" s="6"/>
      <c r="C67" s="102" t="s">
        <v>46</v>
      </c>
      <c r="D67" s="103"/>
      <c r="E67" s="33">
        <f>(10^(-1/-2.7602)-1)*100</f>
        <v>130.29928386635805</v>
      </c>
      <c r="F67" s="6"/>
      <c r="G67" s="6"/>
      <c r="H67" s="6"/>
      <c r="I67" s="6"/>
      <c r="J67" s="161" t="s">
        <v>46</v>
      </c>
      <c r="K67" s="162"/>
      <c r="L67" s="33">
        <f>(10^(-1/-2.9459)-1)*100</f>
        <v>118.50170769300479</v>
      </c>
      <c r="M67" s="6"/>
      <c r="N67" s="6"/>
      <c r="O67" s="6"/>
      <c r="P67" s="6"/>
      <c r="Q67" s="102" t="s">
        <v>46</v>
      </c>
      <c r="R67" s="103"/>
      <c r="S67" s="33">
        <f>(10^(-1/-3.1179)-1)*100</f>
        <v>109.2804669240703</v>
      </c>
      <c r="T67" s="6"/>
      <c r="U67" s="6"/>
      <c r="V67" s="6"/>
      <c r="W67" s="6"/>
      <c r="X67" s="102" t="s">
        <v>46</v>
      </c>
      <c r="Y67" s="103"/>
      <c r="Z67" s="33">
        <f>(10^(-1/-3.3732)-1)*100</f>
        <v>97.903923961404928</v>
      </c>
      <c r="AA67" s="6"/>
      <c r="AB67" s="6"/>
      <c r="AC67" s="6"/>
      <c r="AD67" s="6"/>
      <c r="AE67" s="102" t="s">
        <v>46</v>
      </c>
      <c r="AF67" s="103"/>
      <c r="AG67" s="33">
        <f>(10^(-1/-0.8606)-1)*100</f>
        <v>1352.0447935365858</v>
      </c>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row>
    <row r="68" spans="1:81">
      <c r="A68" s="6"/>
      <c r="B68" s="6"/>
      <c r="C68" s="102" t="s">
        <v>50</v>
      </c>
      <c r="D68" s="103"/>
      <c r="E68" s="33">
        <f>SUM(E67/100)+1</f>
        <v>2.3029928386635805</v>
      </c>
      <c r="F68" s="6"/>
      <c r="G68" s="6"/>
      <c r="H68" s="6"/>
      <c r="I68" s="6"/>
      <c r="J68" s="102" t="s">
        <v>50</v>
      </c>
      <c r="K68" s="103"/>
      <c r="L68" s="33">
        <f>SUM(L67/100)+1</f>
        <v>2.1850170769300479</v>
      </c>
      <c r="M68" s="6"/>
      <c r="N68" s="6"/>
      <c r="O68" s="6"/>
      <c r="P68" s="6"/>
      <c r="Q68" s="102" t="s">
        <v>50</v>
      </c>
      <c r="R68" s="103"/>
      <c r="S68" s="33">
        <f>SUM(S67/100)+1</f>
        <v>2.092804669240703</v>
      </c>
      <c r="T68" s="6"/>
      <c r="U68" s="6"/>
      <c r="V68" s="6"/>
      <c r="W68" s="6"/>
      <c r="X68" s="102" t="s">
        <v>50</v>
      </c>
      <c r="Y68" s="103"/>
      <c r="Z68" s="33">
        <f>SUM(Z67/100)+1</f>
        <v>1.9790392396140493</v>
      </c>
      <c r="AA68" s="6"/>
      <c r="AB68" s="6"/>
      <c r="AC68" s="6"/>
      <c r="AD68" s="6"/>
      <c r="AE68" s="102" t="s">
        <v>50</v>
      </c>
      <c r="AF68" s="103"/>
      <c r="AG68" s="33">
        <f>SUM(AG67/100)+1</f>
        <v>14.520447935365858</v>
      </c>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row>
    <row r="69" spans="1:81">
      <c r="A69" s="6"/>
      <c r="B69" s="6"/>
      <c r="C69" s="38"/>
      <c r="D69" s="38"/>
      <c r="E69" s="38"/>
      <c r="F69" s="6"/>
      <c r="G69" s="6"/>
      <c r="H69" s="38"/>
      <c r="I69" s="38"/>
      <c r="J69" s="38"/>
      <c r="K69" s="6"/>
      <c r="L69" s="6"/>
      <c r="M69" s="38"/>
      <c r="N69" s="38"/>
      <c r="O69" s="38"/>
      <c r="P69" s="6"/>
      <c r="Q69" s="6"/>
      <c r="R69" s="38"/>
      <c r="S69" s="38"/>
      <c r="T69" s="38"/>
      <c r="U69" s="6"/>
      <c r="V69" s="6"/>
      <c r="W69" s="38"/>
      <c r="X69" s="38"/>
      <c r="Y69" s="38"/>
      <c r="Z69" s="6"/>
      <c r="AA69" s="6"/>
      <c r="AB69" s="38"/>
      <c r="AC69" s="38"/>
      <c r="AD69" s="38"/>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row>
    <row r="70" spans="1:81">
      <c r="A70" s="6"/>
      <c r="B70" s="6"/>
      <c r="C70" s="116" t="s">
        <v>111</v>
      </c>
      <c r="D70" s="117"/>
      <c r="E70" s="117"/>
      <c r="F70" s="117"/>
      <c r="G70" s="117"/>
      <c r="H70" s="118"/>
      <c r="I70" s="6"/>
      <c r="J70" s="116" t="s">
        <v>112</v>
      </c>
      <c r="K70" s="117"/>
      <c r="L70" s="117"/>
      <c r="M70" s="117"/>
      <c r="N70" s="117"/>
      <c r="O70" s="118"/>
      <c r="P70" s="6"/>
      <c r="Q70" s="116" t="s">
        <v>113</v>
      </c>
      <c r="R70" s="117"/>
      <c r="S70" s="117"/>
      <c r="T70" s="117"/>
      <c r="U70" s="117"/>
      <c r="V70" s="118"/>
      <c r="W70" s="6"/>
      <c r="X70" s="116" t="s">
        <v>114</v>
      </c>
      <c r="Y70" s="117"/>
      <c r="Z70" s="117"/>
      <c r="AA70" s="117"/>
      <c r="AB70" s="117"/>
      <c r="AC70" s="118"/>
      <c r="AD70" s="6"/>
      <c r="AE70" s="116" t="s">
        <v>115</v>
      </c>
      <c r="AF70" s="117"/>
      <c r="AG70" s="117"/>
      <c r="AH70" s="117"/>
      <c r="AI70" s="117"/>
      <c r="AJ70" s="118"/>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5" customHeight="1">
      <c r="A71" s="6"/>
      <c r="B71" s="6"/>
      <c r="C71" s="119" t="s">
        <v>48</v>
      </c>
      <c r="D71" s="82" t="s">
        <v>62</v>
      </c>
      <c r="E71" s="82" t="s">
        <v>64</v>
      </c>
      <c r="F71" s="82" t="s">
        <v>66</v>
      </c>
      <c r="G71" s="83" t="s">
        <v>68</v>
      </c>
      <c r="H71" s="81" t="s">
        <v>70</v>
      </c>
      <c r="I71" s="6"/>
      <c r="J71" s="119" t="s">
        <v>23</v>
      </c>
      <c r="K71" s="82" t="s">
        <v>62</v>
      </c>
      <c r="L71" s="82" t="s">
        <v>64</v>
      </c>
      <c r="M71" s="82" t="s">
        <v>66</v>
      </c>
      <c r="N71" s="83" t="s">
        <v>68</v>
      </c>
      <c r="O71" s="81" t="s">
        <v>70</v>
      </c>
      <c r="P71" s="6"/>
      <c r="Q71" s="119" t="s">
        <v>27</v>
      </c>
      <c r="R71" s="82" t="s">
        <v>62</v>
      </c>
      <c r="S71" s="82" t="s">
        <v>64</v>
      </c>
      <c r="T71" s="82" t="s">
        <v>66</v>
      </c>
      <c r="U71" s="83" t="s">
        <v>68</v>
      </c>
      <c r="V71" s="81" t="s">
        <v>70</v>
      </c>
      <c r="W71" s="6"/>
      <c r="X71" s="119" t="s">
        <v>24</v>
      </c>
      <c r="Y71" s="82" t="s">
        <v>62</v>
      </c>
      <c r="Z71" s="82" t="s">
        <v>64</v>
      </c>
      <c r="AA71" s="82" t="s">
        <v>66</v>
      </c>
      <c r="AB71" s="83" t="s">
        <v>68</v>
      </c>
      <c r="AC71" s="81" t="s">
        <v>70</v>
      </c>
      <c r="AD71" s="6"/>
      <c r="AE71" s="119" t="s">
        <v>25</v>
      </c>
      <c r="AF71" s="82" t="s">
        <v>62</v>
      </c>
      <c r="AG71" s="82" t="s">
        <v>64</v>
      </c>
      <c r="AH71" s="82" t="s">
        <v>66</v>
      </c>
      <c r="AI71" s="83" t="s">
        <v>68</v>
      </c>
      <c r="AJ71" s="81" t="s">
        <v>70</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5" customHeight="1">
      <c r="A72" s="6"/>
      <c r="B72" s="6"/>
      <c r="C72" s="120"/>
      <c r="D72" s="42" t="s">
        <v>35</v>
      </c>
      <c r="E72" s="42">
        <f>AVERAGE(H19:H20)</f>
        <v>21.2466474937751</v>
      </c>
      <c r="F72" s="50">
        <f>10^((E72- 24.853)/-2.7602)</f>
        <v>20.256050958203424</v>
      </c>
      <c r="G72" s="50">
        <f>SUM(E72*(LOG(E68)/LOG(2)))</f>
        <v>25.570551130983137</v>
      </c>
      <c r="H72" s="50">
        <f>10^((G72- 24.853)/-2.7602)</f>
        <v>0.54958711741091348</v>
      </c>
      <c r="I72" s="6"/>
      <c r="J72" s="120"/>
      <c r="K72" s="42" t="s">
        <v>35</v>
      </c>
      <c r="L72" s="42">
        <f>AVERAGE(W19:W20)</f>
        <v>21.40633368607385</v>
      </c>
      <c r="M72" s="50">
        <f t="shared" ref="M72:M81" si="16">10^((L72 -24.648)/-2.9459)</f>
        <v>12.600834438859575</v>
      </c>
      <c r="N72" s="50">
        <f t="shared" ref="N72:N81" si="17">SUM(L72*(LOG($L$68)/LOG(2)))</f>
        <v>24.138735625887669</v>
      </c>
      <c r="O72" s="50">
        <f t="shared" ref="O72:O81" si="18">10^((N72 -24.648)/-2.9459)</f>
        <v>1.4889230537059504</v>
      </c>
      <c r="P72" s="6"/>
      <c r="Q72" s="120"/>
      <c r="R72" s="42" t="s">
        <v>35</v>
      </c>
      <c r="S72" s="42">
        <f>AVERAGE(N22:N23)</f>
        <v>17.1907414544205</v>
      </c>
      <c r="T72" s="50">
        <f t="shared" ref="T72:T81" si="19">10^((S72 -20.952)/-3.1179)</f>
        <v>16.082129211548988</v>
      </c>
      <c r="U72" s="50">
        <f t="shared" ref="U72:U81" si="20">SUM(S72*(LOG($S$68)/LOG(2)))</f>
        <v>18.315663430316654</v>
      </c>
      <c r="V72" s="50">
        <f t="shared" ref="V72:V81" si="21">10^((U72 -20.952)/-3.1179)</f>
        <v>7.0072689891927107</v>
      </c>
      <c r="W72" s="6"/>
      <c r="X72" s="120"/>
      <c r="Y72" s="42" t="s">
        <v>35</v>
      </c>
      <c r="Z72" s="42">
        <f>AVERAGE(H25:H26)</f>
        <v>20.304146859607599</v>
      </c>
      <c r="AA72" s="50">
        <f t="shared" ref="AA72:AA81" si="22">10^((Z72-22.651)/-3.3732)</f>
        <v>4.962893459200207</v>
      </c>
      <c r="AB72" s="50">
        <f t="shared" ref="AB72:AB81" si="23">SUM(Z72*(LOG($Z$68)/LOG(2)))</f>
        <v>19.995528250815099</v>
      </c>
      <c r="AC72" s="50">
        <f t="shared" ref="AC72:AC81" si="24">10^((AB72-22.651)/-3.3732)</f>
        <v>6.1266955285714531</v>
      </c>
      <c r="AD72" s="6"/>
      <c r="AE72" s="120"/>
      <c r="AF72" s="42" t="s">
        <v>35</v>
      </c>
      <c r="AG72" s="42">
        <f>AVERAGE(N28:N29)</f>
        <v>23.918579287553953</v>
      </c>
      <c r="AH72" s="50">
        <f t="shared" ref="AH72:AH81" si="25">10^((AG72-27.871)/-0.8606)</f>
        <v>39141.176416975293</v>
      </c>
      <c r="AI72" s="50">
        <f t="shared" ref="AI72:AI81" si="26">SUM(AG72*(LOG($AG$68)/LOG(2)))</f>
        <v>92.326052202087425</v>
      </c>
      <c r="AJ72" s="50">
        <f t="shared" ref="AJ72:AJ81" si="27">10^((AI72-27.871)/-0.8606)</f>
        <v>1.2720891355192039E-75</v>
      </c>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c r="A73" s="6"/>
      <c r="B73" s="6"/>
      <c r="C73" s="120"/>
      <c r="D73" s="43" t="s">
        <v>36</v>
      </c>
      <c r="E73" s="43">
        <f>AVERAGE(I19:I20)</f>
        <v>21.167522429257097</v>
      </c>
      <c r="F73" s="50">
        <f>10^((E73-24.853)/-2.7602)</f>
        <v>21.638203718459813</v>
      </c>
      <c r="G73" s="50">
        <f>SUM(E73*(LOG(E68)/LOG(2)))</f>
        <v>25.475323330522254</v>
      </c>
      <c r="H73" s="50">
        <f>10^((G73-24.853)/-2.7602)</f>
        <v>0.59502727068435335</v>
      </c>
      <c r="I73" s="6"/>
      <c r="J73" s="120"/>
      <c r="K73" s="43" t="s">
        <v>36</v>
      </c>
      <c r="L73" s="43">
        <f>AVERAGE(X19:X20)</f>
        <v>21.476275658185152</v>
      </c>
      <c r="M73" s="50">
        <f t="shared" si="16"/>
        <v>11.930459335886249</v>
      </c>
      <c r="N73" s="50">
        <f t="shared" si="17"/>
        <v>24.217605309912368</v>
      </c>
      <c r="O73" s="50">
        <f t="shared" si="18"/>
        <v>1.399908204201749</v>
      </c>
      <c r="P73" s="6"/>
      <c r="Q73" s="120"/>
      <c r="R73" s="43" t="s">
        <v>36</v>
      </c>
      <c r="S73" s="43">
        <f>AVERAGE(O22:O23)</f>
        <v>17.44013398326565</v>
      </c>
      <c r="T73" s="50">
        <f t="shared" si="19"/>
        <v>13.376922367276187</v>
      </c>
      <c r="U73" s="50">
        <f t="shared" si="20"/>
        <v>18.581375623852598</v>
      </c>
      <c r="V73" s="50">
        <f t="shared" si="21"/>
        <v>5.7587372525021756</v>
      </c>
      <c r="W73" s="6"/>
      <c r="X73" s="120"/>
      <c r="Y73" s="43" t="s">
        <v>36</v>
      </c>
      <c r="Z73" s="43">
        <f>AVERAGE(I25:I26)</f>
        <v>20.3377012411324</v>
      </c>
      <c r="AA73" s="50">
        <f t="shared" si="22"/>
        <v>4.8505122738306357</v>
      </c>
      <c r="AB73" s="50">
        <f t="shared" si="23"/>
        <v>20.028572613050901</v>
      </c>
      <c r="AC73" s="50">
        <f t="shared" si="24"/>
        <v>5.9900459165133837</v>
      </c>
      <c r="AD73" s="6"/>
      <c r="AE73" s="120"/>
      <c r="AF73" s="43" t="s">
        <v>36</v>
      </c>
      <c r="AG73" s="43">
        <f>AVERAGE(O28:O29)</f>
        <v>23.781707077402</v>
      </c>
      <c r="AH73" s="50">
        <f t="shared" si="25"/>
        <v>56451.650906656192</v>
      </c>
      <c r="AI73" s="50">
        <f t="shared" si="26"/>
        <v>91.797723547296471</v>
      </c>
      <c r="AJ73" s="50">
        <f t="shared" si="27"/>
        <v>5.2290751231150662E-75</v>
      </c>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c r="A74" s="6"/>
      <c r="B74" s="6"/>
      <c r="C74" s="120"/>
      <c r="D74" s="44" t="s">
        <v>37</v>
      </c>
      <c r="E74" s="44">
        <f>AVERAGE(J19:J20)</f>
        <v>25.46837210529835</v>
      </c>
      <c r="F74" s="51">
        <f>10^((E74-24.853)/-2.7602)</f>
        <v>0.59848772535589012</v>
      </c>
      <c r="G74" s="51">
        <f>SUM(E74*(LOG(E68)/LOG(2)))</f>
        <v>30.6514386014188</v>
      </c>
      <c r="H74" s="51">
        <f>10^((G74-24.853)/-2.7602)</f>
        <v>7.9299176199787175E-3</v>
      </c>
      <c r="I74" s="6"/>
      <c r="J74" s="120"/>
      <c r="K74" s="44" t="s">
        <v>37</v>
      </c>
      <c r="L74" s="44">
        <f>AVERAGE(Y19:Y20)</f>
        <v>26.615014378354051</v>
      </c>
      <c r="M74" s="51">
        <f t="shared" si="16"/>
        <v>0.21492525847376828</v>
      </c>
      <c r="N74" s="51">
        <f t="shared" si="17"/>
        <v>30.012276047824248</v>
      </c>
      <c r="O74" s="51">
        <f t="shared" si="18"/>
        <v>1.5103255050000444E-2</v>
      </c>
      <c r="P74" s="6"/>
      <c r="Q74" s="120"/>
      <c r="R74" s="44" t="s">
        <v>37</v>
      </c>
      <c r="S74" s="44">
        <f>AVERAGE(P22:P23)</f>
        <v>21.641660039051601</v>
      </c>
      <c r="T74" s="51">
        <f t="shared" si="19"/>
        <v>0.60090557776703268</v>
      </c>
      <c r="U74" s="51">
        <f t="shared" si="20"/>
        <v>23.057839733066054</v>
      </c>
      <c r="V74" s="51">
        <f t="shared" si="21"/>
        <v>0.21115276329235799</v>
      </c>
      <c r="W74" s="6"/>
      <c r="X74" s="120"/>
      <c r="Y74" s="44" t="s">
        <v>37</v>
      </c>
      <c r="Z74" s="44">
        <f>AVERAGE(J25:J26)</f>
        <v>23.988016785705753</v>
      </c>
      <c r="AA74" s="51">
        <f t="shared" si="22"/>
        <v>0.40145371752035719</v>
      </c>
      <c r="AB74" s="51">
        <f t="shared" si="23"/>
        <v>23.623404156606657</v>
      </c>
      <c r="AC74" s="51">
        <f t="shared" si="24"/>
        <v>0.51490428264902388</v>
      </c>
      <c r="AD74" s="6"/>
      <c r="AE74" s="120"/>
      <c r="AF74" s="44" t="s">
        <v>37</v>
      </c>
      <c r="AG74" s="44">
        <f>AVERAGE(P28:P29)</f>
        <v>29.100009735031051</v>
      </c>
      <c r="AH74" s="51">
        <f t="shared" si="25"/>
        <v>3.7317732815872431E-2</v>
      </c>
      <c r="AI74" s="51">
        <f t="shared" si="26"/>
        <v>112.32644654926263</v>
      </c>
      <c r="AJ74" s="51">
        <f t="shared" si="27"/>
        <v>7.3191229224120732E-99</v>
      </c>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c r="A75" s="6"/>
      <c r="B75" s="6"/>
      <c r="C75" s="120"/>
      <c r="D75" s="45" t="s">
        <v>38</v>
      </c>
      <c r="E75" s="45">
        <f>AVERAGE(K19:K20)</f>
        <v>21.3786022257304</v>
      </c>
      <c r="F75" s="52">
        <f>10^((E75- 24.853)/-2.7602)</f>
        <v>18.144648508428034</v>
      </c>
      <c r="G75" s="52">
        <f>SUM(E75*(LOG(E68)/LOG(2)))</f>
        <v>25.729359960537391</v>
      </c>
      <c r="H75" s="52">
        <f>10^((G75- 24.853)/-2.7602)</f>
        <v>0.48139467538965913</v>
      </c>
      <c r="I75" s="6"/>
      <c r="J75" s="120"/>
      <c r="K75" s="45" t="s">
        <v>38</v>
      </c>
      <c r="L75" s="45">
        <f>AVERAGE(C22:C23)</f>
        <v>21.452178429494349</v>
      </c>
      <c r="M75" s="52">
        <f t="shared" si="16"/>
        <v>12.157298653559138</v>
      </c>
      <c r="N75" s="52">
        <f t="shared" si="17"/>
        <v>24.190432201186038</v>
      </c>
      <c r="O75" s="52">
        <f t="shared" si="18"/>
        <v>1.4299590540164107</v>
      </c>
      <c r="P75" s="6"/>
      <c r="Q75" s="120"/>
      <c r="R75" s="45" t="s">
        <v>38</v>
      </c>
      <c r="S75" s="45">
        <f>AVERAGE(Q22:Q23)</f>
        <v>17.447331594883899</v>
      </c>
      <c r="T75" s="52">
        <f t="shared" si="19"/>
        <v>13.306006340905954</v>
      </c>
      <c r="U75" s="52">
        <f t="shared" si="20"/>
        <v>18.589044230366838</v>
      </c>
      <c r="V75" s="52">
        <f t="shared" si="21"/>
        <v>5.7262159422894552</v>
      </c>
      <c r="W75" s="6"/>
      <c r="X75" s="120"/>
      <c r="Y75" s="45" t="s">
        <v>38</v>
      </c>
      <c r="Z75" s="45">
        <f>AVERAGE(K25:K26)</f>
        <v>18.5979246540128</v>
      </c>
      <c r="AA75" s="52">
        <f t="shared" si="22"/>
        <v>15.905672696158446</v>
      </c>
      <c r="AB75" s="52">
        <f t="shared" si="23"/>
        <v>18.315240251026754</v>
      </c>
      <c r="AC75" s="52">
        <f t="shared" si="24"/>
        <v>19.291014966121207</v>
      </c>
      <c r="AD75" s="6"/>
      <c r="AE75" s="120"/>
      <c r="AF75" s="45" t="s">
        <v>38</v>
      </c>
      <c r="AG75" s="45">
        <f>AVERAGE(Q28:Q29)</f>
        <v>24.471569373436353</v>
      </c>
      <c r="AH75" s="52">
        <f t="shared" si="25"/>
        <v>8913.9551956634841</v>
      </c>
      <c r="AI75" s="52">
        <f t="shared" si="26"/>
        <v>94.460601705325772</v>
      </c>
      <c r="AJ75" s="52">
        <f t="shared" si="27"/>
        <v>4.2093368558792268E-78</v>
      </c>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c r="A76" s="6"/>
      <c r="B76" s="6"/>
      <c r="C76" s="120"/>
      <c r="D76" s="45" t="s">
        <v>39</v>
      </c>
      <c r="E76" s="45">
        <f>AVERAGE(L19:L20)</f>
        <v>21.194492722116898</v>
      </c>
      <c r="F76" s="52">
        <f t="shared" ref="F76:F81" si="28">10^((E76-24.853)/-2.7602)</f>
        <v>21.156804261454045</v>
      </c>
      <c r="G76" s="52">
        <f>SUM(E76*(LOG(E68)/LOG(2)))</f>
        <v>25.507782345658228</v>
      </c>
      <c r="H76" s="52">
        <f t="shared" ref="H76:H81" si="29">10^((G76-24.853)/-2.7602)</f>
        <v>0.57913152949092084</v>
      </c>
      <c r="I76" s="6"/>
      <c r="J76" s="120"/>
      <c r="K76" s="45" t="s">
        <v>39</v>
      </c>
      <c r="L76" s="45">
        <f>AVERAGE(D22:D23)</f>
        <v>21.120112733345302</v>
      </c>
      <c r="M76" s="52">
        <f t="shared" si="16"/>
        <v>15.76007906362859</v>
      </c>
      <c r="N76" s="52">
        <f t="shared" si="17"/>
        <v>23.815980126986013</v>
      </c>
      <c r="O76" s="52">
        <f t="shared" si="18"/>
        <v>1.9161661732922015</v>
      </c>
      <c r="P76" s="6"/>
      <c r="Q76" s="120"/>
      <c r="R76" s="45" t="s">
        <v>39</v>
      </c>
      <c r="S76" s="45">
        <f>AVERAGE(R22:R23)</f>
        <v>17.360519582974348</v>
      </c>
      <c r="T76" s="52">
        <f t="shared" si="19"/>
        <v>14.187008515497224</v>
      </c>
      <c r="U76" s="52">
        <f t="shared" si="20"/>
        <v>18.496551443126695</v>
      </c>
      <c r="V76" s="52">
        <f t="shared" si="21"/>
        <v>6.1310211280836651</v>
      </c>
      <c r="W76" s="6"/>
      <c r="X76" s="120"/>
      <c r="Y76" s="45" t="s">
        <v>39</v>
      </c>
      <c r="Z76" s="45">
        <f>AVERAGE(L25:L26)</f>
        <v>18.342994660819201</v>
      </c>
      <c r="AA76" s="52">
        <f t="shared" si="22"/>
        <v>18.928977757388193</v>
      </c>
      <c r="AB76" s="52">
        <f t="shared" si="23"/>
        <v>18.064185138190496</v>
      </c>
      <c r="AC76" s="52">
        <f t="shared" si="24"/>
        <v>22.897152262317025</v>
      </c>
      <c r="AD76" s="6"/>
      <c r="AE76" s="120"/>
      <c r="AF76" s="45" t="s">
        <v>39</v>
      </c>
      <c r="AG76" s="45">
        <f>AVERAGE(R28:R29)</f>
        <v>24.262880969426952</v>
      </c>
      <c r="AH76" s="52">
        <f t="shared" si="25"/>
        <v>15579.811593728848</v>
      </c>
      <c r="AI76" s="52">
        <f t="shared" si="26"/>
        <v>93.65506153293903</v>
      </c>
      <c r="AJ76" s="52">
        <f t="shared" si="27"/>
        <v>3.6327479191397711E-77</v>
      </c>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c r="A77" s="6"/>
      <c r="B77" s="6"/>
      <c r="C77" s="120"/>
      <c r="D77" s="45" t="s">
        <v>40</v>
      </c>
      <c r="E77" s="45">
        <f>AVERAGE(M19:M20)</f>
        <v>22.18821668052945</v>
      </c>
      <c r="F77" s="52">
        <f t="shared" si="28"/>
        <v>9.2348797325638667</v>
      </c>
      <c r="G77" s="52">
        <f>SUM(E77*(LOG(E68)/LOG(2)))</f>
        <v>26.703738992282869</v>
      </c>
      <c r="H77" s="52">
        <f t="shared" si="29"/>
        <v>0.21354577419974116</v>
      </c>
      <c r="I77" s="6"/>
      <c r="J77" s="120"/>
      <c r="K77" s="45" t="s">
        <v>40</v>
      </c>
      <c r="L77" s="45">
        <f>AVERAGE(E22:E23)</f>
        <v>22.971322045763898</v>
      </c>
      <c r="M77" s="52">
        <f t="shared" si="16"/>
        <v>3.708142704300549</v>
      </c>
      <c r="N77" s="52">
        <f t="shared" si="17"/>
        <v>25.903486228496742</v>
      </c>
      <c r="O77" s="52">
        <f t="shared" si="18"/>
        <v>0.37481686924726365</v>
      </c>
      <c r="P77" s="6"/>
      <c r="Q77" s="120"/>
      <c r="R77" s="45" t="s">
        <v>40</v>
      </c>
      <c r="S77" s="45">
        <f>AVERAGE(S22:S23)</f>
        <v>19.014859753327851</v>
      </c>
      <c r="T77" s="52">
        <f t="shared" si="19"/>
        <v>4.181156895465401</v>
      </c>
      <c r="U77" s="52">
        <f t="shared" si="20"/>
        <v>20.259147770910797</v>
      </c>
      <c r="V77" s="52">
        <f t="shared" si="21"/>
        <v>1.6680827516319918</v>
      </c>
      <c r="W77" s="6"/>
      <c r="X77" s="120"/>
      <c r="Y77" s="45" t="s">
        <v>40</v>
      </c>
      <c r="Z77" s="45">
        <f>AVERAGE(M25:M26)</f>
        <v>19.969955938867599</v>
      </c>
      <c r="AA77" s="52">
        <f t="shared" si="22"/>
        <v>6.2345817331727806</v>
      </c>
      <c r="AB77" s="52">
        <f t="shared" si="23"/>
        <v>19.666416959263312</v>
      </c>
      <c r="AC77" s="52">
        <f t="shared" si="24"/>
        <v>7.6699545499642241</v>
      </c>
      <c r="AD77" s="6"/>
      <c r="AE77" s="120"/>
      <c r="AF77" s="45" t="s">
        <v>40</v>
      </c>
      <c r="AG77" s="45">
        <f>AVERAGE(S28:S29)</f>
        <v>25.907477491263851</v>
      </c>
      <c r="AH77" s="52">
        <f t="shared" si="25"/>
        <v>191.2378762460543</v>
      </c>
      <c r="AI77" s="52">
        <f t="shared" si="26"/>
        <v>100.00322722041757</v>
      </c>
      <c r="AJ77" s="52">
        <f t="shared" si="27"/>
        <v>1.5268402798328409E-84</v>
      </c>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c r="A78" s="6"/>
      <c r="B78" s="6"/>
      <c r="C78" s="120"/>
      <c r="D78" s="46" t="s">
        <v>41</v>
      </c>
      <c r="E78" s="46">
        <f>AVERAGE(N19:N20)</f>
        <v>21.154604090463049</v>
      </c>
      <c r="F78" s="53">
        <f t="shared" si="28"/>
        <v>21.87265101179457</v>
      </c>
      <c r="G78" s="53">
        <f>SUM(E78*(LOG(E68)/LOG(2)))</f>
        <v>25.459775981569564</v>
      </c>
      <c r="H78" s="53">
        <f t="shared" si="29"/>
        <v>0.60279488658817526</v>
      </c>
      <c r="I78" s="6"/>
      <c r="J78" s="120"/>
      <c r="K78" s="46" t="s">
        <v>41</v>
      </c>
      <c r="L78" s="46">
        <f>AVERAGE(F22:F23)</f>
        <v>21.739792118545651</v>
      </c>
      <c r="M78" s="53">
        <f t="shared" si="16"/>
        <v>9.7096869511640378</v>
      </c>
      <c r="N78" s="53">
        <f t="shared" si="17"/>
        <v>24.514758211618748</v>
      </c>
      <c r="O78" s="53">
        <f t="shared" si="18"/>
        <v>1.1097612833757926</v>
      </c>
      <c r="P78" s="6"/>
      <c r="Q78" s="120"/>
      <c r="R78" s="46" t="s">
        <v>41</v>
      </c>
      <c r="S78" s="46">
        <f>AVERAGE(T22:T23)</f>
        <v>17.028436798751002</v>
      </c>
      <c r="T78" s="53">
        <f t="shared" si="19"/>
        <v>18.130062766319035</v>
      </c>
      <c r="U78" s="53">
        <f t="shared" si="20"/>
        <v>18.142737937004</v>
      </c>
      <c r="V78" s="53">
        <f t="shared" si="21"/>
        <v>7.9617943741064892</v>
      </c>
      <c r="W78" s="6"/>
      <c r="X78" s="120"/>
      <c r="Y78" s="46" t="s">
        <v>41</v>
      </c>
      <c r="Z78" s="46">
        <f>AVERAGE(N25:N26)</f>
        <v>17.6356741700131</v>
      </c>
      <c r="AA78" s="53">
        <f t="shared" si="22"/>
        <v>30.677180126349114</v>
      </c>
      <c r="AB78" s="53">
        <f t="shared" si="23"/>
        <v>17.367615764747384</v>
      </c>
      <c r="AC78" s="53">
        <f t="shared" si="24"/>
        <v>36.83685389002099</v>
      </c>
      <c r="AD78" s="6"/>
      <c r="AE78" s="120"/>
      <c r="AF78" s="46" t="s">
        <v>41</v>
      </c>
      <c r="AG78" s="46">
        <f>AVERAGE(T28:T29)</f>
        <v>23.973447099508</v>
      </c>
      <c r="AH78" s="53">
        <f t="shared" si="25"/>
        <v>33797.032835650258</v>
      </c>
      <c r="AI78" s="53">
        <f t="shared" si="26"/>
        <v>92.537842727343232</v>
      </c>
      <c r="AJ78" s="53">
        <f t="shared" si="27"/>
        <v>7.2180716038792437E-76</v>
      </c>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c r="A79" s="6"/>
      <c r="B79" s="6"/>
      <c r="C79" s="120"/>
      <c r="D79" s="47" t="s">
        <v>42</v>
      </c>
      <c r="E79" s="47">
        <f>AVERAGE(O19:O20)</f>
        <v>22.362558296700399</v>
      </c>
      <c r="F79" s="54">
        <f t="shared" si="28"/>
        <v>7.9848832160521743</v>
      </c>
      <c r="G79" s="54">
        <f>SUM(E79*(LOG(E68)/LOG(2)))</f>
        <v>26.913560857678981</v>
      </c>
      <c r="H79" s="54">
        <f t="shared" si="29"/>
        <v>0.17925615438300552</v>
      </c>
      <c r="I79" s="6"/>
      <c r="J79" s="120"/>
      <c r="K79" s="47" t="s">
        <v>42</v>
      </c>
      <c r="L79" s="47">
        <f>AVERAGE(G22:G23)</f>
        <v>23.144454915631201</v>
      </c>
      <c r="M79" s="54">
        <f t="shared" si="16"/>
        <v>3.2388113261080194</v>
      </c>
      <c r="N79" s="54">
        <f t="shared" si="17"/>
        <v>26.098718566512517</v>
      </c>
      <c r="O79" s="54">
        <f t="shared" si="18"/>
        <v>0.32177075356479873</v>
      </c>
      <c r="P79" s="6"/>
      <c r="Q79" s="120"/>
      <c r="R79" s="47" t="s">
        <v>42</v>
      </c>
      <c r="S79" s="47">
        <f>AVERAGE(U22:U23)</f>
        <v>18.524616071194401</v>
      </c>
      <c r="T79" s="54">
        <f t="shared" si="19"/>
        <v>6.0052581485903733</v>
      </c>
      <c r="U79" s="54">
        <f t="shared" si="20"/>
        <v>19.736823687065858</v>
      </c>
      <c r="V79" s="54">
        <f t="shared" si="21"/>
        <v>2.4532506001886918</v>
      </c>
      <c r="W79" s="6"/>
      <c r="X79" s="120"/>
      <c r="Y79" s="47" t="s">
        <v>42</v>
      </c>
      <c r="Z79" s="47">
        <f>AVERAGE(O25:O26)</f>
        <v>18.94904394186965</v>
      </c>
      <c r="AA79" s="54">
        <f t="shared" si="22"/>
        <v>12.515873981148241</v>
      </c>
      <c r="AB79" s="54">
        <f t="shared" si="23"/>
        <v>18.661022602203236</v>
      </c>
      <c r="AC79" s="54">
        <f t="shared" si="24"/>
        <v>15.235137447650363</v>
      </c>
      <c r="AD79" s="6"/>
      <c r="AE79" s="120"/>
      <c r="AF79" s="47" t="s">
        <v>42</v>
      </c>
      <c r="AG79" s="47">
        <f>AVERAGE(U28:U29)</f>
        <v>25.324663543642249</v>
      </c>
      <c r="AH79" s="54">
        <f t="shared" si="25"/>
        <v>909.47773402357961</v>
      </c>
      <c r="AI79" s="54">
        <f t="shared" si="26"/>
        <v>97.75355719172083</v>
      </c>
      <c r="AJ79" s="54">
        <f t="shared" si="27"/>
        <v>6.2786347581610716E-82</v>
      </c>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c r="A80" s="6"/>
      <c r="B80" s="6"/>
      <c r="C80" s="121"/>
      <c r="D80" s="48" t="s">
        <v>43</v>
      </c>
      <c r="E80" s="48">
        <f>AVERAGE(P19:P20)</f>
        <v>21.633296566537549</v>
      </c>
      <c r="F80" s="55">
        <f t="shared" si="28"/>
        <v>14.671505739945168</v>
      </c>
      <c r="G80" s="55">
        <f>SUM(E80*(LOG(E68)/LOG(2)))</f>
        <v>26.035887127531115</v>
      </c>
      <c r="H80" s="55">
        <f t="shared" si="29"/>
        <v>0.37277670208171515</v>
      </c>
      <c r="I80" s="6"/>
      <c r="J80" s="121"/>
      <c r="K80" s="48" t="s">
        <v>43</v>
      </c>
      <c r="L80" s="48">
        <f>AVERAGE(H22:H23)</f>
        <v>22.408167638189902</v>
      </c>
      <c r="M80" s="55">
        <f t="shared" si="16"/>
        <v>5.7586664723635712</v>
      </c>
      <c r="N80" s="55">
        <f t="shared" si="17"/>
        <v>25.268448227111865</v>
      </c>
      <c r="O80" s="55">
        <f t="shared" si="18"/>
        <v>0.61572366971656312</v>
      </c>
      <c r="P80" s="6"/>
      <c r="Q80" s="121"/>
      <c r="R80" s="48" t="s">
        <v>43</v>
      </c>
      <c r="S80" s="48">
        <f>AVERAGE(V22:V23)</f>
        <v>17.7333164783991</v>
      </c>
      <c r="T80" s="55">
        <f t="shared" si="19"/>
        <v>10.772690120493641</v>
      </c>
      <c r="U80" s="55">
        <f t="shared" si="20"/>
        <v>18.89374329680971</v>
      </c>
      <c r="V80" s="55">
        <f t="shared" si="21"/>
        <v>4.5723765380530494</v>
      </c>
      <c r="W80" s="6"/>
      <c r="X80" s="121"/>
      <c r="Y80" s="48" t="s">
        <v>43</v>
      </c>
      <c r="Z80" s="48">
        <f>AVERAGE(P25:P26)</f>
        <v>18.166860255998898</v>
      </c>
      <c r="AA80" s="55">
        <f t="shared" si="22"/>
        <v>21.347301363781988</v>
      </c>
      <c r="AB80" s="55">
        <f t="shared" si="23"/>
        <v>17.890727937950714</v>
      </c>
      <c r="AC80" s="55">
        <f t="shared" si="24"/>
        <v>25.77529373979845</v>
      </c>
      <c r="AD80" s="6"/>
      <c r="AE80" s="121"/>
      <c r="AF80" s="48" t="s">
        <v>43</v>
      </c>
      <c r="AG80" s="48">
        <f>AVERAGE(V28:V29)</f>
        <v>24.702217608825848</v>
      </c>
      <c r="AH80" s="55">
        <f t="shared" si="25"/>
        <v>4809.0778448287429</v>
      </c>
      <c r="AI80" s="55">
        <f t="shared" si="26"/>
        <v>95.35090713546353</v>
      </c>
      <c r="AJ80" s="55">
        <f t="shared" si="27"/>
        <v>3.8877342068469543E-79</v>
      </c>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c r="A81" s="6"/>
      <c r="B81" s="6"/>
      <c r="C81" s="122" t="s">
        <v>34</v>
      </c>
      <c r="D81" s="123"/>
      <c r="E81" s="57">
        <f>AVERAGE(Q19:Q20)</f>
        <v>30.5970541203693</v>
      </c>
      <c r="F81" s="56">
        <f t="shared" si="28"/>
        <v>8.2979682737999664E-3</v>
      </c>
      <c r="G81" s="56">
        <f>SUM(E81*(LOG(E68)/LOG(2)))</f>
        <v>36.823858308544267</v>
      </c>
      <c r="H81" s="56">
        <f t="shared" si="29"/>
        <v>4.6030614096777293E-5</v>
      </c>
      <c r="I81" s="6"/>
      <c r="J81" s="122" t="s">
        <v>34</v>
      </c>
      <c r="K81" s="123"/>
      <c r="L81" s="57">
        <f>AVERAGE(Z19:Z20)</f>
        <v>35.281756055121406</v>
      </c>
      <c r="M81" s="56">
        <f t="shared" si="16"/>
        <v>2.4565187717929372E-4</v>
      </c>
      <c r="N81" s="56">
        <f t="shared" si="17"/>
        <v>39.785280110142956</v>
      </c>
      <c r="O81" s="56">
        <f t="shared" si="18"/>
        <v>7.2707141365612831E-6</v>
      </c>
      <c r="P81" s="6"/>
      <c r="Q81" s="122" t="s">
        <v>34</v>
      </c>
      <c r="R81" s="123"/>
      <c r="S81" s="57">
        <f>AVERAGE(W22:W23)</f>
        <v>31.252138663631598</v>
      </c>
      <c r="T81" s="56">
        <f t="shared" si="19"/>
        <v>4.9710709530464958E-4</v>
      </c>
      <c r="U81" s="56">
        <f t="shared" si="20"/>
        <v>33.297205635855349</v>
      </c>
      <c r="V81" s="56">
        <f t="shared" si="21"/>
        <v>1.0978381021035532E-4</v>
      </c>
      <c r="W81" s="6"/>
      <c r="X81" s="122" t="s">
        <v>34</v>
      </c>
      <c r="Y81" s="123"/>
      <c r="Z81" s="57">
        <f>AVERAGE(Q25:Q26)</f>
        <v>34.958849467018155</v>
      </c>
      <c r="AA81" s="56">
        <f t="shared" si="22"/>
        <v>2.2453487495449341E-4</v>
      </c>
      <c r="AB81" s="56">
        <f t="shared" si="23"/>
        <v>34.427482571275256</v>
      </c>
      <c r="AC81" s="56">
        <f t="shared" si="24"/>
        <v>3.2270809724463482E-4</v>
      </c>
      <c r="AD81" s="6"/>
      <c r="AE81" s="122" t="s">
        <v>34</v>
      </c>
      <c r="AF81" s="123"/>
      <c r="AG81" s="57">
        <f>AVERAGE(W28:W29)</f>
        <v>34.459838393983802</v>
      </c>
      <c r="AH81" s="56">
        <f t="shared" si="25"/>
        <v>2.2075038571333725E-8</v>
      </c>
      <c r="AI81" s="56">
        <f t="shared" si="26"/>
        <v>133.01546049994539</v>
      </c>
      <c r="AJ81" s="56">
        <f t="shared" si="27"/>
        <v>6.6717278455536978E-123</v>
      </c>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c r="A82" s="6"/>
      <c r="B82" s="6"/>
      <c r="C82" s="104" t="s">
        <v>84</v>
      </c>
      <c r="D82" s="105"/>
      <c r="E82" s="86">
        <f>AVERAGE(E72:E80)</f>
        <v>21.977145845600923</v>
      </c>
      <c r="F82" s="86">
        <f>AVERAGE(F72:F80)</f>
        <v>15.062012763584111</v>
      </c>
      <c r="G82" s="86">
        <f>AVERAGE(G72:G80)</f>
        <v>26.449713147575817</v>
      </c>
      <c r="H82" s="86">
        <f>AVERAGE(H72:H80)</f>
        <v>0.39793822531649581</v>
      </c>
      <c r="I82" s="6"/>
      <c r="J82" s="104" t="s">
        <v>84</v>
      </c>
      <c r="K82" s="105"/>
      <c r="L82" s="86">
        <f>AVERAGE(L72:L80)</f>
        <v>22.481516844842595</v>
      </c>
      <c r="M82" s="86">
        <f>AVERAGE(M72:M80)</f>
        <v>8.3421004671492778</v>
      </c>
      <c r="N82" s="86">
        <f>AVERAGE(N72:N80)</f>
        <v>25.351160060615133</v>
      </c>
      <c r="O82" s="86">
        <f>AVERAGE(O72:O80)</f>
        <v>0.96357025735230317</v>
      </c>
      <c r="P82" s="6"/>
      <c r="Q82" s="104" t="s">
        <v>84</v>
      </c>
      <c r="R82" s="105"/>
      <c r="S82" s="86">
        <f>AVERAGE(S72:S80)</f>
        <v>18.153512861807595</v>
      </c>
      <c r="T82" s="86">
        <f>AVERAGE(T72:T80)</f>
        <v>10.738015549318202</v>
      </c>
      <c r="U82" s="86">
        <f>AVERAGE(U72:U80)</f>
        <v>19.34143635027991</v>
      </c>
      <c r="V82" s="86">
        <f>AVERAGE(V72:V80)</f>
        <v>4.6099889265933989</v>
      </c>
      <c r="W82" s="6"/>
      <c r="X82" s="104" t="s">
        <v>84</v>
      </c>
      <c r="Y82" s="105"/>
      <c r="Z82" s="86">
        <f>AVERAGE(Z72:Z80)</f>
        <v>19.588035389780778</v>
      </c>
      <c r="AA82" s="86">
        <f>AVERAGE(AA72:AA80)</f>
        <v>12.869383012061109</v>
      </c>
      <c r="AB82" s="86">
        <f>AVERAGE(AB72:AB80)</f>
        <v>19.290301519317172</v>
      </c>
      <c r="AC82" s="86">
        <f>AVERAGE(AC72:AC80)</f>
        <v>15.593005842622903</v>
      </c>
      <c r="AD82" s="6"/>
      <c r="AE82" s="104" t="s">
        <v>84</v>
      </c>
      <c r="AF82" s="105"/>
      <c r="AG82" s="86">
        <f>AVERAGE(AG72:AG80)</f>
        <v>25.049172465121142</v>
      </c>
      <c r="AH82" s="86">
        <f>AVERAGE(AH72:AH80)</f>
        <v>17754.82863572281</v>
      </c>
      <c r="AI82" s="86">
        <f>AVERAGE(AI72:AI80)</f>
        <v>96.690157756872935</v>
      </c>
      <c r="AJ82" s="86">
        <f>AVERAGE(AJ72:AJ80)</f>
        <v>8.0709973754227469E-76</v>
      </c>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c r="A83" s="6"/>
      <c r="B83" s="6"/>
      <c r="C83" s="104" t="s">
        <v>85</v>
      </c>
      <c r="D83" s="105"/>
      <c r="E83" s="86">
        <f>(E84/SQRT(9))</f>
        <v>0.43513131282943407</v>
      </c>
      <c r="F83" s="86">
        <f>(F84/SQRT(9))</f>
        <v>2.3743629019138375</v>
      </c>
      <c r="G83" s="86">
        <f>(G84/SQRT(9))</f>
        <v>0.52368485365311146</v>
      </c>
      <c r="H83" s="86">
        <f>(H84/SQRT(9))</f>
        <v>6.8327978921361346E-2</v>
      </c>
      <c r="I83" s="6"/>
      <c r="J83" s="104" t="s">
        <v>85</v>
      </c>
      <c r="K83" s="105"/>
      <c r="L83" s="86">
        <f>(L84/SQRT(9))</f>
        <v>0.53748638744954313</v>
      </c>
      <c r="M83" s="86">
        <f>(M84/SQRT(9))</f>
        <v>1.6581553172503432</v>
      </c>
      <c r="N83" s="86">
        <f>(N84/SQRT(9))</f>
        <v>0.60609359825118048</v>
      </c>
      <c r="O83" s="86">
        <f>(O84/SQRT(9))</f>
        <v>0.204632755284444</v>
      </c>
      <c r="P83" s="6"/>
      <c r="Q83" s="104" t="s">
        <v>85</v>
      </c>
      <c r="R83" s="105"/>
      <c r="S83" s="86">
        <f>(S84/SQRT(9))</f>
        <v>0.4588301881639682</v>
      </c>
      <c r="T83" s="86">
        <f>(T84/SQRT(9))</f>
        <v>1.8486213087471148</v>
      </c>
      <c r="U83" s="86">
        <f>(U84/SQRT(9))</f>
        <v>0.48885496418882607</v>
      </c>
      <c r="V83" s="86">
        <f>(V84/SQRT(9))</f>
        <v>0.82040476546888563</v>
      </c>
      <c r="W83" s="6"/>
      <c r="X83" s="104" t="s">
        <v>85</v>
      </c>
      <c r="Y83" s="105"/>
      <c r="Z83" s="86">
        <f>(Z84/SQRT(9))</f>
        <v>0.60195897245344054</v>
      </c>
      <c r="AA83" s="86">
        <f>(AA84/SQRT(9))</f>
        <v>3.0658214690161958</v>
      </c>
      <c r="AB83" s="86">
        <f>(AB84/SQRT(9))</f>
        <v>0.59280932721528889</v>
      </c>
      <c r="AC83" s="86">
        <f>(AC84/SQRT(9))</f>
        <v>3.675218514728412</v>
      </c>
      <c r="AD83" s="6"/>
      <c r="AE83" s="104" t="s">
        <v>85</v>
      </c>
      <c r="AF83" s="105"/>
      <c r="AG83" s="86">
        <f>(AG84/SQRT(9))</f>
        <v>0.52512217583702214</v>
      </c>
      <c r="AH83" s="86">
        <f>(AH84/SQRT(9))</f>
        <v>6450.3178492362458</v>
      </c>
      <c r="AI83" s="86">
        <f>(AI84/SQRT(9))</f>
        <v>2.0269789788070951</v>
      </c>
      <c r="AJ83" s="86">
        <f>(AJ84/SQRT(9))</f>
        <v>5.4001703982046618E-76</v>
      </c>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c r="A84" s="6"/>
      <c r="B84" s="6"/>
      <c r="C84" s="104" t="s">
        <v>86</v>
      </c>
      <c r="D84" s="105"/>
      <c r="E84" s="86">
        <f>_xlfn.STDEV.P(E72:E80)</f>
        <v>1.3053939384883022</v>
      </c>
      <c r="F84" s="86">
        <f>_xlfn.STDEV.P(F72:F80)</f>
        <v>7.1230887057415124</v>
      </c>
      <c r="G84" s="86">
        <f>_xlfn.STDEV.P(G72:G80)</f>
        <v>1.5710545609593343</v>
      </c>
      <c r="H84" s="86">
        <f>_xlfn.STDEV.P(H72:H80)</f>
        <v>0.20498393676408405</v>
      </c>
      <c r="I84" s="6"/>
      <c r="J84" s="104" t="s">
        <v>86</v>
      </c>
      <c r="K84" s="105"/>
      <c r="L84" s="86">
        <f>_xlfn.STDEV.P(L72:L80)</f>
        <v>1.6124591623486295</v>
      </c>
      <c r="M84" s="86">
        <f>_xlfn.STDEV.P(M72:M80)</f>
        <v>4.9744659517510295</v>
      </c>
      <c r="N84" s="86">
        <f>_xlfn.STDEV.P(N72:N80)</f>
        <v>1.8182807947535415</v>
      </c>
      <c r="O84" s="86">
        <f>_xlfn.STDEV.P(O72:O80)</f>
        <v>0.61389826585333196</v>
      </c>
      <c r="P84" s="6"/>
      <c r="Q84" s="104" t="s">
        <v>86</v>
      </c>
      <c r="R84" s="105"/>
      <c r="S84" s="86">
        <f>_xlfn.STDEV.P(S72:S80)</f>
        <v>1.3764905644919045</v>
      </c>
      <c r="T84" s="86">
        <f>_xlfn.STDEV.P(T72:T80)</f>
        <v>5.5458639262413447</v>
      </c>
      <c r="U84" s="86">
        <f>_xlfn.STDEV.P(U72:U80)</f>
        <v>1.4665648925664783</v>
      </c>
      <c r="V84" s="86">
        <f>_xlfn.STDEV.P(V72:V80)</f>
        <v>2.461214296406657</v>
      </c>
      <c r="W84" s="6"/>
      <c r="X84" s="104" t="s">
        <v>86</v>
      </c>
      <c r="Y84" s="105"/>
      <c r="Z84" s="86">
        <f>_xlfn.STDEV.P(Z72:Z80)</f>
        <v>1.8058769173603217</v>
      </c>
      <c r="AA84" s="86">
        <f>_xlfn.STDEV.P(AA72:AA80)</f>
        <v>9.1974644070485869</v>
      </c>
      <c r="AB84" s="86">
        <f>_xlfn.STDEV.P(AB72:AB80)</f>
        <v>1.7784279816458666</v>
      </c>
      <c r="AC84" s="86">
        <f>_xlfn.STDEV.P(AC72:AC80)</f>
        <v>11.025655544185236</v>
      </c>
      <c r="AD84" s="6"/>
      <c r="AE84" s="104" t="s">
        <v>86</v>
      </c>
      <c r="AF84" s="105"/>
      <c r="AG84" s="86">
        <f>_xlfn.STDEV.P(AG72:AG80)</f>
        <v>1.5753665275110664</v>
      </c>
      <c r="AH84" s="86">
        <f>_xlfn.STDEV.P(AH72:AH80)</f>
        <v>19350.953547708737</v>
      </c>
      <c r="AI84" s="86">
        <f>_xlfn.STDEV.P(AI72:AI80)</f>
        <v>6.0809369364212857</v>
      </c>
      <c r="AJ84" s="86">
        <f>_xlfn.STDEV.P(AJ72:AJ80)</f>
        <v>1.6200511194613985E-75</v>
      </c>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c r="A85" s="6"/>
      <c r="B85" s="6"/>
      <c r="C85" s="104" t="s">
        <v>87</v>
      </c>
      <c r="D85" s="105"/>
      <c r="E85" s="86">
        <f>SUM(E84/E82)</f>
        <v>5.9397792036293813E-2</v>
      </c>
      <c r="F85" s="86">
        <f>SUM(F84/F82)</f>
        <v>0.47291745250430423</v>
      </c>
      <c r="G85" s="86">
        <f>SUM(G84/G82)</f>
        <v>5.9397792036293799E-2</v>
      </c>
      <c r="H85" s="86">
        <f>SUM(H84/H82)</f>
        <v>0.51511496941780932</v>
      </c>
      <c r="I85" s="6"/>
      <c r="J85" s="104" t="s">
        <v>87</v>
      </c>
      <c r="K85" s="105"/>
      <c r="L85" s="86">
        <f>SUM(L84/L82)</f>
        <v>7.1723770841491868E-2</v>
      </c>
      <c r="M85" s="86">
        <f>SUM(M84/M82)</f>
        <v>0.59630856417279998</v>
      </c>
      <c r="N85" s="86">
        <f>SUM(N84/N82)</f>
        <v>7.1723770841491896E-2</v>
      </c>
      <c r="O85" s="86">
        <f>SUM(O84/O82)</f>
        <v>0.63710794430309692</v>
      </c>
      <c r="P85" s="6"/>
      <c r="Q85" s="104" t="s">
        <v>87</v>
      </c>
      <c r="R85" s="105"/>
      <c r="S85" s="86">
        <f>SUM(S84/S82)</f>
        <v>7.5825024884734277E-2</v>
      </c>
      <c r="T85" s="86">
        <f>SUM(T84/T82)</f>
        <v>0.51647009643168873</v>
      </c>
      <c r="U85" s="86">
        <f>SUM(U84/U82)</f>
        <v>7.5825024884734277E-2</v>
      </c>
      <c r="V85" s="86">
        <f>SUM(V84/V82)</f>
        <v>0.53388724693215217</v>
      </c>
      <c r="W85" s="6"/>
      <c r="X85" s="104" t="s">
        <v>87</v>
      </c>
      <c r="Y85" s="105"/>
      <c r="Z85" s="86">
        <f>SUM(Z84/Z82)</f>
        <v>9.219285555826906E-2</v>
      </c>
      <c r="AA85" s="86">
        <f>SUM(AA84/AA82)</f>
        <v>0.71467796074052492</v>
      </c>
      <c r="AB85" s="86">
        <f>SUM(AB84/AB82)</f>
        <v>9.2192855558269074E-2</v>
      </c>
      <c r="AC85" s="86">
        <f>SUM(AC84/AC82)</f>
        <v>0.70708981035888641</v>
      </c>
      <c r="AD85" s="6"/>
      <c r="AE85" s="104" t="s">
        <v>87</v>
      </c>
      <c r="AF85" s="105"/>
      <c r="AG85" s="86">
        <f>SUM(AG84/AG82)</f>
        <v>6.2890960957078773E-2</v>
      </c>
      <c r="AH85" s="86">
        <f>SUM(AH84/AH82)</f>
        <v>1.0898980747566618</v>
      </c>
      <c r="AI85" s="86">
        <f>SUM(AI84/AI82)</f>
        <v>6.2890960957078801E-2</v>
      </c>
      <c r="AJ85" s="86">
        <f>SUM(AJ84/AJ82)</f>
        <v>2.0072502122162352</v>
      </c>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row>
    <row r="87" spans="1:81" s="6" customFormat="1"/>
    <row r="88" spans="1:81" s="6" customFormat="1"/>
    <row r="89" spans="1:81" s="6" customFormat="1"/>
    <row r="90" spans="1:81" s="6" customFormat="1"/>
    <row r="91" spans="1:81" s="6" customFormat="1"/>
    <row r="92" spans="1:81" s="6" customFormat="1"/>
    <row r="93" spans="1:81" s="6" customFormat="1"/>
    <row r="94" spans="1:81" s="6" customFormat="1"/>
    <row r="95" spans="1:81" s="6" customFormat="1"/>
    <row r="96" spans="1:81" s="6" customFormat="1"/>
    <row r="97" s="6" customFormat="1"/>
    <row r="98" s="6" customFormat="1"/>
    <row r="99" s="6" customFormat="1"/>
    <row r="100" s="6" customFormat="1"/>
    <row r="101" s="6" customFormat="1"/>
    <row r="102" s="6" customFormat="1"/>
    <row r="103" s="6" customFormat="1"/>
    <row r="104" s="6" customFormat="1"/>
    <row r="105" s="6" customFormat="1"/>
    <row r="106" s="6" customFormat="1"/>
    <row r="107" s="6" customFormat="1"/>
    <row r="108" s="6" customFormat="1"/>
    <row r="109" s="6" customFormat="1"/>
    <row r="110" s="6" customFormat="1"/>
    <row r="111" s="6" customFormat="1"/>
    <row r="112" s="6" customFormat="1"/>
    <row r="113" s="6" customFormat="1"/>
    <row r="114" s="6" customFormat="1"/>
    <row r="115" s="6" customFormat="1"/>
    <row r="116" s="6" customFormat="1"/>
    <row r="117" s="6" customFormat="1"/>
    <row r="118" s="6" customFormat="1"/>
    <row r="119" s="6" customFormat="1"/>
    <row r="120" s="6" customFormat="1"/>
    <row r="121" s="6" customFormat="1"/>
    <row r="122" s="6" customFormat="1"/>
    <row r="123" s="6" customFormat="1"/>
    <row r="124" s="6" customFormat="1"/>
    <row r="125" s="6" customFormat="1"/>
    <row r="126" s="6" customFormat="1"/>
    <row r="127" s="6" customFormat="1"/>
    <row r="128" s="6" customFormat="1"/>
    <row r="129" s="6" customFormat="1"/>
    <row r="130" s="6" customFormat="1"/>
    <row r="131" s="6" customFormat="1"/>
    <row r="132" s="6" customFormat="1"/>
    <row r="133" s="6" customFormat="1"/>
    <row r="134" s="6" customFormat="1"/>
    <row r="135" s="6" customFormat="1"/>
    <row r="136" s="6" customFormat="1"/>
    <row r="137" s="6" customFormat="1"/>
    <row r="138" s="6" customFormat="1"/>
    <row r="139" s="6" customFormat="1"/>
    <row r="140" s="6" customFormat="1"/>
    <row r="141" s="6" customFormat="1"/>
    <row r="142" s="6" customFormat="1"/>
    <row r="143" s="6" customFormat="1"/>
    <row r="144" s="6" customFormat="1"/>
    <row r="145" spans="1:76" s="6" customFormat="1"/>
    <row r="146" spans="1:76" s="6" customFormat="1"/>
    <row r="147" spans="1:76">
      <c r="A147" s="6"/>
      <c r="B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row>
    <row r="148" spans="1:76">
      <c r="A148" s="6"/>
      <c r="B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row>
    <row r="149" spans="1:76">
      <c r="A149" s="6"/>
      <c r="B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row>
    <row r="150" spans="1:76">
      <c r="A150" s="6"/>
      <c r="B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row>
  </sheetData>
  <mergeCells count="149">
    <mergeCell ref="AK11:AL11"/>
    <mergeCell ref="C12:Q12"/>
    <mergeCell ref="R12:Z12"/>
    <mergeCell ref="C15:H15"/>
    <mergeCell ref="I15:W15"/>
    <mergeCell ref="X15:Z17"/>
    <mergeCell ref="R24:Z26"/>
    <mergeCell ref="AH5:AL6"/>
    <mergeCell ref="C6:Q6"/>
    <mergeCell ref="R6:Z6"/>
    <mergeCell ref="AK7:AL7"/>
    <mergeCell ref="AK8:AL8"/>
    <mergeCell ref="C9:H9"/>
    <mergeCell ref="I9:W9"/>
    <mergeCell ref="X9:Z11"/>
    <mergeCell ref="AK9:AL9"/>
    <mergeCell ref="AK10:AL10"/>
    <mergeCell ref="Q31:S31"/>
    <mergeCell ref="X31:Z31"/>
    <mergeCell ref="AE31:AG31"/>
    <mergeCell ref="AL31:AN31"/>
    <mergeCell ref="C27:H29"/>
    <mergeCell ref="C18:Q18"/>
    <mergeCell ref="R18:Z18"/>
    <mergeCell ref="C21:H21"/>
    <mergeCell ref="I21:W21"/>
    <mergeCell ref="X21:Z23"/>
    <mergeCell ref="C24:Q24"/>
    <mergeCell ref="C43:C52"/>
    <mergeCell ref="J43:J52"/>
    <mergeCell ref="Q43:Q52"/>
    <mergeCell ref="X43:X52"/>
    <mergeCell ref="AE43:AE52"/>
    <mergeCell ref="AL43:AL52"/>
    <mergeCell ref="C42:H42"/>
    <mergeCell ref="J42:O42"/>
    <mergeCell ref="Q42:V42"/>
    <mergeCell ref="X42:AC42"/>
    <mergeCell ref="AE42:AJ42"/>
    <mergeCell ref="AL42:AQ42"/>
    <mergeCell ref="C54:D54"/>
    <mergeCell ref="J54:K54"/>
    <mergeCell ref="Q54:R54"/>
    <mergeCell ref="X54:Y54"/>
    <mergeCell ref="AE54:AF54"/>
    <mergeCell ref="AL54:AM54"/>
    <mergeCell ref="C53:D53"/>
    <mergeCell ref="J53:K53"/>
    <mergeCell ref="Q53:R53"/>
    <mergeCell ref="X53:Y53"/>
    <mergeCell ref="AE53:AF53"/>
    <mergeCell ref="AL53:AM53"/>
    <mergeCell ref="AL57:AM57"/>
    <mergeCell ref="C56:D56"/>
    <mergeCell ref="J56:K56"/>
    <mergeCell ref="Q56:R56"/>
    <mergeCell ref="X56:Y56"/>
    <mergeCell ref="AE56:AF56"/>
    <mergeCell ref="AL56:AM56"/>
    <mergeCell ref="C55:D55"/>
    <mergeCell ref="J55:K55"/>
    <mergeCell ref="Q55:R55"/>
    <mergeCell ref="X55:Y55"/>
    <mergeCell ref="AE55:AF55"/>
    <mergeCell ref="AL55:AM55"/>
    <mergeCell ref="C59:E59"/>
    <mergeCell ref="Q59:S59"/>
    <mergeCell ref="X59:Z59"/>
    <mergeCell ref="AE59:AG59"/>
    <mergeCell ref="C57:D57"/>
    <mergeCell ref="J57:K57"/>
    <mergeCell ref="Q57:R57"/>
    <mergeCell ref="X57:Y57"/>
    <mergeCell ref="J59:L59"/>
    <mergeCell ref="AE57:AF57"/>
    <mergeCell ref="C67:D67"/>
    <mergeCell ref="Q67:R67"/>
    <mergeCell ref="X67:Y67"/>
    <mergeCell ref="AE67:AF67"/>
    <mergeCell ref="C60:E60"/>
    <mergeCell ref="Q60:S60"/>
    <mergeCell ref="X60:Z60"/>
    <mergeCell ref="AE60:AG60"/>
    <mergeCell ref="J60:L60"/>
    <mergeCell ref="J67:K67"/>
    <mergeCell ref="C70:H70"/>
    <mergeCell ref="J70:O70"/>
    <mergeCell ref="Q70:V70"/>
    <mergeCell ref="X70:AC70"/>
    <mergeCell ref="AE70:AJ70"/>
    <mergeCell ref="C68:D68"/>
    <mergeCell ref="Q68:R68"/>
    <mergeCell ref="X68:Y68"/>
    <mergeCell ref="AE68:AF68"/>
    <mergeCell ref="J68:K68"/>
    <mergeCell ref="C81:D81"/>
    <mergeCell ref="J81:K81"/>
    <mergeCell ref="Q81:R81"/>
    <mergeCell ref="X81:Y81"/>
    <mergeCell ref="AE81:AF81"/>
    <mergeCell ref="C71:C80"/>
    <mergeCell ref="J71:J80"/>
    <mergeCell ref="Q71:Q80"/>
    <mergeCell ref="X71:X80"/>
    <mergeCell ref="AE71:AE80"/>
    <mergeCell ref="C83:D83"/>
    <mergeCell ref="J83:K83"/>
    <mergeCell ref="Q83:R83"/>
    <mergeCell ref="X83:Y83"/>
    <mergeCell ref="AE83:AF83"/>
    <mergeCell ref="C82:D82"/>
    <mergeCell ref="J82:K82"/>
    <mergeCell ref="Q82:R82"/>
    <mergeCell ref="X82:Y82"/>
    <mergeCell ref="AE82:AF82"/>
    <mergeCell ref="C85:D85"/>
    <mergeCell ref="J85:K85"/>
    <mergeCell ref="Q85:R85"/>
    <mergeCell ref="X85:Y85"/>
    <mergeCell ref="AE85:AF85"/>
    <mergeCell ref="C84:D84"/>
    <mergeCell ref="J84:K84"/>
    <mergeCell ref="Q84:R84"/>
    <mergeCell ref="X84:Y84"/>
    <mergeCell ref="AE84:AF84"/>
    <mergeCell ref="B1:Z4"/>
    <mergeCell ref="AL39:AM39"/>
    <mergeCell ref="AE39:AF39"/>
    <mergeCell ref="X39:Y39"/>
    <mergeCell ref="AL40:AM40"/>
    <mergeCell ref="AE40:AF40"/>
    <mergeCell ref="X40:Y40"/>
    <mergeCell ref="J32:L32"/>
    <mergeCell ref="J31:L31"/>
    <mergeCell ref="J39:K39"/>
    <mergeCell ref="J40:K40"/>
    <mergeCell ref="C40:D40"/>
    <mergeCell ref="Q40:R40"/>
    <mergeCell ref="C39:D39"/>
    <mergeCell ref="Q39:R39"/>
    <mergeCell ref="C32:E32"/>
    <mergeCell ref="Q32:S32"/>
    <mergeCell ref="X32:Z32"/>
    <mergeCell ref="AE32:AG32"/>
    <mergeCell ref="AL32:AN32"/>
    <mergeCell ref="AG26:AK28"/>
    <mergeCell ref="I27:W27"/>
    <mergeCell ref="X27:Z29"/>
    <mergeCell ref="C31:E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T47D (R1)</vt:lpstr>
      <vt:lpstr>T47D (R2)</vt:lpstr>
      <vt:lpstr>T47D (R3)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Jodie Malcolm</dc:creator>
  <cp:lastModifiedBy>William Brackenbury</cp:lastModifiedBy>
  <dcterms:created xsi:type="dcterms:W3CDTF">2023-07-11T07:42:53Z</dcterms:created>
  <dcterms:modified xsi:type="dcterms:W3CDTF">2025-01-02T09:05:35Z</dcterms:modified>
</cp:coreProperties>
</file>