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esktop\malcolm_data\"/>
    </mc:Choice>
  </mc:AlternateContent>
  <xr:revisionPtr revIDLastSave="0" documentId="13_ncr:1_{D489E2FC-0EEF-4969-A07C-A5DD67AEAE0D}" xr6:coauthVersionLast="47" xr6:coauthVersionMax="47" xr10:uidLastSave="{00000000-0000-0000-0000-000000000000}"/>
  <bookViews>
    <workbookView xWindow="-120" yWindow="-120" windowWidth="29040" windowHeight="15840" xr2:uid="{A55148EB-0761-401F-A6F4-B90678A96BA9}"/>
  </bookViews>
  <sheets>
    <sheet name="MCF-7 (R1)" sheetId="3" r:id="rId1"/>
    <sheet name="MCF-7 (R2)" sheetId="4" r:id="rId2"/>
    <sheet name="MCF-7 (R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4" i="5" l="1"/>
  <c r="T64" i="5"/>
  <c r="O64" i="5"/>
  <c r="J64" i="5"/>
  <c r="E64" i="5"/>
  <c r="AD36" i="5"/>
  <c r="Y36" i="5"/>
  <c r="T36" i="5"/>
  <c r="O36" i="5"/>
  <c r="J36" i="5"/>
  <c r="E36" i="5"/>
  <c r="AH41" i="4" l="1"/>
  <c r="AG41" i="4"/>
  <c r="AD64" i="4"/>
  <c r="T64" i="4"/>
  <c r="T65" i="4" s="1"/>
  <c r="O64" i="4"/>
  <c r="J64" i="4"/>
  <c r="J65" i="4" s="1"/>
  <c r="E64" i="4"/>
  <c r="AD36" i="4"/>
  <c r="AD37" i="4" s="1"/>
  <c r="Y36" i="4"/>
  <c r="T36" i="4"/>
  <c r="O36" i="4"/>
  <c r="O37" i="4" s="1"/>
  <c r="J36" i="4"/>
  <c r="J37" i="4" s="1"/>
  <c r="E36" i="4"/>
  <c r="AN78" i="5"/>
  <c r="AO78" i="5" s="1"/>
  <c r="Z78" i="5"/>
  <c r="AA78" i="5" s="1"/>
  <c r="S78" i="5"/>
  <c r="T78" i="5" s="1"/>
  <c r="L78" i="5"/>
  <c r="M78" i="5" s="1"/>
  <c r="E78" i="5"/>
  <c r="F78" i="5" s="1"/>
  <c r="AN77" i="5"/>
  <c r="AO77" i="5" s="1"/>
  <c r="Z77" i="5"/>
  <c r="AA77" i="5" s="1"/>
  <c r="S77" i="5"/>
  <c r="T77" i="5" s="1"/>
  <c r="L77" i="5"/>
  <c r="E77" i="5"/>
  <c r="F77" i="5" s="1"/>
  <c r="AN76" i="5"/>
  <c r="AO76" i="5" s="1"/>
  <c r="Z76" i="5"/>
  <c r="AA76" i="5" s="1"/>
  <c r="S76" i="5"/>
  <c r="T76" i="5" s="1"/>
  <c r="L76" i="5"/>
  <c r="M76" i="5" s="1"/>
  <c r="E76" i="5"/>
  <c r="F76" i="5" s="1"/>
  <c r="AN75" i="5"/>
  <c r="AO75" i="5" s="1"/>
  <c r="Z75" i="5"/>
  <c r="AA75" i="5" s="1"/>
  <c r="S75" i="5"/>
  <c r="T75" i="5" s="1"/>
  <c r="L75" i="5"/>
  <c r="M75" i="5" s="1"/>
  <c r="E75" i="5"/>
  <c r="F75" i="5" s="1"/>
  <c r="AN74" i="5"/>
  <c r="AO74" i="5" s="1"/>
  <c r="Z74" i="5"/>
  <c r="AA74" i="5" s="1"/>
  <c r="S74" i="5"/>
  <c r="T74" i="5" s="1"/>
  <c r="L74" i="5"/>
  <c r="M74" i="5" s="1"/>
  <c r="E74" i="5"/>
  <c r="F74" i="5" s="1"/>
  <c r="AN73" i="5"/>
  <c r="AO73" i="5" s="1"/>
  <c r="Z73" i="5"/>
  <c r="AA73" i="5" s="1"/>
  <c r="S73" i="5"/>
  <c r="T73" i="5" s="1"/>
  <c r="L73" i="5"/>
  <c r="M73" i="5" s="1"/>
  <c r="E73" i="5"/>
  <c r="F73" i="5" s="1"/>
  <c r="AN72" i="5"/>
  <c r="AO72" i="5" s="1"/>
  <c r="Z72" i="5"/>
  <c r="AA72" i="5" s="1"/>
  <c r="S72" i="5"/>
  <c r="T72" i="5" s="1"/>
  <c r="L72" i="5"/>
  <c r="M72" i="5" s="1"/>
  <c r="E72" i="5"/>
  <c r="F72" i="5" s="1"/>
  <c r="AN71" i="5"/>
  <c r="AO71" i="5" s="1"/>
  <c r="Z71" i="5"/>
  <c r="AA71" i="5" s="1"/>
  <c r="S71" i="5"/>
  <c r="T71" i="5" s="1"/>
  <c r="L71" i="5"/>
  <c r="M71" i="5" s="1"/>
  <c r="E71" i="5"/>
  <c r="F71" i="5" s="1"/>
  <c r="AN70" i="5"/>
  <c r="AO70" i="5" s="1"/>
  <c r="Z70" i="5"/>
  <c r="AA70" i="5" s="1"/>
  <c r="S70" i="5"/>
  <c r="T70" i="5" s="1"/>
  <c r="L70" i="5"/>
  <c r="M70" i="5" s="1"/>
  <c r="E70" i="5"/>
  <c r="F70" i="5" s="1"/>
  <c r="AN69" i="5"/>
  <c r="AO69" i="5" s="1"/>
  <c r="Z69" i="5"/>
  <c r="AA69" i="5" s="1"/>
  <c r="S69" i="5"/>
  <c r="T69" i="5" s="1"/>
  <c r="L69" i="5"/>
  <c r="M69" i="5" s="1"/>
  <c r="E69" i="5"/>
  <c r="AD65" i="5"/>
  <c r="T65" i="5"/>
  <c r="O65" i="5"/>
  <c r="J65" i="5"/>
  <c r="E65" i="5"/>
  <c r="AD63" i="5"/>
  <c r="AC63" i="5"/>
  <c r="T63" i="5"/>
  <c r="S63" i="5"/>
  <c r="O63" i="5"/>
  <c r="N63" i="5"/>
  <c r="J63" i="5"/>
  <c r="I63" i="5"/>
  <c r="E63" i="5"/>
  <c r="D63" i="5"/>
  <c r="AD62" i="5"/>
  <c r="AC62" i="5"/>
  <c r="T62" i="5"/>
  <c r="S62" i="5"/>
  <c r="O62" i="5"/>
  <c r="N62" i="5"/>
  <c r="J62" i="5"/>
  <c r="I62" i="5"/>
  <c r="E62" i="5"/>
  <c r="D62" i="5"/>
  <c r="AD61" i="5"/>
  <c r="AC61" i="5"/>
  <c r="T61" i="5"/>
  <c r="S61" i="5"/>
  <c r="O61" i="5"/>
  <c r="N61" i="5"/>
  <c r="J61" i="5"/>
  <c r="I61" i="5"/>
  <c r="E61" i="5"/>
  <c r="D61" i="5"/>
  <c r="AD60" i="5"/>
  <c r="AC60" i="5"/>
  <c r="T60" i="5"/>
  <c r="S60" i="5"/>
  <c r="O60" i="5"/>
  <c r="N60" i="5"/>
  <c r="J60" i="5"/>
  <c r="I60" i="5"/>
  <c r="E60" i="5"/>
  <c r="D60" i="5"/>
  <c r="AD59" i="5"/>
  <c r="AC59" i="5"/>
  <c r="T59" i="5"/>
  <c r="S59" i="5"/>
  <c r="O59" i="5"/>
  <c r="N59" i="5"/>
  <c r="J59" i="5"/>
  <c r="I59" i="5"/>
  <c r="E59" i="5"/>
  <c r="D59" i="5"/>
  <c r="AN50" i="5"/>
  <c r="AO50" i="5" s="1"/>
  <c r="AG50" i="5"/>
  <c r="AH50" i="5" s="1"/>
  <c r="Z50" i="5"/>
  <c r="AA50" i="5" s="1"/>
  <c r="S50" i="5"/>
  <c r="T50" i="5" s="1"/>
  <c r="L50" i="5"/>
  <c r="M50" i="5" s="1"/>
  <c r="E50" i="5"/>
  <c r="F50" i="5" s="1"/>
  <c r="AN49" i="5"/>
  <c r="AO49" i="5" s="1"/>
  <c r="AG49" i="5"/>
  <c r="AH49" i="5" s="1"/>
  <c r="Z49" i="5"/>
  <c r="AA49" i="5" s="1"/>
  <c r="S49" i="5"/>
  <c r="T49" i="5" s="1"/>
  <c r="L49" i="5"/>
  <c r="M49" i="5" s="1"/>
  <c r="E49" i="5"/>
  <c r="F49" i="5" s="1"/>
  <c r="AN48" i="5"/>
  <c r="AO48" i="5" s="1"/>
  <c r="AG48" i="5"/>
  <c r="AH48" i="5" s="1"/>
  <c r="Z48" i="5"/>
  <c r="AA48" i="5" s="1"/>
  <c r="S48" i="5"/>
  <c r="T48" i="5" s="1"/>
  <c r="L48" i="5"/>
  <c r="M48" i="5" s="1"/>
  <c r="E48" i="5"/>
  <c r="F48" i="5" s="1"/>
  <c r="AN47" i="5"/>
  <c r="AO47" i="5" s="1"/>
  <c r="AG47" i="5"/>
  <c r="AH47" i="5" s="1"/>
  <c r="Z47" i="5"/>
  <c r="AA47" i="5" s="1"/>
  <c r="S47" i="5"/>
  <c r="T47" i="5" s="1"/>
  <c r="L47" i="5"/>
  <c r="M47" i="5" s="1"/>
  <c r="E47" i="5"/>
  <c r="F47" i="5" s="1"/>
  <c r="AN46" i="5"/>
  <c r="AO46" i="5" s="1"/>
  <c r="AG46" i="5"/>
  <c r="AH46" i="5" s="1"/>
  <c r="Z46" i="5"/>
  <c r="AA46" i="5" s="1"/>
  <c r="S46" i="5"/>
  <c r="T46" i="5" s="1"/>
  <c r="L46" i="5"/>
  <c r="M46" i="5" s="1"/>
  <c r="E46" i="5"/>
  <c r="F46" i="5" s="1"/>
  <c r="AN45" i="5"/>
  <c r="AO45" i="5" s="1"/>
  <c r="AG45" i="5"/>
  <c r="AH45" i="5" s="1"/>
  <c r="Z45" i="5"/>
  <c r="AA45" i="5" s="1"/>
  <c r="S45" i="5"/>
  <c r="T45" i="5" s="1"/>
  <c r="L45" i="5"/>
  <c r="M45" i="5" s="1"/>
  <c r="E45" i="5"/>
  <c r="F45" i="5" s="1"/>
  <c r="AN44" i="5"/>
  <c r="AO44" i="5" s="1"/>
  <c r="AG44" i="5"/>
  <c r="AH44" i="5" s="1"/>
  <c r="Z44" i="5"/>
  <c r="AA44" i="5" s="1"/>
  <c r="S44" i="5"/>
  <c r="T44" i="5" s="1"/>
  <c r="L44" i="5"/>
  <c r="M44" i="5" s="1"/>
  <c r="E44" i="5"/>
  <c r="F44" i="5" s="1"/>
  <c r="AN43" i="5"/>
  <c r="AO43" i="5" s="1"/>
  <c r="AG43" i="5"/>
  <c r="AH43" i="5" s="1"/>
  <c r="Z43" i="5"/>
  <c r="AA43" i="5" s="1"/>
  <c r="S43" i="5"/>
  <c r="T43" i="5" s="1"/>
  <c r="L43" i="5"/>
  <c r="M43" i="5" s="1"/>
  <c r="E43" i="5"/>
  <c r="F43" i="5" s="1"/>
  <c r="AN42" i="5"/>
  <c r="AO42" i="5" s="1"/>
  <c r="AG42" i="5"/>
  <c r="AH42" i="5" s="1"/>
  <c r="Z42" i="5"/>
  <c r="AA42" i="5" s="1"/>
  <c r="S42" i="5"/>
  <c r="T42" i="5" s="1"/>
  <c r="L42" i="5"/>
  <c r="M42" i="5" s="1"/>
  <c r="E42" i="5"/>
  <c r="F42" i="5" s="1"/>
  <c r="AN41" i="5"/>
  <c r="AO41" i="5" s="1"/>
  <c r="AG41" i="5"/>
  <c r="AH41" i="5" s="1"/>
  <c r="Z41" i="5"/>
  <c r="AA41" i="5" s="1"/>
  <c r="S41" i="5"/>
  <c r="T41" i="5" s="1"/>
  <c r="L41" i="5"/>
  <c r="M41" i="5" s="1"/>
  <c r="E41" i="5"/>
  <c r="F41" i="5" s="1"/>
  <c r="Y37" i="5"/>
  <c r="T37" i="5"/>
  <c r="AB41" i="5" s="1"/>
  <c r="AC41" i="5" s="1"/>
  <c r="E37" i="5"/>
  <c r="AD37" i="5"/>
  <c r="O37" i="5"/>
  <c r="J37" i="5"/>
  <c r="AD35" i="5"/>
  <c r="AC35" i="5"/>
  <c r="Y35" i="5"/>
  <c r="X35" i="5"/>
  <c r="T35" i="5"/>
  <c r="S35" i="5"/>
  <c r="O35" i="5"/>
  <c r="N35" i="5"/>
  <c r="J35" i="5"/>
  <c r="I35" i="5"/>
  <c r="E35" i="5"/>
  <c r="D35" i="5"/>
  <c r="AD34" i="5"/>
  <c r="AC34" i="5"/>
  <c r="Y34" i="5"/>
  <c r="X34" i="5"/>
  <c r="T34" i="5"/>
  <c r="S34" i="5"/>
  <c r="O34" i="5"/>
  <c r="N34" i="5"/>
  <c r="J34" i="5"/>
  <c r="I34" i="5"/>
  <c r="E34" i="5"/>
  <c r="D34" i="5"/>
  <c r="AD33" i="5"/>
  <c r="AC33" i="5"/>
  <c r="Y33" i="5"/>
  <c r="X33" i="5"/>
  <c r="T33" i="5"/>
  <c r="S33" i="5"/>
  <c r="O33" i="5"/>
  <c r="N33" i="5"/>
  <c r="J33" i="5"/>
  <c r="I33" i="5"/>
  <c r="E33" i="5"/>
  <c r="D33" i="5"/>
  <c r="AD32" i="5"/>
  <c r="AC32" i="5"/>
  <c r="Y32" i="5"/>
  <c r="X32" i="5"/>
  <c r="T32" i="5"/>
  <c r="S32" i="5"/>
  <c r="O32" i="5"/>
  <c r="N32" i="5"/>
  <c r="J32" i="5"/>
  <c r="I32" i="5"/>
  <c r="E32" i="5"/>
  <c r="D32" i="5"/>
  <c r="AD31" i="5"/>
  <c r="AC31" i="5"/>
  <c r="Y31" i="5"/>
  <c r="X31" i="5"/>
  <c r="T31" i="5"/>
  <c r="S31" i="5"/>
  <c r="O31" i="5"/>
  <c r="N31" i="5"/>
  <c r="J31" i="5"/>
  <c r="I31" i="5"/>
  <c r="E31" i="5"/>
  <c r="D31" i="5"/>
  <c r="AN78" i="4"/>
  <c r="AO78" i="4" s="1"/>
  <c r="Z78" i="4"/>
  <c r="AA78" i="4" s="1"/>
  <c r="S78" i="4"/>
  <c r="T78" i="4" s="1"/>
  <c r="L78" i="4"/>
  <c r="M78" i="4" s="1"/>
  <c r="E78" i="4"/>
  <c r="F78" i="4" s="1"/>
  <c r="AN77" i="4"/>
  <c r="AO77" i="4" s="1"/>
  <c r="Z77" i="4"/>
  <c r="AA77" i="4" s="1"/>
  <c r="S77" i="4"/>
  <c r="T77" i="4" s="1"/>
  <c r="L77" i="4"/>
  <c r="M77" i="4" s="1"/>
  <c r="E77" i="4"/>
  <c r="F77" i="4" s="1"/>
  <c r="AN76" i="4"/>
  <c r="AO76" i="4" s="1"/>
  <c r="Z76" i="4"/>
  <c r="AA76" i="4" s="1"/>
  <c r="S76" i="4"/>
  <c r="T76" i="4" s="1"/>
  <c r="L76" i="4"/>
  <c r="M76" i="4" s="1"/>
  <c r="E76" i="4"/>
  <c r="F76" i="4" s="1"/>
  <c r="AN75" i="4"/>
  <c r="AO75" i="4" s="1"/>
  <c r="Z75" i="4"/>
  <c r="AA75" i="4" s="1"/>
  <c r="S75" i="4"/>
  <c r="T75" i="4" s="1"/>
  <c r="L75" i="4"/>
  <c r="M75" i="4" s="1"/>
  <c r="E75" i="4"/>
  <c r="F75" i="4" s="1"/>
  <c r="AN74" i="4"/>
  <c r="AO74" i="4" s="1"/>
  <c r="Z74" i="4"/>
  <c r="AA74" i="4" s="1"/>
  <c r="S74" i="4"/>
  <c r="T74" i="4" s="1"/>
  <c r="L74" i="4"/>
  <c r="M74" i="4" s="1"/>
  <c r="E74" i="4"/>
  <c r="F74" i="4" s="1"/>
  <c r="AN73" i="4"/>
  <c r="AO73" i="4" s="1"/>
  <c r="Z73" i="4"/>
  <c r="AA73" i="4" s="1"/>
  <c r="S73" i="4"/>
  <c r="T73" i="4" s="1"/>
  <c r="L73" i="4"/>
  <c r="M73" i="4" s="1"/>
  <c r="E73" i="4"/>
  <c r="F73" i="4" s="1"/>
  <c r="AN72" i="4"/>
  <c r="AO72" i="4" s="1"/>
  <c r="Z72" i="4"/>
  <c r="AA72" i="4" s="1"/>
  <c r="S72" i="4"/>
  <c r="T72" i="4" s="1"/>
  <c r="L72" i="4"/>
  <c r="M72" i="4" s="1"/>
  <c r="E72" i="4"/>
  <c r="AN71" i="4"/>
  <c r="AO71" i="4" s="1"/>
  <c r="Z71" i="4"/>
  <c r="AA71" i="4" s="1"/>
  <c r="S71" i="4"/>
  <c r="T71" i="4" s="1"/>
  <c r="L71" i="4"/>
  <c r="M71" i="4" s="1"/>
  <c r="E71" i="4"/>
  <c r="AN70" i="4"/>
  <c r="AO70" i="4" s="1"/>
  <c r="Z70" i="4"/>
  <c r="AA70" i="4" s="1"/>
  <c r="S70" i="4"/>
  <c r="L70" i="4"/>
  <c r="M70" i="4" s="1"/>
  <c r="E70" i="4"/>
  <c r="F70" i="4" s="1"/>
  <c r="AN69" i="4"/>
  <c r="AO69" i="4" s="1"/>
  <c r="Z69" i="4"/>
  <c r="AA69" i="4" s="1"/>
  <c r="S69" i="4"/>
  <c r="T69" i="4" s="1"/>
  <c r="L69" i="4"/>
  <c r="M69" i="4" s="1"/>
  <c r="E69" i="4"/>
  <c r="F69" i="4" s="1"/>
  <c r="AD65" i="4"/>
  <c r="O65" i="4"/>
  <c r="E65" i="4"/>
  <c r="AD63" i="4"/>
  <c r="AC63" i="4"/>
  <c r="T63" i="4"/>
  <c r="S63" i="4"/>
  <c r="O63" i="4"/>
  <c r="N63" i="4"/>
  <c r="J63" i="4"/>
  <c r="I63" i="4"/>
  <c r="E63" i="4"/>
  <c r="D63" i="4"/>
  <c r="AD62" i="4"/>
  <c r="AC62" i="4"/>
  <c r="T62" i="4"/>
  <c r="S62" i="4"/>
  <c r="O62" i="4"/>
  <c r="N62" i="4"/>
  <c r="J62" i="4"/>
  <c r="I62" i="4"/>
  <c r="E62" i="4"/>
  <c r="D62" i="4"/>
  <c r="AD61" i="4"/>
  <c r="AC61" i="4"/>
  <c r="T61" i="4"/>
  <c r="S61" i="4"/>
  <c r="O61" i="4"/>
  <c r="N61" i="4"/>
  <c r="J61" i="4"/>
  <c r="I61" i="4"/>
  <c r="E61" i="4"/>
  <c r="D61" i="4"/>
  <c r="AD60" i="4"/>
  <c r="AC60" i="4"/>
  <c r="T60" i="4"/>
  <c r="S60" i="4"/>
  <c r="O60" i="4"/>
  <c r="N60" i="4"/>
  <c r="J60" i="4"/>
  <c r="I60" i="4"/>
  <c r="E60" i="4"/>
  <c r="D60" i="4"/>
  <c r="AD59" i="4"/>
  <c r="AC59" i="4"/>
  <c r="T59" i="4"/>
  <c r="S59" i="4"/>
  <c r="O59" i="4"/>
  <c r="N59" i="4"/>
  <c r="J59" i="4"/>
  <c r="I59" i="4"/>
  <c r="E59" i="4"/>
  <c r="D59" i="4"/>
  <c r="AN50" i="4"/>
  <c r="AO50" i="4" s="1"/>
  <c r="AG50" i="4"/>
  <c r="AH50" i="4" s="1"/>
  <c r="Z50" i="4"/>
  <c r="AA50" i="4" s="1"/>
  <c r="S50" i="4"/>
  <c r="T50" i="4" s="1"/>
  <c r="L50" i="4"/>
  <c r="E50" i="4"/>
  <c r="F50" i="4" s="1"/>
  <c r="AN49" i="4"/>
  <c r="AO49" i="4" s="1"/>
  <c r="AG49" i="4"/>
  <c r="AH49" i="4" s="1"/>
  <c r="Z49" i="4"/>
  <c r="AA49" i="4" s="1"/>
  <c r="S49" i="4"/>
  <c r="L49" i="4"/>
  <c r="M49" i="4" s="1"/>
  <c r="E49" i="4"/>
  <c r="F49" i="4" s="1"/>
  <c r="AN48" i="4"/>
  <c r="AO48" i="4" s="1"/>
  <c r="AG48" i="4"/>
  <c r="AH48" i="4" s="1"/>
  <c r="Z48" i="4"/>
  <c r="AA48" i="4" s="1"/>
  <c r="S48" i="4"/>
  <c r="T48" i="4" s="1"/>
  <c r="L48" i="4"/>
  <c r="E48" i="4"/>
  <c r="F48" i="4" s="1"/>
  <c r="AN47" i="4"/>
  <c r="AO47" i="4" s="1"/>
  <c r="AG47" i="4"/>
  <c r="AH47" i="4" s="1"/>
  <c r="Z47" i="4"/>
  <c r="AA47" i="4" s="1"/>
  <c r="S47" i="4"/>
  <c r="T47" i="4" s="1"/>
  <c r="L47" i="4"/>
  <c r="M47" i="4" s="1"/>
  <c r="E47" i="4"/>
  <c r="F47" i="4" s="1"/>
  <c r="AN46" i="4"/>
  <c r="AO46" i="4" s="1"/>
  <c r="AG46" i="4"/>
  <c r="AH46" i="4" s="1"/>
  <c r="Z46" i="4"/>
  <c r="AA46" i="4" s="1"/>
  <c r="S46" i="4"/>
  <c r="T46" i="4" s="1"/>
  <c r="L46" i="4"/>
  <c r="M46" i="4" s="1"/>
  <c r="E46" i="4"/>
  <c r="F46" i="4" s="1"/>
  <c r="AN45" i="4"/>
  <c r="AO45" i="4" s="1"/>
  <c r="AG45" i="4"/>
  <c r="AH45" i="4" s="1"/>
  <c r="Z45" i="4"/>
  <c r="AA45" i="4" s="1"/>
  <c r="S45" i="4"/>
  <c r="T45" i="4" s="1"/>
  <c r="L45" i="4"/>
  <c r="M45" i="4" s="1"/>
  <c r="E45" i="4"/>
  <c r="F45" i="4" s="1"/>
  <c r="AN44" i="4"/>
  <c r="AO44" i="4" s="1"/>
  <c r="AG44" i="4"/>
  <c r="AH44" i="4" s="1"/>
  <c r="Z44" i="4"/>
  <c r="AA44" i="4" s="1"/>
  <c r="S44" i="4"/>
  <c r="T44" i="4" s="1"/>
  <c r="L44" i="4"/>
  <c r="E44" i="4"/>
  <c r="F44" i="4" s="1"/>
  <c r="AN43" i="4"/>
  <c r="AO43" i="4" s="1"/>
  <c r="AG43" i="4"/>
  <c r="AH43" i="4" s="1"/>
  <c r="Z43" i="4"/>
  <c r="AA43" i="4" s="1"/>
  <c r="S43" i="4"/>
  <c r="T43" i="4" s="1"/>
  <c r="L43" i="4"/>
  <c r="M43" i="4" s="1"/>
  <c r="E43" i="4"/>
  <c r="F43" i="4" s="1"/>
  <c r="AN42" i="4"/>
  <c r="AO42" i="4" s="1"/>
  <c r="AG42" i="4"/>
  <c r="AH42" i="4" s="1"/>
  <c r="Z42" i="4"/>
  <c r="AA42" i="4" s="1"/>
  <c r="S42" i="4"/>
  <c r="T42" i="4" s="1"/>
  <c r="L42" i="4"/>
  <c r="M42" i="4" s="1"/>
  <c r="E42" i="4"/>
  <c r="F42" i="4" s="1"/>
  <c r="AN41" i="4"/>
  <c r="AO41" i="4" s="1"/>
  <c r="Z41" i="4"/>
  <c r="AA41" i="4" s="1"/>
  <c r="S41" i="4"/>
  <c r="T41" i="4" s="1"/>
  <c r="L41" i="4"/>
  <c r="M41" i="4" s="1"/>
  <c r="E41" i="4"/>
  <c r="F41" i="4" s="1"/>
  <c r="Y37" i="4"/>
  <c r="T37" i="4"/>
  <c r="E37" i="4"/>
  <c r="AD35" i="4"/>
  <c r="AC35" i="4"/>
  <c r="Y35" i="4"/>
  <c r="X35" i="4"/>
  <c r="T35" i="4"/>
  <c r="S35" i="4"/>
  <c r="O35" i="4"/>
  <c r="N35" i="4"/>
  <c r="J35" i="4"/>
  <c r="I35" i="4"/>
  <c r="E35" i="4"/>
  <c r="D35" i="4"/>
  <c r="AD34" i="4"/>
  <c r="AC34" i="4"/>
  <c r="Y34" i="4"/>
  <c r="X34" i="4"/>
  <c r="T34" i="4"/>
  <c r="S34" i="4"/>
  <c r="O34" i="4"/>
  <c r="N34" i="4"/>
  <c r="J34" i="4"/>
  <c r="I34" i="4"/>
  <c r="E34" i="4"/>
  <c r="D34" i="4"/>
  <c r="AD33" i="4"/>
  <c r="AC33" i="4"/>
  <c r="Y33" i="4"/>
  <c r="X33" i="4"/>
  <c r="T33" i="4"/>
  <c r="S33" i="4"/>
  <c r="O33" i="4"/>
  <c r="N33" i="4"/>
  <c r="J33" i="4"/>
  <c r="I33" i="4"/>
  <c r="E33" i="4"/>
  <c r="D33" i="4"/>
  <c r="AD32" i="4"/>
  <c r="AC32" i="4"/>
  <c r="Y32" i="4"/>
  <c r="X32" i="4"/>
  <c r="T32" i="4"/>
  <c r="S32" i="4"/>
  <c r="O32" i="4"/>
  <c r="N32" i="4"/>
  <c r="J32" i="4"/>
  <c r="I32" i="4"/>
  <c r="E32" i="4"/>
  <c r="D32" i="4"/>
  <c r="AD31" i="4"/>
  <c r="AC31" i="4"/>
  <c r="Y31" i="4"/>
  <c r="X31" i="4"/>
  <c r="T31" i="4"/>
  <c r="S31" i="4"/>
  <c r="O31" i="4"/>
  <c r="N31" i="4"/>
  <c r="J31" i="4"/>
  <c r="I31" i="4"/>
  <c r="E31" i="4"/>
  <c r="D31" i="4"/>
  <c r="AN78" i="3"/>
  <c r="Z78" i="3"/>
  <c r="S78" i="3"/>
  <c r="L78" i="3"/>
  <c r="E78" i="3"/>
  <c r="AN77" i="3"/>
  <c r="Z77" i="3"/>
  <c r="S77" i="3"/>
  <c r="L77" i="3"/>
  <c r="E77" i="3"/>
  <c r="AN76" i="3"/>
  <c r="Z76" i="3"/>
  <c r="S76" i="3"/>
  <c r="L76" i="3"/>
  <c r="E76" i="3"/>
  <c r="AN75" i="3"/>
  <c r="Z75" i="3"/>
  <c r="S75" i="3"/>
  <c r="L75" i="3"/>
  <c r="E75" i="3"/>
  <c r="AN74" i="3"/>
  <c r="Z74" i="3"/>
  <c r="S74" i="3"/>
  <c r="L74" i="3"/>
  <c r="M74" i="3" s="1"/>
  <c r="E74" i="3"/>
  <c r="AO73" i="3"/>
  <c r="AN73" i="3"/>
  <c r="Z73" i="3"/>
  <c r="AA73" i="3" s="1"/>
  <c r="S73" i="3"/>
  <c r="L73" i="3"/>
  <c r="M73" i="3" s="1"/>
  <c r="E73" i="3"/>
  <c r="AN72" i="3"/>
  <c r="AO72" i="3" s="1"/>
  <c r="Z72" i="3"/>
  <c r="AA72" i="3" s="1"/>
  <c r="S72" i="3"/>
  <c r="L72" i="3"/>
  <c r="M72" i="3" s="1"/>
  <c r="E72" i="3"/>
  <c r="AN71" i="3"/>
  <c r="AO71" i="3" s="1"/>
  <c r="Z71" i="3"/>
  <c r="AA71" i="3" s="1"/>
  <c r="S71" i="3"/>
  <c r="M71" i="3"/>
  <c r="L71" i="3"/>
  <c r="E71" i="3"/>
  <c r="AN70" i="3"/>
  <c r="AO70" i="3" s="1"/>
  <c r="Z70" i="3"/>
  <c r="AA70" i="3" s="1"/>
  <c r="S70" i="3"/>
  <c r="L70" i="3"/>
  <c r="M70" i="3" s="1"/>
  <c r="E70" i="3"/>
  <c r="AN69" i="3"/>
  <c r="AO69" i="3" s="1"/>
  <c r="Z69" i="3"/>
  <c r="S69" i="3"/>
  <c r="L69" i="3"/>
  <c r="M69" i="3" s="1"/>
  <c r="E69" i="3"/>
  <c r="AD64" i="3"/>
  <c r="AD65" i="3" s="1"/>
  <c r="T64" i="3"/>
  <c r="T65" i="3" s="1"/>
  <c r="O64" i="3"/>
  <c r="O65" i="3" s="1"/>
  <c r="J64" i="3"/>
  <c r="J65" i="3" s="1"/>
  <c r="E64" i="3"/>
  <c r="E65" i="3" s="1"/>
  <c r="AD63" i="3"/>
  <c r="AC63" i="3"/>
  <c r="T63" i="3"/>
  <c r="S63" i="3"/>
  <c r="O63" i="3"/>
  <c r="N63" i="3"/>
  <c r="J63" i="3"/>
  <c r="I63" i="3"/>
  <c r="E63" i="3"/>
  <c r="D63" i="3"/>
  <c r="AD62" i="3"/>
  <c r="AC62" i="3"/>
  <c r="T62" i="3"/>
  <c r="S62" i="3"/>
  <c r="O62" i="3"/>
  <c r="N62" i="3"/>
  <c r="J62" i="3"/>
  <c r="I62" i="3"/>
  <c r="E62" i="3"/>
  <c r="D62" i="3"/>
  <c r="AD61" i="3"/>
  <c r="AC61" i="3"/>
  <c r="T61" i="3"/>
  <c r="S61" i="3"/>
  <c r="O61" i="3"/>
  <c r="N61" i="3"/>
  <c r="J61" i="3"/>
  <c r="I61" i="3"/>
  <c r="E61" i="3"/>
  <c r="D61" i="3"/>
  <c r="AD60" i="3"/>
  <c r="AC60" i="3"/>
  <c r="T60" i="3"/>
  <c r="S60" i="3"/>
  <c r="O60" i="3"/>
  <c r="N60" i="3"/>
  <c r="J60" i="3"/>
  <c r="I60" i="3"/>
  <c r="E60" i="3"/>
  <c r="D60" i="3"/>
  <c r="AD59" i="3"/>
  <c r="AC59" i="3"/>
  <c r="T59" i="3"/>
  <c r="S59" i="3"/>
  <c r="O59" i="3"/>
  <c r="N59" i="3"/>
  <c r="J59" i="3"/>
  <c r="I59" i="3"/>
  <c r="E59" i="3"/>
  <c r="D59" i="3"/>
  <c r="AN50" i="3"/>
  <c r="AG50" i="3"/>
  <c r="AH50" i="3" s="1"/>
  <c r="Z50" i="3"/>
  <c r="AA50" i="3" s="1"/>
  <c r="S50" i="3"/>
  <c r="L50" i="3"/>
  <c r="M50" i="3" s="1"/>
  <c r="E50" i="3"/>
  <c r="AN49" i="3"/>
  <c r="AO49" i="3" s="1"/>
  <c r="AG49" i="3"/>
  <c r="Z49" i="3"/>
  <c r="AA49" i="3" s="1"/>
  <c r="S49" i="3"/>
  <c r="L49" i="3"/>
  <c r="M49" i="3" s="1"/>
  <c r="E49" i="3"/>
  <c r="AN48" i="3"/>
  <c r="AO48" i="3" s="1"/>
  <c r="AG48" i="3"/>
  <c r="Z48" i="3"/>
  <c r="AA48" i="3" s="1"/>
  <c r="S48" i="3"/>
  <c r="L48" i="3"/>
  <c r="M48" i="3" s="1"/>
  <c r="E48" i="3"/>
  <c r="AN47" i="3"/>
  <c r="AO47" i="3" s="1"/>
  <c r="AG47" i="3"/>
  <c r="AA47" i="3"/>
  <c r="Z47" i="3"/>
  <c r="S47" i="3"/>
  <c r="L47" i="3"/>
  <c r="M47" i="3" s="1"/>
  <c r="E47" i="3"/>
  <c r="AN46" i="3"/>
  <c r="AO46" i="3" s="1"/>
  <c r="AG46" i="3"/>
  <c r="Z46" i="3"/>
  <c r="AA46" i="3" s="1"/>
  <c r="S46" i="3"/>
  <c r="L46" i="3"/>
  <c r="M46" i="3" s="1"/>
  <c r="E46" i="3"/>
  <c r="AN45" i="3"/>
  <c r="AO45" i="3" s="1"/>
  <c r="AG45" i="3"/>
  <c r="Z45" i="3"/>
  <c r="AA45" i="3" s="1"/>
  <c r="S45" i="3"/>
  <c r="L45" i="3"/>
  <c r="M45" i="3" s="1"/>
  <c r="E45" i="3"/>
  <c r="AO44" i="3"/>
  <c r="AN44" i="3"/>
  <c r="AG44" i="3"/>
  <c r="Z44" i="3"/>
  <c r="AA44" i="3" s="1"/>
  <c r="S44" i="3"/>
  <c r="L44" i="3"/>
  <c r="M44" i="3" s="1"/>
  <c r="E44" i="3"/>
  <c r="AN43" i="3"/>
  <c r="AO43" i="3" s="1"/>
  <c r="AG43" i="3"/>
  <c r="Z43" i="3"/>
  <c r="AA43" i="3" s="1"/>
  <c r="S43" i="3"/>
  <c r="L43" i="3"/>
  <c r="M43" i="3" s="1"/>
  <c r="E43" i="3"/>
  <c r="AN42" i="3"/>
  <c r="AO42" i="3" s="1"/>
  <c r="AG42" i="3"/>
  <c r="Z42" i="3"/>
  <c r="AA42" i="3" s="1"/>
  <c r="S42" i="3"/>
  <c r="M42" i="3"/>
  <c r="L42" i="3"/>
  <c r="E42" i="3"/>
  <c r="AN41" i="3"/>
  <c r="AO41" i="3" s="1"/>
  <c r="AG41" i="3"/>
  <c r="Z41" i="3"/>
  <c r="AA41" i="3" s="1"/>
  <c r="S41" i="3"/>
  <c r="L41" i="3"/>
  <c r="M41" i="3" s="1"/>
  <c r="E41" i="3"/>
  <c r="AD36" i="3"/>
  <c r="AD37" i="3" s="1"/>
  <c r="Y36" i="3"/>
  <c r="Y37" i="3" s="1"/>
  <c r="AI50" i="3" s="1"/>
  <c r="AJ50" i="3" s="1"/>
  <c r="T36" i="3"/>
  <c r="T37" i="3" s="1"/>
  <c r="AB50" i="3" s="1"/>
  <c r="AC50" i="3" s="1"/>
  <c r="O36" i="3"/>
  <c r="O37" i="3" s="1"/>
  <c r="J36" i="3"/>
  <c r="J37" i="3" s="1"/>
  <c r="E36" i="3"/>
  <c r="E37" i="3" s="1"/>
  <c r="AD35" i="3"/>
  <c r="AC35" i="3"/>
  <c r="Y35" i="3"/>
  <c r="X35" i="3"/>
  <c r="T35" i="3"/>
  <c r="S35" i="3"/>
  <c r="O35" i="3"/>
  <c r="N35" i="3"/>
  <c r="J35" i="3"/>
  <c r="I35" i="3"/>
  <c r="E35" i="3"/>
  <c r="D35" i="3"/>
  <c r="AD34" i="3"/>
  <c r="AC34" i="3"/>
  <c r="Y34" i="3"/>
  <c r="X34" i="3"/>
  <c r="T34" i="3"/>
  <c r="S34" i="3"/>
  <c r="O34" i="3"/>
  <c r="N34" i="3"/>
  <c r="J34" i="3"/>
  <c r="I34" i="3"/>
  <c r="E34" i="3"/>
  <c r="D34" i="3"/>
  <c r="AD33" i="3"/>
  <c r="AC33" i="3"/>
  <c r="Y33" i="3"/>
  <c r="X33" i="3"/>
  <c r="T33" i="3"/>
  <c r="S33" i="3"/>
  <c r="O33" i="3"/>
  <c r="N33" i="3"/>
  <c r="J33" i="3"/>
  <c r="I33" i="3"/>
  <c r="E33" i="3"/>
  <c r="D33" i="3"/>
  <c r="AD32" i="3"/>
  <c r="AC32" i="3"/>
  <c r="Y32" i="3"/>
  <c r="X32" i="3"/>
  <c r="T32" i="3"/>
  <c r="S32" i="3"/>
  <c r="O32" i="3"/>
  <c r="N32" i="3"/>
  <c r="J32" i="3"/>
  <c r="I32" i="3"/>
  <c r="E32" i="3"/>
  <c r="D32" i="3"/>
  <c r="AD31" i="3"/>
  <c r="AC31" i="3"/>
  <c r="Y31" i="3"/>
  <c r="X31" i="3"/>
  <c r="T31" i="3"/>
  <c r="S31" i="3"/>
  <c r="O31" i="3"/>
  <c r="N31" i="3"/>
  <c r="J31" i="3"/>
  <c r="I31" i="3"/>
  <c r="E31" i="3"/>
  <c r="D31" i="3"/>
  <c r="AA51" i="4" l="1"/>
  <c r="U41" i="3"/>
  <c r="U49" i="4"/>
  <c r="V49" i="4" s="1"/>
  <c r="U70" i="4"/>
  <c r="V70" i="4" s="1"/>
  <c r="E81" i="5"/>
  <c r="F69" i="5"/>
  <c r="F81" i="5" s="1"/>
  <c r="AO51" i="3"/>
  <c r="AA51" i="5"/>
  <c r="M77" i="5"/>
  <c r="Z53" i="3"/>
  <c r="U47" i="3"/>
  <c r="V47" i="3" s="1"/>
  <c r="L81" i="3"/>
  <c r="Z51" i="3"/>
  <c r="L79" i="3"/>
  <c r="U45" i="3"/>
  <c r="V45" i="3" s="1"/>
  <c r="U71" i="3"/>
  <c r="U49" i="3"/>
  <c r="V49" i="3" s="1"/>
  <c r="Z81" i="3"/>
  <c r="AA69" i="3"/>
  <c r="M53" i="3"/>
  <c r="U43" i="3"/>
  <c r="V43" i="3" s="1"/>
  <c r="U42" i="3"/>
  <c r="V42" i="3" s="1"/>
  <c r="U46" i="3"/>
  <c r="V46" i="3" s="1"/>
  <c r="U50" i="3"/>
  <c r="V50" i="3" s="1"/>
  <c r="G71" i="4"/>
  <c r="H71" i="4" s="1"/>
  <c r="N44" i="4"/>
  <c r="O44" i="4" s="1"/>
  <c r="N48" i="4"/>
  <c r="O48" i="4" s="1"/>
  <c r="N50" i="4"/>
  <c r="O50" i="4" s="1"/>
  <c r="AI43" i="5"/>
  <c r="AJ43" i="5" s="1"/>
  <c r="M44" i="4"/>
  <c r="M48" i="4"/>
  <c r="T70" i="4"/>
  <c r="T81" i="4" s="1"/>
  <c r="U44" i="3"/>
  <c r="V44" i="3" s="1"/>
  <c r="U48" i="3"/>
  <c r="V48" i="3" s="1"/>
  <c r="G70" i="4"/>
  <c r="H70" i="4" s="1"/>
  <c r="G72" i="4"/>
  <c r="H72" i="4" s="1"/>
  <c r="T49" i="4"/>
  <c r="T51" i="4" s="1"/>
  <c r="F71" i="4"/>
  <c r="N43" i="4"/>
  <c r="O43" i="4" s="1"/>
  <c r="N45" i="4"/>
  <c r="O45" i="4" s="1"/>
  <c r="G45" i="5"/>
  <c r="H45" i="5" s="1"/>
  <c r="M50" i="4"/>
  <c r="F72" i="4"/>
  <c r="AB43" i="5"/>
  <c r="AC43" i="5" s="1"/>
  <c r="AB45" i="5"/>
  <c r="AC45" i="5" s="1"/>
  <c r="AB48" i="5"/>
  <c r="AC48" i="5" s="1"/>
  <c r="AB50" i="5"/>
  <c r="AC50" i="5" s="1"/>
  <c r="AN81" i="5"/>
  <c r="AO81" i="5"/>
  <c r="AO80" i="5" s="1"/>
  <c r="Z81" i="5"/>
  <c r="AA81" i="5"/>
  <c r="T81" i="5"/>
  <c r="T80" i="5" s="1"/>
  <c r="L81" i="5"/>
  <c r="L80" i="5" s="1"/>
  <c r="S81" i="5"/>
  <c r="S80" i="5" s="1"/>
  <c r="M79" i="5"/>
  <c r="AB44" i="5"/>
  <c r="AC44" i="5" s="1"/>
  <c r="AB42" i="5"/>
  <c r="AP70" i="4"/>
  <c r="AQ70" i="4" s="1"/>
  <c r="AP71" i="4"/>
  <c r="AQ71" i="4" s="1"/>
  <c r="U71" i="4"/>
  <c r="V71" i="4" s="1"/>
  <c r="N72" i="4"/>
  <c r="O72" i="4" s="1"/>
  <c r="N70" i="4"/>
  <c r="O70" i="4" s="1"/>
  <c r="N71" i="4"/>
  <c r="O71" i="4" s="1"/>
  <c r="AB44" i="4"/>
  <c r="AC44" i="4" s="1"/>
  <c r="AB42" i="4"/>
  <c r="AC42" i="4" s="1"/>
  <c r="AB45" i="4"/>
  <c r="AC45" i="4" s="1"/>
  <c r="U44" i="4"/>
  <c r="V44" i="4" s="1"/>
  <c r="U47" i="4"/>
  <c r="V47" i="4" s="1"/>
  <c r="U41" i="4"/>
  <c r="V41" i="4" s="1"/>
  <c r="U43" i="4"/>
  <c r="U46" i="4"/>
  <c r="V46" i="4" s="1"/>
  <c r="U42" i="4"/>
  <c r="V42" i="4" s="1"/>
  <c r="U45" i="4"/>
  <c r="V45" i="4" s="1"/>
  <c r="U48" i="4"/>
  <c r="V48" i="4" s="1"/>
  <c r="U50" i="4"/>
  <c r="V50" i="4" s="1"/>
  <c r="N41" i="4"/>
  <c r="O41" i="4" s="1"/>
  <c r="N46" i="4"/>
  <c r="O46" i="4" s="1"/>
  <c r="N47" i="4"/>
  <c r="O47" i="4" s="1"/>
  <c r="N49" i="4"/>
  <c r="O49" i="4" s="1"/>
  <c r="AH53" i="4"/>
  <c r="AH52" i="4" s="1"/>
  <c r="AO53" i="4"/>
  <c r="AO52" i="4" s="1"/>
  <c r="AA53" i="4"/>
  <c r="AA52" i="4" s="1"/>
  <c r="F53" i="4"/>
  <c r="F52" i="4" s="1"/>
  <c r="N44" i="5"/>
  <c r="O44" i="5" s="1"/>
  <c r="N42" i="5"/>
  <c r="O42" i="5" s="1"/>
  <c r="N41" i="5"/>
  <c r="O41" i="5" s="1"/>
  <c r="N45" i="5"/>
  <c r="O45" i="5" s="1"/>
  <c r="N43" i="5"/>
  <c r="O43" i="5" s="1"/>
  <c r="AP41" i="5"/>
  <c r="AQ41" i="5" s="1"/>
  <c r="AP44" i="5"/>
  <c r="AQ44" i="5" s="1"/>
  <c r="AP43" i="5"/>
  <c r="AQ43" i="5" s="1"/>
  <c r="AP42" i="5"/>
  <c r="AQ42" i="5" s="1"/>
  <c r="N78" i="5"/>
  <c r="O78" i="5" s="1"/>
  <c r="N77" i="5"/>
  <c r="O77" i="5" s="1"/>
  <c r="N76" i="5"/>
  <c r="O76" i="5" s="1"/>
  <c r="N75" i="5"/>
  <c r="O75" i="5" s="1"/>
  <c r="N74" i="5"/>
  <c r="O74" i="5" s="1"/>
  <c r="N73" i="5"/>
  <c r="O73" i="5" s="1"/>
  <c r="N72" i="5"/>
  <c r="O72" i="5" s="1"/>
  <c r="N71" i="5"/>
  <c r="O71" i="5" s="1"/>
  <c r="N70" i="5"/>
  <c r="O70" i="5" s="1"/>
  <c r="N69" i="5"/>
  <c r="O69" i="5" s="1"/>
  <c r="AP78" i="5"/>
  <c r="AQ78" i="5" s="1"/>
  <c r="AP77" i="5"/>
  <c r="AQ77" i="5" s="1"/>
  <c r="AP76" i="5"/>
  <c r="AQ76" i="5" s="1"/>
  <c r="AP75" i="5"/>
  <c r="AQ75" i="5" s="1"/>
  <c r="AP74" i="5"/>
  <c r="AQ74" i="5" s="1"/>
  <c r="AP73" i="5"/>
  <c r="AQ73" i="5" s="1"/>
  <c r="AP72" i="5"/>
  <c r="AQ72" i="5" s="1"/>
  <c r="AP71" i="5"/>
  <c r="AQ71" i="5" s="1"/>
  <c r="AP70" i="5"/>
  <c r="AQ70" i="5" s="1"/>
  <c r="AP69" i="5"/>
  <c r="AQ69" i="5" s="1"/>
  <c r="U44" i="5"/>
  <c r="V44" i="5" s="1"/>
  <c r="U43" i="5"/>
  <c r="V43" i="5" s="1"/>
  <c r="U42" i="5"/>
  <c r="V42" i="5" s="1"/>
  <c r="U45" i="5"/>
  <c r="V45" i="5" s="1"/>
  <c r="U41" i="5"/>
  <c r="V41" i="5" s="1"/>
  <c r="AB78" i="5"/>
  <c r="AC78" i="5" s="1"/>
  <c r="AB77" i="5"/>
  <c r="AC77" i="5" s="1"/>
  <c r="AB76" i="5"/>
  <c r="AC76" i="5" s="1"/>
  <c r="AB75" i="5"/>
  <c r="AC75" i="5" s="1"/>
  <c r="AB74" i="5"/>
  <c r="AC74" i="5" s="1"/>
  <c r="AB73" i="5"/>
  <c r="AC73" i="5" s="1"/>
  <c r="AB72" i="5"/>
  <c r="AC72" i="5" s="1"/>
  <c r="AB71" i="5"/>
  <c r="AC71" i="5" s="1"/>
  <c r="AB70" i="5"/>
  <c r="AC70" i="5" s="1"/>
  <c r="AB69" i="5"/>
  <c r="AC69" i="5" s="1"/>
  <c r="AI44" i="5"/>
  <c r="AJ44" i="5" s="1"/>
  <c r="AB46" i="5"/>
  <c r="AC46" i="5" s="1"/>
  <c r="N47" i="5"/>
  <c r="O47" i="5" s="1"/>
  <c r="AP47" i="5"/>
  <c r="AQ47" i="5" s="1"/>
  <c r="N49" i="5"/>
  <c r="O49" i="5" s="1"/>
  <c r="AP49" i="5"/>
  <c r="AQ49" i="5" s="1"/>
  <c r="AI45" i="5"/>
  <c r="AJ45" i="5" s="1"/>
  <c r="U46" i="5"/>
  <c r="V46" i="5" s="1"/>
  <c r="G47" i="5"/>
  <c r="H47" i="5" s="1"/>
  <c r="AI47" i="5"/>
  <c r="AJ47" i="5" s="1"/>
  <c r="U48" i="5"/>
  <c r="V48" i="5" s="1"/>
  <c r="G49" i="5"/>
  <c r="H49" i="5" s="1"/>
  <c r="AI49" i="5"/>
  <c r="AJ49" i="5" s="1"/>
  <c r="U50" i="5"/>
  <c r="V50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AN80" i="5"/>
  <c r="G41" i="5"/>
  <c r="H41" i="5" s="1"/>
  <c r="AI41" i="5"/>
  <c r="AJ41" i="5" s="1"/>
  <c r="E53" i="5"/>
  <c r="E51" i="5"/>
  <c r="L53" i="5"/>
  <c r="L51" i="5"/>
  <c r="S53" i="5"/>
  <c r="S51" i="5"/>
  <c r="Z53" i="5"/>
  <c r="Z51" i="5"/>
  <c r="AG53" i="5"/>
  <c r="AG51" i="5"/>
  <c r="AN53" i="5"/>
  <c r="AN51" i="5"/>
  <c r="N46" i="5"/>
  <c r="O46" i="5" s="1"/>
  <c r="AP46" i="5"/>
  <c r="AQ46" i="5" s="1"/>
  <c r="AB47" i="5"/>
  <c r="AC47" i="5" s="1"/>
  <c r="N48" i="5"/>
  <c r="O48" i="5" s="1"/>
  <c r="AP48" i="5"/>
  <c r="AQ48" i="5" s="1"/>
  <c r="AB49" i="5"/>
  <c r="AC49" i="5" s="1"/>
  <c r="N50" i="5"/>
  <c r="O50" i="5" s="1"/>
  <c r="AP50" i="5"/>
  <c r="AQ50" i="5" s="1"/>
  <c r="E80" i="5"/>
  <c r="G42" i="5"/>
  <c r="H42" i="5" s="1"/>
  <c r="AI42" i="5"/>
  <c r="AJ42" i="5" s="1"/>
  <c r="G43" i="5"/>
  <c r="H43" i="5" s="1"/>
  <c r="G44" i="5"/>
  <c r="H44" i="5" s="1"/>
  <c r="AP45" i="5"/>
  <c r="AQ45" i="5" s="1"/>
  <c r="G46" i="5"/>
  <c r="H46" i="5" s="1"/>
  <c r="AI46" i="5"/>
  <c r="AJ46" i="5" s="1"/>
  <c r="U47" i="5"/>
  <c r="V47" i="5" s="1"/>
  <c r="G48" i="5"/>
  <c r="H48" i="5" s="1"/>
  <c r="AI48" i="5"/>
  <c r="AJ48" i="5" s="1"/>
  <c r="U49" i="5"/>
  <c r="V49" i="5" s="1"/>
  <c r="G50" i="5"/>
  <c r="H50" i="5" s="1"/>
  <c r="AI50" i="5"/>
  <c r="AJ50" i="5" s="1"/>
  <c r="U78" i="5"/>
  <c r="V78" i="5" s="1"/>
  <c r="U77" i="5"/>
  <c r="V77" i="5" s="1"/>
  <c r="U76" i="5"/>
  <c r="V76" i="5" s="1"/>
  <c r="U75" i="5"/>
  <c r="V75" i="5" s="1"/>
  <c r="U74" i="5"/>
  <c r="V74" i="5" s="1"/>
  <c r="U73" i="5"/>
  <c r="V73" i="5" s="1"/>
  <c r="U72" i="5"/>
  <c r="V72" i="5" s="1"/>
  <c r="U71" i="5"/>
  <c r="V71" i="5" s="1"/>
  <c r="U70" i="5"/>
  <c r="V70" i="5" s="1"/>
  <c r="U69" i="5"/>
  <c r="V69" i="5" s="1"/>
  <c r="Z80" i="5"/>
  <c r="E79" i="5"/>
  <c r="E82" i="5" s="1"/>
  <c r="L79" i="5"/>
  <c r="L82" i="5" s="1"/>
  <c r="S79" i="5"/>
  <c r="Z79" i="5"/>
  <c r="AN79" i="5"/>
  <c r="T79" i="5"/>
  <c r="AO79" i="5"/>
  <c r="U72" i="4"/>
  <c r="V72" i="4" s="1"/>
  <c r="F79" i="4"/>
  <c r="AP44" i="4"/>
  <c r="AQ44" i="4" s="1"/>
  <c r="AP43" i="4"/>
  <c r="AQ43" i="4" s="1"/>
  <c r="AP45" i="4"/>
  <c r="AQ45" i="4" s="1"/>
  <c r="G41" i="4"/>
  <c r="H41" i="4" s="1"/>
  <c r="AI41" i="4"/>
  <c r="AJ41" i="4" s="1"/>
  <c r="G43" i="4"/>
  <c r="H43" i="4" s="1"/>
  <c r="AI43" i="4"/>
  <c r="AJ43" i="4" s="1"/>
  <c r="AB46" i="4"/>
  <c r="AC46" i="4" s="1"/>
  <c r="AP46" i="4"/>
  <c r="AQ46" i="4" s="1"/>
  <c r="AB47" i="4"/>
  <c r="AC47" i="4" s="1"/>
  <c r="AP47" i="4"/>
  <c r="AQ47" i="4" s="1"/>
  <c r="AB48" i="4"/>
  <c r="AC48" i="4" s="1"/>
  <c r="AP48" i="4"/>
  <c r="AQ48" i="4" s="1"/>
  <c r="AB49" i="4"/>
  <c r="AC49" i="4" s="1"/>
  <c r="AP49" i="4"/>
  <c r="AQ49" i="4" s="1"/>
  <c r="AB50" i="4"/>
  <c r="AC50" i="4" s="1"/>
  <c r="AP50" i="4"/>
  <c r="AQ50" i="4" s="1"/>
  <c r="AB41" i="4"/>
  <c r="AC41" i="4" s="1"/>
  <c r="N42" i="4"/>
  <c r="O42" i="4" s="1"/>
  <c r="AP42" i="4"/>
  <c r="AQ42" i="4" s="1"/>
  <c r="AB43" i="4"/>
  <c r="AC43" i="4" s="1"/>
  <c r="G44" i="4"/>
  <c r="H44" i="4" s="1"/>
  <c r="AI44" i="4"/>
  <c r="AJ44" i="4" s="1"/>
  <c r="G45" i="4"/>
  <c r="H45" i="4" s="1"/>
  <c r="AI45" i="4"/>
  <c r="AJ45" i="4" s="1"/>
  <c r="AB70" i="4"/>
  <c r="AC70" i="4" s="1"/>
  <c r="AB71" i="4"/>
  <c r="AC71" i="4" s="1"/>
  <c r="AP41" i="4"/>
  <c r="AQ41" i="4" s="1"/>
  <c r="G42" i="4"/>
  <c r="H42" i="4" s="1"/>
  <c r="AI42" i="4"/>
  <c r="AJ42" i="4" s="1"/>
  <c r="G46" i="4"/>
  <c r="H46" i="4" s="1"/>
  <c r="AI46" i="4"/>
  <c r="AJ46" i="4" s="1"/>
  <c r="G47" i="4"/>
  <c r="H47" i="4" s="1"/>
  <c r="AI47" i="4"/>
  <c r="AJ47" i="4" s="1"/>
  <c r="G48" i="4"/>
  <c r="H48" i="4" s="1"/>
  <c r="AI48" i="4"/>
  <c r="AJ48" i="4" s="1"/>
  <c r="G49" i="4"/>
  <c r="H49" i="4" s="1"/>
  <c r="AI49" i="4"/>
  <c r="AJ49" i="4" s="1"/>
  <c r="G50" i="4"/>
  <c r="H50" i="4" s="1"/>
  <c r="AI50" i="4"/>
  <c r="AJ50" i="4" s="1"/>
  <c r="E79" i="4"/>
  <c r="S79" i="4"/>
  <c r="E51" i="4"/>
  <c r="L51" i="4"/>
  <c r="S51" i="4"/>
  <c r="Z51" i="4"/>
  <c r="AG51" i="4"/>
  <c r="AN51" i="4"/>
  <c r="E53" i="4"/>
  <c r="L53" i="4"/>
  <c r="S53" i="4"/>
  <c r="Z53" i="4"/>
  <c r="AG53" i="4"/>
  <c r="AN53" i="4"/>
  <c r="E81" i="4"/>
  <c r="L81" i="4"/>
  <c r="S81" i="4"/>
  <c r="Z81" i="4"/>
  <c r="AN81" i="4"/>
  <c r="G73" i="4"/>
  <c r="H73" i="4" s="1"/>
  <c r="U73" i="4"/>
  <c r="V73" i="4" s="1"/>
  <c r="G74" i="4"/>
  <c r="H74" i="4" s="1"/>
  <c r="U74" i="4"/>
  <c r="V74" i="4" s="1"/>
  <c r="G75" i="4"/>
  <c r="H75" i="4" s="1"/>
  <c r="U75" i="4"/>
  <c r="V75" i="4" s="1"/>
  <c r="G76" i="4"/>
  <c r="H76" i="4" s="1"/>
  <c r="U76" i="4"/>
  <c r="V76" i="4" s="1"/>
  <c r="G77" i="4"/>
  <c r="H77" i="4" s="1"/>
  <c r="U77" i="4"/>
  <c r="V77" i="4" s="1"/>
  <c r="G78" i="4"/>
  <c r="H78" i="4" s="1"/>
  <c r="U78" i="4"/>
  <c r="V78" i="4" s="1"/>
  <c r="F51" i="4"/>
  <c r="F54" i="4" s="1"/>
  <c r="AH51" i="4"/>
  <c r="AO51" i="4"/>
  <c r="M81" i="4"/>
  <c r="M79" i="4"/>
  <c r="AA81" i="4"/>
  <c r="AA79" i="4"/>
  <c r="AO81" i="4"/>
  <c r="AO79" i="4"/>
  <c r="L79" i="4"/>
  <c r="Z79" i="4"/>
  <c r="AN79" i="4"/>
  <c r="G69" i="4"/>
  <c r="H69" i="4" s="1"/>
  <c r="N69" i="4"/>
  <c r="O69" i="4" s="1"/>
  <c r="U69" i="4"/>
  <c r="V69" i="4" s="1"/>
  <c r="AB69" i="4"/>
  <c r="AC69" i="4" s="1"/>
  <c r="AP69" i="4"/>
  <c r="AQ69" i="4" s="1"/>
  <c r="AB72" i="4"/>
  <c r="AC72" i="4" s="1"/>
  <c r="AP72" i="4"/>
  <c r="AQ72" i="4" s="1"/>
  <c r="N73" i="4"/>
  <c r="O73" i="4" s="1"/>
  <c r="AB73" i="4"/>
  <c r="AC73" i="4" s="1"/>
  <c r="AP73" i="4"/>
  <c r="AQ73" i="4" s="1"/>
  <c r="N74" i="4"/>
  <c r="O74" i="4" s="1"/>
  <c r="AB74" i="4"/>
  <c r="AC74" i="4" s="1"/>
  <c r="AP74" i="4"/>
  <c r="AQ74" i="4" s="1"/>
  <c r="N75" i="4"/>
  <c r="O75" i="4" s="1"/>
  <c r="AB75" i="4"/>
  <c r="AC75" i="4" s="1"/>
  <c r="AP75" i="4"/>
  <c r="AQ75" i="4" s="1"/>
  <c r="N76" i="4"/>
  <c r="O76" i="4" s="1"/>
  <c r="AB76" i="4"/>
  <c r="AC76" i="4" s="1"/>
  <c r="AP76" i="4"/>
  <c r="AQ76" i="4" s="1"/>
  <c r="N77" i="4"/>
  <c r="O77" i="4" s="1"/>
  <c r="AB77" i="4"/>
  <c r="AC77" i="4" s="1"/>
  <c r="AP77" i="4"/>
  <c r="AQ77" i="4" s="1"/>
  <c r="N78" i="4"/>
  <c r="O78" i="4" s="1"/>
  <c r="AB78" i="4"/>
  <c r="AC78" i="4" s="1"/>
  <c r="AP78" i="4"/>
  <c r="AQ78" i="4" s="1"/>
  <c r="M52" i="3"/>
  <c r="AA53" i="3"/>
  <c r="AA51" i="3"/>
  <c r="AP50" i="3"/>
  <c r="AQ50" i="3" s="1"/>
  <c r="AO50" i="3"/>
  <c r="Z54" i="3"/>
  <c r="Z52" i="3"/>
  <c r="Z80" i="3"/>
  <c r="G41" i="3"/>
  <c r="S53" i="3"/>
  <c r="S51" i="3"/>
  <c r="AI41" i="3"/>
  <c r="G42" i="3"/>
  <c r="H42" i="3" s="1"/>
  <c r="AI42" i="3"/>
  <c r="AJ42" i="3" s="1"/>
  <c r="G43" i="3"/>
  <c r="H43" i="3" s="1"/>
  <c r="AI43" i="3"/>
  <c r="AJ43" i="3" s="1"/>
  <c r="G44" i="3"/>
  <c r="H44" i="3" s="1"/>
  <c r="AI44" i="3"/>
  <c r="AJ44" i="3" s="1"/>
  <c r="G45" i="3"/>
  <c r="H45" i="3" s="1"/>
  <c r="AI45" i="3"/>
  <c r="AJ45" i="3" s="1"/>
  <c r="G46" i="3"/>
  <c r="H46" i="3" s="1"/>
  <c r="AI46" i="3"/>
  <c r="AJ46" i="3" s="1"/>
  <c r="G47" i="3"/>
  <c r="H47" i="3" s="1"/>
  <c r="AI47" i="3"/>
  <c r="AJ47" i="3" s="1"/>
  <c r="G48" i="3"/>
  <c r="H48" i="3" s="1"/>
  <c r="AI48" i="3"/>
  <c r="AJ48" i="3" s="1"/>
  <c r="G49" i="3"/>
  <c r="H49" i="3" s="1"/>
  <c r="AI49" i="3"/>
  <c r="AJ49" i="3" s="1"/>
  <c r="G50" i="3"/>
  <c r="H50" i="3" s="1"/>
  <c r="F41" i="3"/>
  <c r="T41" i="3"/>
  <c r="AH41" i="3"/>
  <c r="F42" i="3"/>
  <c r="T42" i="3"/>
  <c r="AH42" i="3"/>
  <c r="F43" i="3"/>
  <c r="T43" i="3"/>
  <c r="AH43" i="3"/>
  <c r="F44" i="3"/>
  <c r="T44" i="3"/>
  <c r="AH44" i="3"/>
  <c r="F45" i="3"/>
  <c r="T45" i="3"/>
  <c r="AH45" i="3"/>
  <c r="F46" i="3"/>
  <c r="T46" i="3"/>
  <c r="AH46" i="3"/>
  <c r="F47" i="3"/>
  <c r="T47" i="3"/>
  <c r="AH47" i="3"/>
  <c r="F48" i="3"/>
  <c r="T48" i="3"/>
  <c r="AH48" i="3"/>
  <c r="F49" i="3"/>
  <c r="T49" i="3"/>
  <c r="AH49" i="3"/>
  <c r="F50" i="3"/>
  <c r="T50" i="3"/>
  <c r="L53" i="3"/>
  <c r="L51" i="3"/>
  <c r="N41" i="3"/>
  <c r="AB41" i="3"/>
  <c r="AN53" i="3"/>
  <c r="AN51" i="3"/>
  <c r="AP41" i="3"/>
  <c r="N42" i="3"/>
  <c r="O42" i="3" s="1"/>
  <c r="AB42" i="3"/>
  <c r="AC42" i="3" s="1"/>
  <c r="AP42" i="3"/>
  <c r="AQ42" i="3" s="1"/>
  <c r="N43" i="3"/>
  <c r="O43" i="3" s="1"/>
  <c r="AB43" i="3"/>
  <c r="AC43" i="3" s="1"/>
  <c r="AP43" i="3"/>
  <c r="AQ43" i="3" s="1"/>
  <c r="N44" i="3"/>
  <c r="O44" i="3" s="1"/>
  <c r="AB44" i="3"/>
  <c r="AC44" i="3" s="1"/>
  <c r="AP44" i="3"/>
  <c r="AQ44" i="3" s="1"/>
  <c r="N45" i="3"/>
  <c r="O45" i="3" s="1"/>
  <c r="AB45" i="3"/>
  <c r="AC45" i="3" s="1"/>
  <c r="AP45" i="3"/>
  <c r="AQ45" i="3" s="1"/>
  <c r="N46" i="3"/>
  <c r="O46" i="3" s="1"/>
  <c r="AB46" i="3"/>
  <c r="AC46" i="3" s="1"/>
  <c r="AP46" i="3"/>
  <c r="AQ46" i="3" s="1"/>
  <c r="N47" i="3"/>
  <c r="O47" i="3" s="1"/>
  <c r="AB47" i="3"/>
  <c r="AC47" i="3" s="1"/>
  <c r="AP47" i="3"/>
  <c r="AQ47" i="3" s="1"/>
  <c r="N48" i="3"/>
  <c r="O48" i="3" s="1"/>
  <c r="AB48" i="3"/>
  <c r="AC48" i="3" s="1"/>
  <c r="AP48" i="3"/>
  <c r="AQ48" i="3" s="1"/>
  <c r="N49" i="3"/>
  <c r="O49" i="3" s="1"/>
  <c r="AB49" i="3"/>
  <c r="AC49" i="3" s="1"/>
  <c r="AP49" i="3"/>
  <c r="AQ49" i="3" s="1"/>
  <c r="N50" i="3"/>
  <c r="O50" i="3" s="1"/>
  <c r="M51" i="3"/>
  <c r="M54" i="3" s="1"/>
  <c r="AG51" i="3"/>
  <c r="E53" i="3"/>
  <c r="AO53" i="3"/>
  <c r="E51" i="3"/>
  <c r="AG53" i="3"/>
  <c r="AB75" i="3"/>
  <c r="AC75" i="3" s="1"/>
  <c r="AA75" i="3"/>
  <c r="AP76" i="3"/>
  <c r="AQ76" i="3" s="1"/>
  <c r="AO76" i="3"/>
  <c r="N78" i="3"/>
  <c r="O78" i="3" s="1"/>
  <c r="M78" i="3"/>
  <c r="AN79" i="3"/>
  <c r="L82" i="3"/>
  <c r="E81" i="3"/>
  <c r="E79" i="3"/>
  <c r="G69" i="3"/>
  <c r="S81" i="3"/>
  <c r="S79" i="3"/>
  <c r="U69" i="3"/>
  <c r="G70" i="3"/>
  <c r="H70" i="3" s="1"/>
  <c r="U70" i="3"/>
  <c r="V70" i="3" s="1"/>
  <c r="G71" i="3"/>
  <c r="H71" i="3" s="1"/>
  <c r="V71" i="3"/>
  <c r="G72" i="3"/>
  <c r="H72" i="3" s="1"/>
  <c r="U72" i="3"/>
  <c r="V72" i="3" s="1"/>
  <c r="G73" i="3"/>
  <c r="H73" i="3" s="1"/>
  <c r="U73" i="3"/>
  <c r="V73" i="3" s="1"/>
  <c r="G74" i="3"/>
  <c r="H74" i="3" s="1"/>
  <c r="U74" i="3"/>
  <c r="V74" i="3" s="1"/>
  <c r="N75" i="3"/>
  <c r="O75" i="3" s="1"/>
  <c r="M75" i="3"/>
  <c r="AB76" i="3"/>
  <c r="AC76" i="3" s="1"/>
  <c r="AA76" i="3"/>
  <c r="AP77" i="3"/>
  <c r="AQ77" i="3" s="1"/>
  <c r="AO77" i="3"/>
  <c r="F69" i="3"/>
  <c r="T69" i="3"/>
  <c r="F70" i="3"/>
  <c r="T70" i="3"/>
  <c r="F71" i="3"/>
  <c r="T71" i="3"/>
  <c r="F72" i="3"/>
  <c r="T72" i="3"/>
  <c r="F73" i="3"/>
  <c r="T73" i="3"/>
  <c r="F74" i="3"/>
  <c r="T74" i="3"/>
  <c r="AP74" i="3"/>
  <c r="AQ74" i="3" s="1"/>
  <c r="AO74" i="3"/>
  <c r="N76" i="3"/>
  <c r="O76" i="3" s="1"/>
  <c r="M76" i="3"/>
  <c r="AB77" i="3"/>
  <c r="AC77" i="3" s="1"/>
  <c r="AA77" i="3"/>
  <c r="AP78" i="3"/>
  <c r="AQ78" i="3" s="1"/>
  <c r="AO78" i="3"/>
  <c r="Z79" i="3"/>
  <c r="Z82" i="3" s="1"/>
  <c r="L80" i="3"/>
  <c r="N69" i="3"/>
  <c r="AB69" i="3"/>
  <c r="AN81" i="3"/>
  <c r="AP69" i="3"/>
  <c r="N70" i="3"/>
  <c r="O70" i="3" s="1"/>
  <c r="AB70" i="3"/>
  <c r="AC70" i="3" s="1"/>
  <c r="AP70" i="3"/>
  <c r="AQ70" i="3" s="1"/>
  <c r="N71" i="3"/>
  <c r="O71" i="3" s="1"/>
  <c r="AB71" i="3"/>
  <c r="AC71" i="3" s="1"/>
  <c r="AP71" i="3"/>
  <c r="AQ71" i="3" s="1"/>
  <c r="N72" i="3"/>
  <c r="O72" i="3" s="1"/>
  <c r="AB72" i="3"/>
  <c r="AC72" i="3" s="1"/>
  <c r="AP72" i="3"/>
  <c r="AQ72" i="3" s="1"/>
  <c r="N73" i="3"/>
  <c r="O73" i="3" s="1"/>
  <c r="AB73" i="3"/>
  <c r="AC73" i="3" s="1"/>
  <c r="AP73" i="3"/>
  <c r="AQ73" i="3" s="1"/>
  <c r="N74" i="3"/>
  <c r="O74" i="3" s="1"/>
  <c r="AB74" i="3"/>
  <c r="AC74" i="3" s="1"/>
  <c r="AA74" i="3"/>
  <c r="AA79" i="3" s="1"/>
  <c r="AP75" i="3"/>
  <c r="AQ75" i="3" s="1"/>
  <c r="AO75" i="3"/>
  <c r="N77" i="3"/>
  <c r="O77" i="3" s="1"/>
  <c r="M77" i="3"/>
  <c r="AB78" i="3"/>
  <c r="AC78" i="3" s="1"/>
  <c r="AA78" i="3"/>
  <c r="G75" i="3"/>
  <c r="H75" i="3" s="1"/>
  <c r="F75" i="3"/>
  <c r="U75" i="3"/>
  <c r="V75" i="3" s="1"/>
  <c r="T75" i="3"/>
  <c r="G76" i="3"/>
  <c r="H76" i="3" s="1"/>
  <c r="F76" i="3"/>
  <c r="U76" i="3"/>
  <c r="V76" i="3" s="1"/>
  <c r="T76" i="3"/>
  <c r="G77" i="3"/>
  <c r="H77" i="3" s="1"/>
  <c r="F77" i="3"/>
  <c r="U77" i="3"/>
  <c r="V77" i="3" s="1"/>
  <c r="T77" i="3"/>
  <c r="G78" i="3"/>
  <c r="H78" i="3" s="1"/>
  <c r="F78" i="3"/>
  <c r="U78" i="3"/>
  <c r="V78" i="3" s="1"/>
  <c r="T78" i="3"/>
  <c r="Z82" i="5" l="1"/>
  <c r="T79" i="4"/>
  <c r="F81" i="4"/>
  <c r="F79" i="5"/>
  <c r="M81" i="3"/>
  <c r="M82" i="3" s="1"/>
  <c r="U51" i="4"/>
  <c r="T82" i="5"/>
  <c r="AO79" i="3"/>
  <c r="N51" i="4"/>
  <c r="AN82" i="5"/>
  <c r="V43" i="4"/>
  <c r="V53" i="4" s="1"/>
  <c r="M79" i="3"/>
  <c r="AA81" i="3"/>
  <c r="AA82" i="3" s="1"/>
  <c r="AB51" i="5"/>
  <c r="AC42" i="5"/>
  <c r="AC53" i="5" s="1"/>
  <c r="AC52" i="5" s="1"/>
  <c r="AO82" i="5"/>
  <c r="AA80" i="5"/>
  <c r="AA79" i="5"/>
  <c r="AA82" i="5" s="1"/>
  <c r="S82" i="5"/>
  <c r="M81" i="5"/>
  <c r="M80" i="5" s="1"/>
  <c r="AB53" i="5"/>
  <c r="AO54" i="4"/>
  <c r="AH54" i="4"/>
  <c r="U53" i="4"/>
  <c r="U54" i="4" s="1"/>
  <c r="O53" i="4"/>
  <c r="O52" i="4" s="1"/>
  <c r="AA54" i="4"/>
  <c r="T53" i="4"/>
  <c r="T52" i="4" s="1"/>
  <c r="M53" i="4"/>
  <c r="M52" i="4" s="1"/>
  <c r="M51" i="4"/>
  <c r="U53" i="5"/>
  <c r="U51" i="5"/>
  <c r="F82" i="5"/>
  <c r="F80" i="5"/>
  <c r="AH53" i="5"/>
  <c r="AH51" i="5"/>
  <c r="F53" i="5"/>
  <c r="F51" i="5"/>
  <c r="AG54" i="5"/>
  <c r="AG52" i="5"/>
  <c r="S54" i="5"/>
  <c r="S52" i="5"/>
  <c r="E54" i="5"/>
  <c r="E52" i="5"/>
  <c r="AP81" i="5"/>
  <c r="AP79" i="5"/>
  <c r="N53" i="5"/>
  <c r="N51" i="5"/>
  <c r="M53" i="5"/>
  <c r="M51" i="5"/>
  <c r="U81" i="5"/>
  <c r="U79" i="5"/>
  <c r="AA53" i="5"/>
  <c r="AI53" i="5"/>
  <c r="AI51" i="5"/>
  <c r="AB81" i="5"/>
  <c r="AB79" i="5"/>
  <c r="AP53" i="5"/>
  <c r="AP51" i="5"/>
  <c r="AO53" i="5"/>
  <c r="AO51" i="5"/>
  <c r="AB52" i="5"/>
  <c r="T53" i="5"/>
  <c r="T51" i="5"/>
  <c r="AN54" i="5"/>
  <c r="AN52" i="5"/>
  <c r="Z54" i="5"/>
  <c r="Z52" i="5"/>
  <c r="L54" i="5"/>
  <c r="L52" i="5"/>
  <c r="G53" i="5"/>
  <c r="G51" i="5"/>
  <c r="G81" i="5"/>
  <c r="G79" i="5"/>
  <c r="N81" i="5"/>
  <c r="N79" i="5"/>
  <c r="AP79" i="4"/>
  <c r="AP81" i="4"/>
  <c r="E82" i="4"/>
  <c r="E80" i="4"/>
  <c r="S54" i="4"/>
  <c r="S52" i="4"/>
  <c r="G53" i="4"/>
  <c r="G51" i="4"/>
  <c r="G81" i="4"/>
  <c r="G79" i="4"/>
  <c r="T82" i="4"/>
  <c r="T80" i="4"/>
  <c r="F82" i="4"/>
  <c r="F80" i="4"/>
  <c r="AN82" i="4"/>
  <c r="AN80" i="4"/>
  <c r="Z82" i="4"/>
  <c r="Z80" i="4"/>
  <c r="AN54" i="4"/>
  <c r="AN52" i="4"/>
  <c r="L54" i="4"/>
  <c r="L52" i="4"/>
  <c r="N53" i="4"/>
  <c r="N79" i="4"/>
  <c r="N81" i="4"/>
  <c r="AB79" i="4"/>
  <c r="AB81" i="4"/>
  <c r="S82" i="4"/>
  <c r="S80" i="4"/>
  <c r="AG54" i="4"/>
  <c r="AG52" i="4"/>
  <c r="E54" i="4"/>
  <c r="E52" i="4"/>
  <c r="AB53" i="4"/>
  <c r="AB51" i="4"/>
  <c r="O51" i="4"/>
  <c r="O54" i="4" s="1"/>
  <c r="U81" i="4"/>
  <c r="U79" i="4"/>
  <c r="AO82" i="4"/>
  <c r="AO80" i="4"/>
  <c r="AA82" i="4"/>
  <c r="AA80" i="4"/>
  <c r="M82" i="4"/>
  <c r="M80" i="4"/>
  <c r="L82" i="4"/>
  <c r="L80" i="4"/>
  <c r="Z54" i="4"/>
  <c r="Z52" i="4"/>
  <c r="AP53" i="4"/>
  <c r="AP51" i="4"/>
  <c r="AI53" i="4"/>
  <c r="AI51" i="4"/>
  <c r="M80" i="3"/>
  <c r="AB81" i="3"/>
  <c r="AB79" i="3"/>
  <c r="AC69" i="3"/>
  <c r="F81" i="3"/>
  <c r="F79" i="3"/>
  <c r="E82" i="3"/>
  <c r="E80" i="3"/>
  <c r="AN54" i="3"/>
  <c r="AN52" i="3"/>
  <c r="L54" i="3"/>
  <c r="L52" i="3"/>
  <c r="T53" i="3"/>
  <c r="T51" i="3"/>
  <c r="V41" i="3"/>
  <c r="U51" i="3"/>
  <c r="U53" i="3"/>
  <c r="AP81" i="3"/>
  <c r="AP79" i="3"/>
  <c r="AQ69" i="3"/>
  <c r="G81" i="3"/>
  <c r="G79" i="3"/>
  <c r="H69" i="3"/>
  <c r="AO81" i="3"/>
  <c r="E54" i="3"/>
  <c r="E52" i="3"/>
  <c r="AQ41" i="3"/>
  <c r="AP53" i="3"/>
  <c r="AP51" i="3"/>
  <c r="O41" i="3"/>
  <c r="N53" i="3"/>
  <c r="N51" i="3"/>
  <c r="S54" i="3"/>
  <c r="S52" i="3"/>
  <c r="AN82" i="3"/>
  <c r="AN80" i="3"/>
  <c r="T81" i="3"/>
  <c r="T79" i="3"/>
  <c r="U81" i="3"/>
  <c r="U79" i="3"/>
  <c r="V69" i="3"/>
  <c r="AG54" i="3"/>
  <c r="AG52" i="3"/>
  <c r="AH53" i="3"/>
  <c r="AH51" i="3"/>
  <c r="AJ41" i="3"/>
  <c r="AI53" i="3"/>
  <c r="AI51" i="3"/>
  <c r="H41" i="3"/>
  <c r="G53" i="3"/>
  <c r="G51" i="3"/>
  <c r="AA52" i="3"/>
  <c r="AA54" i="3"/>
  <c r="N81" i="3"/>
  <c r="N79" i="3"/>
  <c r="O69" i="3"/>
  <c r="S82" i="3"/>
  <c r="S80" i="3"/>
  <c r="AO54" i="3"/>
  <c r="AO52" i="3"/>
  <c r="AB53" i="3"/>
  <c r="AB51" i="3"/>
  <c r="AC41" i="3"/>
  <c r="F51" i="3"/>
  <c r="F53" i="3"/>
  <c r="V54" i="4" l="1"/>
  <c r="V51" i="4"/>
  <c r="AA80" i="3"/>
  <c r="U52" i="4"/>
  <c r="V52" i="4"/>
  <c r="AB54" i="5"/>
  <c r="AC51" i="5"/>
  <c r="AC54" i="5" s="1"/>
  <c r="M82" i="5"/>
  <c r="M54" i="4"/>
  <c r="T54" i="4"/>
  <c r="H81" i="5"/>
  <c r="H79" i="5"/>
  <c r="AB82" i="5"/>
  <c r="AB80" i="5"/>
  <c r="AI54" i="5"/>
  <c r="AI52" i="5"/>
  <c r="V81" i="5"/>
  <c r="V79" i="5"/>
  <c r="O53" i="5"/>
  <c r="O51" i="5"/>
  <c r="F54" i="5"/>
  <c r="F52" i="5"/>
  <c r="G54" i="5"/>
  <c r="G52" i="5"/>
  <c r="AO54" i="5"/>
  <c r="AO52" i="5"/>
  <c r="AQ53" i="5"/>
  <c r="AQ51" i="5"/>
  <c r="AP82" i="5"/>
  <c r="AP80" i="5"/>
  <c r="U54" i="5"/>
  <c r="U52" i="5"/>
  <c r="N82" i="5"/>
  <c r="N80" i="5"/>
  <c r="G82" i="5"/>
  <c r="G80" i="5"/>
  <c r="AC81" i="5"/>
  <c r="AC79" i="5"/>
  <c r="AJ53" i="5"/>
  <c r="AJ51" i="5"/>
  <c r="U82" i="5"/>
  <c r="U80" i="5"/>
  <c r="N54" i="5"/>
  <c r="N52" i="5"/>
  <c r="AH54" i="5"/>
  <c r="AH52" i="5"/>
  <c r="O81" i="5"/>
  <c r="O79" i="5"/>
  <c r="H53" i="5"/>
  <c r="H51" i="5"/>
  <c r="T54" i="5"/>
  <c r="T52" i="5"/>
  <c r="AP54" i="5"/>
  <c r="AP52" i="5"/>
  <c r="AA54" i="5"/>
  <c r="AA52" i="5"/>
  <c r="M54" i="5"/>
  <c r="M52" i="5"/>
  <c r="AQ81" i="5"/>
  <c r="AQ79" i="5"/>
  <c r="V53" i="5"/>
  <c r="V51" i="5"/>
  <c r="AQ53" i="4"/>
  <c r="AQ51" i="4"/>
  <c r="AB54" i="4"/>
  <c r="AB52" i="4"/>
  <c r="H51" i="4"/>
  <c r="H53" i="4"/>
  <c r="AJ53" i="4"/>
  <c r="AJ51" i="4"/>
  <c r="U82" i="4"/>
  <c r="U80" i="4"/>
  <c r="N80" i="4"/>
  <c r="N82" i="4"/>
  <c r="H81" i="4"/>
  <c r="H79" i="4"/>
  <c r="AQ81" i="4"/>
  <c r="AQ79" i="4"/>
  <c r="AB80" i="4"/>
  <c r="AB82" i="4"/>
  <c r="O81" i="4"/>
  <c r="O79" i="4"/>
  <c r="N54" i="4"/>
  <c r="N52" i="4"/>
  <c r="G54" i="4"/>
  <c r="G52" i="4"/>
  <c r="AP82" i="4"/>
  <c r="AP80" i="4"/>
  <c r="AP54" i="4"/>
  <c r="AP52" i="4"/>
  <c r="AC53" i="4"/>
  <c r="AC51" i="4"/>
  <c r="AI54" i="4"/>
  <c r="AI52" i="4"/>
  <c r="V81" i="4"/>
  <c r="V79" i="4"/>
  <c r="AC81" i="4"/>
  <c r="AC79" i="4"/>
  <c r="G82" i="4"/>
  <c r="G80" i="4"/>
  <c r="F54" i="3"/>
  <c r="F52" i="3"/>
  <c r="AB54" i="3"/>
  <c r="AB52" i="3"/>
  <c r="O81" i="3"/>
  <c r="O79" i="3"/>
  <c r="AH54" i="3"/>
  <c r="AH52" i="3"/>
  <c r="N54" i="3"/>
  <c r="N52" i="3"/>
  <c r="AQ53" i="3"/>
  <c r="AQ51" i="3"/>
  <c r="H81" i="3"/>
  <c r="H79" i="3"/>
  <c r="AB82" i="3"/>
  <c r="AB80" i="3"/>
  <c r="AI52" i="3"/>
  <c r="AI54" i="3"/>
  <c r="U82" i="3"/>
  <c r="U80" i="3"/>
  <c r="O53" i="3"/>
  <c r="O51" i="3"/>
  <c r="AP82" i="3"/>
  <c r="AP80" i="3"/>
  <c r="U54" i="3"/>
  <c r="U52" i="3"/>
  <c r="T54" i="3"/>
  <c r="T52" i="3"/>
  <c r="F82" i="3"/>
  <c r="F80" i="3"/>
  <c r="AC53" i="3"/>
  <c r="AC51" i="3"/>
  <c r="N82" i="3"/>
  <c r="N80" i="3"/>
  <c r="G52" i="3"/>
  <c r="G54" i="3"/>
  <c r="AJ53" i="3"/>
  <c r="AJ51" i="3"/>
  <c r="G82" i="3"/>
  <c r="G80" i="3"/>
  <c r="AC81" i="3"/>
  <c r="AC79" i="3"/>
  <c r="H53" i="3"/>
  <c r="H51" i="3"/>
  <c r="V81" i="3"/>
  <c r="V79" i="3"/>
  <c r="T82" i="3"/>
  <c r="T80" i="3"/>
  <c r="AP54" i="3"/>
  <c r="AP52" i="3"/>
  <c r="AO82" i="3"/>
  <c r="AO80" i="3"/>
  <c r="AQ81" i="3"/>
  <c r="AQ79" i="3"/>
  <c r="V53" i="3"/>
  <c r="V51" i="3"/>
  <c r="V54" i="5" l="1"/>
  <c r="V52" i="5"/>
  <c r="AQ82" i="5"/>
  <c r="AQ80" i="5"/>
  <c r="V82" i="5"/>
  <c r="V80" i="5"/>
  <c r="AJ54" i="5"/>
  <c r="AJ52" i="5"/>
  <c r="AQ54" i="5"/>
  <c r="AQ52" i="5"/>
  <c r="O82" i="5"/>
  <c r="O80" i="5"/>
  <c r="H54" i="5"/>
  <c r="H52" i="5"/>
  <c r="AC82" i="5"/>
  <c r="AC80" i="5"/>
  <c r="O54" i="5"/>
  <c r="O52" i="5"/>
  <c r="H82" i="5"/>
  <c r="H80" i="5"/>
  <c r="O82" i="4"/>
  <c r="O80" i="4"/>
  <c r="AC82" i="4"/>
  <c r="AC80" i="4"/>
  <c r="V82" i="4"/>
  <c r="V80" i="4"/>
  <c r="AC54" i="4"/>
  <c r="AC52" i="4"/>
  <c r="AQ82" i="4"/>
  <c r="AQ80" i="4"/>
  <c r="AQ54" i="4"/>
  <c r="AQ52" i="4"/>
  <c r="H52" i="4"/>
  <c r="H54" i="4"/>
  <c r="H82" i="4"/>
  <c r="H80" i="4"/>
  <c r="AJ52" i="4"/>
  <c r="AJ54" i="4"/>
  <c r="AQ82" i="3"/>
  <c r="AQ80" i="3"/>
  <c r="H54" i="3"/>
  <c r="H52" i="3"/>
  <c r="AC54" i="3"/>
  <c r="AC52" i="3"/>
  <c r="H82" i="3"/>
  <c r="H80" i="3"/>
  <c r="V54" i="3"/>
  <c r="V52" i="3"/>
  <c r="V82" i="3"/>
  <c r="V80" i="3"/>
  <c r="AC82" i="3"/>
  <c r="AC80" i="3"/>
  <c r="O54" i="3"/>
  <c r="O52" i="3"/>
  <c r="AQ54" i="3"/>
  <c r="AQ52" i="3"/>
  <c r="AJ54" i="3"/>
  <c r="AJ52" i="3"/>
  <c r="O82" i="3"/>
  <c r="O80" i="3"/>
</calcChain>
</file>

<file path=xl/sharedStrings.xml><?xml version="1.0" encoding="utf-8"?>
<sst xmlns="http://schemas.openxmlformats.org/spreadsheetml/2006/main" count="1175" uniqueCount="116">
  <si>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</si>
  <si>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</si>
  <si>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</si>
  <si>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</si>
  <si>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</si>
  <si>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</si>
  <si>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</si>
  <si>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</si>
  <si>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</si>
  <si>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</si>
  <si>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</si>
  <si>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</si>
  <si>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</si>
  <si>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</si>
  <si>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</si>
  <si>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</si>
  <si>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Empty</t>
  </si>
  <si>
    <t>OAZ1</t>
  </si>
  <si>
    <t>ACTB</t>
  </si>
  <si>
    <t>RPL27</t>
  </si>
  <si>
    <t>RPL30</t>
  </si>
  <si>
    <t>RPLP1</t>
  </si>
  <si>
    <t>CCSSER2</t>
  </si>
  <si>
    <t>GUSB</t>
  </si>
  <si>
    <t>PGK1</t>
  </si>
  <si>
    <t>EPAS1</t>
  </si>
  <si>
    <t>TBP</t>
  </si>
  <si>
    <t>TFRC</t>
  </si>
  <si>
    <t>Standard</t>
  </si>
  <si>
    <t xml:space="preserve">Normoxia </t>
  </si>
  <si>
    <t>Hypoxia 8 hours</t>
  </si>
  <si>
    <t>Hypoxia 48 hours</t>
  </si>
  <si>
    <r>
      <t>dH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</si>
  <si>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ng / ul</t>
  </si>
  <si>
    <t>Water</t>
  </si>
  <si>
    <t>0hr T1</t>
  </si>
  <si>
    <t>0hr T2</t>
  </si>
  <si>
    <t>0hr T3</t>
  </si>
  <si>
    <t>8hr T1</t>
  </si>
  <si>
    <t>8hr T2</t>
  </si>
  <si>
    <t>8hr T3</t>
  </si>
  <si>
    <t>48hr T1</t>
  </si>
  <si>
    <t>48hr T2</t>
  </si>
  <si>
    <t>48hr T3</t>
  </si>
  <si>
    <t>Avg Ct</t>
  </si>
  <si>
    <t>Log</t>
  </si>
  <si>
    <t>P. efficiency (%)</t>
  </si>
  <si>
    <t>cDNA Pool Standard</t>
  </si>
  <si>
    <t>CCSER2</t>
  </si>
  <si>
    <t>Undetermined</t>
  </si>
  <si>
    <t>10^((Average Ct - 22.995)/-3.249)</t>
  </si>
  <si>
    <t>10^((Average Ct - 21.592)/-3.4567)</t>
  </si>
  <si>
    <t>10^((Average Ct - 20.308)/-3.2909)</t>
  </si>
  <si>
    <t>10^((Average Ct - 25.289)/-1.6578)</t>
  </si>
  <si>
    <t>10^((Average Ct - 19.28)/-3.2487)</t>
  </si>
  <si>
    <t>10^((Average Ct - 26.275)/-2.982)</t>
  </si>
  <si>
    <t>10^((Average Ct - 25.749)/-3.1978)</t>
  </si>
  <si>
    <t>10^((Average Ct - 22.944)/-3.1613)</t>
  </si>
  <si>
    <t>10^((Average Ct - 21.22)/-3.2816)</t>
  </si>
  <si>
    <t>10^((Average Ct - 29.839)/-2.6465)</t>
  </si>
  <si>
    <t>P. efficiency</t>
  </si>
  <si>
    <t>TP</t>
  </si>
  <si>
    <t>Time point</t>
  </si>
  <si>
    <t>Ct</t>
  </si>
  <si>
    <t>Cycle threshold</t>
  </si>
  <si>
    <t>RE</t>
  </si>
  <si>
    <t>Relative expression</t>
  </si>
  <si>
    <t>ECCt</t>
  </si>
  <si>
    <t>Efficiency corrected cycle threshold</t>
  </si>
  <si>
    <t>ECRE</t>
  </si>
  <si>
    <t>Efficiency corrected relative expression</t>
  </si>
  <si>
    <t>Ct Mean</t>
  </si>
  <si>
    <t>Mean Ct for this gene</t>
  </si>
  <si>
    <t>Ct SD</t>
  </si>
  <si>
    <t>Standard deviation of Ct in this gene</t>
  </si>
  <si>
    <t>Ct CV</t>
  </si>
  <si>
    <t>Coefficient of variation for this gene</t>
  </si>
  <si>
    <t>Formulas</t>
  </si>
  <si>
    <r>
      <rPr>
        <sz val="11"/>
        <color theme="0"/>
        <rFont val="Calibri"/>
        <family val="2"/>
        <scheme val="minor"/>
      </rPr>
      <t xml:space="preserve"> *</t>
    </r>
    <r>
      <rPr>
        <sz val="11"/>
        <color theme="1"/>
        <rFont val="Calibri"/>
        <family val="2"/>
        <scheme val="minor"/>
      </rPr>
      <t>=SUM(Ct*(log(p.efficiency)/log(2)))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</si>
  <si>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=AVERAGE(0hrT1:48hrT3)</t>
    </r>
  </si>
  <si>
    <t>** Water samples not included in calculations **</t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</si>
  <si>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=STDEV(0hrT1:48hrT3)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</si>
  <si>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=SUM(Ct SD / Ct Mean)</t>
    </r>
  </si>
  <si>
    <t>10^((Average Ct - 21.19)/-3.3709))</t>
  </si>
  <si>
    <t>Mean</t>
  </si>
  <si>
    <t>SE</t>
  </si>
  <si>
    <t>SD</t>
  </si>
  <si>
    <t>CV</t>
  </si>
  <si>
    <t>Experiment  information</t>
  </si>
  <si>
    <t>Seeded</t>
  </si>
  <si>
    <t>RNA extraction</t>
  </si>
  <si>
    <t>RNA integrity check</t>
  </si>
  <si>
    <t>cDNA synthesis</t>
  </si>
  <si>
    <t>RT-qPCR</t>
  </si>
  <si>
    <t>10^((Average Ct - 22.868)/-3.2767)</t>
  </si>
  <si>
    <t>10^((Average Ct - 20.509)/-4.9817)</t>
  </si>
  <si>
    <t>10^((Average Ct - 22.137)/-3.1381)</t>
  </si>
  <si>
    <t>10^((Average Ct - 19.968)/-3.176)</t>
  </si>
  <si>
    <t>10^((Average Ct - 25.684)/-2.5086)</t>
  </si>
  <si>
    <t>10^((Average Ct - 24.981)/-2.8066)</t>
  </si>
  <si>
    <t>10^((Average Ct - 22.027)/-2.7862)</t>
  </si>
  <si>
    <t>10^((Average Ct - 21.127)/-3.2775)</t>
  </si>
  <si>
    <t>10^((Average Ct - 28.107)/-1.1698)</t>
  </si>
  <si>
    <t>10^((Average Ct - 23.448)/-1.1199)</t>
  </si>
  <si>
    <t>10^((Average Ct - 21.784)/-3.346)</t>
  </si>
  <si>
    <t>10^((Average Ct - 24.344)/-3.2507)</t>
  </si>
  <si>
    <t>10^((Average Ct - 23.469)/-5.8514)</t>
  </si>
  <si>
    <t>10^((Average Ct - 24.481)/-0.7118)</t>
  </si>
  <si>
    <t>10^((Average Ct - 23.133)/-3.3019)</t>
  </si>
  <si>
    <t>10^((Average Ct - 21.22)/-3.2306)</t>
  </si>
  <si>
    <t>10^((Average Ct - 23.227)/-3.4997)</t>
  </si>
  <si>
    <t>10^((Average Ct - 26.641)/-2.0996)</t>
  </si>
  <si>
    <t>10^((Average Ct - 26.576)/-2.7277)</t>
  </si>
  <si>
    <t>10^((Average Ct - 23.127)/-2.3776)</t>
  </si>
  <si>
    <t>10^((Average Ct - 23.013)/-3.3883)</t>
  </si>
  <si>
    <t>10^((Average Ct - 28.713)/-0.9721)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</si>
</sst>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79998168889431442"/>
        <bgColor theme="0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 wrapText="1"/>
    </xf>
    <xf numFmtId="0" fontId="5" fillId="12" borderId="38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vertical="center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vertical="center"/>
    </xf>
    <xf numFmtId="2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6" fillId="9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vertical="center" textRotation="90" wrapText="1"/>
    </xf>
    <xf numFmtId="0" fontId="5" fillId="12" borderId="0" xfId="0" applyFont="1" applyFill="1" applyAlignment="1">
      <alignment vertical="center"/>
    </xf>
    <xf numFmtId="2" fontId="5" fillId="13" borderId="7" xfId="0" applyNumberFormat="1" applyFont="1" applyFill="1" applyBorder="1" applyAlignment="1">
      <alignment horizontal="center" vertical="center"/>
    </xf>
    <xf numFmtId="2" fontId="5" fillId="13" borderId="8" xfId="0" applyNumberFormat="1" applyFont="1" applyFill="1" applyBorder="1" applyAlignment="1">
      <alignment horizontal="center" vertical="center"/>
    </xf>
    <xf numFmtId="2" fontId="5" fillId="13" borderId="9" xfId="0" applyNumberFormat="1" applyFont="1" applyFill="1" applyBorder="1" applyAlignment="1">
      <alignment horizontal="center" vertical="center"/>
    </xf>
    <xf numFmtId="2" fontId="5" fillId="14" borderId="8" xfId="0" applyNumberFormat="1" applyFont="1" applyFill="1" applyBorder="1" applyAlignment="1">
      <alignment horizontal="center" vertical="center"/>
    </xf>
    <xf numFmtId="2" fontId="5" fillId="15" borderId="47" xfId="0" applyNumberFormat="1" applyFont="1" applyFill="1" applyBorder="1" applyAlignment="1">
      <alignment horizontal="center" vertical="center"/>
    </xf>
    <xf numFmtId="2" fontId="5" fillId="15" borderId="8" xfId="0" applyNumberFormat="1" applyFont="1" applyFill="1" applyBorder="1" applyAlignment="1">
      <alignment horizontal="center" vertical="center"/>
    </xf>
    <xf numFmtId="2" fontId="5" fillId="15" borderId="9" xfId="0" applyNumberFormat="1" applyFont="1" applyFill="1" applyBorder="1" applyAlignment="1">
      <alignment horizontal="center" vertical="center"/>
    </xf>
    <xf numFmtId="2" fontId="5" fillId="13" borderId="48" xfId="0" applyNumberFormat="1" applyFont="1" applyFill="1" applyBorder="1" applyAlignment="1">
      <alignment horizontal="center" vertical="center"/>
    </xf>
    <xf numFmtId="2" fontId="5" fillId="13" borderId="10" xfId="0" applyNumberFormat="1" applyFont="1" applyFill="1" applyBorder="1" applyAlignment="1">
      <alignment horizontal="center" vertical="center"/>
    </xf>
    <xf numFmtId="2" fontId="5" fillId="13" borderId="5" xfId="0" applyNumberFormat="1" applyFont="1" applyFill="1" applyBorder="1" applyAlignment="1">
      <alignment horizontal="center" vertical="center"/>
    </xf>
    <xf numFmtId="2" fontId="5" fillId="14" borderId="10" xfId="0" applyNumberFormat="1" applyFont="1" applyFill="1" applyBorder="1" applyAlignment="1">
      <alignment horizontal="center" vertical="center"/>
    </xf>
    <xf numFmtId="2" fontId="5" fillId="15" borderId="48" xfId="0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5" fillId="15" borderId="5" xfId="0" applyNumberFormat="1" applyFont="1" applyFill="1" applyBorder="1" applyAlignment="1">
      <alignment horizontal="center" vertical="center"/>
    </xf>
    <xf numFmtId="2" fontId="5" fillId="16" borderId="1" xfId="0" applyNumberFormat="1" applyFont="1" applyFill="1" applyBorder="1" applyAlignment="1">
      <alignment horizontal="center" vertical="center"/>
    </xf>
    <xf numFmtId="2" fontId="5" fillId="16" borderId="45" xfId="0" applyNumberFormat="1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/>
    </xf>
    <xf numFmtId="2" fontId="5" fillId="17" borderId="40" xfId="0" applyNumberFormat="1" applyFont="1" applyFill="1" applyBorder="1" applyAlignment="1">
      <alignment horizontal="center"/>
    </xf>
    <xf numFmtId="2" fontId="5" fillId="17" borderId="41" xfId="0" applyNumberFormat="1" applyFont="1" applyFill="1" applyBorder="1" applyAlignment="1">
      <alignment horizontal="center"/>
    </xf>
    <xf numFmtId="0" fontId="5" fillId="17" borderId="42" xfId="0" applyFont="1" applyFill="1" applyBorder="1" applyAlignment="1">
      <alignment horizontal="center"/>
    </xf>
    <xf numFmtId="2" fontId="5" fillId="17" borderId="43" xfId="0" applyNumberFormat="1" applyFont="1" applyFill="1" applyBorder="1" applyAlignment="1">
      <alignment horizontal="center"/>
    </xf>
    <xf numFmtId="2" fontId="5" fillId="17" borderId="44" xfId="0" applyNumberFormat="1" applyFont="1" applyFill="1" applyBorder="1" applyAlignment="1">
      <alignment horizontal="center"/>
    </xf>
    <xf numFmtId="0" fontId="5" fillId="12" borderId="37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0" fillId="9" borderId="2" xfId="0" applyFill="1" applyBorder="1"/>
    <xf numFmtId="0" fontId="0" fillId="9" borderId="3" xfId="0" applyFill="1" applyBorder="1"/>
    <xf numFmtId="0" fontId="1" fillId="9" borderId="4" xfId="0" applyFont="1" applyFill="1" applyBorder="1" applyAlignment="1">
      <alignment horizontal="center" vertical="center"/>
    </xf>
    <xf numFmtId="0" fontId="0" fillId="9" borderId="6" xfId="0" applyFill="1" applyBorder="1"/>
    <xf numFmtId="0" fontId="1" fillId="9" borderId="10" xfId="0" applyFont="1" applyFill="1" applyBorder="1" applyAlignment="1">
      <alignment horizontal="center" vertical="center"/>
    </xf>
    <xf numFmtId="0" fontId="0" fillId="9" borderId="53" xfId="0" applyFill="1" applyBorder="1"/>
    <xf numFmtId="0" fontId="0" fillId="9" borderId="54" xfId="0" applyFill="1" applyBorder="1"/>
    <xf numFmtId="0" fontId="2" fillId="9" borderId="5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2" fontId="5" fillId="18" borderId="20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0" fillId="9" borderId="15" xfId="0" applyFill="1" applyBorder="1" applyAlignment="1">
      <alignment horizontal="left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14" fontId="0" fillId="9" borderId="0" xfId="0" applyNumberFormat="1" applyFill="1" applyAlignment="1">
      <alignment horizontal="right" vertical="center"/>
    </xf>
    <xf numFmtId="14" fontId="0" fillId="9" borderId="16" xfId="0" applyNumberFormat="1" applyFill="1" applyBorder="1" applyAlignment="1">
      <alignment horizontal="right" vertical="center"/>
    </xf>
    <xf numFmtId="14" fontId="0" fillId="9" borderId="18" xfId="0" applyNumberFormat="1" applyFill="1" applyBorder="1" applyAlignment="1">
      <alignment horizontal="right" vertical="center"/>
    </xf>
    <xf numFmtId="14" fontId="0" fillId="9" borderId="19" xfId="0" applyNumberForma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58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9" borderId="59" xfId="0" applyFont="1" applyFill="1" applyBorder="1" applyAlignment="1">
      <alignment horizontal="center" vertical="center"/>
    </xf>
    <xf numFmtId="0" fontId="5" fillId="12" borderId="46" xfId="0" applyFont="1" applyFill="1" applyBorder="1" applyAlignment="1">
      <alignment horizontal="center"/>
    </xf>
    <xf numFmtId="0" fontId="5" fillId="12" borderId="55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2" borderId="46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5" fillId="16" borderId="53" xfId="0" applyFont="1" applyFill="1" applyBorder="1" applyAlignment="1">
      <alignment horizontal="center" vertical="center" wrapText="1"/>
    </xf>
    <xf numFmtId="0" fontId="5" fillId="16" borderId="50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textRotation="90" wrapText="1"/>
    </xf>
    <xf numFmtId="0" fontId="9" fillId="12" borderId="8" xfId="0" applyFont="1" applyFill="1" applyBorder="1" applyAlignment="1">
      <alignment horizontal="center" vertical="center" textRotation="90" wrapText="1"/>
    </xf>
    <xf numFmtId="0" fontId="9" fillId="12" borderId="57" xfId="0" applyFont="1" applyFill="1" applyBorder="1" applyAlignment="1">
      <alignment horizontal="center" vertical="center" textRotation="90" wrapText="1"/>
    </xf>
    <xf numFmtId="0" fontId="5" fillId="12" borderId="49" xfId="0" applyFont="1" applyFill="1" applyBorder="1" applyAlignment="1">
      <alignment horizontal="center" vertical="center"/>
    </xf>
    <xf numFmtId="0" fontId="5" fillId="12" borderId="5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 wrapText="1"/>
    </xf>
    <xf numFmtId="0" fontId="6" fillId="9" borderId="51" xfId="0" applyFont="1" applyFill="1" applyBorder="1"/>
    <xf numFmtId="0" fontId="6" fillId="9" borderId="44" xfId="0" applyFont="1" applyFill="1" applyBorder="1"/>
    <xf numFmtId="0" fontId="5" fillId="12" borderId="35" xfId="0" applyFont="1" applyFill="1" applyBorder="1" applyAlignment="1">
      <alignment horizontal="center" vertical="center" wrapText="1"/>
    </xf>
    <xf numFmtId="0" fontId="6" fillId="9" borderId="36" xfId="0" applyFont="1" applyFill="1" applyBorder="1"/>
    <xf numFmtId="0" fontId="6" fillId="9" borderId="37" xfId="0" applyFont="1" applyFill="1" applyBorder="1"/>
    <xf numFmtId="0" fontId="6" fillId="9" borderId="36" xfId="0" applyFont="1" applyFill="1" applyBorder="1" applyAlignment="1">
      <alignment wrapText="1"/>
    </xf>
    <xf numFmtId="0" fontId="6" fillId="9" borderId="37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5" fillId="16" borderId="49" xfId="0" applyFont="1" applyFill="1" applyBorder="1" applyAlignment="1">
      <alignment horizontal="center" vertical="center" wrapText="1"/>
    </xf>
    <xf numFmtId="0" fontId="8" fillId="7" borderId="50" xfId="0" applyFont="1" applyFill="1" applyBorder="1"/>
    <xf numFmtId="0" fontId="9" fillId="12" borderId="6" xfId="0" applyFont="1" applyFill="1" applyBorder="1" applyAlignment="1">
      <alignment horizontal="center" vertical="center" textRotation="90" wrapText="1"/>
    </xf>
    <xf numFmtId="0" fontId="9" fillId="12" borderId="56" xfId="0" applyFont="1" applyFill="1" applyBorder="1" applyAlignment="1">
      <alignment horizontal="center" vertical="center" textRotation="90" wrapText="1"/>
    </xf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54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2726914263045E-2"/>
                  <c:y val="-0.3557844737816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(R1)'!$E$31:$E$35</c:f>
              <c:numCache>
                <c:formatCode>0.00</c:formatCode>
                <c:ptCount val="5"/>
                <c:pt idx="0">
                  <c:v>27.90113644473465</c:v>
                </c:pt>
                <c:pt idx="1">
                  <c:v>25.54146803577725</c:v>
                </c:pt>
                <c:pt idx="2">
                  <c:v>23.279311177703949</c:v>
                </c:pt>
                <c:pt idx="3">
                  <c:v>21.021146871118852</c:v>
                </c:pt>
                <c:pt idx="4">
                  <c:v>18.806424551788751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D19-9177-D7B0A0D1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25375"/>
        <c:axId val="1470613631"/>
      </c:scatterChart>
      <c:valAx>
        <c:axId val="14653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3631"/>
        <c:crosses val="autoZero"/>
        <c:crossBetween val="midCat"/>
      </c:valAx>
      <c:valAx>
        <c:axId val="14706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8119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(R1)'!$T$59:$T$63</c:f>
              <c:numCache>
                <c:formatCode>0.00</c:formatCode>
                <c:ptCount val="5"/>
                <c:pt idx="0">
                  <c:v>25.962686709084451</c:v>
                </c:pt>
                <c:pt idx="1">
                  <c:v>23.874307761171799</c:v>
                </c:pt>
                <c:pt idx="2">
                  <c:v>21.801476143483953</c:v>
                </c:pt>
                <c:pt idx="3">
                  <c:v>19.236852455196949</c:v>
                </c:pt>
                <c:pt idx="4">
                  <c:v>16.812812400404951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7-4EEC-B171-B160A6C4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57871"/>
        <c:axId val="1469950831"/>
      </c:scatterChart>
      <c:valAx>
        <c:axId val="1644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0831"/>
        <c:crosses val="autoZero"/>
        <c:crossBetween val="midCat"/>
      </c:valAx>
      <c:valAx>
        <c:axId val="1469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32204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(R1)'!$AD$59:$AD$63</c:f>
              <c:numCache>
                <c:formatCode>0.00</c:formatCode>
                <c:ptCount val="5"/>
                <c:pt idx="0">
                  <c:v>33.717808885136705</c:v>
                </c:pt>
                <c:pt idx="1">
                  <c:v>32.153864089346897</c:v>
                </c:pt>
                <c:pt idx="2">
                  <c:v>30.008975931678002</c:v>
                </c:pt>
                <c:pt idx="3">
                  <c:v>28.10497623017865</c:v>
                </c:pt>
                <c:pt idx="4">
                  <c:v>26.493149861020001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05E-A97F-6C42AFBE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0655"/>
        <c:axId val="1469955631"/>
      </c:scatterChart>
      <c:valAx>
        <c:axId val="1644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5631"/>
        <c:crosses val="autoZero"/>
        <c:crossBetween val="midCat"/>
      </c:valAx>
      <c:valAx>
        <c:axId val="14699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449833177632458E-2"/>
                  <c:y val="-0.3638387737940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(R2)'!$E$31:$E$35</c:f>
              <c:numCache>
                <c:formatCode>0.00</c:formatCode>
                <c:ptCount val="5"/>
                <c:pt idx="0">
                  <c:v>27.867773557343753</c:v>
                </c:pt>
                <c:pt idx="1">
                  <c:v>25.369422390078547</c:v>
                </c:pt>
                <c:pt idx="2">
                  <c:v>23.170446045765051</c:v>
                </c:pt>
                <c:pt idx="3">
                  <c:v>20.839123164424599</c:v>
                </c:pt>
                <c:pt idx="4">
                  <c:v>18.681503878957152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C-40AF-8130-32C0A5C0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5199"/>
        <c:axId val="335738895"/>
      </c:scatterChart>
      <c:valAx>
        <c:axId val="68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8895"/>
        <c:crosses val="autoZero"/>
        <c:crossBetween val="midCat"/>
      </c:valAx>
      <c:valAx>
        <c:axId val="3357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981698233666738E-2"/>
                  <c:y val="-0.49958795199143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(R2)'!$J$31:$J$35</c:f>
              <c:numCache>
                <c:formatCode>0.00</c:formatCode>
                <c:ptCount val="5"/>
                <c:pt idx="0">
                  <c:v>28.792143704652453</c:v>
                </c:pt>
                <c:pt idx="1">
                  <c:v>23.977543707865401</c:v>
                </c:pt>
                <c:pt idx="2">
                  <c:v>20.137653200282099</c:v>
                </c:pt>
                <c:pt idx="3">
                  <c:v>17.365384964208403</c:v>
                </c:pt>
                <c:pt idx="4">
                  <c:v>14.688048778791849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0C6-8354-C8B195EC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15183"/>
        <c:axId val="341497023"/>
      </c:scatterChart>
      <c:valAx>
        <c:axId val="34211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7023"/>
        <c:crosses val="autoZero"/>
        <c:crossBetween val="midCat"/>
      </c:valAx>
      <c:valAx>
        <c:axId val="3414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981698233666738E-2"/>
                  <c:y val="-0.7191331291921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(R2)'!$O$31:$O$35</c:f>
              <c:numCache>
                <c:formatCode>0.00</c:formatCode>
                <c:ptCount val="5"/>
                <c:pt idx="0">
                  <c:v>25.70361433735355</c:v>
                </c:pt>
                <c:pt idx="1">
                  <c:v>23.861545555751</c:v>
                </c:pt>
                <c:pt idx="2">
                  <c:v>22.87113128598395</c:v>
                </c:pt>
                <c:pt idx="3">
                  <c:v>23.24969743580905</c:v>
                </c:pt>
                <c:pt idx="4">
                  <c:v>22.095746747656548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5-49E7-9A69-CBB69A2F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5871"/>
        <c:axId val="341491743"/>
      </c:scatterChart>
      <c:valAx>
        <c:axId val="11005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1743"/>
        <c:crosses val="autoZero"/>
        <c:crossBetween val="midCat"/>
      </c:valAx>
      <c:valAx>
        <c:axId val="3414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97290804751097E-2"/>
                  <c:y val="-0.35930008748906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(R2)'!$T$31:$T$35</c:f>
              <c:numCache>
                <c:formatCode>0.00</c:formatCode>
                <c:ptCount val="5"/>
                <c:pt idx="0">
                  <c:v>26.9694106233759</c:v>
                </c:pt>
                <c:pt idx="1">
                  <c:v>24.595285458214601</c:v>
                </c:pt>
                <c:pt idx="2">
                  <c:v>22.289950538567702</c:v>
                </c:pt>
                <c:pt idx="3">
                  <c:v>20.101062457615448</c:v>
                </c:pt>
                <c:pt idx="4">
                  <c:v>18.2493250255703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4-465C-BFB7-F9AA97FF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25359"/>
        <c:axId val="341489343"/>
      </c:scatterChart>
      <c:valAx>
        <c:axId val="11022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89343"/>
        <c:crosses val="autoZero"/>
        <c:crossBetween val="midCat"/>
      </c:valAx>
      <c:valAx>
        <c:axId val="3414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4305351661551E-2"/>
                  <c:y val="-0.42186533974919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(R2)'!$Y$31:$Y$35</c:f>
              <c:numCache>
                <c:formatCode>0.00</c:formatCode>
                <c:ptCount val="5"/>
                <c:pt idx="0">
                  <c:v>24.851799474434053</c:v>
                </c:pt>
                <c:pt idx="1">
                  <c:v>22.450112670961602</c:v>
                </c:pt>
                <c:pt idx="2">
                  <c:v>20.157455701840398</c:v>
                </c:pt>
                <c:pt idx="3">
                  <c:v>17.882103478618497</c:v>
                </c:pt>
                <c:pt idx="4">
                  <c:v>16.036334337013098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8-4D5A-B89B-6DBED98D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20255"/>
        <c:axId val="1104491791"/>
      </c:scatterChart>
      <c:valAx>
        <c:axId val="11022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91791"/>
        <c:crosses val="autoZero"/>
        <c:crossBetween val="midCat"/>
      </c:valAx>
      <c:valAx>
        <c:axId val="11044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14239957293476E-2"/>
                  <c:y val="-0.38815944881889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(R2)'!$AD$31:$AD$35</c:f>
              <c:numCache>
                <c:formatCode>0.00</c:formatCode>
                <c:ptCount val="5"/>
                <c:pt idx="0">
                  <c:v>26.839969508040951</c:v>
                </c:pt>
                <c:pt idx="1">
                  <c:v>24.423110028182251</c:v>
                </c:pt>
                <c:pt idx="2">
                  <c:v>22.065400040464198</c:v>
                </c:pt>
                <c:pt idx="3">
                  <c:v>19.712917978344947</c:v>
                </c:pt>
                <c:pt idx="4">
                  <c:v>17.501447145080199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D-488E-A423-CE89CFF0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65727"/>
        <c:axId val="1104507151"/>
      </c:scatterChart>
      <c:valAx>
        <c:axId val="11063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07151"/>
        <c:crosses val="autoZero"/>
        <c:crossBetween val="midCat"/>
      </c:valAx>
      <c:valAx>
        <c:axId val="11045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075678040245E-2"/>
                  <c:y val="-0.33597258675998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(R2)'!$E$59:$E$63</c:f>
              <c:numCache>
                <c:formatCode>0.00</c:formatCode>
                <c:ptCount val="5"/>
                <c:pt idx="0">
                  <c:v>29.066290437246153</c:v>
                </c:pt>
                <c:pt idx="1">
                  <c:v>27.724412733788949</c:v>
                </c:pt>
                <c:pt idx="2">
                  <c:v>26.5007223520727</c:v>
                </c:pt>
                <c:pt idx="3">
                  <c:v>24.369069906365198</c:v>
                </c:pt>
                <c:pt idx="4">
                  <c:v>21.97662979601165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4-4E6B-81B3-933F7489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29103"/>
        <c:axId val="1104513871"/>
      </c:scatterChart>
      <c:valAx>
        <c:axId val="11075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3871"/>
        <c:crosses val="autoZero"/>
        <c:crossBetween val="midCat"/>
      </c:valAx>
      <c:valAx>
        <c:axId val="11045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2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4918926800816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(R2)'!$J$59:$J$63</c:f>
              <c:numCache>
                <c:formatCode>0.00</c:formatCode>
                <c:ptCount val="5"/>
                <c:pt idx="0">
                  <c:v>28.952566965126998</c:v>
                </c:pt>
                <c:pt idx="1">
                  <c:v>27.184781813853849</c:v>
                </c:pt>
                <c:pt idx="2">
                  <c:v>25.730108557958353</c:v>
                </c:pt>
                <c:pt idx="3">
                  <c:v>23.318658447056801</c:v>
                </c:pt>
                <c:pt idx="4">
                  <c:v>21.077142932901552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1-4BBD-8337-FD47FA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61855"/>
        <c:axId val="1104515311"/>
      </c:scatterChart>
      <c:valAx>
        <c:axId val="11087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5311"/>
        <c:crosses val="autoZero"/>
        <c:crossBetween val="midCat"/>
      </c:valAx>
      <c:valAx>
        <c:axId val="11045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6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23596529600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(R1)'!$J$31:$J$35</c:f>
              <c:numCache>
                <c:formatCode>0.00</c:formatCode>
                <c:ptCount val="5"/>
                <c:pt idx="0">
                  <c:v>26.723584590121597</c:v>
                </c:pt>
                <c:pt idx="1">
                  <c:v>24.338474480138352</c:v>
                </c:pt>
                <c:pt idx="2">
                  <c:v>22.075735015575351</c:v>
                </c:pt>
                <c:pt idx="3">
                  <c:v>19.36819257867845</c:v>
                </c:pt>
                <c:pt idx="4">
                  <c:v>17.127972621666949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4-44E0-B495-51EF9914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88399"/>
        <c:axId val="1470631391"/>
      </c:scatterChart>
      <c:valAx>
        <c:axId val="14743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1391"/>
        <c:crosses val="autoZero"/>
        <c:crossBetween val="midCat"/>
      </c:valAx>
      <c:valAx>
        <c:axId val="1470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5093102945465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(R2)'!$O$59:$O$63</c:f>
              <c:numCache>
                <c:formatCode>0.00</c:formatCode>
                <c:ptCount val="5"/>
                <c:pt idx="0">
                  <c:v>25.885242676229851</c:v>
                </c:pt>
                <c:pt idx="1">
                  <c:v>24.50624872986355</c:v>
                </c:pt>
                <c:pt idx="2">
                  <c:v>22.505149181876952</c:v>
                </c:pt>
                <c:pt idx="3">
                  <c:v>20.3776835258193</c:v>
                </c:pt>
                <c:pt idx="4">
                  <c:v>18.212250942828451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B-45AD-A6B0-BEA9C590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1999"/>
        <c:axId val="1104502351"/>
      </c:scatterChart>
      <c:valAx>
        <c:axId val="7163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02351"/>
        <c:crosses val="autoZero"/>
        <c:crossBetween val="midCat"/>
      </c:valAx>
      <c:valAx>
        <c:axId val="11045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0901137357831E-2"/>
                  <c:y val="-0.41569407990667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(R2)'!$T$59:$T$63</c:f>
              <c:numCache>
                <c:formatCode>0.00</c:formatCode>
                <c:ptCount val="5"/>
                <c:pt idx="0">
                  <c:v>26.034451678886001</c:v>
                </c:pt>
                <c:pt idx="1">
                  <c:v>23.834325744133402</c:v>
                </c:pt>
                <c:pt idx="2">
                  <c:v>21.347028800629403</c:v>
                </c:pt>
                <c:pt idx="3">
                  <c:v>19.024054734311449</c:v>
                </c:pt>
                <c:pt idx="4">
                  <c:v>16.985192350960951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7-423B-9629-4F352691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80895"/>
        <c:axId val="1104494671"/>
      </c:scatterChart>
      <c:valAx>
        <c:axId val="11123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94671"/>
        <c:crosses val="autoZero"/>
        <c:crossBetween val="midCat"/>
      </c:valAx>
      <c:valAx>
        <c:axId val="11044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8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075678040245E-2"/>
                  <c:y val="-0.66451516477107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(R2)'!$AC$59:$AC$63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(R2)'!$AD$59:$AD$63</c:f>
              <c:numCache>
                <c:formatCode>0.00</c:formatCode>
                <c:ptCount val="5"/>
                <c:pt idx="0">
                  <c:v>29.894710836414951</c:v>
                </c:pt>
                <c:pt idx="1">
                  <c:v>28.468512721936751</c:v>
                </c:pt>
                <c:pt idx="2">
                  <c:v>28.745841511246599</c:v>
                </c:pt>
                <c:pt idx="3">
                  <c:v>27.900742865611399</c:v>
                </c:pt>
                <c:pt idx="4">
                  <c:v>26.090368923140701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4CFA-B3BF-A40149E4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92031"/>
        <c:axId val="1104517231"/>
      </c:scatterChart>
      <c:valAx>
        <c:axId val="11123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7231"/>
        <c:crosses val="autoZero"/>
        <c:crossBetween val="midCat"/>
      </c:valAx>
      <c:valAx>
        <c:axId val="11045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68260310684653E-2"/>
                  <c:y val="-0.38091808159394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(R3)'!$E$31:$E$35</c:f>
              <c:numCache>
                <c:formatCode>0.00</c:formatCode>
                <c:ptCount val="5"/>
                <c:pt idx="0">
                  <c:v>29.169528589715853</c:v>
                </c:pt>
                <c:pt idx="1">
                  <c:v>26.982458448367449</c:v>
                </c:pt>
                <c:pt idx="2">
                  <c:v>24.6510295581731</c:v>
                </c:pt>
                <c:pt idx="3">
                  <c:v>22.38762579991705</c:v>
                </c:pt>
                <c:pt idx="4">
                  <c:v>20.106200945643749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7AB-8B17-5DA2C26D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3823"/>
        <c:axId val="785504927"/>
      </c:scatterChart>
      <c:valAx>
        <c:axId val="7841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4927"/>
        <c:crosses val="autoZero"/>
        <c:crossBetween val="midCat"/>
      </c:valAx>
      <c:valAx>
        <c:axId val="785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665419947506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(R3)'!$J$31:$J$35</c:f>
              <c:numCache>
                <c:formatCode>0.00</c:formatCode>
                <c:ptCount val="5"/>
                <c:pt idx="0">
                  <c:v>32.634717931142049</c:v>
                </c:pt>
                <c:pt idx="1">
                  <c:v>28.405182566301601</c:v>
                </c:pt>
                <c:pt idx="2">
                  <c:v>23.042236594603949</c:v>
                </c:pt>
                <c:pt idx="3">
                  <c:v>19.423715095717398</c:v>
                </c:pt>
                <c:pt idx="4">
                  <c:v>16.675703665338098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D-47D8-84C5-2AA7D679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03391"/>
        <c:axId val="785505343"/>
      </c:scatterChart>
      <c:valAx>
        <c:axId val="10047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5343"/>
        <c:crosses val="autoZero"/>
        <c:crossBetween val="midCat"/>
      </c:valAx>
      <c:valAx>
        <c:axId val="785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0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0901137357831E-2"/>
                  <c:y val="-0.67417395742198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(R3)'!$O$31:$O$35</c:f>
              <c:numCache>
                <c:formatCode>0.00</c:formatCode>
                <c:ptCount val="5"/>
                <c:pt idx="0">
                  <c:v>25.96393455665245</c:v>
                </c:pt>
                <c:pt idx="1">
                  <c:v>24.5982135834244</c:v>
                </c:pt>
                <c:pt idx="2">
                  <c:v>24.181252913641302</c:v>
                </c:pt>
                <c:pt idx="3">
                  <c:v>24.4636657771679</c:v>
                </c:pt>
                <c:pt idx="4">
                  <c:v>23.543592428620101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008-A170-DCF1194C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24287"/>
        <c:axId val="783223103"/>
      </c:scatterChart>
      <c:valAx>
        <c:axId val="858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23103"/>
        <c:crosses val="autoZero"/>
        <c:crossBetween val="midCat"/>
      </c:valAx>
      <c:valAx>
        <c:axId val="7832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451228492271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(R3)'!$T$31:$T$35</c:f>
              <c:numCache>
                <c:formatCode>0.00</c:formatCode>
                <c:ptCount val="5"/>
                <c:pt idx="0">
                  <c:v>28.194797516641</c:v>
                </c:pt>
                <c:pt idx="1">
                  <c:v>25.6163488444232</c:v>
                </c:pt>
                <c:pt idx="2">
                  <c:v>23.405664051016998</c:v>
                </c:pt>
                <c:pt idx="3">
                  <c:v>21.166169985660751</c:v>
                </c:pt>
                <c:pt idx="4">
                  <c:v>18.880235229338751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8-4407-83F3-80BCBF17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73823"/>
        <c:axId val="795322751"/>
      </c:scatterChart>
      <c:valAx>
        <c:axId val="11788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22751"/>
        <c:crosses val="autoZero"/>
        <c:crossBetween val="midCat"/>
      </c:valAx>
      <c:valAx>
        <c:axId val="7953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485345581802277E-2"/>
                  <c:y val="-0.37958734324876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(R3)'!$Y$31:$Y$35</c:f>
              <c:numCache>
                <c:formatCode>0.00</c:formatCode>
                <c:ptCount val="5"/>
                <c:pt idx="0">
                  <c:v>26.192145330029451</c:v>
                </c:pt>
                <c:pt idx="1">
                  <c:v>23.70282891889725</c:v>
                </c:pt>
                <c:pt idx="2">
                  <c:v>21.316628813482051</c:v>
                </c:pt>
                <c:pt idx="3">
                  <c:v>19.40487385932515</c:v>
                </c:pt>
                <c:pt idx="4">
                  <c:v>17.050575279725049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C-43B1-9D52-B2CAFA5E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73023"/>
        <c:axId val="795326911"/>
      </c:scatterChart>
      <c:valAx>
        <c:axId val="11788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26911"/>
        <c:crosses val="autoZero"/>
        <c:crossBetween val="midCat"/>
      </c:valAx>
      <c:valAx>
        <c:axId val="7953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7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0901137357831E-2"/>
                  <c:y val="-0.40850648877223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(R3)'!$AD$31:$AD$35</c:f>
              <c:numCache>
                <c:formatCode>0.00</c:formatCode>
                <c:ptCount val="5"/>
                <c:pt idx="0">
                  <c:v>28.61285942751465</c:v>
                </c:pt>
                <c:pt idx="1">
                  <c:v>25.8644856338042</c:v>
                </c:pt>
                <c:pt idx="2">
                  <c:v>23.504322871180648</c:v>
                </c:pt>
                <c:pt idx="3">
                  <c:v>21.073099195726051</c:v>
                </c:pt>
                <c:pt idx="4">
                  <c:v>18.777615831929349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E-4F62-B10F-4053C027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49679"/>
        <c:axId val="784978367"/>
      </c:scatterChart>
      <c:valAx>
        <c:axId val="994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367"/>
        <c:crosses val="autoZero"/>
        <c:crossBetween val="midCat"/>
      </c:valAx>
      <c:valAx>
        <c:axId val="7849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0901137357831E-2"/>
                  <c:y val="-0.3006824146981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(R3)'!$E$59:$E$63</c:f>
              <c:numCache>
                <c:formatCode>0.00</c:formatCode>
                <c:ptCount val="5"/>
                <c:pt idx="0">
                  <c:v>29.437220139571149</c:v>
                </c:pt>
                <c:pt idx="1">
                  <c:v>28.3596480782359</c:v>
                </c:pt>
                <c:pt idx="2">
                  <c:v>27.238851695314001</c:v>
                </c:pt>
                <c:pt idx="3">
                  <c:v>25.812291434965999</c:v>
                </c:pt>
                <c:pt idx="4">
                  <c:v>23.373100165803201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D-46B6-8EB0-7515D787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17231"/>
        <c:axId val="1177723327"/>
      </c:scatterChart>
      <c:valAx>
        <c:axId val="7953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23327"/>
        <c:crosses val="autoZero"/>
        <c:crossBetween val="midCat"/>
      </c:valAx>
      <c:valAx>
        <c:axId val="11777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28E-2"/>
          <c:y val="0.17171296296296298"/>
          <c:w val="0.8907569991251094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126483668708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(R1)'!$O$31:$O$35</c:f>
              <c:numCache>
                <c:formatCode>0.00</c:formatCode>
                <c:ptCount val="5"/>
                <c:pt idx="0">
                  <c:v>25.242258652451898</c:v>
                </c:pt>
                <c:pt idx="1">
                  <c:v>22.889808180006799</c:v>
                </c:pt>
                <c:pt idx="2">
                  <c:v>20.686505918180401</c:v>
                </c:pt>
                <c:pt idx="3">
                  <c:v>18.262100370723452</c:v>
                </c:pt>
                <c:pt idx="4">
                  <c:v>16.054970813663299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1-48D9-8E95-B7B1FF7D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42255"/>
        <c:axId val="1470612671"/>
      </c:scatterChart>
      <c:valAx>
        <c:axId val="19217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2671"/>
        <c:crosses val="autoZero"/>
        <c:crossBetween val="midCat"/>
      </c:valAx>
      <c:valAx>
        <c:axId val="14706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188418635170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(R3)'!$J$59:$J$63</c:f>
              <c:numCache>
                <c:formatCode>0.00</c:formatCode>
                <c:ptCount val="5"/>
                <c:pt idx="0">
                  <c:v>30.545638104216899</c:v>
                </c:pt>
                <c:pt idx="1">
                  <c:v>28.710395155380748</c:v>
                </c:pt>
                <c:pt idx="2">
                  <c:v>27.04785838117575</c:v>
                </c:pt>
                <c:pt idx="3">
                  <c:v>25.06254230601785</c:v>
                </c:pt>
                <c:pt idx="4">
                  <c:v>22.836617294278248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3-49F6-A922-2B983D069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02671"/>
        <c:axId val="1177719151"/>
      </c:scatterChart>
      <c:valAx>
        <c:axId val="95200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9151"/>
        <c:crosses val="autoZero"/>
        <c:crossBetween val="midCat"/>
      </c:valAx>
      <c:valAx>
        <c:axId val="11777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0246463983668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(R3)'!$O$59:$O$63</c:f>
              <c:numCache>
                <c:formatCode>0.00</c:formatCode>
                <c:ptCount val="5"/>
                <c:pt idx="0">
                  <c:v>26.1395653068633</c:v>
                </c:pt>
                <c:pt idx="1">
                  <c:v>25.334628776448902</c:v>
                </c:pt>
                <c:pt idx="2">
                  <c:v>23.964102945544351</c:v>
                </c:pt>
                <c:pt idx="3">
                  <c:v>21.705758437714749</c:v>
                </c:pt>
                <c:pt idx="4">
                  <c:v>19.644681608375301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0-4E93-B36A-A1049BDB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78431"/>
        <c:axId val="1178253503"/>
      </c:scatterChart>
      <c:valAx>
        <c:axId val="117767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3503"/>
        <c:crosses val="autoZero"/>
        <c:crossBetween val="midCat"/>
      </c:valAx>
      <c:valAx>
        <c:axId val="11782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5070392242636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(R3)'!$T$59:$T$63</c:f>
              <c:numCache>
                <c:formatCode>0.00</c:formatCode>
                <c:ptCount val="5"/>
                <c:pt idx="0">
                  <c:v>28.057140034353502</c:v>
                </c:pt>
                <c:pt idx="1">
                  <c:v>25.648444157997702</c:v>
                </c:pt>
                <c:pt idx="2">
                  <c:v>23.446983729827252</c:v>
                </c:pt>
                <c:pt idx="3">
                  <c:v>21.027125291652801</c:v>
                </c:pt>
                <c:pt idx="4">
                  <c:v>18.526176776219451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A-4233-9A2D-360F4E65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44287"/>
        <c:axId val="739647791"/>
      </c:scatterChart>
      <c:valAx>
        <c:axId val="8586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7791"/>
        <c:crosses val="autoZero"/>
        <c:crossBetween val="midCat"/>
      </c:valAx>
      <c:valAx>
        <c:axId val="7396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63667432195975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(R3)'!$AC$59:$AC$63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(R3)'!$AD$59:$AD$63</c:f>
              <c:numCache>
                <c:formatCode>0.00</c:formatCode>
                <c:ptCount val="5"/>
                <c:pt idx="0">
                  <c:v>30.402106259092697</c:v>
                </c:pt>
                <c:pt idx="1">
                  <c:v>28.989086623063848</c:v>
                </c:pt>
                <c:pt idx="2">
                  <c:v>28.70944263348585</c:v>
                </c:pt>
                <c:pt idx="3">
                  <c:v>28.867779010527599</c:v>
                </c:pt>
                <c:pt idx="4">
                  <c:v>27.065309534939999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C-4C24-8961-3F477625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90591"/>
        <c:axId val="1184186927"/>
      </c:scatterChart>
      <c:valAx>
        <c:axId val="11403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6927"/>
        <c:crosses val="autoZero"/>
        <c:crossBetween val="midCat"/>
      </c:valAx>
      <c:valAx>
        <c:axId val="11841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9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23726778944298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(R1)'!$T$31:$T$35</c:f>
              <c:numCache>
                <c:formatCode>0.00</c:formatCode>
                <c:ptCount val="5"/>
                <c:pt idx="0">
                  <c:v>27.836640591381297</c:v>
                </c:pt>
                <c:pt idx="1">
                  <c:v>26.225683027436101</c:v>
                </c:pt>
                <c:pt idx="2">
                  <c:v>25.580983890195697</c:v>
                </c:pt>
                <c:pt idx="3">
                  <c:v>24.903009067594148</c:v>
                </c:pt>
                <c:pt idx="4">
                  <c:v>22.704116877353901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C-4361-9068-1372CD4D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6271"/>
        <c:axId val="1470616031"/>
      </c:scatterChart>
      <c:valAx>
        <c:axId val="14594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6031"/>
        <c:crosses val="autoZero"/>
        <c:crossBetween val="midCat"/>
      </c:valAx>
      <c:valAx>
        <c:axId val="1470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40901137357827E-2"/>
                  <c:y val="-0.44065616797900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(R1)'!$Y$31:$Y$35</c:f>
              <c:numCache>
                <c:formatCode>0.00</c:formatCode>
                <c:ptCount val="5"/>
                <c:pt idx="0">
                  <c:v>24.101860020346798</c:v>
                </c:pt>
                <c:pt idx="1">
                  <c:v>21.934581043954651</c:v>
                </c:pt>
                <c:pt idx="2">
                  <c:v>19.575377113136703</c:v>
                </c:pt>
                <c:pt idx="3">
                  <c:v>17.298923075022849</c:v>
                </c:pt>
                <c:pt idx="4">
                  <c:v>15.0658551538914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3-4612-90EE-DFD6E62A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0063"/>
        <c:axId val="1470633311"/>
      </c:scatterChart>
      <c:valAx>
        <c:axId val="14653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3311"/>
        <c:crosses val="autoZero"/>
        <c:crossBetween val="midCat"/>
      </c:valAx>
      <c:valAx>
        <c:axId val="1470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939665354330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(R1)'!$AD$31:$AD$35</c:f>
              <c:numCache>
                <c:formatCode>0.00</c:formatCode>
                <c:ptCount val="5"/>
                <c:pt idx="0">
                  <c:v>26.189450320962898</c:v>
                </c:pt>
                <c:pt idx="1">
                  <c:v>23.861575384698298</c:v>
                </c:pt>
                <c:pt idx="2">
                  <c:v>21.600626984622899</c:v>
                </c:pt>
                <c:pt idx="3">
                  <c:v>19.18277822249615</c:v>
                </c:pt>
                <c:pt idx="4">
                  <c:v>16.747961657772201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D-43C2-919A-82382F58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53583"/>
        <c:axId val="1470617951"/>
      </c:scatterChart>
      <c:valAx>
        <c:axId val="1913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7951"/>
        <c:crosses val="autoZero"/>
        <c:crossBetween val="midCat"/>
      </c:valAx>
      <c:valAx>
        <c:axId val="14706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6456692913391E-2"/>
                  <c:y val="-0.33648731408573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(R1)'!$E$59:$E$63</c:f>
              <c:numCache>
                <c:formatCode>0.00</c:formatCode>
                <c:ptCount val="5"/>
                <c:pt idx="0">
                  <c:v>30.46250617809125</c:v>
                </c:pt>
                <c:pt idx="1">
                  <c:v>28.753962482438098</c:v>
                </c:pt>
                <c:pt idx="2">
                  <c:v>26.8341096571131</c:v>
                </c:pt>
                <c:pt idx="3">
                  <c:v>24.705825867138</c:v>
                </c:pt>
                <c:pt idx="4">
                  <c:v>22.064766626988252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4131-B58D-5818B7E3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52463"/>
        <c:axId val="1923563215"/>
      </c:scatterChart>
      <c:valAx>
        <c:axId val="19217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63215"/>
        <c:crosses val="autoZero"/>
        <c:crossBetween val="midCat"/>
      </c:valAx>
      <c:valAx>
        <c:axId val="1923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4847805482648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(R1)'!$J$59:$J$63</c:f>
              <c:numCache>
                <c:formatCode>0.00</c:formatCode>
                <c:ptCount val="5"/>
                <c:pt idx="0">
                  <c:v>30.4302026261091</c:v>
                </c:pt>
                <c:pt idx="1">
                  <c:v>28.360030121915152</c:v>
                </c:pt>
                <c:pt idx="2">
                  <c:v>26.131726751617901</c:v>
                </c:pt>
                <c:pt idx="3">
                  <c:v>23.877314174187198</c:v>
                </c:pt>
                <c:pt idx="4">
                  <c:v>21.495572137986649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69B-BBA4-F6E5BF4B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4655"/>
        <c:axId val="1470627071"/>
      </c:scatterChart>
      <c:valAx>
        <c:axId val="16353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071"/>
        <c:crosses val="autoZero"/>
        <c:crossBetween val="midCat"/>
      </c:valAx>
      <c:valAx>
        <c:axId val="14706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359911781860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'MCF-7 (R1)'!$N$59:$N$63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'MCF-7 (R1)'!$O$59:$O$63</c:f>
              <c:numCache>
                <c:formatCode>0.00</c:formatCode>
                <c:ptCount val="5"/>
                <c:pt idx="0">
                  <c:v>27.5772873883746</c:v>
                </c:pt>
                <c:pt idx="1">
                  <c:v>25.487118315244601</c:v>
                </c:pt>
                <c:pt idx="2">
                  <c:v>23.395204329940448</c:v>
                </c:pt>
                <c:pt idx="3">
                  <c:v>21.0437437001689</c:v>
                </c:pt>
                <c:pt idx="4">
                  <c:v>18.750640013426299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4-4D36-A381-154F719C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49823"/>
        <c:axId val="1923549295"/>
      </c:scatterChart>
      <c:valAx>
        <c:axId val="16336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49295"/>
        <c:crosses val="autoZero"/>
        <c:crossBetween val="midCat"/>
      </c:valAx>
      <c:valAx>
        <c:axId val="1923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15875</xdr:colOff>
      <xdr:row>0</xdr:row>
      <xdr:rowOff>17462</xdr:rowOff>
    </xdr:from>
    <xdr:to>
      <xdr:col>51</xdr:col>
      <xdr:colOff>365125</xdr:colOff>
      <xdr:row>13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6E3489-4E3C-2767-56DA-C0CC6DA50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31750</xdr:colOff>
      <xdr:row>13</xdr:row>
      <xdr:rowOff>173568</xdr:rowOff>
    </xdr:from>
    <xdr:to>
      <xdr:col>51</xdr:col>
      <xdr:colOff>306917</xdr:colOff>
      <xdr:row>27</xdr:row>
      <xdr:rowOff>154518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BBA884-8E07-47C6-E6A8-574B4588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31750</xdr:colOff>
      <xdr:row>28</xdr:row>
      <xdr:rowOff>57150</xdr:rowOff>
    </xdr:from>
    <xdr:to>
      <xdr:col>51</xdr:col>
      <xdr:colOff>306917</xdr:colOff>
      <xdr:row>42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2F4833-0E58-2413-F457-9712CD3E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26457</xdr:colOff>
      <xdr:row>43</xdr:row>
      <xdr:rowOff>25401</xdr:rowOff>
    </xdr:from>
    <xdr:to>
      <xdr:col>51</xdr:col>
      <xdr:colOff>301624</xdr:colOff>
      <xdr:row>57</xdr:row>
      <xdr:rowOff>101601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6182CA-3D46-1450-1558-919BEE7E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37040</xdr:colOff>
      <xdr:row>57</xdr:row>
      <xdr:rowOff>184150</xdr:rowOff>
    </xdr:from>
    <xdr:to>
      <xdr:col>51</xdr:col>
      <xdr:colOff>312207</xdr:colOff>
      <xdr:row>72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3196C0-ECC0-31AE-9E77-2822CCA7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47624</xdr:colOff>
      <xdr:row>72</xdr:row>
      <xdr:rowOff>131233</xdr:rowOff>
    </xdr:from>
    <xdr:to>
      <xdr:col>51</xdr:col>
      <xdr:colOff>322791</xdr:colOff>
      <xdr:row>86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70E0FD-5069-3CAA-3A7A-2475F9B1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517071</xdr:colOff>
      <xdr:row>0</xdr:row>
      <xdr:rowOff>0</xdr:rowOff>
    </xdr:from>
    <xdr:to>
      <xdr:col>59</xdr:col>
      <xdr:colOff>190499</xdr:colOff>
      <xdr:row>13</xdr:row>
      <xdr:rowOff>103414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9D2BB9-9B76-EE29-57A2-EDC89DF0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530679</xdr:colOff>
      <xdr:row>13</xdr:row>
      <xdr:rowOff>193220</xdr:rowOff>
    </xdr:from>
    <xdr:to>
      <xdr:col>59</xdr:col>
      <xdr:colOff>204107</xdr:colOff>
      <xdr:row>27</xdr:row>
      <xdr:rowOff>146956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AA760E-C4D9-BBF8-8B03-DE2DAFC3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557893</xdr:colOff>
      <xdr:row>28</xdr:row>
      <xdr:rowOff>43542</xdr:rowOff>
    </xdr:from>
    <xdr:to>
      <xdr:col>59</xdr:col>
      <xdr:colOff>231321</xdr:colOff>
      <xdr:row>42</xdr:row>
      <xdr:rowOff>119742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9E12CB-3712-9432-CF65-CFC40A2D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585108</xdr:colOff>
      <xdr:row>43</xdr:row>
      <xdr:rowOff>43542</xdr:rowOff>
    </xdr:from>
    <xdr:to>
      <xdr:col>59</xdr:col>
      <xdr:colOff>258536</xdr:colOff>
      <xdr:row>57</xdr:row>
      <xdr:rowOff>119742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1AC561-E357-B364-F0CA-87253E14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598715</xdr:colOff>
      <xdr:row>72</xdr:row>
      <xdr:rowOff>179613</xdr:rowOff>
    </xdr:from>
    <xdr:to>
      <xdr:col>59</xdr:col>
      <xdr:colOff>272143</xdr:colOff>
      <xdr:row>86</xdr:row>
      <xdr:rowOff>81642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644D53F-D58E-CE1F-181B-44BF7F8C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0</xdr:row>
      <xdr:rowOff>112712</xdr:rowOff>
    </xdr:from>
    <xdr:to>
      <xdr:col>51</xdr:col>
      <xdr:colOff>349250</xdr:colOff>
      <xdr:row>13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3304D6-A70D-8B17-6C48-2CCA22CE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587375</xdr:colOff>
      <xdr:row>14</xdr:row>
      <xdr:rowOff>112712</xdr:rowOff>
    </xdr:from>
    <xdr:to>
      <xdr:col>51</xdr:col>
      <xdr:colOff>333375</xdr:colOff>
      <xdr:row>28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569437-9626-1248-4006-1DACB4BA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587375</xdr:colOff>
      <xdr:row>29</xdr:row>
      <xdr:rowOff>1587</xdr:rowOff>
    </xdr:from>
    <xdr:to>
      <xdr:col>51</xdr:col>
      <xdr:colOff>333375</xdr:colOff>
      <xdr:row>43</xdr:row>
      <xdr:rowOff>77787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0113B9-E4D3-9B4C-3C22-977EE9EA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43</xdr:row>
      <xdr:rowOff>128587</xdr:rowOff>
    </xdr:from>
    <xdr:to>
      <xdr:col>51</xdr:col>
      <xdr:colOff>349250</xdr:colOff>
      <xdr:row>58</xdr:row>
      <xdr:rowOff>14287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A219DC-BC7D-4970-2606-B026B2AD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31750</xdr:colOff>
      <xdr:row>58</xdr:row>
      <xdr:rowOff>65087</xdr:rowOff>
    </xdr:from>
    <xdr:to>
      <xdr:col>51</xdr:col>
      <xdr:colOff>381000</xdr:colOff>
      <xdr:row>72</xdr:row>
      <xdr:rowOff>141287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EAC377-6A95-5829-09E2-79D87C66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31750</xdr:colOff>
      <xdr:row>73</xdr:row>
      <xdr:rowOff>17461</xdr:rowOff>
    </xdr:from>
    <xdr:to>
      <xdr:col>51</xdr:col>
      <xdr:colOff>381000</xdr:colOff>
      <xdr:row>86</xdr:row>
      <xdr:rowOff>79374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EF8B4F-4E0C-4DE8-B882-35F497B8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571501</xdr:colOff>
      <xdr:row>0</xdr:row>
      <xdr:rowOff>57150</xdr:rowOff>
    </xdr:from>
    <xdr:to>
      <xdr:col>59</xdr:col>
      <xdr:colOff>190501</xdr:colOff>
      <xdr:row>14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3F1242-AFDA-DAEB-2FCB-08C1EC98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595313</xdr:colOff>
      <xdr:row>14</xdr:row>
      <xdr:rowOff>176213</xdr:rowOff>
    </xdr:from>
    <xdr:to>
      <xdr:col>59</xdr:col>
      <xdr:colOff>214313</xdr:colOff>
      <xdr:row>29</xdr:row>
      <xdr:rowOff>61913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943351-6726-3A5F-3A6F-70702E763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595313</xdr:colOff>
      <xdr:row>29</xdr:row>
      <xdr:rowOff>128588</xdr:rowOff>
    </xdr:from>
    <xdr:to>
      <xdr:col>59</xdr:col>
      <xdr:colOff>214313</xdr:colOff>
      <xdr:row>44</xdr:row>
      <xdr:rowOff>14288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DFF586-3583-EB73-8FB0-C6D09292C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0</xdr:colOff>
      <xdr:row>44</xdr:row>
      <xdr:rowOff>128588</xdr:rowOff>
    </xdr:from>
    <xdr:to>
      <xdr:col>59</xdr:col>
      <xdr:colOff>238125</xdr:colOff>
      <xdr:row>59</xdr:row>
      <xdr:rowOff>14288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EF93D6-26E1-9F08-7FF6-FB2EF04F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23813</xdr:colOff>
      <xdr:row>74</xdr:row>
      <xdr:rowOff>128588</xdr:rowOff>
    </xdr:from>
    <xdr:to>
      <xdr:col>59</xdr:col>
      <xdr:colOff>261938</xdr:colOff>
      <xdr:row>86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1BC38A-F2EA-875D-A962-BF356A2F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595313</xdr:colOff>
      <xdr:row>0</xdr:row>
      <xdr:rowOff>57150</xdr:rowOff>
    </xdr:from>
    <xdr:to>
      <xdr:col>51</xdr:col>
      <xdr:colOff>214313</xdr:colOff>
      <xdr:row>14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3AAB9F-AD02-423E-BD82-6068C938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595313</xdr:colOff>
      <xdr:row>14</xdr:row>
      <xdr:rowOff>176213</xdr:rowOff>
    </xdr:from>
    <xdr:to>
      <xdr:col>51</xdr:col>
      <xdr:colOff>214313</xdr:colOff>
      <xdr:row>29</xdr:row>
      <xdr:rowOff>61913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3EDFCB-073E-40F0-8B52-4002EB36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</xdr:colOff>
      <xdr:row>29</xdr:row>
      <xdr:rowOff>176213</xdr:rowOff>
    </xdr:from>
    <xdr:to>
      <xdr:col>51</xdr:col>
      <xdr:colOff>238126</xdr:colOff>
      <xdr:row>44</xdr:row>
      <xdr:rowOff>61913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DC539D4-3F32-441E-BD1D-D0BDD02F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23813</xdr:colOff>
      <xdr:row>44</xdr:row>
      <xdr:rowOff>128589</xdr:rowOff>
    </xdr:from>
    <xdr:to>
      <xdr:col>51</xdr:col>
      <xdr:colOff>261938</xdr:colOff>
      <xdr:row>59</xdr:row>
      <xdr:rowOff>14289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FB72A2B-192E-4376-A7D4-6E07BCAF0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59</xdr:row>
      <xdr:rowOff>104776</xdr:rowOff>
    </xdr:from>
    <xdr:to>
      <xdr:col>51</xdr:col>
      <xdr:colOff>238125</xdr:colOff>
      <xdr:row>73</xdr:row>
      <xdr:rowOff>180976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614952E-E70C-4C39-B315-724FB578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</xdr:colOff>
      <xdr:row>74</xdr:row>
      <xdr:rowOff>57151</xdr:rowOff>
    </xdr:from>
    <xdr:to>
      <xdr:col>51</xdr:col>
      <xdr:colOff>238126</xdr:colOff>
      <xdr:row>86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B2B2960-856D-4236-9C01-BCE02D897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333376</xdr:colOff>
      <xdr:row>0</xdr:row>
      <xdr:rowOff>33338</xdr:rowOff>
    </xdr:from>
    <xdr:to>
      <xdr:col>58</xdr:col>
      <xdr:colOff>571501</xdr:colOff>
      <xdr:row>14</xdr:row>
      <xdr:rowOff>61913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CA6737B-B82E-4874-A155-730DED55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357188</xdr:colOff>
      <xdr:row>14</xdr:row>
      <xdr:rowOff>176213</xdr:rowOff>
    </xdr:from>
    <xdr:to>
      <xdr:col>58</xdr:col>
      <xdr:colOff>595313</xdr:colOff>
      <xdr:row>29</xdr:row>
      <xdr:rowOff>61913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24675C-43B7-4157-A26A-5B40CB2E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381000</xdr:colOff>
      <xdr:row>29</xdr:row>
      <xdr:rowOff>176213</xdr:rowOff>
    </xdr:from>
    <xdr:to>
      <xdr:col>59</xdr:col>
      <xdr:colOff>0</xdr:colOff>
      <xdr:row>44</xdr:row>
      <xdr:rowOff>61913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FCC882A-DAA1-49D0-BB5D-B509BB80F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381000</xdr:colOff>
      <xdr:row>44</xdr:row>
      <xdr:rowOff>152401</xdr:rowOff>
    </xdr:from>
    <xdr:to>
      <xdr:col>59</xdr:col>
      <xdr:colOff>0</xdr:colOff>
      <xdr:row>59</xdr:row>
      <xdr:rowOff>38101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292C83-1531-46EA-9D8B-3299F871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428625</xdr:colOff>
      <xdr:row>74</xdr:row>
      <xdr:rowOff>104776</xdr:rowOff>
    </xdr:from>
    <xdr:to>
      <xdr:col>59</xdr:col>
      <xdr:colOff>47625</xdr:colOff>
      <xdr:row>86</xdr:row>
      <xdr:rowOff>23812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94086D7-57C5-4EBD-90A6-C9C814A0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639C-3495-4986-B33D-778B115A1984}">
  <dimension ref="A1:CJ115"/>
  <sheetViews>
    <sheetView tabSelected="1" topLeftCell="A29" zoomScale="70" zoomScaleNormal="70" workbookViewId="0">
      <selection activeCell="BC91" sqref="BC91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8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133" t="s">
        <v>17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33" t="s">
        <v>18</v>
      </c>
      <c r="S3" s="134"/>
      <c r="T3" s="134"/>
      <c r="U3" s="134"/>
      <c r="V3" s="134"/>
      <c r="W3" s="134"/>
      <c r="X3" s="134"/>
      <c r="Y3" s="134"/>
      <c r="Z3" s="135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88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26">
        <v>27.9060839220707</v>
      </c>
      <c r="D4" s="27">
        <v>25.4846341797682</v>
      </c>
      <c r="E4" s="27">
        <v>23.279394847905198</v>
      </c>
      <c r="F4" s="27">
        <v>21.010845838456699</v>
      </c>
      <c r="G4" s="27">
        <v>18.738219095603899</v>
      </c>
      <c r="H4" s="28">
        <v>19.776455114271901</v>
      </c>
      <c r="I4" s="28">
        <v>20.444184861706301</v>
      </c>
      <c r="J4" s="28">
        <v>21.0311139373324</v>
      </c>
      <c r="K4" s="29">
        <v>19.582498788108001</v>
      </c>
      <c r="L4" s="29">
        <v>21.942074602620298</v>
      </c>
      <c r="M4" s="29">
        <v>21.495215085662601</v>
      </c>
      <c r="N4" s="30">
        <v>22.972513087902598</v>
      </c>
      <c r="O4" s="30">
        <v>20.614786025244001</v>
      </c>
      <c r="P4" s="30">
        <v>20.695961157907298</v>
      </c>
      <c r="Q4" s="31">
        <v>34.656065222071099</v>
      </c>
      <c r="R4" s="26">
        <v>26.645567363117799</v>
      </c>
      <c r="S4" s="27">
        <v>24.278350440579</v>
      </c>
      <c r="T4" s="27">
        <v>22.073099847819101</v>
      </c>
      <c r="U4" s="27">
        <v>19.3542902426443</v>
      </c>
      <c r="V4" s="27">
        <v>17.113709268513801</v>
      </c>
      <c r="W4" s="28">
        <v>19.038896671177</v>
      </c>
      <c r="X4" s="28">
        <v>18.739975398627902</v>
      </c>
      <c r="Y4" s="28">
        <v>20.038828633690802</v>
      </c>
      <c r="Z4" s="31">
        <v>36.9552261605523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88"/>
      <c r="AJ4" s="88"/>
      <c r="AK4" s="93">
        <v>45112</v>
      </c>
      <c r="AL4" s="94"/>
      <c r="AM4" s="88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19">
        <v>27.896188967398601</v>
      </c>
      <c r="D5" s="20">
        <v>25.598301891786299</v>
      </c>
      <c r="E5" s="20">
        <v>23.2792275075027</v>
      </c>
      <c r="F5" s="20">
        <v>21.031447903781</v>
      </c>
      <c r="G5" s="20">
        <v>18.8746300079736</v>
      </c>
      <c r="H5" s="10">
        <v>19.888567996216999</v>
      </c>
      <c r="I5" s="10">
        <v>20.5916041414646</v>
      </c>
      <c r="J5" s="10">
        <v>21.149579380538999</v>
      </c>
      <c r="K5" s="11">
        <v>19.6361489078967</v>
      </c>
      <c r="L5" s="11">
        <v>21.937845387329901</v>
      </c>
      <c r="M5" s="11">
        <v>21.642605670828502</v>
      </c>
      <c r="N5" s="12">
        <v>22.9668857335414</v>
      </c>
      <c r="O5" s="12">
        <v>20.7032084397155</v>
      </c>
      <c r="P5" s="12">
        <v>20.6709759359534</v>
      </c>
      <c r="Q5" s="13">
        <v>35.404991212054703</v>
      </c>
      <c r="R5" s="19">
        <v>26.801601817125398</v>
      </c>
      <c r="S5" s="20">
        <v>24.3985985196977</v>
      </c>
      <c r="T5" s="20">
        <v>22.0783701833316</v>
      </c>
      <c r="U5" s="20">
        <v>19.382094914712599</v>
      </c>
      <c r="V5" s="20">
        <v>17.1422359748201</v>
      </c>
      <c r="W5" s="10">
        <v>19.007268147854401</v>
      </c>
      <c r="X5" s="10">
        <v>18.3777355336168</v>
      </c>
      <c r="Y5" s="10">
        <v>20.345302608908</v>
      </c>
      <c r="Z5" s="13">
        <v>35.971204728653703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88"/>
      <c r="AJ5" s="88"/>
      <c r="AK5" s="93">
        <v>45127</v>
      </c>
      <c r="AL5" s="94"/>
      <c r="AM5" s="88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45" t="s">
        <v>18</v>
      </c>
      <c r="D6" s="146"/>
      <c r="E6" s="146"/>
      <c r="F6" s="146"/>
      <c r="G6" s="146"/>
      <c r="H6" s="147"/>
      <c r="I6" s="145" t="s">
        <v>19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7"/>
      <c r="X6" s="136"/>
      <c r="Y6" s="137"/>
      <c r="Z6" s="13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88"/>
      <c r="AJ6" s="88"/>
      <c r="AK6" s="93">
        <v>45156</v>
      </c>
      <c r="AL6" s="94"/>
      <c r="AM6" s="88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18.3398879401574</v>
      </c>
      <c r="D7" s="29">
        <v>22.518146583092999</v>
      </c>
      <c r="E7" s="29">
        <v>22.336408611223799</v>
      </c>
      <c r="F7" s="30">
        <v>22.435577491982801</v>
      </c>
      <c r="G7" s="30">
        <v>16.000694319768598</v>
      </c>
      <c r="H7" s="33">
        <v>17.598205251256601</v>
      </c>
      <c r="I7" s="26">
        <v>25.219131620187198</v>
      </c>
      <c r="J7" s="27">
        <v>22.951945372075699</v>
      </c>
      <c r="K7" s="27">
        <v>20.6941256939058</v>
      </c>
      <c r="L7" s="27">
        <v>18.331780357669501</v>
      </c>
      <c r="M7" s="27">
        <v>16.055263606503399</v>
      </c>
      <c r="N7" s="28">
        <v>17.938817465598099</v>
      </c>
      <c r="O7" s="28">
        <v>18.253994199289298</v>
      </c>
      <c r="P7" s="28">
        <v>20.050060503712299</v>
      </c>
      <c r="Q7" s="29">
        <v>17.295366832327801</v>
      </c>
      <c r="R7" s="29">
        <v>18.752150765105501</v>
      </c>
      <c r="S7" s="29">
        <v>18.9162704800681</v>
      </c>
      <c r="T7" s="30">
        <v>20.1325733147265</v>
      </c>
      <c r="U7" s="30">
        <v>18.681421922381301</v>
      </c>
      <c r="V7" s="30">
        <v>17.6153598512571</v>
      </c>
      <c r="W7" s="31" t="s">
        <v>49</v>
      </c>
      <c r="X7" s="139"/>
      <c r="Y7" s="140"/>
      <c r="Z7" s="14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88"/>
      <c r="AJ7" s="88"/>
      <c r="AK7" s="93">
        <v>45128</v>
      </c>
      <c r="AL7" s="94"/>
      <c r="AM7" s="88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18.142595178960299</v>
      </c>
      <c r="D8" s="11">
        <v>22.698948490948901</v>
      </c>
      <c r="E8" s="11">
        <v>22.398249619760701</v>
      </c>
      <c r="F8" s="12">
        <v>22.6317397019589</v>
      </c>
      <c r="G8" s="12">
        <v>16.034079216110499</v>
      </c>
      <c r="H8" s="15">
        <v>17.635621009668299</v>
      </c>
      <c r="I8" s="19">
        <v>25.265385684716598</v>
      </c>
      <c r="J8" s="20">
        <v>22.8276709879379</v>
      </c>
      <c r="K8" s="20">
        <v>20.678886142454999</v>
      </c>
      <c r="L8" s="20">
        <v>18.192420383777399</v>
      </c>
      <c r="M8" s="20">
        <v>16.0546780208232</v>
      </c>
      <c r="N8" s="10">
        <v>18.049569498010801</v>
      </c>
      <c r="O8" s="10">
        <v>18.1974748279398</v>
      </c>
      <c r="P8" s="10">
        <v>20.121260743389701</v>
      </c>
      <c r="Q8" s="11">
        <v>17.108160520206599</v>
      </c>
      <c r="R8" s="16">
        <v>18.922184871459201</v>
      </c>
      <c r="S8" s="16">
        <v>18.7939715945571</v>
      </c>
      <c r="T8" s="17">
        <v>20.148587606436799</v>
      </c>
      <c r="U8" s="17">
        <v>18.335864433186799</v>
      </c>
      <c r="V8" s="17">
        <v>17.9617717215386</v>
      </c>
      <c r="W8" s="18" t="s">
        <v>49</v>
      </c>
      <c r="X8" s="142"/>
      <c r="Y8" s="143"/>
      <c r="Z8" s="144"/>
      <c r="AA8" s="6"/>
      <c r="AB8" s="5"/>
      <c r="AC8" s="6" t="s">
        <v>32</v>
      </c>
      <c r="AD8" s="6"/>
      <c r="AE8" s="6"/>
      <c r="AF8" s="6"/>
      <c r="AG8" s="6"/>
      <c r="AH8" s="91" t="s">
        <v>93</v>
      </c>
      <c r="AI8" s="92"/>
      <c r="AJ8" s="92"/>
      <c r="AK8" s="95">
        <v>45129</v>
      </c>
      <c r="AL8" s="96"/>
      <c r="AM8" s="88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145" t="s">
        <v>26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33" t="s">
        <v>20</v>
      </c>
      <c r="S9" s="134"/>
      <c r="T9" s="134"/>
      <c r="U9" s="134"/>
      <c r="V9" s="134"/>
      <c r="W9" s="134"/>
      <c r="X9" s="134"/>
      <c r="Y9" s="134"/>
      <c r="Z9" s="135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26">
        <v>27.721135880576298</v>
      </c>
      <c r="D10" s="27">
        <v>26.272131104162401</v>
      </c>
      <c r="E10" s="27">
        <v>25.571848304675498</v>
      </c>
      <c r="F10" s="27">
        <v>24.864149830130799</v>
      </c>
      <c r="G10" s="27">
        <v>22.705665607121201</v>
      </c>
      <c r="H10" s="28">
        <v>24.202009072322799</v>
      </c>
      <c r="I10" s="28">
        <v>24.110205300929799</v>
      </c>
      <c r="J10" s="28">
        <v>24.955574630707599</v>
      </c>
      <c r="K10" s="29">
        <v>23.854917552204199</v>
      </c>
      <c r="L10" s="29">
        <v>25.882891714961101</v>
      </c>
      <c r="M10" s="29">
        <v>25.5664780958096</v>
      </c>
      <c r="N10" s="30">
        <v>26.6040347070976</v>
      </c>
      <c r="O10" s="30">
        <v>23.869586342948601</v>
      </c>
      <c r="P10" s="30">
        <v>24.432303898838601</v>
      </c>
      <c r="Q10" s="31">
        <v>31.757665181239101</v>
      </c>
      <c r="R10" s="26">
        <v>24.075886589144901</v>
      </c>
      <c r="S10" s="27">
        <v>21.937280738125299</v>
      </c>
      <c r="T10" s="27">
        <v>19.466561720343702</v>
      </c>
      <c r="U10" s="27">
        <v>17.265741212459201</v>
      </c>
      <c r="V10" s="27">
        <v>14.9686712357519</v>
      </c>
      <c r="W10" s="28">
        <v>17.582586756176799</v>
      </c>
      <c r="X10" s="28">
        <v>17.182553744775401</v>
      </c>
      <c r="Y10" s="28">
        <v>17.922224160338999</v>
      </c>
      <c r="Z10" s="31">
        <v>39.778388420996897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19">
        <v>27.952145302186299</v>
      </c>
      <c r="D11" s="20">
        <v>26.179234950709802</v>
      </c>
      <c r="E11" s="20">
        <v>25.590119475715898</v>
      </c>
      <c r="F11" s="20">
        <v>24.941868305057501</v>
      </c>
      <c r="G11" s="20">
        <v>22.7025681475866</v>
      </c>
      <c r="H11" s="10">
        <v>24.055784924165799</v>
      </c>
      <c r="I11" s="10">
        <v>24.0974845369024</v>
      </c>
      <c r="J11" s="10">
        <v>24.965958785547699</v>
      </c>
      <c r="K11" s="11">
        <v>23.834694366746501</v>
      </c>
      <c r="L11" s="11">
        <v>25.8377728541046</v>
      </c>
      <c r="M11" s="11">
        <v>25.431898532645601</v>
      </c>
      <c r="N11" s="12">
        <v>26.742473719273999</v>
      </c>
      <c r="O11" s="12">
        <v>23.656389220171501</v>
      </c>
      <c r="P11" s="12">
        <v>24.558457941549701</v>
      </c>
      <c r="Q11" s="13">
        <v>31.824243144826401</v>
      </c>
      <c r="R11" s="19">
        <v>24.1278334515487</v>
      </c>
      <c r="S11" s="20">
        <v>21.931881349784</v>
      </c>
      <c r="T11" s="20">
        <v>19.684192505929701</v>
      </c>
      <c r="U11" s="20">
        <v>17.3321049375865</v>
      </c>
      <c r="V11" s="20">
        <v>15.1630390720309</v>
      </c>
      <c r="W11" s="10">
        <v>16.967853424112501</v>
      </c>
      <c r="X11" s="10">
        <v>17.338495879888601</v>
      </c>
      <c r="Y11" s="10">
        <v>17.982429283119998</v>
      </c>
      <c r="Z11" s="13" t="s">
        <v>49</v>
      </c>
      <c r="AA11" s="6"/>
      <c r="AB11" s="6" t="s">
        <v>61</v>
      </c>
      <c r="AC11" s="6" t="s">
        <v>62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133" t="s">
        <v>20</v>
      </c>
      <c r="D12" s="134"/>
      <c r="E12" s="134"/>
      <c r="F12" s="134"/>
      <c r="G12" s="134"/>
      <c r="H12" s="135"/>
      <c r="I12" s="133" t="s">
        <v>21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5"/>
      <c r="X12" s="136"/>
      <c r="Y12" s="137"/>
      <c r="Z12" s="138"/>
      <c r="AA12" s="6"/>
      <c r="AB12" s="6" t="s">
        <v>63</v>
      </c>
      <c r="AC12" s="6" t="s">
        <v>64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16.659328220678901</v>
      </c>
      <c r="D13" s="29">
        <v>18.047056265047701</v>
      </c>
      <c r="E13" s="29">
        <v>17.897629541672401</v>
      </c>
      <c r="F13" s="30">
        <v>18.713817892089001</v>
      </c>
      <c r="G13" s="30">
        <v>17.048144815087898</v>
      </c>
      <c r="H13" s="33">
        <v>16.993834955778699</v>
      </c>
      <c r="I13" s="26">
        <v>26.207116136944499</v>
      </c>
      <c r="J13" s="27">
        <v>23.9502662929184</v>
      </c>
      <c r="K13" s="27">
        <v>21.594655992892001</v>
      </c>
      <c r="L13" s="27">
        <v>19.2076121048499</v>
      </c>
      <c r="M13" s="27">
        <v>16.773640446207001</v>
      </c>
      <c r="N13" s="28">
        <v>18.218151733945099</v>
      </c>
      <c r="O13" s="28">
        <v>19.011921308797501</v>
      </c>
      <c r="P13" s="28">
        <v>20.036917754517901</v>
      </c>
      <c r="Q13" s="29">
        <v>17.5452384296274</v>
      </c>
      <c r="R13" s="29">
        <v>19.833075323739902</v>
      </c>
      <c r="S13" s="29">
        <v>19.324866086585299</v>
      </c>
      <c r="T13" s="30">
        <v>21.144305376706601</v>
      </c>
      <c r="U13" s="30">
        <v>19.124350076404902</v>
      </c>
      <c r="V13" s="30">
        <v>18.582129875411798</v>
      </c>
      <c r="W13" s="31">
        <v>36.174109623582297</v>
      </c>
      <c r="X13" s="139"/>
      <c r="Y13" s="140"/>
      <c r="Z13" s="141"/>
      <c r="AA13" s="6"/>
      <c r="AB13" s="6" t="s">
        <v>65</v>
      </c>
      <c r="AC13" s="6" t="s">
        <v>66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16.480893485692501</v>
      </c>
      <c r="D14" s="11">
        <v>18.134152839061599</v>
      </c>
      <c r="E14" s="11">
        <v>17.90762851145</v>
      </c>
      <c r="F14" s="12">
        <v>18.687526724208201</v>
      </c>
      <c r="G14" s="12">
        <v>16.984509630689001</v>
      </c>
      <c r="H14" s="15">
        <v>16.9483460145381</v>
      </c>
      <c r="I14" s="19">
        <v>26.1717845049813</v>
      </c>
      <c r="J14" s="20">
        <v>23.7728844764782</v>
      </c>
      <c r="K14" s="20">
        <v>21.6065979763538</v>
      </c>
      <c r="L14" s="20">
        <v>19.1579443401424</v>
      </c>
      <c r="M14" s="20">
        <v>16.722282869337398</v>
      </c>
      <c r="N14" s="10">
        <v>18.3282085990006</v>
      </c>
      <c r="O14" s="10">
        <v>18.950850077622</v>
      </c>
      <c r="P14" s="10">
        <v>20.0109768055149</v>
      </c>
      <c r="Q14" s="11">
        <v>17.3829232669571</v>
      </c>
      <c r="R14" s="16">
        <v>19.777435437075201</v>
      </c>
      <c r="S14" s="16">
        <v>19.3600441196383</v>
      </c>
      <c r="T14" s="17">
        <v>21.179540959251099</v>
      </c>
      <c r="U14" s="17">
        <v>19.204449287549</v>
      </c>
      <c r="V14" s="17">
        <v>18.564850633659301</v>
      </c>
      <c r="W14" s="18">
        <v>36.140515200357498</v>
      </c>
      <c r="X14" s="142"/>
      <c r="Y14" s="143"/>
      <c r="Z14" s="144"/>
      <c r="AA14" s="6"/>
      <c r="AB14" s="6" t="s">
        <v>67</v>
      </c>
      <c r="AC14" s="6" t="s">
        <v>68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133" t="s">
        <v>22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5"/>
      <c r="R15" s="133" t="s">
        <v>23</v>
      </c>
      <c r="S15" s="134"/>
      <c r="T15" s="134"/>
      <c r="U15" s="134"/>
      <c r="V15" s="134"/>
      <c r="W15" s="134"/>
      <c r="X15" s="134"/>
      <c r="Y15" s="134"/>
      <c r="Z15" s="135"/>
      <c r="AA15" s="6"/>
      <c r="AB15" s="6" t="s">
        <v>69</v>
      </c>
      <c r="AC15" s="6" t="s">
        <v>70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26">
        <v>30.311730066891599</v>
      </c>
      <c r="D16" s="27">
        <v>28.7946771704962</v>
      </c>
      <c r="E16" s="27">
        <v>26.686446815551101</v>
      </c>
      <c r="F16" s="27">
        <v>24.698957664436101</v>
      </c>
      <c r="G16" s="27">
        <v>22.012693992255599</v>
      </c>
      <c r="H16" s="28">
        <v>23.960511548314201</v>
      </c>
      <c r="I16" s="28">
        <v>23.990253979525299</v>
      </c>
      <c r="J16" s="28">
        <v>24.635744306482501</v>
      </c>
      <c r="K16" s="29">
        <v>23.854377305706699</v>
      </c>
      <c r="L16" s="29">
        <v>26.107833832276899</v>
      </c>
      <c r="M16" s="29">
        <v>25.414933325564601</v>
      </c>
      <c r="N16" s="30">
        <v>25.9964533838798</v>
      </c>
      <c r="O16" s="30">
        <v>22.892846490085699</v>
      </c>
      <c r="P16" s="30">
        <v>23.634458829117801</v>
      </c>
      <c r="Q16" s="31">
        <v>29.915100204785901</v>
      </c>
      <c r="R16" s="26" t="s">
        <v>49</v>
      </c>
      <c r="S16" s="27">
        <v>28.535614508207399</v>
      </c>
      <c r="T16" s="27">
        <v>26.162185340518601</v>
      </c>
      <c r="U16" s="27">
        <v>23.796304638543699</v>
      </c>
      <c r="V16" s="27">
        <v>21.415153038478699</v>
      </c>
      <c r="W16" s="28">
        <v>22.953867637909799</v>
      </c>
      <c r="X16" s="28">
        <v>22.9465570544724</v>
      </c>
      <c r="Y16" s="28">
        <v>23.895057241247098</v>
      </c>
      <c r="Z16" s="31">
        <v>36.309034032422403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19">
        <v>30.6132822892909</v>
      </c>
      <c r="D17" s="20">
        <v>28.713247794379999</v>
      </c>
      <c r="E17" s="20">
        <v>26.981772498675099</v>
      </c>
      <c r="F17" s="20">
        <v>24.712694069839898</v>
      </c>
      <c r="G17" s="20">
        <v>22.116839261720902</v>
      </c>
      <c r="H17" s="10">
        <v>24.0534029420667</v>
      </c>
      <c r="I17" s="10">
        <v>23.828597909883001</v>
      </c>
      <c r="J17" s="10">
        <v>24.618806203316101</v>
      </c>
      <c r="K17" s="11">
        <v>23.8153678660039</v>
      </c>
      <c r="L17" s="11">
        <v>26.0137180738019</v>
      </c>
      <c r="M17" s="11">
        <v>25.445470220441798</v>
      </c>
      <c r="N17" s="12">
        <v>25.8409744265252</v>
      </c>
      <c r="O17" s="12">
        <v>22.893205802631002</v>
      </c>
      <c r="P17" s="12">
        <v>23.52083543801</v>
      </c>
      <c r="Q17" s="13">
        <v>31.533022713975001</v>
      </c>
      <c r="R17" s="19">
        <v>30.4302026261091</v>
      </c>
      <c r="S17" s="20">
        <v>28.184445735622901</v>
      </c>
      <c r="T17" s="20">
        <v>26.101268162717201</v>
      </c>
      <c r="U17" s="20">
        <v>23.958323709830701</v>
      </c>
      <c r="V17" s="20">
        <v>21.575991237494598</v>
      </c>
      <c r="W17" s="10">
        <v>22.839050511959002</v>
      </c>
      <c r="X17" s="10">
        <v>23.282108803529599</v>
      </c>
      <c r="Y17" s="10">
        <v>23.439272207902299</v>
      </c>
      <c r="Z17" s="13">
        <v>37.431471987099101</v>
      </c>
      <c r="AA17" s="6"/>
      <c r="AB17" s="6" t="s">
        <v>71</v>
      </c>
      <c r="AC17" s="6" t="s">
        <v>72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133" t="s">
        <v>23</v>
      </c>
      <c r="D18" s="134"/>
      <c r="E18" s="134"/>
      <c r="F18" s="134"/>
      <c r="G18" s="134"/>
      <c r="H18" s="135"/>
      <c r="I18" s="133" t="s">
        <v>27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5"/>
      <c r="X18" s="136"/>
      <c r="Y18" s="137"/>
      <c r="Z18" s="138"/>
      <c r="AA18" s="6"/>
      <c r="AB18" s="6" t="s">
        <v>73</v>
      </c>
      <c r="AC18" s="6" t="s">
        <v>74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22.5875783369716</v>
      </c>
      <c r="D19" s="29">
        <v>25.025751849043001</v>
      </c>
      <c r="E19" s="29">
        <v>24.708479711478699</v>
      </c>
      <c r="F19" s="30">
        <v>25.986330397843702</v>
      </c>
      <c r="G19" s="30">
        <v>23.277430518322902</v>
      </c>
      <c r="H19" s="33">
        <v>23.581163667122201</v>
      </c>
      <c r="I19" s="26">
        <v>27.3472755182156</v>
      </c>
      <c r="J19" s="27">
        <v>25.436001335328601</v>
      </c>
      <c r="K19" s="27">
        <v>23.3752248838817</v>
      </c>
      <c r="L19" s="27">
        <v>21.0251913385816</v>
      </c>
      <c r="M19" s="27">
        <v>18.691110817015399</v>
      </c>
      <c r="N19" s="28">
        <v>20.218755024702801</v>
      </c>
      <c r="O19" s="28">
        <v>20.641453971209</v>
      </c>
      <c r="P19" s="28">
        <v>21.399141069255599</v>
      </c>
      <c r="Q19" s="29">
        <v>19.661057386379898</v>
      </c>
      <c r="R19" s="29">
        <v>21.2181796583153</v>
      </c>
      <c r="S19" s="29">
        <v>20.906431167157201</v>
      </c>
      <c r="T19" s="30">
        <v>22.3683930269443</v>
      </c>
      <c r="U19" s="30">
        <v>20.1415109635393</v>
      </c>
      <c r="V19" s="30">
        <v>20.492114734202101</v>
      </c>
      <c r="W19" s="31">
        <v>30.914117601068899</v>
      </c>
      <c r="X19" s="139"/>
      <c r="Y19" s="140"/>
      <c r="Z19" s="141"/>
      <c r="AA19" s="6"/>
      <c r="AB19" s="6" t="s">
        <v>75</v>
      </c>
      <c r="AC19" s="6" t="s">
        <v>76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22.708683392470899</v>
      </c>
      <c r="D20" s="11">
        <v>25.015770587988399</v>
      </c>
      <c r="E20" s="11">
        <v>24.723479874327499</v>
      </c>
      <c r="F20" s="12">
        <v>26.126349727671499</v>
      </c>
      <c r="G20" s="12">
        <v>23.2139233026206</v>
      </c>
      <c r="H20" s="15">
        <v>23.5398219801219</v>
      </c>
      <c r="I20" s="19">
        <v>27.8072992585336</v>
      </c>
      <c r="J20" s="20">
        <v>25.5382352951606</v>
      </c>
      <c r="K20" s="20">
        <v>23.4151837759992</v>
      </c>
      <c r="L20" s="20">
        <v>21.0622960617562</v>
      </c>
      <c r="M20" s="20">
        <v>18.810169209837198</v>
      </c>
      <c r="N20" s="10">
        <v>20.211156688523801</v>
      </c>
      <c r="O20" s="10">
        <v>20.832585846344902</v>
      </c>
      <c r="P20" s="10">
        <v>21.258049315839202</v>
      </c>
      <c r="Q20" s="11">
        <v>19.556335257843699</v>
      </c>
      <c r="R20" s="16">
        <v>21.178663251730001</v>
      </c>
      <c r="S20" s="16">
        <v>20.873427149699801</v>
      </c>
      <c r="T20" s="17">
        <v>22.347411249169799</v>
      </c>
      <c r="U20" s="17">
        <v>20.141107337424099</v>
      </c>
      <c r="V20" s="17">
        <v>20.656509540666399</v>
      </c>
      <c r="W20" s="18">
        <v>31.851750010518401</v>
      </c>
      <c r="X20" s="142"/>
      <c r="Y20" s="143"/>
      <c r="Z20" s="14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133" t="s">
        <v>24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5"/>
      <c r="R21" s="148"/>
      <c r="S21" s="149"/>
      <c r="T21" s="149"/>
      <c r="U21" s="149"/>
      <c r="V21" s="149"/>
      <c r="W21" s="149"/>
      <c r="X21" s="149"/>
      <c r="Y21" s="149"/>
      <c r="Z21" s="150"/>
      <c r="AA21" s="6"/>
      <c r="AB21" s="72" t="s">
        <v>77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26">
        <v>26.0678777124917</v>
      </c>
      <c r="D22" s="27">
        <v>23.811858593863899</v>
      </c>
      <c r="E22" s="27">
        <v>21.834031190063701</v>
      </c>
      <c r="F22" s="27">
        <v>19.2289192162707</v>
      </c>
      <c r="G22" s="27">
        <v>16.845859938468202</v>
      </c>
      <c r="H22" s="28">
        <v>20.8394226291677</v>
      </c>
      <c r="I22" s="28">
        <v>21.0917332359681</v>
      </c>
      <c r="J22" s="28">
        <v>21.801101833112501</v>
      </c>
      <c r="K22" s="29">
        <v>17.166809866685998</v>
      </c>
      <c r="L22" s="29">
        <v>19.680130476266999</v>
      </c>
      <c r="M22" s="29">
        <v>19.310238021321499</v>
      </c>
      <c r="N22" s="30">
        <v>20.1128433319534</v>
      </c>
      <c r="O22" s="30">
        <v>17.4958925453173</v>
      </c>
      <c r="P22" s="30">
        <v>17.2638307151391</v>
      </c>
      <c r="Q22" s="31">
        <v>34.835510013285401</v>
      </c>
      <c r="R22" s="151"/>
      <c r="S22" s="152"/>
      <c r="T22" s="152"/>
      <c r="U22" s="152"/>
      <c r="V22" s="152"/>
      <c r="W22" s="152"/>
      <c r="X22" s="152"/>
      <c r="Y22" s="152"/>
      <c r="Z22" s="153"/>
      <c r="AA22" s="6"/>
      <c r="AB22" s="6" t="s">
        <v>69</v>
      </c>
      <c r="AC22" s="6" t="s">
        <v>78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19">
        <v>25.857495705677199</v>
      </c>
      <c r="D23" s="20">
        <v>23.936756928479699</v>
      </c>
      <c r="E23" s="20">
        <v>21.768921096904201</v>
      </c>
      <c r="F23" s="20">
        <v>19.244785694123198</v>
      </c>
      <c r="G23" s="20">
        <v>16.7797648623417</v>
      </c>
      <c r="H23" s="10">
        <v>20.589772851681602</v>
      </c>
      <c r="I23" s="10">
        <v>20.933568210863498</v>
      </c>
      <c r="J23" s="10">
        <v>21.857324173914702</v>
      </c>
      <c r="K23" s="11">
        <v>16.9721328804225</v>
      </c>
      <c r="L23" s="11">
        <v>19.576730714451202</v>
      </c>
      <c r="M23" s="11">
        <v>19.137934726870199</v>
      </c>
      <c r="N23" s="12">
        <v>20.041653217493899</v>
      </c>
      <c r="O23" s="12">
        <v>17.400427073632301</v>
      </c>
      <c r="P23" s="12">
        <v>17.298023284855301</v>
      </c>
      <c r="Q23" s="13">
        <v>35.315649322787102</v>
      </c>
      <c r="R23" s="154"/>
      <c r="S23" s="155"/>
      <c r="T23" s="155"/>
      <c r="U23" s="155"/>
      <c r="V23" s="155"/>
      <c r="W23" s="155"/>
      <c r="X23" s="155"/>
      <c r="Y23" s="155"/>
      <c r="Z23" s="156"/>
      <c r="AA23" s="6"/>
      <c r="AB23" s="73" t="s">
        <v>71</v>
      </c>
      <c r="AC23" s="74" t="s">
        <v>79</v>
      </c>
      <c r="AD23" s="74"/>
      <c r="AE23" s="74"/>
      <c r="AF23" s="74"/>
      <c r="AG23" s="130" t="s">
        <v>80</v>
      </c>
      <c r="AH23" s="130"/>
      <c r="AI23" s="130"/>
      <c r="AJ23" s="130"/>
      <c r="AK23" s="130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48"/>
      <c r="D24" s="149"/>
      <c r="E24" s="149"/>
      <c r="F24" s="149"/>
      <c r="G24" s="149"/>
      <c r="H24" s="150"/>
      <c r="I24" s="133" t="s">
        <v>25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5"/>
      <c r="X24" s="136"/>
      <c r="Y24" s="137"/>
      <c r="Z24" s="138"/>
      <c r="AA24" s="6"/>
      <c r="AB24" s="76" t="s">
        <v>73</v>
      </c>
      <c r="AC24" s="6" t="s">
        <v>81</v>
      </c>
      <c r="AD24" s="6"/>
      <c r="AE24" s="6"/>
      <c r="AF24" s="7"/>
      <c r="AG24" s="131"/>
      <c r="AH24" s="131"/>
      <c r="AI24" s="131"/>
      <c r="AJ24" s="131"/>
      <c r="AK24" s="131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1"/>
      <c r="D25" s="152"/>
      <c r="E25" s="152"/>
      <c r="F25" s="152"/>
      <c r="G25" s="152"/>
      <c r="H25" s="153"/>
      <c r="I25" s="26">
        <v>33.680277029016501</v>
      </c>
      <c r="J25" s="27">
        <v>32.330891516768197</v>
      </c>
      <c r="K25" s="27">
        <v>29.8497016555316</v>
      </c>
      <c r="L25" s="27">
        <v>28.1907929769867</v>
      </c>
      <c r="M25" s="27">
        <v>26.4513866106827</v>
      </c>
      <c r="N25" s="28">
        <v>27.747110392755399</v>
      </c>
      <c r="O25" s="28">
        <v>28.7322390007817</v>
      </c>
      <c r="P25" s="28">
        <v>28.462176666964002</v>
      </c>
      <c r="Q25" s="29">
        <v>27.090290846011801</v>
      </c>
      <c r="R25" s="29">
        <v>30.452012084617301</v>
      </c>
      <c r="S25" s="29">
        <v>30.158723242547499</v>
      </c>
      <c r="T25" s="30">
        <v>30.1554375664983</v>
      </c>
      <c r="U25" s="30">
        <v>26.528194928897001</v>
      </c>
      <c r="V25" s="30">
        <v>26.822463809212099</v>
      </c>
      <c r="W25" s="31">
        <v>35.469969378653502</v>
      </c>
      <c r="X25" s="139"/>
      <c r="Y25" s="140"/>
      <c r="Z25" s="141"/>
      <c r="AA25" s="6"/>
      <c r="AB25" s="78" t="s">
        <v>75</v>
      </c>
      <c r="AC25" s="79" t="s">
        <v>82</v>
      </c>
      <c r="AD25" s="79"/>
      <c r="AE25" s="79"/>
      <c r="AF25" s="80"/>
      <c r="AG25" s="132"/>
      <c r="AH25" s="132"/>
      <c r="AI25" s="132"/>
      <c r="AJ25" s="132"/>
      <c r="AK25" s="132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54"/>
      <c r="D26" s="155"/>
      <c r="E26" s="155"/>
      <c r="F26" s="155"/>
      <c r="G26" s="155"/>
      <c r="H26" s="156"/>
      <c r="I26" s="19">
        <v>33.755340741256902</v>
      </c>
      <c r="J26" s="20">
        <v>31.976836661925599</v>
      </c>
      <c r="K26" s="20">
        <v>30.1682502078244</v>
      </c>
      <c r="L26" s="20">
        <v>28.019159483370601</v>
      </c>
      <c r="M26" s="20">
        <v>26.534913111357302</v>
      </c>
      <c r="N26" s="10">
        <v>27.562586465280901</v>
      </c>
      <c r="O26" s="10">
        <v>28.592096523534298</v>
      </c>
      <c r="P26" s="10">
        <v>28.021798887849801</v>
      </c>
      <c r="Q26" s="11">
        <v>27.190541405049899</v>
      </c>
      <c r="R26" s="11">
        <v>30.307953666038198</v>
      </c>
      <c r="S26" s="11">
        <v>29.918927562550699</v>
      </c>
      <c r="T26" s="12">
        <v>30.236066131097701</v>
      </c>
      <c r="U26" s="12">
        <v>26.402108665101501</v>
      </c>
      <c r="V26" s="12">
        <v>26.897871411011501</v>
      </c>
      <c r="W26" s="13">
        <v>36.127432747556298</v>
      </c>
      <c r="X26" s="142"/>
      <c r="Y26" s="143"/>
      <c r="Z26" s="14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5" t="s">
        <v>17</v>
      </c>
      <c r="D28" s="125"/>
      <c r="E28" s="125"/>
      <c r="F28" s="6"/>
      <c r="G28" s="6"/>
      <c r="H28" s="125" t="s">
        <v>18</v>
      </c>
      <c r="I28" s="125"/>
      <c r="J28" s="125"/>
      <c r="K28" s="6"/>
      <c r="L28" s="6"/>
      <c r="M28" s="125" t="s">
        <v>19</v>
      </c>
      <c r="N28" s="125"/>
      <c r="O28" s="125"/>
      <c r="P28" s="6"/>
      <c r="Q28" s="6"/>
      <c r="R28" s="125" t="s">
        <v>26</v>
      </c>
      <c r="S28" s="125"/>
      <c r="T28" s="125"/>
      <c r="U28" s="6"/>
      <c r="V28" s="6"/>
      <c r="W28" s="125" t="s">
        <v>20</v>
      </c>
      <c r="X28" s="125"/>
      <c r="Y28" s="125"/>
      <c r="Z28" s="6"/>
      <c r="AA28" s="6"/>
      <c r="AB28" s="125" t="s">
        <v>21</v>
      </c>
      <c r="AC28" s="125"/>
      <c r="AD28" s="12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7" t="s">
        <v>47</v>
      </c>
      <c r="D29" s="118"/>
      <c r="E29" s="119"/>
      <c r="F29" s="6"/>
      <c r="G29" s="6"/>
      <c r="H29" s="120" t="s">
        <v>47</v>
      </c>
      <c r="I29" s="121"/>
      <c r="J29" s="122"/>
      <c r="K29" s="6"/>
      <c r="L29" s="6"/>
      <c r="M29" s="120" t="s">
        <v>47</v>
      </c>
      <c r="N29" s="121"/>
      <c r="O29" s="122"/>
      <c r="P29" s="6"/>
      <c r="Q29" s="6"/>
      <c r="R29" s="120" t="s">
        <v>47</v>
      </c>
      <c r="S29" s="123"/>
      <c r="T29" s="124"/>
      <c r="U29" s="6"/>
      <c r="V29" s="6"/>
      <c r="W29" s="120" t="s">
        <v>47</v>
      </c>
      <c r="X29" s="121"/>
      <c r="Y29" s="122"/>
      <c r="Z29" s="6"/>
      <c r="AA29" s="6"/>
      <c r="AB29" s="120" t="s">
        <v>47</v>
      </c>
      <c r="AC29" s="121"/>
      <c r="AD29" s="122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27.90113644473465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26.723584590121597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25.242258652451898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27.836640591381297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24.101860020346798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26.189450320962898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AVERAGE(D4:D5)</f>
        <v>25.54146803577725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24.338474480138352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22.889808180006799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26.225683027436101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21.934581043954651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23.861575384698298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23.279311177703949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22.075735015575351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20.686505918180401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25.580983890195697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19.575377113136703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21.600626984622899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21.021146871118852</v>
      </c>
      <c r="F34" s="6"/>
      <c r="G34" s="6"/>
      <c r="H34" s="65">
        <v>4</v>
      </c>
      <c r="I34" s="66">
        <f>LOG(H34)</f>
        <v>0.6020599913279624</v>
      </c>
      <c r="J34" s="67">
        <f>AVERAGE(U4:U5)</f>
        <v>19.36819257867845</v>
      </c>
      <c r="K34" s="6"/>
      <c r="L34" s="6"/>
      <c r="M34" s="65">
        <v>4</v>
      </c>
      <c r="N34" s="66">
        <f>LOG(M34)</f>
        <v>0.6020599913279624</v>
      </c>
      <c r="O34" s="67">
        <f>AVERAGE(L7:L8)</f>
        <v>18.262100370723452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24.903009067594148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17.298923075022849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19.18277822249615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18.806424551788751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17.127972621666949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16.054970813663299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22.704116877353901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15.0658551538914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16.747961657772201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06" t="s">
        <v>46</v>
      </c>
      <c r="D36" s="107"/>
      <c r="E36" s="37">
        <f>(10^(-1/-3.249)-1)*100</f>
        <v>103.13605378304094</v>
      </c>
      <c r="F36" s="6"/>
      <c r="G36" s="6"/>
      <c r="H36" s="106" t="s">
        <v>46</v>
      </c>
      <c r="I36" s="107"/>
      <c r="J36" s="37">
        <f>(10^(-1/-3.4567)-1)*100</f>
        <v>94.667412615073161</v>
      </c>
      <c r="K36" s="6"/>
      <c r="L36" s="6"/>
      <c r="M36" s="106" t="s">
        <v>46</v>
      </c>
      <c r="N36" s="107"/>
      <c r="O36" s="37">
        <f>(10^(-1/-3.2909)-1)*100</f>
        <v>101.31134141787932</v>
      </c>
      <c r="P36" s="6"/>
      <c r="Q36" s="6"/>
      <c r="R36" s="106" t="s">
        <v>46</v>
      </c>
      <c r="S36" s="107"/>
      <c r="T36" s="37">
        <f>(10^(-1/-1.6578)-1)*100</f>
        <v>301.05974400111239</v>
      </c>
      <c r="U36" s="6"/>
      <c r="V36" s="6"/>
      <c r="W36" s="106" t="s">
        <v>46</v>
      </c>
      <c r="X36" s="107"/>
      <c r="Y36" s="37">
        <f>(10^(-1/-3.2487)-1)*100</f>
        <v>103.14934849236504</v>
      </c>
      <c r="Z36" s="6"/>
      <c r="AA36" s="6"/>
      <c r="AB36" s="106" t="s">
        <v>46</v>
      </c>
      <c r="AC36" s="107"/>
      <c r="AD36" s="37">
        <f>(10^(-1/-3.3709)-1)*100</f>
        <v>97.996119755685186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06" t="s">
        <v>60</v>
      </c>
      <c r="D37" s="107"/>
      <c r="E37" s="37">
        <f>SUM(E36/100)+1</f>
        <v>2.0313605378304094</v>
      </c>
      <c r="F37" s="6"/>
      <c r="G37" s="6"/>
      <c r="H37" s="106" t="s">
        <v>60</v>
      </c>
      <c r="I37" s="107"/>
      <c r="J37" s="37">
        <f>SUM(J36/100)+1</f>
        <v>1.9466741261507317</v>
      </c>
      <c r="K37" s="6"/>
      <c r="L37" s="6"/>
      <c r="M37" s="106" t="s">
        <v>60</v>
      </c>
      <c r="N37" s="107"/>
      <c r="O37" s="37">
        <f>SUM(O36/100)+1</f>
        <v>2.0131134141787932</v>
      </c>
      <c r="P37" s="6"/>
      <c r="Q37" s="6"/>
      <c r="R37" s="106" t="s">
        <v>60</v>
      </c>
      <c r="S37" s="107"/>
      <c r="T37" s="37">
        <f>SUM(T36/100)+1</f>
        <v>4.0105974400111233</v>
      </c>
      <c r="U37" s="6"/>
      <c r="V37" s="6"/>
      <c r="W37" s="106" t="s">
        <v>60</v>
      </c>
      <c r="X37" s="107"/>
      <c r="Y37" s="37">
        <f>SUM(Y36/100)+1</f>
        <v>2.0314934849236503</v>
      </c>
      <c r="Z37" s="6"/>
      <c r="AA37" s="6"/>
      <c r="AB37" s="106" t="s">
        <v>60</v>
      </c>
      <c r="AC37" s="107"/>
      <c r="AD37" s="37">
        <f>SUM(AD36/100)+1</f>
        <v>1.9799611975568518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03" t="s">
        <v>50</v>
      </c>
      <c r="D39" s="104"/>
      <c r="E39" s="104"/>
      <c r="F39" s="104"/>
      <c r="G39" s="104"/>
      <c r="H39" s="105"/>
      <c r="J39" s="103" t="s">
        <v>51</v>
      </c>
      <c r="K39" s="104"/>
      <c r="L39" s="104"/>
      <c r="M39" s="104"/>
      <c r="N39" s="104"/>
      <c r="O39" s="105"/>
      <c r="Q39" s="103" t="s">
        <v>52</v>
      </c>
      <c r="R39" s="104"/>
      <c r="S39" s="104"/>
      <c r="T39" s="104"/>
      <c r="U39" s="104"/>
      <c r="V39" s="105"/>
      <c r="X39" s="103" t="s">
        <v>53</v>
      </c>
      <c r="Y39" s="104"/>
      <c r="Z39" s="104"/>
      <c r="AA39" s="104"/>
      <c r="AB39" s="104"/>
      <c r="AC39" s="105"/>
      <c r="AE39" s="103" t="s">
        <v>54</v>
      </c>
      <c r="AF39" s="104"/>
      <c r="AG39" s="104"/>
      <c r="AH39" s="104"/>
      <c r="AI39" s="104"/>
      <c r="AJ39" s="105"/>
      <c r="AL39" s="103" t="s">
        <v>83</v>
      </c>
      <c r="AM39" s="104"/>
      <c r="AN39" s="104"/>
      <c r="AO39" s="104"/>
      <c r="AP39" s="104"/>
      <c r="AQ39" s="105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28" t="s">
        <v>17</v>
      </c>
      <c r="D40" s="83" t="s">
        <v>61</v>
      </c>
      <c r="E40" s="83" t="s">
        <v>63</v>
      </c>
      <c r="F40" s="83" t="s">
        <v>65</v>
      </c>
      <c r="G40" s="84" t="s">
        <v>67</v>
      </c>
      <c r="H40" s="82" t="s">
        <v>69</v>
      </c>
      <c r="I40" s="6"/>
      <c r="J40" s="113" t="s">
        <v>18</v>
      </c>
      <c r="K40" s="83" t="s">
        <v>61</v>
      </c>
      <c r="L40" s="83" t="s">
        <v>63</v>
      </c>
      <c r="M40" s="83" t="s">
        <v>65</v>
      </c>
      <c r="N40" s="83" t="s">
        <v>67</v>
      </c>
      <c r="O40" s="85" t="s">
        <v>69</v>
      </c>
      <c r="P40" s="40"/>
      <c r="Q40" s="113" t="s">
        <v>19</v>
      </c>
      <c r="R40" s="83" t="s">
        <v>61</v>
      </c>
      <c r="S40" s="83" t="s">
        <v>63</v>
      </c>
      <c r="T40" s="83" t="s">
        <v>65</v>
      </c>
      <c r="U40" s="83" t="s">
        <v>67</v>
      </c>
      <c r="V40" s="85" t="s">
        <v>69</v>
      </c>
      <c r="W40" s="86"/>
      <c r="X40" s="113" t="s">
        <v>26</v>
      </c>
      <c r="Y40" s="83" t="s">
        <v>61</v>
      </c>
      <c r="Z40" s="83" t="s">
        <v>63</v>
      </c>
      <c r="AA40" s="83" t="s">
        <v>65</v>
      </c>
      <c r="AB40" s="83" t="s">
        <v>67</v>
      </c>
      <c r="AC40" s="85" t="s">
        <v>69</v>
      </c>
      <c r="AD40" s="86"/>
      <c r="AE40" s="112" t="s">
        <v>20</v>
      </c>
      <c r="AF40" s="83" t="s">
        <v>61</v>
      </c>
      <c r="AG40" s="83" t="s">
        <v>63</v>
      </c>
      <c r="AH40" s="83" t="s">
        <v>65</v>
      </c>
      <c r="AI40" s="83" t="s">
        <v>67</v>
      </c>
      <c r="AJ40" s="85" t="s">
        <v>69</v>
      </c>
      <c r="AK40" s="86"/>
      <c r="AL40" s="112" t="s">
        <v>21</v>
      </c>
      <c r="AM40" s="83" t="s">
        <v>61</v>
      </c>
      <c r="AN40" s="83" t="s">
        <v>63</v>
      </c>
      <c r="AO40" s="83" t="s">
        <v>65</v>
      </c>
      <c r="AP40" s="83" t="s">
        <v>67</v>
      </c>
      <c r="AQ40" s="85" t="s">
        <v>69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28"/>
      <c r="D41" s="49" t="s">
        <v>35</v>
      </c>
      <c r="E41" s="49">
        <f>AVERAGE(H4:H5)</f>
        <v>19.832511555244452</v>
      </c>
      <c r="F41" s="56">
        <f>10^((E41-22.995)/-3.249)</f>
        <v>9.405304638862992</v>
      </c>
      <c r="G41" s="57">
        <f>SUM(E41*(LOG(E37)/LOG(2)))</f>
        <v>20.277678463387137</v>
      </c>
      <c r="H41" s="56">
        <f>10^((G41-22.995)/-3.249)</f>
        <v>6.860507994249863</v>
      </c>
      <c r="I41" s="6"/>
      <c r="J41" s="113"/>
      <c r="K41" s="49" t="s">
        <v>35</v>
      </c>
      <c r="L41" s="49">
        <f>AVERAGE(W4:W5)</f>
        <v>19.023082409515702</v>
      </c>
      <c r="M41" s="56">
        <f t="shared" ref="M41:O50" si="0">10^((L41-21.592)/-3.4567)</f>
        <v>5.535674374085529</v>
      </c>
      <c r="N41" s="56">
        <f>SUM(L41*(LOG($J$37)/LOG(2)))</f>
        <v>18.281398995437204</v>
      </c>
      <c r="O41" s="56">
        <f t="shared" si="0"/>
        <v>9.0726581183895672</v>
      </c>
      <c r="P41" s="6"/>
      <c r="Q41" s="113" t="s">
        <v>19</v>
      </c>
      <c r="R41" s="49" t="s">
        <v>35</v>
      </c>
      <c r="S41" s="49">
        <f>AVERAGE(N7:N8)</f>
        <v>17.994193481804452</v>
      </c>
      <c r="T41" s="56">
        <f t="shared" ref="T41:V50" si="1">10^((S41-20.308)/-3.2909)</f>
        <v>5.0476858798324216</v>
      </c>
      <c r="U41" s="56">
        <f>SUM(S41*(LOG($O$37)/LOG(2)))</f>
        <v>18.163850883358734</v>
      </c>
      <c r="V41" s="56">
        <f t="shared" si="1"/>
        <v>4.4826912170826221</v>
      </c>
      <c r="W41" s="6"/>
      <c r="X41" s="113"/>
      <c r="Y41" s="49" t="s">
        <v>35</v>
      </c>
      <c r="Z41" s="49">
        <f>AVERAGE(H10:H11)</f>
        <v>24.128896998244301</v>
      </c>
      <c r="AA41" s="56">
        <f t="shared" ref="AA41:AC50" si="2">10^((Z41-25.289)/-1.6578)</f>
        <v>5.0093878193119803</v>
      </c>
      <c r="AB41" s="56">
        <f>SUM(Z41*(LOG($T$37)/LOG(2)))</f>
        <v>48.349897959410711</v>
      </c>
      <c r="AC41" s="56">
        <f t="shared" si="2"/>
        <v>1.2287319081046226E-14</v>
      </c>
      <c r="AD41" s="6"/>
      <c r="AE41" s="113"/>
      <c r="AF41" s="49" t="s">
        <v>35</v>
      </c>
      <c r="AG41" s="49">
        <f>AVERAGE(W10:W11)</f>
        <v>17.27522009014465</v>
      </c>
      <c r="AH41" s="56">
        <f t="shared" ref="AH41:AJ50" si="3">10^((AG41-19.28)/-3.2487)</f>
        <v>4.1409710828654323</v>
      </c>
      <c r="AI41" s="56">
        <f>SUM(AG41*(LOG($Y$37)/LOG(2)))</f>
        <v>17.664616296615293</v>
      </c>
      <c r="AJ41" s="56">
        <f t="shared" si="3"/>
        <v>3.1422449397212531</v>
      </c>
      <c r="AK41" s="6"/>
      <c r="AL41" s="113" t="s">
        <v>21</v>
      </c>
      <c r="AM41" s="49" t="s">
        <v>35</v>
      </c>
      <c r="AN41" s="49">
        <f>AVERAGE(N13:N14)</f>
        <v>18.273180166472848</v>
      </c>
      <c r="AO41" s="56">
        <f t="shared" ref="AO41:AQ50" si="4">10^((AN41-21.19)/-3.3709)</f>
        <v>7.3332093873088198</v>
      </c>
      <c r="AP41" s="49">
        <f>SUM(AN41*(LOG($AD$37)/LOG(2)))</f>
        <v>18.007710278544213</v>
      </c>
      <c r="AQ41" s="56">
        <f t="shared" si="4"/>
        <v>8.7911866546086124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28"/>
      <c r="D42" s="50" t="s">
        <v>36</v>
      </c>
      <c r="E42" s="50">
        <f>AVERAGE(I4:I5)</f>
        <v>20.517894501585452</v>
      </c>
      <c r="F42" s="57">
        <f t="shared" ref="F42:H50" si="5">10^((E42-22.995)/-3.249)</f>
        <v>5.7865658310228953</v>
      </c>
      <c r="G42" s="57">
        <f>SUM(E42*(LOG(E37)/LOG(2)))</f>
        <v>20.978445734918946</v>
      </c>
      <c r="H42" s="57">
        <f t="shared" si="5"/>
        <v>4.1751223860441495</v>
      </c>
      <c r="I42" s="6"/>
      <c r="J42" s="113"/>
      <c r="K42" s="50" t="s">
        <v>36</v>
      </c>
      <c r="L42" s="50">
        <f>AVERAGE(X4:X5)</f>
        <v>18.558855466122353</v>
      </c>
      <c r="M42" s="57">
        <f t="shared" si="0"/>
        <v>7.5416827592748801</v>
      </c>
      <c r="N42" s="57">
        <f t="shared" ref="N42:N48" si="6">SUM(L42*(LOG($J$37)/LOG(2)))</f>
        <v>17.835271612192475</v>
      </c>
      <c r="O42" s="57">
        <f t="shared" si="0"/>
        <v>12.212264147215329</v>
      </c>
      <c r="P42" s="6"/>
      <c r="Q42" s="113"/>
      <c r="R42" s="50" t="s">
        <v>36</v>
      </c>
      <c r="S42" s="50">
        <f>AVERAGE(O7:O8)</f>
        <v>18.225734513614547</v>
      </c>
      <c r="T42" s="57">
        <f t="shared" si="1"/>
        <v>4.292737717165056</v>
      </c>
      <c r="U42" s="57">
        <f>SUM(S42*(LOG($O$37)/LOG(2)))</f>
        <v>18.397574988828108</v>
      </c>
      <c r="V42" s="57">
        <f t="shared" si="1"/>
        <v>3.806426875031077</v>
      </c>
      <c r="W42" s="6"/>
      <c r="X42" s="113"/>
      <c r="Y42" s="50" t="s">
        <v>36</v>
      </c>
      <c r="Z42" s="50">
        <f>AVERAGE(I10:I11)</f>
        <v>24.103844918916099</v>
      </c>
      <c r="AA42" s="57">
        <f t="shared" si="2"/>
        <v>5.1867617200084286</v>
      </c>
      <c r="AB42" s="57">
        <f t="shared" ref="AB42:AB50" si="7">SUM(Z42*(LOG($T$37)/LOG(2)))</f>
        <v>48.299698172852807</v>
      </c>
      <c r="AC42" s="57">
        <f t="shared" si="2"/>
        <v>1.3174620164812905E-14</v>
      </c>
      <c r="AD42" s="6"/>
      <c r="AE42" s="113"/>
      <c r="AF42" s="50" t="s">
        <v>36</v>
      </c>
      <c r="AG42" s="50">
        <f>AVERAGE(X10:X11)</f>
        <v>17.260524812332001</v>
      </c>
      <c r="AH42" s="57">
        <f t="shared" si="3"/>
        <v>4.1843271378656777</v>
      </c>
      <c r="AI42" s="57">
        <f t="shared" ref="AI42:AI50" si="8">SUM(AG42*(LOG($Y$37)/LOG(2)))</f>
        <v>17.649589776398585</v>
      </c>
      <c r="AJ42" s="57">
        <f t="shared" si="3"/>
        <v>3.175889843127329</v>
      </c>
      <c r="AK42" s="6"/>
      <c r="AL42" s="113"/>
      <c r="AM42" s="50" t="s">
        <v>36</v>
      </c>
      <c r="AN42" s="50">
        <f>AVERAGE(O13:O14)</f>
        <v>18.981385693209752</v>
      </c>
      <c r="AO42" s="57">
        <f t="shared" si="4"/>
        <v>4.520642731980419</v>
      </c>
      <c r="AP42" s="50">
        <f t="shared" ref="AP42:AP50" si="9">SUM(AN42*(LOG($AD$37)/LOG(2)))</f>
        <v>18.705627106756804</v>
      </c>
      <c r="AQ42" s="57">
        <f t="shared" si="4"/>
        <v>5.4576516539888758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28"/>
      <c r="D43" s="51" t="s">
        <v>37</v>
      </c>
      <c r="E43" s="51">
        <f>AVERAGE(J4:J5)</f>
        <v>21.090346658935701</v>
      </c>
      <c r="F43" s="58">
        <f t="shared" si="5"/>
        <v>3.8568039172535906</v>
      </c>
      <c r="G43" s="58">
        <f>SUM(E43*(LOG(E37)/LOG(2)))</f>
        <v>21.563747336790499</v>
      </c>
      <c r="H43" s="58">
        <f t="shared" si="5"/>
        <v>2.7575346591779675</v>
      </c>
      <c r="I43" s="6"/>
      <c r="J43" s="113"/>
      <c r="K43" s="51" t="s">
        <v>37</v>
      </c>
      <c r="L43" s="51">
        <f>AVERAGE(Y4:Y5)</f>
        <v>20.192065621299399</v>
      </c>
      <c r="M43" s="58">
        <f t="shared" si="0"/>
        <v>2.5409234153543183</v>
      </c>
      <c r="N43" s="58">
        <f t="shared" si="6"/>
        <v>19.404805184483383</v>
      </c>
      <c r="O43" s="58">
        <f t="shared" si="0"/>
        <v>4.2928005497297743</v>
      </c>
      <c r="P43" s="6"/>
      <c r="Q43" s="113"/>
      <c r="R43" s="51" t="s">
        <v>37</v>
      </c>
      <c r="S43" s="51">
        <f>AVERAGE(P7:P8)</f>
        <v>20.085660623551</v>
      </c>
      <c r="T43" s="58">
        <f t="shared" si="1"/>
        <v>1.1683201730889614</v>
      </c>
      <c r="U43" s="58">
        <f t="shared" ref="U43:U50" si="10">SUM(S43*(LOG($O$37)/LOG(2)))</f>
        <v>20.27503732405934</v>
      </c>
      <c r="V43" s="58">
        <f t="shared" si="1"/>
        <v>1.0233314239123277</v>
      </c>
      <c r="W43" s="6"/>
      <c r="X43" s="113"/>
      <c r="Y43" s="51" t="s">
        <v>37</v>
      </c>
      <c r="Z43" s="51">
        <f>AVERAGE(J10:J11)</f>
        <v>24.96076670812765</v>
      </c>
      <c r="AA43" s="58">
        <f t="shared" si="2"/>
        <v>1.5775869296718283</v>
      </c>
      <c r="AB43" s="58">
        <f t="shared" si="7"/>
        <v>50.016812762491483</v>
      </c>
      <c r="AC43" s="58">
        <f t="shared" si="2"/>
        <v>1.2132743170137776E-15</v>
      </c>
      <c r="AD43" s="6"/>
      <c r="AE43" s="113"/>
      <c r="AF43" s="51" t="s">
        <v>37</v>
      </c>
      <c r="AG43" s="51">
        <f>AVERAGE(Y10:Y11)</f>
        <v>17.952326721729499</v>
      </c>
      <c r="AH43" s="58">
        <f t="shared" si="3"/>
        <v>2.562585274331115</v>
      </c>
      <c r="AI43" s="58">
        <f t="shared" si="8"/>
        <v>18.356985411244608</v>
      </c>
      <c r="AJ43" s="58">
        <f t="shared" si="3"/>
        <v>1.9236149164542473</v>
      </c>
      <c r="AK43" s="6"/>
      <c r="AL43" s="113"/>
      <c r="AM43" s="51" t="s">
        <v>37</v>
      </c>
      <c r="AN43" s="51">
        <f>AVERAGE(P13:P14)</f>
        <v>20.023947280016401</v>
      </c>
      <c r="AO43" s="58">
        <f t="shared" si="4"/>
        <v>2.2177742041652238</v>
      </c>
      <c r="AP43" s="51">
        <f t="shared" si="9"/>
        <v>19.733042522777261</v>
      </c>
      <c r="AQ43" s="58">
        <f t="shared" si="4"/>
        <v>2.7053045750068589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28"/>
      <c r="D44" s="52" t="s">
        <v>38</v>
      </c>
      <c r="E44" s="52">
        <f>AVERAGE(K4:K5)</f>
        <v>19.609323848002351</v>
      </c>
      <c r="F44" s="59">
        <f t="shared" si="5"/>
        <v>11.017096268337625</v>
      </c>
      <c r="G44" s="59">
        <f>SUM(E44*(LOG(E37)/LOG(2)))</f>
        <v>20.049481013365273</v>
      </c>
      <c r="H44" s="59">
        <f t="shared" si="5"/>
        <v>8.0647792787942407</v>
      </c>
      <c r="I44" s="6"/>
      <c r="J44" s="113"/>
      <c r="K44" s="52" t="s">
        <v>38</v>
      </c>
      <c r="L44" s="52">
        <f>AVERAGE(C7:C8)</f>
        <v>18.241241559558851</v>
      </c>
      <c r="M44" s="59">
        <f t="shared" si="0"/>
        <v>9.3186246999687281</v>
      </c>
      <c r="N44" s="59">
        <f t="shared" si="6"/>
        <v>17.530041028242401</v>
      </c>
      <c r="O44" s="59">
        <f t="shared" si="0"/>
        <v>14.965710470031585</v>
      </c>
      <c r="P44" s="6"/>
      <c r="Q44" s="113"/>
      <c r="R44" s="52" t="s">
        <v>38</v>
      </c>
      <c r="S44" s="52">
        <f>AVERAGE(Q7:Q8)</f>
        <v>17.201763676267198</v>
      </c>
      <c r="T44" s="59">
        <f t="shared" si="1"/>
        <v>8.7879296821980102</v>
      </c>
      <c r="U44" s="59">
        <f t="shared" si="10"/>
        <v>17.363949690906718</v>
      </c>
      <c r="V44" s="59">
        <f t="shared" si="1"/>
        <v>7.8451886966926807</v>
      </c>
      <c r="W44" s="6"/>
      <c r="X44" s="113"/>
      <c r="Y44" s="52" t="s">
        <v>38</v>
      </c>
      <c r="Z44" s="52">
        <f>AVERAGE(K10:K11)</f>
        <v>23.844805959475352</v>
      </c>
      <c r="AA44" s="59">
        <f t="shared" si="2"/>
        <v>7.4327743329629392</v>
      </c>
      <c r="AB44" s="59">
        <f t="shared" si="7"/>
        <v>47.780631459716957</v>
      </c>
      <c r="AC44" s="59">
        <f t="shared" si="2"/>
        <v>2.7092173829228033E-14</v>
      </c>
      <c r="AD44" s="6"/>
      <c r="AE44" s="113"/>
      <c r="AF44" s="52" t="s">
        <v>38</v>
      </c>
      <c r="AG44" s="52">
        <f>AVERAGE(C13:C14)</f>
        <v>16.570110853185703</v>
      </c>
      <c r="AH44" s="59">
        <f t="shared" si="3"/>
        <v>6.8256765349648596</v>
      </c>
      <c r="AI44" s="59">
        <f t="shared" si="8"/>
        <v>16.943613377226455</v>
      </c>
      <c r="AJ44" s="59">
        <f t="shared" si="3"/>
        <v>5.2381250478569941</v>
      </c>
      <c r="AK44" s="6"/>
      <c r="AL44" s="113"/>
      <c r="AM44" s="52" t="s">
        <v>38</v>
      </c>
      <c r="AN44" s="52">
        <f>AVERAGE(Q13:Q14)</f>
        <v>17.464080848292248</v>
      </c>
      <c r="AO44" s="59">
        <f t="shared" si="4"/>
        <v>12.744382647926027</v>
      </c>
      <c r="AP44" s="52">
        <f t="shared" si="9"/>
        <v>17.210365428024073</v>
      </c>
      <c r="AQ44" s="59">
        <f t="shared" si="4"/>
        <v>15.156020242550202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28"/>
      <c r="D45" s="52" t="s">
        <v>39</v>
      </c>
      <c r="E45" s="52">
        <f>AVERAGE(L4:L5)</f>
        <v>21.939959994975098</v>
      </c>
      <c r="F45" s="59">
        <f t="shared" si="5"/>
        <v>2.1121638728915522</v>
      </c>
      <c r="G45" s="59">
        <f>SUM(E45*(LOG(E37)/LOG(2)))</f>
        <v>22.432431365962628</v>
      </c>
      <c r="H45" s="59">
        <f t="shared" si="5"/>
        <v>1.4898800970994162</v>
      </c>
      <c r="I45" s="6"/>
      <c r="J45" s="113"/>
      <c r="K45" s="52" t="s">
        <v>39</v>
      </c>
      <c r="L45" s="52">
        <f>AVERAGE(D7:D8)</f>
        <v>22.60854753702095</v>
      </c>
      <c r="M45" s="59">
        <f t="shared" si="0"/>
        <v>0.50806543828674411</v>
      </c>
      <c r="N45" s="59">
        <f t="shared" si="6"/>
        <v>21.727071845351453</v>
      </c>
      <c r="O45" s="59">
        <f t="shared" si="0"/>
        <v>0.91395460624059222</v>
      </c>
      <c r="P45" s="6"/>
      <c r="Q45" s="113"/>
      <c r="R45" s="52" t="s">
        <v>39</v>
      </c>
      <c r="S45" s="52">
        <f>AVERAGE(R7:R8)</f>
        <v>18.837167818282353</v>
      </c>
      <c r="T45" s="59">
        <f t="shared" si="1"/>
        <v>2.7985894357851304</v>
      </c>
      <c r="U45" s="59">
        <f t="shared" si="10"/>
        <v>19.01477316346903</v>
      </c>
      <c r="V45" s="59">
        <f t="shared" si="1"/>
        <v>2.471556632869174</v>
      </c>
      <c r="W45" s="6"/>
      <c r="X45" s="113"/>
      <c r="Y45" s="52" t="s">
        <v>39</v>
      </c>
      <c r="Z45" s="52">
        <f>AVERAGE(L10:L11)</f>
        <v>25.860332284532852</v>
      </c>
      <c r="AA45" s="59">
        <f t="shared" si="2"/>
        <v>0.45223813628917581</v>
      </c>
      <c r="AB45" s="59">
        <f t="shared" si="7"/>
        <v>51.81937770485726</v>
      </c>
      <c r="AC45" s="59">
        <f t="shared" si="2"/>
        <v>9.9228283282556243E-17</v>
      </c>
      <c r="AD45" s="6"/>
      <c r="AE45" s="113"/>
      <c r="AF45" s="52" t="s">
        <v>39</v>
      </c>
      <c r="AG45" s="52">
        <f>AVERAGE(D13:D14)</f>
        <v>18.09060455205465</v>
      </c>
      <c r="AH45" s="59">
        <f t="shared" si="3"/>
        <v>2.3233480581883841</v>
      </c>
      <c r="AI45" s="59">
        <f t="shared" si="8"/>
        <v>18.498380125886523</v>
      </c>
      <c r="AJ45" s="59">
        <f t="shared" si="3"/>
        <v>1.7401819541486807</v>
      </c>
      <c r="AK45" s="6"/>
      <c r="AL45" s="113"/>
      <c r="AM45" s="52" t="s">
        <v>39</v>
      </c>
      <c r="AN45" s="52">
        <f>AVERAGE(R13:R14)</f>
        <v>19.805255380407552</v>
      </c>
      <c r="AO45" s="59">
        <f t="shared" si="4"/>
        <v>2.575097874720758</v>
      </c>
      <c r="AP45" s="52">
        <f t="shared" si="9"/>
        <v>19.517527744695762</v>
      </c>
      <c r="AQ45" s="59">
        <f t="shared" si="4"/>
        <v>3.1343685814511431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28"/>
      <c r="D46" s="52" t="s">
        <v>40</v>
      </c>
      <c r="E46" s="52">
        <f>AVERAGE(M4:M5)</f>
        <v>21.568910378245551</v>
      </c>
      <c r="F46" s="59">
        <f t="shared" si="5"/>
        <v>2.7474630641925168</v>
      </c>
      <c r="G46" s="59">
        <f>SUM(E46*(LOG(E37)/LOG(2)))</f>
        <v>22.053053050662207</v>
      </c>
      <c r="H46" s="59">
        <f t="shared" si="5"/>
        <v>1.9494811328340118</v>
      </c>
      <c r="I46" s="6"/>
      <c r="J46" s="113"/>
      <c r="K46" s="52" t="s">
        <v>40</v>
      </c>
      <c r="L46" s="52">
        <f>AVERAGE(E7:E8)</f>
        <v>22.36732911549225</v>
      </c>
      <c r="M46" s="59">
        <f t="shared" si="0"/>
        <v>0.59662646704502043</v>
      </c>
      <c r="N46" s="59">
        <f t="shared" si="6"/>
        <v>21.495258193174358</v>
      </c>
      <c r="O46" s="59">
        <f t="shared" si="0"/>
        <v>1.0665635864314913</v>
      </c>
      <c r="P46" s="6"/>
      <c r="Q46" s="113"/>
      <c r="R46" s="52" t="s">
        <v>40</v>
      </c>
      <c r="S46" s="52">
        <f>AVERAGE(S7:S8)</f>
        <v>18.8551210373126</v>
      </c>
      <c r="T46" s="59">
        <f t="shared" si="1"/>
        <v>2.7636546832220117</v>
      </c>
      <c r="U46" s="59">
        <f t="shared" si="10"/>
        <v>19.032895653575153</v>
      </c>
      <c r="V46" s="59">
        <f t="shared" si="1"/>
        <v>2.4404151760390334</v>
      </c>
      <c r="W46" s="6"/>
      <c r="X46" s="113"/>
      <c r="Y46" s="52" t="s">
        <v>40</v>
      </c>
      <c r="Z46" s="52">
        <f>AVERAGE(M10:M11)</f>
        <v>25.499188314227602</v>
      </c>
      <c r="AA46" s="59">
        <f t="shared" si="2"/>
        <v>0.74681408805317451</v>
      </c>
      <c r="AB46" s="59">
        <f t="shared" si="7"/>
        <v>51.095711218395572</v>
      </c>
      <c r="AC46" s="59">
        <f t="shared" si="2"/>
        <v>2.7111757277606685E-16</v>
      </c>
      <c r="AD46" s="6"/>
      <c r="AE46" s="113"/>
      <c r="AF46" s="52" t="s">
        <v>40</v>
      </c>
      <c r="AG46" s="52">
        <f>AVERAGE(E13:E14)</f>
        <v>17.9026290265612</v>
      </c>
      <c r="AH46" s="59">
        <f t="shared" si="3"/>
        <v>2.6544591347129041</v>
      </c>
      <c r="AI46" s="59">
        <f t="shared" si="8"/>
        <v>18.306167493360309</v>
      </c>
      <c r="AJ46" s="59">
        <f t="shared" si="3"/>
        <v>1.9941630987887908</v>
      </c>
      <c r="AK46" s="6"/>
      <c r="AL46" s="113"/>
      <c r="AM46" s="52" t="s">
        <v>40</v>
      </c>
      <c r="AN46" s="52">
        <f>AVERAGE(S13:S14)</f>
        <v>19.342455103111799</v>
      </c>
      <c r="AO46" s="59">
        <f t="shared" si="4"/>
        <v>3.5325354908229936</v>
      </c>
      <c r="AP46" s="52">
        <f t="shared" si="9"/>
        <v>19.061450957051388</v>
      </c>
      <c r="AQ46" s="59">
        <f t="shared" si="4"/>
        <v>4.2800445612430442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28"/>
      <c r="D47" s="53" t="s">
        <v>41</v>
      </c>
      <c r="E47" s="53">
        <f>AVERAGE(N4:N5)</f>
        <v>22.969699410722001</v>
      </c>
      <c r="F47" s="60">
        <f t="shared" si="5"/>
        <v>1.0180923936353001</v>
      </c>
      <c r="G47" s="60">
        <f>SUM(E47*(LOG(E37)/LOG(2)))</f>
        <v>23.485284642534662</v>
      </c>
      <c r="H47" s="60">
        <f t="shared" si="5"/>
        <v>0.70647493012943019</v>
      </c>
      <c r="I47" s="6"/>
      <c r="J47" s="113"/>
      <c r="K47" s="53" t="s">
        <v>41</v>
      </c>
      <c r="L47" s="53">
        <f>AVERAGE(F7:F8)</f>
        <v>22.533658596970852</v>
      </c>
      <c r="M47" s="60">
        <f t="shared" si="0"/>
        <v>0.53405319537222995</v>
      </c>
      <c r="N47" s="60">
        <f t="shared" si="6"/>
        <v>21.655102720478379</v>
      </c>
      <c r="O47" s="60">
        <f t="shared" si="0"/>
        <v>0.95883705314952383</v>
      </c>
      <c r="P47" s="6"/>
      <c r="Q47" s="113"/>
      <c r="R47" s="53" t="s">
        <v>41</v>
      </c>
      <c r="S47" s="53">
        <f>AVERAGE(T7:T8)</f>
        <v>20.140580460581649</v>
      </c>
      <c r="T47" s="60">
        <f t="shared" si="1"/>
        <v>1.124277401529874</v>
      </c>
      <c r="U47" s="60">
        <f t="shared" si="10"/>
        <v>20.330474970174006</v>
      </c>
      <c r="V47" s="60">
        <f t="shared" si="1"/>
        <v>0.98439765463274531</v>
      </c>
      <c r="W47" s="6"/>
      <c r="X47" s="113"/>
      <c r="Y47" s="53" t="s">
        <v>41</v>
      </c>
      <c r="Z47" s="53">
        <f>AVERAGE(N10:N11)</f>
        <v>26.6732542131858</v>
      </c>
      <c r="AA47" s="60">
        <f t="shared" si="2"/>
        <v>0.14621950195016922</v>
      </c>
      <c r="AB47" s="60">
        <f t="shared" si="7"/>
        <v>53.448324618684161</v>
      </c>
      <c r="AC47" s="60">
        <f t="shared" si="2"/>
        <v>1.0328563435063635E-17</v>
      </c>
      <c r="AD47" s="6"/>
      <c r="AE47" s="113"/>
      <c r="AF47" s="53" t="s">
        <v>41</v>
      </c>
      <c r="AG47" s="53">
        <f>AVERAGE(F13:F14)</f>
        <v>18.700672308148601</v>
      </c>
      <c r="AH47" s="60">
        <f t="shared" si="3"/>
        <v>1.507738431135264</v>
      </c>
      <c r="AI47" s="60">
        <f t="shared" si="8"/>
        <v>19.122199259310165</v>
      </c>
      <c r="AJ47" s="60">
        <f t="shared" si="3"/>
        <v>1.1183390851886241</v>
      </c>
      <c r="AK47" s="6"/>
      <c r="AL47" s="113"/>
      <c r="AM47" s="53" t="s">
        <v>41</v>
      </c>
      <c r="AN47" s="53">
        <f>AVERAGE(T13:T14)</f>
        <v>21.161923167978848</v>
      </c>
      <c r="AO47" s="60">
        <f t="shared" si="4"/>
        <v>1.0193637367201211</v>
      </c>
      <c r="AP47" s="53">
        <f t="shared" si="9"/>
        <v>20.8544860759906</v>
      </c>
      <c r="AQ47" s="60">
        <f t="shared" si="4"/>
        <v>1.2575708051012737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28"/>
      <c r="D48" s="54" t="s">
        <v>42</v>
      </c>
      <c r="E48" s="54">
        <f>AVERAGE(O4:O5)</f>
        <v>20.658997232479749</v>
      </c>
      <c r="F48" s="61">
        <f t="shared" si="5"/>
        <v>5.2358996021986108</v>
      </c>
      <c r="G48" s="61">
        <f>SUM(E48*(LOG(E37)/LOG(2)))</f>
        <v>21.122715702916203</v>
      </c>
      <c r="H48" s="61">
        <f t="shared" si="5"/>
        <v>3.7693354438620146</v>
      </c>
      <c r="I48" s="6"/>
      <c r="J48" s="113"/>
      <c r="K48" s="54" t="s">
        <v>42</v>
      </c>
      <c r="L48" s="54">
        <f>AVERAGE(G7:G8)</f>
        <v>16.017386767939549</v>
      </c>
      <c r="M48" s="61">
        <f t="shared" si="0"/>
        <v>40.9918969269931</v>
      </c>
      <c r="N48" s="61">
        <f t="shared" si="6"/>
        <v>15.392891228945372</v>
      </c>
      <c r="O48" s="61">
        <f t="shared" si="0"/>
        <v>62.13844261037076</v>
      </c>
      <c r="P48" s="6"/>
      <c r="Q48" s="113"/>
      <c r="R48" s="54" t="s">
        <v>42</v>
      </c>
      <c r="S48" s="54">
        <f>AVERAGE(U7:U8)</f>
        <v>18.508643177784052</v>
      </c>
      <c r="T48" s="61">
        <f t="shared" si="1"/>
        <v>3.5218219476594657</v>
      </c>
      <c r="U48" s="61">
        <f t="shared" si="10"/>
        <v>18.683151043947294</v>
      </c>
      <c r="V48" s="61">
        <f t="shared" si="1"/>
        <v>3.117022928953689</v>
      </c>
      <c r="W48" s="6"/>
      <c r="X48" s="113"/>
      <c r="Y48" s="54" t="s">
        <v>42</v>
      </c>
      <c r="Z48" s="54">
        <f>AVERAGE(O10:O11)</f>
        <v>23.762987781560049</v>
      </c>
      <c r="AA48" s="61">
        <f t="shared" si="2"/>
        <v>8.3273039054303251</v>
      </c>
      <c r="AB48" s="61">
        <f t="shared" si="7"/>
        <v>47.616682790462924</v>
      </c>
      <c r="AC48" s="61">
        <f t="shared" si="2"/>
        <v>3.4020381400202451E-14</v>
      </c>
      <c r="AD48" s="6"/>
      <c r="AE48" s="113"/>
      <c r="AF48" s="54" t="s">
        <v>42</v>
      </c>
      <c r="AG48" s="54">
        <f>AVERAGE(G13:G14)</f>
        <v>17.016327222888449</v>
      </c>
      <c r="AH48" s="61">
        <f t="shared" si="3"/>
        <v>4.9750038138939789</v>
      </c>
      <c r="AI48" s="61">
        <f t="shared" si="8"/>
        <v>17.399887793120257</v>
      </c>
      <c r="AJ48" s="61">
        <f t="shared" si="3"/>
        <v>3.7907710448075425</v>
      </c>
      <c r="AK48" s="6"/>
      <c r="AL48" s="113"/>
      <c r="AM48" s="54" t="s">
        <v>42</v>
      </c>
      <c r="AN48" s="54">
        <f>AVERAGE(U13:U14)</f>
        <v>19.164399681976953</v>
      </c>
      <c r="AO48" s="61">
        <f t="shared" si="4"/>
        <v>3.9894025761686924</v>
      </c>
      <c r="AP48" s="54">
        <f t="shared" si="9"/>
        <v>18.885982297074868</v>
      </c>
      <c r="AQ48" s="61">
        <f t="shared" si="4"/>
        <v>4.8250546941061305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29"/>
      <c r="D49" s="55" t="s">
        <v>43</v>
      </c>
      <c r="E49" s="55">
        <f>AVERAGE(P4:P5)</f>
        <v>20.683468546930349</v>
      </c>
      <c r="F49" s="62">
        <f t="shared" si="5"/>
        <v>5.1458764840120974</v>
      </c>
      <c r="G49" s="62">
        <f>SUM(E49*(LOG(E37)/LOG(2)))</f>
        <v>21.147736308330877</v>
      </c>
      <c r="H49" s="62">
        <f t="shared" si="5"/>
        <v>3.7030857675463293</v>
      </c>
      <c r="I49" s="6"/>
      <c r="J49" s="114"/>
      <c r="K49" s="55" t="s">
        <v>43</v>
      </c>
      <c r="L49" s="55">
        <f>AVERAGE(H7:H8)</f>
        <v>17.61691313046245</v>
      </c>
      <c r="M49" s="62">
        <f t="shared" si="0"/>
        <v>14.12426397348634</v>
      </c>
      <c r="N49" s="62">
        <f>SUM(L49*(LOG($J$37)/LOG(2)))</f>
        <v>16.9300542926124</v>
      </c>
      <c r="O49" s="62">
        <f t="shared" si="0"/>
        <v>22.318728833434314</v>
      </c>
      <c r="P49" s="6"/>
      <c r="Q49" s="114"/>
      <c r="R49" s="55" t="s">
        <v>43</v>
      </c>
      <c r="S49" s="55">
        <f>AVERAGE(V7:V8)</f>
        <v>17.78856578639785</v>
      </c>
      <c r="T49" s="62">
        <f t="shared" si="1"/>
        <v>5.8287583036772164</v>
      </c>
      <c r="U49" s="62">
        <f t="shared" si="10"/>
        <v>17.956284436958619</v>
      </c>
      <c r="V49" s="62">
        <f t="shared" si="1"/>
        <v>5.1833636114773931</v>
      </c>
      <c r="W49" s="6"/>
      <c r="X49" s="114"/>
      <c r="Y49" s="55" t="s">
        <v>43</v>
      </c>
      <c r="Z49" s="55">
        <f>AVERAGE(P10:P11)</f>
        <v>24.495380920194151</v>
      </c>
      <c r="AA49" s="62">
        <f t="shared" si="2"/>
        <v>3.0110518137951434</v>
      </c>
      <c r="AB49" s="62">
        <f t="shared" si="7"/>
        <v>49.08426473263409</v>
      </c>
      <c r="AC49" s="62">
        <f t="shared" si="2"/>
        <v>4.4307825469809316E-15</v>
      </c>
      <c r="AD49" s="6"/>
      <c r="AE49" s="114"/>
      <c r="AF49" s="55" t="s">
        <v>43</v>
      </c>
      <c r="AG49" s="55">
        <f>AVERAGE(H13:H14)</f>
        <v>16.971090485158399</v>
      </c>
      <c r="AH49" s="62">
        <f t="shared" si="3"/>
        <v>5.1370995763293275</v>
      </c>
      <c r="AI49" s="62">
        <f t="shared" si="8"/>
        <v>17.353631385946155</v>
      </c>
      <c r="AJ49" s="62">
        <f t="shared" si="3"/>
        <v>3.9171120129243548</v>
      </c>
      <c r="AK49" s="6"/>
      <c r="AL49" s="114"/>
      <c r="AM49" s="55" t="s">
        <v>43</v>
      </c>
      <c r="AN49" s="55">
        <f>AVERAGE(V13:V14)</f>
        <v>18.57349025453555</v>
      </c>
      <c r="AO49" s="62">
        <f t="shared" si="4"/>
        <v>5.9731729851841866</v>
      </c>
      <c r="AP49" s="55">
        <f t="shared" si="9"/>
        <v>18.303657508872487</v>
      </c>
      <c r="AQ49" s="62">
        <f t="shared" si="4"/>
        <v>7.1821220078530299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6" t="s">
        <v>34</v>
      </c>
      <c r="D50" s="127"/>
      <c r="E50" s="64">
        <f>AVERAGE(Q4:Q5)</f>
        <v>35.030528217062901</v>
      </c>
      <c r="F50" s="63">
        <f t="shared" si="5"/>
        <v>1.975243946945752E-4</v>
      </c>
      <c r="G50" s="63">
        <f>SUM(E50*(LOG(E37)/LOG(2)))</f>
        <v>35.816834676209837</v>
      </c>
      <c r="H50" s="63">
        <f t="shared" si="5"/>
        <v>1.131373037313659E-4</v>
      </c>
      <c r="I50" s="6"/>
      <c r="J50" s="126" t="s">
        <v>34</v>
      </c>
      <c r="K50" s="127"/>
      <c r="L50" s="64">
        <f>AVERAGE(Z4:Z5)</f>
        <v>36.463215444603001</v>
      </c>
      <c r="M50" s="63">
        <f t="shared" si="0"/>
        <v>4.9872099892545326E-5</v>
      </c>
      <c r="N50" s="63">
        <f>SUM(L50*(LOG($J$37)/LOG(2)))</f>
        <v>35.041565601688745</v>
      </c>
      <c r="O50" s="63">
        <f t="shared" si="0"/>
        <v>1.2856754987231419E-4</v>
      </c>
      <c r="P50" s="6"/>
      <c r="Q50" s="126" t="s">
        <v>34</v>
      </c>
      <c r="R50" s="127"/>
      <c r="S50" s="64" t="e">
        <f>AVERAGE(W7:W8)</f>
        <v>#DIV/0!</v>
      </c>
      <c r="T50" s="63" t="e">
        <f t="shared" si="1"/>
        <v>#DIV/0!</v>
      </c>
      <c r="U50" s="63" t="e">
        <f t="shared" si="10"/>
        <v>#DIV/0!</v>
      </c>
      <c r="V50" s="63" t="e">
        <f t="shared" si="1"/>
        <v>#DIV/0!</v>
      </c>
      <c r="W50" s="6"/>
      <c r="X50" s="126" t="s">
        <v>34</v>
      </c>
      <c r="Y50" s="127"/>
      <c r="Z50" s="64">
        <f>AVERAGE(Q10:Q11)</f>
        <v>31.790954163032751</v>
      </c>
      <c r="AA50" s="63">
        <f t="shared" si="2"/>
        <v>1.1966365434863992E-4</v>
      </c>
      <c r="AB50" s="63">
        <f t="shared" si="7"/>
        <v>63.703259619649437</v>
      </c>
      <c r="AC50" s="63">
        <f t="shared" si="2"/>
        <v>6.7324028180398313E-24</v>
      </c>
      <c r="AD50" s="6"/>
      <c r="AE50" s="110" t="s">
        <v>34</v>
      </c>
      <c r="AF50" s="111"/>
      <c r="AG50" s="64">
        <f>AVERAGE(Z10:Z11)</f>
        <v>39.778388420996897</v>
      </c>
      <c r="AH50" s="63">
        <f t="shared" si="3"/>
        <v>4.9009432609394277E-7</v>
      </c>
      <c r="AI50" s="63">
        <f t="shared" si="8"/>
        <v>40.675022644458316</v>
      </c>
      <c r="AJ50" s="63">
        <f t="shared" si="3"/>
        <v>2.5958633218216793E-7</v>
      </c>
      <c r="AK50" s="6"/>
      <c r="AL50" s="110" t="s">
        <v>34</v>
      </c>
      <c r="AM50" s="111"/>
      <c r="AN50" s="64">
        <f>AVERAGE(W13:W14)</f>
        <v>36.157312411969897</v>
      </c>
      <c r="AO50" s="63">
        <f t="shared" si="4"/>
        <v>3.6295000183907648E-5</v>
      </c>
      <c r="AP50" s="64">
        <f t="shared" si="9"/>
        <v>35.632024663129236</v>
      </c>
      <c r="AQ50" s="63">
        <f t="shared" si="4"/>
        <v>5.1960930795402719E-5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7">
        <f>AVERAGE(E41:E49)</f>
        <v>20.985679125235635</v>
      </c>
      <c r="F51" s="87">
        <f>AVERAGE(F41:F49)</f>
        <v>5.1472517858230198</v>
      </c>
      <c r="G51" s="87">
        <f>AVERAGE(G41:G49)</f>
        <v>21.45673040209649</v>
      </c>
      <c r="H51" s="87">
        <f>AVERAGE(H41:H49)</f>
        <v>3.7195779655263803</v>
      </c>
      <c r="I51" s="6"/>
      <c r="J51" s="108" t="s">
        <v>84</v>
      </c>
      <c r="K51" s="109"/>
      <c r="L51" s="87">
        <f>AVERAGE(L41:L49)</f>
        <v>19.684342244931372</v>
      </c>
      <c r="M51" s="87">
        <f>AVERAGE(M41:M49)</f>
        <v>9.0768679166518762</v>
      </c>
      <c r="N51" s="87">
        <f>AVERAGE(N41:N49)</f>
        <v>18.916877233435265</v>
      </c>
      <c r="O51" s="87">
        <f>AVERAGE(O41:O49)</f>
        <v>14.21555110833255</v>
      </c>
      <c r="P51" s="6"/>
      <c r="Q51" s="108" t="s">
        <v>84</v>
      </c>
      <c r="R51" s="109"/>
      <c r="S51" s="87">
        <f>AVERAGE(S41:S49)</f>
        <v>18.626381175066186</v>
      </c>
      <c r="T51" s="87">
        <f>AVERAGE(T41:T49)</f>
        <v>3.9259750249064616</v>
      </c>
      <c r="U51" s="87">
        <f>AVERAGE(U41:U49)</f>
        <v>18.801999128364113</v>
      </c>
      <c r="V51" s="87">
        <f>AVERAGE(V41:V49)</f>
        <v>3.4838215796323042</v>
      </c>
      <c r="W51" s="6"/>
      <c r="X51" s="108" t="s">
        <v>84</v>
      </c>
      <c r="Y51" s="109"/>
      <c r="Z51" s="87">
        <f>AVERAGE(Z41:Z49)</f>
        <v>24.814384233162649</v>
      </c>
      <c r="AA51" s="87">
        <f>AVERAGE(AA41:AA49)</f>
        <v>3.5433486941636847</v>
      </c>
      <c r="AB51" s="87">
        <f>AVERAGE(AB41:AB49)</f>
        <v>49.723489046611775</v>
      </c>
      <c r="AC51" s="87">
        <f>AVERAGE(AC41:AC49)</f>
        <v>1.0288802862086446E-14</v>
      </c>
      <c r="AD51" s="6"/>
      <c r="AE51" s="108" t="s">
        <v>84</v>
      </c>
      <c r="AF51" s="109"/>
      <c r="AG51" s="87">
        <f>AVERAGE(AG41:AG49)</f>
        <v>17.526611785800348</v>
      </c>
      <c r="AH51" s="87">
        <f>AVERAGE(AH41:AH49)</f>
        <v>3.8123565604763265</v>
      </c>
      <c r="AI51" s="87">
        <f>AVERAGE(AI41:AI49)</f>
        <v>17.921674546567594</v>
      </c>
      <c r="AJ51" s="87">
        <f>AVERAGE(AJ41:AJ49)</f>
        <v>2.893382438113091</v>
      </c>
      <c r="AK51" s="6"/>
      <c r="AL51" s="108" t="s">
        <v>84</v>
      </c>
      <c r="AM51" s="109"/>
      <c r="AN51" s="87">
        <f>AVERAGE(AN41:AN49)</f>
        <v>19.198901952889106</v>
      </c>
      <c r="AO51" s="87">
        <f>AVERAGE(AO41:AO49)</f>
        <v>4.878397959444138</v>
      </c>
      <c r="AP51" s="87">
        <f>AVERAGE(AP41:AP49)</f>
        <v>18.919983324420826</v>
      </c>
      <c r="AQ51" s="87">
        <f>AVERAGE(AQ41:AQ49)</f>
        <v>5.8654804195454631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7">
        <f>(E53/SQRT(9))</f>
        <v>0.33034076119644318</v>
      </c>
      <c r="F52" s="87">
        <f>(F53/SQRT(9))</f>
        <v>1.0345192039977855</v>
      </c>
      <c r="G52" s="87">
        <f>(G53/SQRT(9))</f>
        <v>0.33775569575406045</v>
      </c>
      <c r="H52" s="87">
        <f>(H53/SQRT(9))</f>
        <v>0.7622707874328597</v>
      </c>
      <c r="I52" s="6"/>
      <c r="J52" s="108" t="s">
        <v>85</v>
      </c>
      <c r="K52" s="109"/>
      <c r="L52" s="87">
        <f>(L53/SQRT(9))</f>
        <v>0.75058110902895558</v>
      </c>
      <c r="M52" s="87">
        <f>(M53/SQRT(9))</f>
        <v>4.0369247861385391</v>
      </c>
      <c r="N52" s="87">
        <f>(N53/SQRT(9))</f>
        <v>0.72131699990598797</v>
      </c>
      <c r="O52" s="87">
        <f>(O53/SQRT(9))</f>
        <v>6.1033486596162083</v>
      </c>
      <c r="P52" s="6"/>
      <c r="Q52" s="108" t="s">
        <v>85</v>
      </c>
      <c r="R52" s="109"/>
      <c r="S52" s="87">
        <f>(S53/SQRT(9))</f>
        <v>0.31080460744607147</v>
      </c>
      <c r="T52" s="87">
        <f>(T53/SQRT(9))</f>
        <v>0.76085911333311806</v>
      </c>
      <c r="U52" s="87">
        <f>(U53/SQRT(9))</f>
        <v>0.31373501397658493</v>
      </c>
      <c r="V52" s="87">
        <f>(V53/SQRT(9))</f>
        <v>0.6809654659933857</v>
      </c>
      <c r="W52" s="6"/>
      <c r="X52" s="108" t="s">
        <v>85</v>
      </c>
      <c r="Y52" s="109"/>
      <c r="Z52" s="87">
        <f>(Z53/SQRT(9))</f>
        <v>0.31743236655894685</v>
      </c>
      <c r="AA52" s="87">
        <f>(AA53/SQRT(9))</f>
        <v>0.96818241744544142</v>
      </c>
      <c r="AB52" s="87">
        <f>(AB53/SQRT(9))</f>
        <v>0.6360764245981112</v>
      </c>
      <c r="AC52" s="87">
        <f>(AC53/SQRT(9))</f>
        <v>3.9820169951110816E-15</v>
      </c>
      <c r="AD52" s="6"/>
      <c r="AE52" s="108" t="s">
        <v>85</v>
      </c>
      <c r="AF52" s="109"/>
      <c r="AG52" s="87">
        <f>(AG53/SQRT(9))</f>
        <v>0.21189959389570631</v>
      </c>
      <c r="AH52" s="87">
        <f>(AH53/SQRT(9))</f>
        <v>0.53129477688522009</v>
      </c>
      <c r="AI52" s="87">
        <f>(AI53/SQRT(9))</f>
        <v>0.21667596708140791</v>
      </c>
      <c r="AJ52" s="87">
        <f>(AJ53/SQRT(9))</f>
        <v>0.41160007206996019</v>
      </c>
      <c r="AK52" s="6"/>
      <c r="AL52" s="108" t="s">
        <v>85</v>
      </c>
      <c r="AM52" s="109"/>
      <c r="AN52" s="87">
        <f>(AN53/SQRT(9))</f>
        <v>0.33754071874843578</v>
      </c>
      <c r="AO52" s="87">
        <f>(AO53/SQRT(9))</f>
        <v>1.1061235234589726</v>
      </c>
      <c r="AP52" s="87">
        <f>(AP53/SQRT(9))</f>
        <v>0.33263698026607202</v>
      </c>
      <c r="AQ52" s="87">
        <f>(AQ53/SQRT(9))</f>
        <v>1.3102085563757544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7">
        <f>_xlfn.STDEV.P(E41:E49)</f>
        <v>0.99102228358932953</v>
      </c>
      <c r="F53" s="87">
        <f>_xlfn.STDEV.P(F41:F49)</f>
        <v>3.1035576119933568</v>
      </c>
      <c r="G53" s="87">
        <f>_xlfn.STDEV.P(G41:G49)</f>
        <v>1.0132670872621814</v>
      </c>
      <c r="H53" s="87">
        <f>_xlfn.STDEV.P(H41:H49)</f>
        <v>2.286812362298579</v>
      </c>
      <c r="I53" s="6"/>
      <c r="J53" s="108" t="s">
        <v>86</v>
      </c>
      <c r="K53" s="109"/>
      <c r="L53" s="87">
        <f>_xlfn.STDEV.P(L41:L49)</f>
        <v>2.2517433270868668</v>
      </c>
      <c r="M53" s="87">
        <f>_xlfn.STDEV.P(M41:M49)</f>
        <v>12.110774358415616</v>
      </c>
      <c r="N53" s="87">
        <f>_xlfn.STDEV.P(N41:N49)</f>
        <v>2.1639509997179638</v>
      </c>
      <c r="O53" s="87">
        <f>_xlfn.STDEV.P(O41:O49)</f>
        <v>18.310045978848624</v>
      </c>
      <c r="P53" s="6"/>
      <c r="Q53" s="108" t="s">
        <v>86</v>
      </c>
      <c r="R53" s="109"/>
      <c r="S53" s="87">
        <f>_xlfn.STDEV.P(S41:S49)</f>
        <v>0.93241382233821435</v>
      </c>
      <c r="T53" s="87">
        <f>_xlfn.STDEV.P(T41:T49)</f>
        <v>2.2825773399993543</v>
      </c>
      <c r="U53" s="87">
        <f>_xlfn.STDEV.P(U41:U49)</f>
        <v>0.94120504192975485</v>
      </c>
      <c r="V53" s="87">
        <f>_xlfn.STDEV.P(V41:V49)</f>
        <v>2.0428963979801571</v>
      </c>
      <c r="W53" s="6"/>
      <c r="X53" s="108" t="s">
        <v>86</v>
      </c>
      <c r="Y53" s="109"/>
      <c r="Z53" s="87">
        <f>_xlfn.STDEV.P(Z41:Z49)</f>
        <v>0.95229709967684062</v>
      </c>
      <c r="AA53" s="87">
        <f>_xlfn.STDEV.P(AA41:AA49)</f>
        <v>2.9045472523363243</v>
      </c>
      <c r="AB53" s="87">
        <f>_xlfn.STDEV.P(AB41:AB49)</f>
        <v>1.9082292737943336</v>
      </c>
      <c r="AC53" s="87">
        <f>_xlfn.STDEV.P(AC41:AC49)</f>
        <v>1.1946050985333244E-14</v>
      </c>
      <c r="AD53" s="6"/>
      <c r="AE53" s="108" t="s">
        <v>86</v>
      </c>
      <c r="AF53" s="109"/>
      <c r="AG53" s="87">
        <f>_xlfn.STDEV.P(AG41:AG49)</f>
        <v>0.63569878168711891</v>
      </c>
      <c r="AH53" s="87">
        <f>_xlfn.STDEV.P(AH41:AH49)</f>
        <v>1.5938843306556603</v>
      </c>
      <c r="AI53" s="87">
        <f>_xlfn.STDEV.P(AI41:AI49)</f>
        <v>0.65002790124422372</v>
      </c>
      <c r="AJ53" s="87">
        <f>_xlfn.STDEV.P(AJ41:AJ49)</f>
        <v>1.2348002162098806</v>
      </c>
      <c r="AK53" s="6"/>
      <c r="AL53" s="108" t="s">
        <v>86</v>
      </c>
      <c r="AM53" s="109"/>
      <c r="AN53" s="87">
        <f>_xlfn.STDEV.P(AN41:AN49)</f>
        <v>1.0126221562453073</v>
      </c>
      <c r="AO53" s="87">
        <f>_xlfn.STDEV.P(AO41:AO49)</f>
        <v>3.318370570376918</v>
      </c>
      <c r="AP53" s="87">
        <f>_xlfn.STDEV.P(AP41:AP49)</f>
        <v>0.99791094079821607</v>
      </c>
      <c r="AQ53" s="87">
        <f>_xlfn.STDEV.P(AQ41:AQ49)</f>
        <v>3.930625669127263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7">
        <f>SUM(E53/E51)</f>
        <v>4.7223741375022193E-2</v>
      </c>
      <c r="F54" s="87">
        <f>SUM(F53/F51)</f>
        <v>0.60295430282649631</v>
      </c>
      <c r="G54" s="87">
        <f>SUM(G53/G51)</f>
        <v>4.7223741375022228E-2</v>
      </c>
      <c r="H54" s="87">
        <f>SUM(H53/H51)</f>
        <v>0.61480425561531638</v>
      </c>
      <c r="I54" s="6"/>
      <c r="J54" s="108" t="s">
        <v>87</v>
      </c>
      <c r="K54" s="109"/>
      <c r="L54" s="87">
        <f>SUM(L53/L51)</f>
        <v>0.11439261211111489</v>
      </c>
      <c r="M54" s="87">
        <f>SUM(M53/M51)</f>
        <v>1.3342459612305162</v>
      </c>
      <c r="N54" s="87">
        <f>SUM(N53/N51)</f>
        <v>0.11439261211111612</v>
      </c>
      <c r="O54" s="87">
        <f>SUM(O53/O51)</f>
        <v>1.2880292743709427</v>
      </c>
      <c r="P54" s="6"/>
      <c r="Q54" s="108" t="s">
        <v>87</v>
      </c>
      <c r="R54" s="109"/>
      <c r="S54" s="87">
        <f>SUM(S53/S51)</f>
        <v>5.0058774894308003E-2</v>
      </c>
      <c r="T54" s="87">
        <f>SUM(T53/T51)</f>
        <v>0.58140393800740953</v>
      </c>
      <c r="U54" s="87">
        <f>SUM(U53/U51)</f>
        <v>5.0058774894308024E-2</v>
      </c>
      <c r="V54" s="87">
        <f>SUM(V53/V51)</f>
        <v>0.58639524191585379</v>
      </c>
      <c r="W54" s="6"/>
      <c r="X54" s="108" t="s">
        <v>87</v>
      </c>
      <c r="Y54" s="109"/>
      <c r="Z54" s="87">
        <f>SUM(Z53/Z51)</f>
        <v>3.8376817684807336E-2</v>
      </c>
      <c r="AA54" s="87">
        <f>SUM(AA53/AA51)</f>
        <v>0.81971815450182983</v>
      </c>
      <c r="AB54" s="87">
        <f>SUM(AB53/AB51)</f>
        <v>3.8376817684807316E-2</v>
      </c>
      <c r="AC54" s="87">
        <f>SUM(AC53/AC51)</f>
        <v>1.1610729786021703</v>
      </c>
      <c r="AD54" s="6"/>
      <c r="AE54" s="108" t="s">
        <v>87</v>
      </c>
      <c r="AF54" s="109"/>
      <c r="AG54" s="87">
        <f>SUM(AG53/AG51)</f>
        <v>3.6270489097165216E-2</v>
      </c>
      <c r="AH54" s="87">
        <f>SUM(AH53/AH51)</f>
        <v>0.41808375092190114</v>
      </c>
      <c r="AI54" s="87">
        <f>SUM(AI53/AI51)</f>
        <v>3.6270489097165237E-2</v>
      </c>
      <c r="AJ54" s="87">
        <f>SUM(AJ53/AJ51)</f>
        <v>0.42676702531420324</v>
      </c>
      <c r="AK54" s="6"/>
      <c r="AL54" s="108" t="s">
        <v>87</v>
      </c>
      <c r="AM54" s="109"/>
      <c r="AN54" s="87">
        <f>SUM(AN53/AN51)</f>
        <v>5.2743753717275743E-2</v>
      </c>
      <c r="AO54" s="87">
        <f>SUM(AO53/AO51)</f>
        <v>0.68021727582778524</v>
      </c>
      <c r="AP54" s="87">
        <f>SUM(AP53/AP51)</f>
        <v>5.2743753717275743E-2</v>
      </c>
      <c r="AQ54" s="87">
        <f>SUM(AQ53/AQ51)</f>
        <v>0.67012851258173001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5" t="s">
        <v>48</v>
      </c>
      <c r="D56" s="125"/>
      <c r="E56" s="125"/>
      <c r="F56" s="6"/>
      <c r="G56" s="6"/>
      <c r="H56" s="125" t="s">
        <v>23</v>
      </c>
      <c r="I56" s="125"/>
      <c r="J56" s="125"/>
      <c r="K56" s="6"/>
      <c r="L56" s="6"/>
      <c r="M56" s="125" t="s">
        <v>27</v>
      </c>
      <c r="N56" s="125"/>
      <c r="O56" s="125"/>
      <c r="P56" s="6"/>
      <c r="Q56" s="6"/>
      <c r="R56" s="125" t="s">
        <v>24</v>
      </c>
      <c r="S56" s="125"/>
      <c r="T56" s="125"/>
      <c r="U56" s="6"/>
      <c r="V56" s="6"/>
      <c r="W56" s="125"/>
      <c r="X56" s="125"/>
      <c r="Y56" s="125"/>
      <c r="Z56" s="6"/>
      <c r="AA56" s="6"/>
      <c r="AB56" s="125" t="s">
        <v>25</v>
      </c>
      <c r="AC56" s="125"/>
      <c r="AD56" s="12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7" t="s">
        <v>47</v>
      </c>
      <c r="D57" s="118"/>
      <c r="E57" s="119"/>
      <c r="F57" s="6"/>
      <c r="G57" s="6"/>
      <c r="H57" s="120" t="s">
        <v>47</v>
      </c>
      <c r="I57" s="121"/>
      <c r="J57" s="122"/>
      <c r="K57" s="6"/>
      <c r="L57" s="6"/>
      <c r="M57" s="120" t="s">
        <v>47</v>
      </c>
      <c r="N57" s="121"/>
      <c r="O57" s="122"/>
      <c r="P57" s="6"/>
      <c r="Q57" s="6"/>
      <c r="R57" s="120" t="s">
        <v>47</v>
      </c>
      <c r="S57" s="123"/>
      <c r="T57" s="124"/>
      <c r="U57" s="6"/>
      <c r="V57" s="6"/>
      <c r="W57" s="120"/>
      <c r="X57" s="121"/>
      <c r="Y57" s="122"/>
      <c r="Z57" s="6"/>
      <c r="AA57" s="6"/>
      <c r="AB57" s="120" t="s">
        <v>47</v>
      </c>
      <c r="AC57" s="121"/>
      <c r="AD57" s="122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30.46250617809125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30.4302026261091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27.5772873883746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25.962686709084451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33.717808885136705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28.753962482438098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28.360030121915152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25.487118315244601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23.874307761171799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32.153864089346897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26.8341096571131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26.131726751617901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23.395204329940448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21.801476143483953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30.008975931678002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24.705825867138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23.877314174187198</v>
      </c>
      <c r="L62" s="6"/>
      <c r="M62" s="65">
        <v>4</v>
      </c>
      <c r="N62" s="66">
        <f>LOG(M62)</f>
        <v>0.6020599913279624</v>
      </c>
      <c r="O62" s="67">
        <f>AVERAGE(L19:L20)</f>
        <v>21.0437437001689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19.236852455196949</v>
      </c>
      <c r="U62" s="6"/>
      <c r="V62" s="6"/>
      <c r="W62" s="65"/>
      <c r="X62" s="66"/>
      <c r="Y62" s="67"/>
      <c r="AA62" s="6"/>
      <c r="AB62" s="65">
        <v>4</v>
      </c>
      <c r="AC62" s="66">
        <f>LOG(AB62)</f>
        <v>0.6020599913279624</v>
      </c>
      <c r="AD62" s="67">
        <f>AVERAGE(L25:L26)</f>
        <v>28.10497623017865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22.064766626988252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21.495572137986649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18.750640013426299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16.812812400404951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26.493149861020001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7">
        <f>(10^(-1/-2.982)-1)*100</f>
        <v>116.44392745606305</v>
      </c>
      <c r="F64" s="6"/>
      <c r="G64" s="6"/>
      <c r="H64" s="106" t="s">
        <v>46</v>
      </c>
      <c r="I64" s="107"/>
      <c r="J64" s="37">
        <f>(10^(-1/-3.1978)-1)*100</f>
        <v>105.45418476591651</v>
      </c>
      <c r="K64" s="6"/>
      <c r="L64" s="6"/>
      <c r="M64" s="106" t="s">
        <v>46</v>
      </c>
      <c r="N64" s="107"/>
      <c r="O64" s="37">
        <f>(10^(-1/-3.1613)-1)*100</f>
        <v>107.16937806481224</v>
      </c>
      <c r="P64" s="6"/>
      <c r="Q64" s="6"/>
      <c r="R64" s="106" t="s">
        <v>46</v>
      </c>
      <c r="S64" s="107"/>
      <c r="T64" s="37">
        <f>(10^(-1/-3.2816)-1)*100</f>
        <v>101.71091539946798</v>
      </c>
      <c r="U64" s="6"/>
      <c r="V64" s="6"/>
      <c r="W64" s="106"/>
      <c r="X64" s="107"/>
      <c r="Y64" s="37"/>
      <c r="Z64" s="6"/>
      <c r="AA64" s="6"/>
      <c r="AB64" s="115" t="s">
        <v>46</v>
      </c>
      <c r="AC64" s="116"/>
      <c r="AD64" s="37">
        <f>(10^(-1/-2.6465)-1)*100</f>
        <v>138.7028188877251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60</v>
      </c>
      <c r="D65" s="107"/>
      <c r="E65" s="37">
        <f>SUM(E64/100)+1</f>
        <v>2.1644392745606305</v>
      </c>
      <c r="F65" s="6"/>
      <c r="G65" s="6"/>
      <c r="H65" s="106" t="s">
        <v>60</v>
      </c>
      <c r="I65" s="107"/>
      <c r="J65" s="37">
        <f>SUM(J64/100)+1</f>
        <v>2.054541847659165</v>
      </c>
      <c r="K65" s="6"/>
      <c r="L65" s="6"/>
      <c r="M65" s="106" t="s">
        <v>60</v>
      </c>
      <c r="N65" s="107"/>
      <c r="O65" s="37">
        <f>SUM(O64/100)+1</f>
        <v>2.0716937806481224</v>
      </c>
      <c r="P65" s="6"/>
      <c r="Q65" s="6"/>
      <c r="R65" s="106" t="s">
        <v>60</v>
      </c>
      <c r="S65" s="107"/>
      <c r="T65" s="37">
        <f>SUM(T64/100)+1</f>
        <v>2.0171091539946797</v>
      </c>
      <c r="U65" s="6"/>
      <c r="V65" s="6"/>
      <c r="W65" s="106"/>
      <c r="X65" s="107"/>
      <c r="Y65" s="37"/>
      <c r="Z65" s="6"/>
      <c r="AA65" s="6"/>
      <c r="AB65" s="106" t="s">
        <v>60</v>
      </c>
      <c r="AC65" s="107"/>
      <c r="AD65" s="37">
        <f>SUM(AD64/100)+1</f>
        <v>2.3870281888772511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3" t="s">
        <v>55</v>
      </c>
      <c r="D67" s="104"/>
      <c r="E67" s="104"/>
      <c r="F67" s="104"/>
      <c r="G67" s="104"/>
      <c r="H67" s="105"/>
      <c r="I67" s="6"/>
      <c r="J67" s="103" t="s">
        <v>56</v>
      </c>
      <c r="K67" s="104"/>
      <c r="L67" s="104"/>
      <c r="M67" s="104"/>
      <c r="N67" s="104"/>
      <c r="O67" s="105"/>
      <c r="P67" s="6"/>
      <c r="Q67" s="103" t="s">
        <v>57</v>
      </c>
      <c r="R67" s="104"/>
      <c r="S67" s="104"/>
      <c r="T67" s="104"/>
      <c r="U67" s="104"/>
      <c r="V67" s="105"/>
      <c r="W67" s="6"/>
      <c r="X67" s="103" t="s">
        <v>58</v>
      </c>
      <c r="Y67" s="104"/>
      <c r="Z67" s="104"/>
      <c r="AA67" s="104"/>
      <c r="AB67" s="104"/>
      <c r="AC67" s="105"/>
      <c r="AD67" s="6"/>
      <c r="AE67" s="103"/>
      <c r="AF67" s="104"/>
      <c r="AG67" s="104"/>
      <c r="AH67" s="104"/>
      <c r="AI67" s="104"/>
      <c r="AJ67" s="105"/>
      <c r="AK67" s="6"/>
      <c r="AL67" s="103" t="s">
        <v>59</v>
      </c>
      <c r="AM67" s="104"/>
      <c r="AN67" s="104"/>
      <c r="AO67" s="104"/>
      <c r="AP67" s="104"/>
      <c r="AQ67" s="105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3" t="s">
        <v>61</v>
      </c>
      <c r="E68" s="83" t="s">
        <v>63</v>
      </c>
      <c r="F68" s="83" t="s">
        <v>65</v>
      </c>
      <c r="G68" s="84" t="s">
        <v>67</v>
      </c>
      <c r="H68" s="82" t="s">
        <v>69</v>
      </c>
      <c r="I68" s="6"/>
      <c r="J68" s="112" t="s">
        <v>23</v>
      </c>
      <c r="K68" s="83" t="s">
        <v>61</v>
      </c>
      <c r="L68" s="83" t="s">
        <v>63</v>
      </c>
      <c r="M68" s="83" t="s">
        <v>65</v>
      </c>
      <c r="N68" s="84" t="s">
        <v>67</v>
      </c>
      <c r="O68" s="82" t="s">
        <v>69</v>
      </c>
      <c r="P68" s="6"/>
      <c r="Q68" s="112" t="s">
        <v>27</v>
      </c>
      <c r="R68" s="83" t="s">
        <v>61</v>
      </c>
      <c r="S68" s="83" t="s">
        <v>63</v>
      </c>
      <c r="T68" s="83" t="s">
        <v>65</v>
      </c>
      <c r="U68" s="84" t="s">
        <v>67</v>
      </c>
      <c r="V68" s="82" t="s">
        <v>69</v>
      </c>
      <c r="W68" s="6"/>
      <c r="X68" s="112" t="s">
        <v>24</v>
      </c>
      <c r="Y68" s="83" t="s">
        <v>61</v>
      </c>
      <c r="Z68" s="83" t="s">
        <v>63</v>
      </c>
      <c r="AA68" s="83" t="s">
        <v>65</v>
      </c>
      <c r="AB68" s="84" t="s">
        <v>67</v>
      </c>
      <c r="AC68" s="82" t="s">
        <v>69</v>
      </c>
      <c r="AD68" s="6"/>
      <c r="AE68" s="112"/>
      <c r="AF68" s="83"/>
      <c r="AG68" s="83"/>
      <c r="AH68" s="83"/>
      <c r="AI68" s="84"/>
      <c r="AJ68" s="82"/>
      <c r="AK68" s="6"/>
      <c r="AL68" s="112" t="s">
        <v>25</v>
      </c>
      <c r="AM68" s="83" t="s">
        <v>61</v>
      </c>
      <c r="AN68" s="83" t="s">
        <v>63</v>
      </c>
      <c r="AO68" s="83" t="s">
        <v>65</v>
      </c>
      <c r="AP68" s="84" t="s">
        <v>67</v>
      </c>
      <c r="AQ68" s="82" t="s">
        <v>69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9" t="s">
        <v>35</v>
      </c>
      <c r="E69" s="49">
        <f>AVERAGE(H16:H17)</f>
        <v>24.006957245190449</v>
      </c>
      <c r="F69" s="56">
        <f t="shared" ref="F69:F78" si="11">10^((E69-26.275)/-2.982)</f>
        <v>5.7620592259556869</v>
      </c>
      <c r="G69" s="57">
        <f>SUM(E69*(LOG(E65)/LOG(2)))</f>
        <v>26.743590122588149</v>
      </c>
      <c r="H69" s="56">
        <f>10^((G69-26.275)/-2.982)</f>
        <v>0.69640271437468537</v>
      </c>
      <c r="I69" s="6"/>
      <c r="J69" s="113"/>
      <c r="K69" s="49" t="s">
        <v>35</v>
      </c>
      <c r="L69" s="49">
        <f>AVERAGE(W16:W17)</f>
        <v>22.896459074934398</v>
      </c>
      <c r="M69" s="56">
        <f t="shared" ref="M69:M78" si="12">10^((L69-25.749)/-3.1978)</f>
        <v>7.7988813166037056</v>
      </c>
      <c r="N69" s="57">
        <f>SUM(L69*(LOG($J$65)/LOG(2)))</f>
        <v>23.785224427563733</v>
      </c>
      <c r="O69" s="56">
        <f t="shared" ref="O69:O78" si="13">10^((N69-25.749)/-3.1978)</f>
        <v>4.1124635486841008</v>
      </c>
      <c r="P69" s="6"/>
      <c r="Q69" s="113"/>
      <c r="R69" s="49" t="s">
        <v>35</v>
      </c>
      <c r="S69" s="49">
        <f>AVERAGE(N19:N20)</f>
        <v>20.214955856613301</v>
      </c>
      <c r="T69" s="56">
        <f t="shared" ref="T69:T78" si="14">10^((S69-22.944)/-3.1613)</f>
        <v>7.2990514192455231</v>
      </c>
      <c r="U69" s="57">
        <f>SUM(S69*(LOG($O$65)/LOG(2)))</f>
        <v>21.242093378354333</v>
      </c>
      <c r="V69" s="56">
        <f t="shared" ref="V69:V78" si="15">10^((U69-22.944)/-3.1613)</f>
        <v>3.4542722923790614</v>
      </c>
      <c r="W69" s="6"/>
      <c r="X69" s="113"/>
      <c r="Y69" s="49" t="s">
        <v>35</v>
      </c>
      <c r="Z69" s="49">
        <f>AVERAGE(H22:H23)</f>
        <v>20.714597740424651</v>
      </c>
      <c r="AA69" s="56">
        <f t="shared" ref="AA69:AA78" si="16">10^((Z69-21.22)/-3.2816)</f>
        <v>1.4256434643682574</v>
      </c>
      <c r="AB69" s="57">
        <f>SUM(Z69*(LOG($T$65)/LOG(2)))</f>
        <v>20.969162667054764</v>
      </c>
      <c r="AC69" s="56">
        <f t="shared" ref="AC69:AC78" si="17">10^((AB69-21.22)/-3.2816)</f>
        <v>1.1924426747808177</v>
      </c>
      <c r="AD69" s="6"/>
      <c r="AE69" s="113"/>
      <c r="AF69" s="49"/>
      <c r="AG69" s="49"/>
      <c r="AH69" s="56"/>
      <c r="AI69" s="57"/>
      <c r="AJ69" s="56"/>
      <c r="AK69" s="6"/>
      <c r="AL69" s="113"/>
      <c r="AM69" s="49" t="s">
        <v>35</v>
      </c>
      <c r="AN69" s="49">
        <f>AVERAGE(N25:N26)</f>
        <v>27.654848429018152</v>
      </c>
      <c r="AO69" s="56">
        <f t="shared" ref="AO69:AO78" si="18">10^((AN69-29.839)/-2.6465)</f>
        <v>6.6880291362014113</v>
      </c>
      <c r="AP69" s="57">
        <f>SUM(AN69*(LOG($AD$65)/LOG(2)))</f>
        <v>34.712797262878155</v>
      </c>
      <c r="AQ69" s="56">
        <f t="shared" ref="AQ69:AQ78" si="19">10^((AP69-29.839)/-2.6465)</f>
        <v>1.4401207840538437E-2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50" t="s">
        <v>36</v>
      </c>
      <c r="E70" s="50">
        <f>AVERAGE(I16:I17)</f>
        <v>23.90942594470415</v>
      </c>
      <c r="F70" s="57">
        <f t="shared" si="11"/>
        <v>6.2127573446529798</v>
      </c>
      <c r="G70" s="57">
        <f>SUM(E70*(LOG(E65)/LOG(2)))</f>
        <v>26.634940904876434</v>
      </c>
      <c r="H70" s="57">
        <f t="shared" ref="H70:H78" si="20">10^((G70-26.275)/-2.982)</f>
        <v>0.75734797965140899</v>
      </c>
      <c r="I70" s="6"/>
      <c r="J70" s="113"/>
      <c r="K70" s="50" t="s">
        <v>36</v>
      </c>
      <c r="L70" s="50">
        <f>AVERAGE(X16:X17)</f>
        <v>23.114332929001002</v>
      </c>
      <c r="M70" s="57">
        <f t="shared" si="12"/>
        <v>6.6665308142691195</v>
      </c>
      <c r="N70" s="57">
        <f t="shared" ref="N70:N78" si="21">SUM(L70*(LOG($J$65)/LOG(2)))</f>
        <v>24.01155542917898</v>
      </c>
      <c r="O70" s="57">
        <f t="shared" si="13"/>
        <v>3.4940166025638746</v>
      </c>
      <c r="P70" s="6"/>
      <c r="Q70" s="113"/>
      <c r="R70" s="50" t="s">
        <v>36</v>
      </c>
      <c r="S70" s="50">
        <f>AVERAGE(O19:O20)</f>
        <v>20.737019908776951</v>
      </c>
      <c r="T70" s="57">
        <f t="shared" si="14"/>
        <v>4.9902720037684718</v>
      </c>
      <c r="U70" s="57">
        <f t="shared" ref="U70:U78" si="22">SUM(S70*(LOG($O$65)/LOG(2)))</f>
        <v>21.790683908267081</v>
      </c>
      <c r="V70" s="57">
        <f t="shared" si="15"/>
        <v>2.3164522972228854</v>
      </c>
      <c r="W70" s="6"/>
      <c r="X70" s="113"/>
      <c r="Y70" s="50" t="s">
        <v>36</v>
      </c>
      <c r="Z70" s="50">
        <f>AVERAGE(I22:I23)</f>
        <v>21.012650723415799</v>
      </c>
      <c r="AA70" s="57">
        <f t="shared" si="16"/>
        <v>1.1566059461733511</v>
      </c>
      <c r="AB70" s="57">
        <f t="shared" ref="AB70:AB78" si="23">SUM(Z70*(LOG($T$65)/LOG(2)))</f>
        <v>21.270878469700815</v>
      </c>
      <c r="AC70" s="57">
        <f t="shared" si="17"/>
        <v>0.96493005658077091</v>
      </c>
      <c r="AD70" s="6"/>
      <c r="AE70" s="113"/>
      <c r="AF70" s="50"/>
      <c r="AG70" s="50"/>
      <c r="AH70" s="57"/>
      <c r="AI70" s="57"/>
      <c r="AJ70" s="57"/>
      <c r="AK70" s="6"/>
      <c r="AL70" s="113"/>
      <c r="AM70" s="50" t="s">
        <v>36</v>
      </c>
      <c r="AN70" s="50">
        <f>AVERAGE(O25:O26)</f>
        <v>28.662167762157999</v>
      </c>
      <c r="AO70" s="57">
        <f t="shared" si="18"/>
        <v>2.7840366197105006</v>
      </c>
      <c r="AP70" s="57">
        <f t="shared" ref="AP70:AP78" si="24">SUM(AN70*(LOG($AD$65)/LOG(2)))</f>
        <v>35.977200207627995</v>
      </c>
      <c r="AQ70" s="57">
        <f t="shared" si="19"/>
        <v>4.793301225526265E-3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51" t="s">
        <v>37</v>
      </c>
      <c r="E71" s="51">
        <f>AVERAGE(J16:J17)</f>
        <v>24.627275254899303</v>
      </c>
      <c r="F71" s="58">
        <f t="shared" si="11"/>
        <v>3.5690852643367399</v>
      </c>
      <c r="G71" s="58">
        <f>SUM(E71*(LOG(E65)/LOG(2)))</f>
        <v>27.434620244726464</v>
      </c>
      <c r="H71" s="58">
        <f t="shared" si="20"/>
        <v>0.40843850557608558</v>
      </c>
      <c r="I71" s="6"/>
      <c r="J71" s="113"/>
      <c r="K71" s="51" t="s">
        <v>37</v>
      </c>
      <c r="L71" s="51">
        <f>AVERAGE(Y16:Y17)</f>
        <v>23.667164724574697</v>
      </c>
      <c r="M71" s="58">
        <f t="shared" si="12"/>
        <v>4.4773505724706855</v>
      </c>
      <c r="N71" s="58">
        <f t="shared" si="21"/>
        <v>24.585846339637197</v>
      </c>
      <c r="O71" s="58">
        <f t="shared" si="13"/>
        <v>2.3106575566858738</v>
      </c>
      <c r="P71" s="6"/>
      <c r="Q71" s="113"/>
      <c r="R71" s="51" t="s">
        <v>37</v>
      </c>
      <c r="S71" s="51">
        <f>AVERAGE(P19:P20)</f>
        <v>21.3285951925474</v>
      </c>
      <c r="T71" s="58">
        <f t="shared" si="14"/>
        <v>3.2433501249929124</v>
      </c>
      <c r="U71" s="58">
        <f>SUM(S71*(LOG($O$65)/LOG(2)))</f>
        <v>22.412317589157226</v>
      </c>
      <c r="V71" s="58">
        <f t="shared" si="15"/>
        <v>1.472938919035264</v>
      </c>
      <c r="W71" s="6"/>
      <c r="X71" s="113"/>
      <c r="Y71" s="51" t="s">
        <v>37</v>
      </c>
      <c r="Z71" s="51">
        <f>AVERAGE(J22:J23)</f>
        <v>21.829213003513601</v>
      </c>
      <c r="AA71" s="58">
        <f t="shared" si="16"/>
        <v>0.65216109440412773</v>
      </c>
      <c r="AB71" s="58">
        <f t="shared" si="23"/>
        <v>22.097475611181242</v>
      </c>
      <c r="AC71" s="58">
        <f t="shared" si="17"/>
        <v>0.54026568382114382</v>
      </c>
      <c r="AD71" s="6"/>
      <c r="AE71" s="113"/>
      <c r="AF71" s="51"/>
      <c r="AG71" s="51"/>
      <c r="AH71" s="58"/>
      <c r="AI71" s="58"/>
      <c r="AJ71" s="58"/>
      <c r="AK71" s="6"/>
      <c r="AL71" s="113"/>
      <c r="AM71" s="51" t="s">
        <v>37</v>
      </c>
      <c r="AN71" s="51">
        <f>AVERAGE(P25:P26)</f>
        <v>28.241987777406901</v>
      </c>
      <c r="AO71" s="58">
        <f t="shared" si="18"/>
        <v>4.0127594121861909</v>
      </c>
      <c r="AP71" s="58">
        <f t="shared" si="24"/>
        <v>35.449783734454364</v>
      </c>
      <c r="AQ71" s="58">
        <f t="shared" si="19"/>
        <v>7.584431222510837E-3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52" t="s">
        <v>38</v>
      </c>
      <c r="E72" s="52">
        <f>AVERAGE(K16:K17)</f>
        <v>23.834872585855301</v>
      </c>
      <c r="F72" s="59">
        <f t="shared" si="11"/>
        <v>6.5809034289788775</v>
      </c>
      <c r="G72" s="59">
        <f>SUM(E72*(LOG(E65)/LOG(2)))</f>
        <v>26.551888960769052</v>
      </c>
      <c r="H72" s="59">
        <f t="shared" si="20"/>
        <v>0.80750748962285146</v>
      </c>
      <c r="I72" s="6"/>
      <c r="J72" s="113"/>
      <c r="K72" s="52" t="s">
        <v>38</v>
      </c>
      <c r="L72" s="52">
        <f>AVERAGE(C19:C20)</f>
        <v>22.648130864721249</v>
      </c>
      <c r="M72" s="59">
        <f t="shared" si="12"/>
        <v>9.3258465559835297</v>
      </c>
      <c r="N72" s="59">
        <f t="shared" si="21"/>
        <v>23.527256931704031</v>
      </c>
      <c r="O72" s="59">
        <f t="shared" si="13"/>
        <v>4.9519056897121976</v>
      </c>
      <c r="P72" s="6"/>
      <c r="Q72" s="113"/>
      <c r="R72" s="52" t="s">
        <v>38</v>
      </c>
      <c r="S72" s="52">
        <f>AVERAGE(Q19:Q20)</f>
        <v>19.608696322111797</v>
      </c>
      <c r="T72" s="59">
        <f t="shared" si="14"/>
        <v>11.351200929058972</v>
      </c>
      <c r="U72" s="59">
        <f t="shared" si="22"/>
        <v>20.605029328610911</v>
      </c>
      <c r="V72" s="59">
        <f t="shared" si="15"/>
        <v>5.4938426018047704</v>
      </c>
      <c r="W72" s="6"/>
      <c r="X72" s="113"/>
      <c r="Y72" s="52" t="s">
        <v>38</v>
      </c>
      <c r="Z72" s="52">
        <f>AVERAGE(K22:K23)</f>
        <v>17.069471373554251</v>
      </c>
      <c r="AA72" s="59">
        <f t="shared" si="16"/>
        <v>18.398740719073775</v>
      </c>
      <c r="AB72" s="59">
        <f t="shared" si="23"/>
        <v>17.279240773002631</v>
      </c>
      <c r="AC72" s="59">
        <f t="shared" si="17"/>
        <v>15.880537436701115</v>
      </c>
      <c r="AD72" s="6"/>
      <c r="AE72" s="113"/>
      <c r="AF72" s="52"/>
      <c r="AG72" s="52"/>
      <c r="AH72" s="59"/>
      <c r="AI72" s="59"/>
      <c r="AJ72" s="59"/>
      <c r="AK72" s="6"/>
      <c r="AL72" s="113"/>
      <c r="AM72" s="52" t="s">
        <v>38</v>
      </c>
      <c r="AN72" s="52">
        <f>AVERAGE(Q25:Q26)</f>
        <v>27.140416125530848</v>
      </c>
      <c r="AO72" s="59">
        <f t="shared" si="18"/>
        <v>10.463579662599658</v>
      </c>
      <c r="AP72" s="59">
        <f t="shared" si="24"/>
        <v>34.067073808552777</v>
      </c>
      <c r="AQ72" s="59">
        <f t="shared" si="19"/>
        <v>2.5257502182379005E-2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52" t="s">
        <v>39</v>
      </c>
      <c r="E73" s="52">
        <f>AVERAGE(L16:L17)</f>
        <v>26.0607759530394</v>
      </c>
      <c r="F73" s="59">
        <f t="shared" si="11"/>
        <v>1.1798832884790116</v>
      </c>
      <c r="G73" s="59">
        <f>SUM(E73*(LOG(E65)/LOG(2)))</f>
        <v>29.031530453711117</v>
      </c>
      <c r="H73" s="59">
        <f t="shared" si="20"/>
        <v>0.11901732267909203</v>
      </c>
      <c r="I73" s="6"/>
      <c r="J73" s="113"/>
      <c r="K73" s="52" t="s">
        <v>39</v>
      </c>
      <c r="L73" s="52">
        <f>AVERAGE(D19:D20)</f>
        <v>25.020761218515702</v>
      </c>
      <c r="M73" s="59">
        <f t="shared" si="12"/>
        <v>1.6893949218490296</v>
      </c>
      <c r="N73" s="59">
        <f t="shared" si="21"/>
        <v>25.991985004457902</v>
      </c>
      <c r="O73" s="59">
        <f t="shared" si="13"/>
        <v>0.83948887729861776</v>
      </c>
      <c r="P73" s="6"/>
      <c r="Q73" s="113"/>
      <c r="R73" s="52" t="s">
        <v>39</v>
      </c>
      <c r="S73" s="52">
        <f>AVERAGE(R19:R20)</f>
        <v>21.19842145502265</v>
      </c>
      <c r="T73" s="59">
        <f t="shared" si="14"/>
        <v>3.5659160505895513</v>
      </c>
      <c r="U73" s="59">
        <f t="shared" si="22"/>
        <v>22.275529623478562</v>
      </c>
      <c r="V73" s="59">
        <f t="shared" si="15"/>
        <v>1.6272499531609226</v>
      </c>
      <c r="W73" s="6"/>
      <c r="X73" s="113"/>
      <c r="Y73" s="52" t="s">
        <v>39</v>
      </c>
      <c r="Z73" s="52">
        <f>AVERAGE(L22:L23)</f>
        <v>19.628430595359099</v>
      </c>
      <c r="AA73" s="59">
        <f t="shared" si="16"/>
        <v>3.0549069758825227</v>
      </c>
      <c r="AB73" s="59">
        <f t="shared" si="23"/>
        <v>19.869647444316815</v>
      </c>
      <c r="AC73" s="59">
        <f t="shared" si="17"/>
        <v>2.5792421918649655</v>
      </c>
      <c r="AD73" s="6"/>
      <c r="AE73" s="113"/>
      <c r="AF73" s="52"/>
      <c r="AG73" s="52"/>
      <c r="AH73" s="59"/>
      <c r="AI73" s="59"/>
      <c r="AJ73" s="59"/>
      <c r="AK73" s="6"/>
      <c r="AL73" s="113"/>
      <c r="AM73" s="52" t="s">
        <v>39</v>
      </c>
      <c r="AN73" s="52">
        <f>AVERAGE(R25:R26)</f>
        <v>30.379982875327748</v>
      </c>
      <c r="AO73" s="59">
        <f t="shared" si="18"/>
        <v>0.62457635290960489</v>
      </c>
      <c r="AP73" s="59">
        <f t="shared" si="24"/>
        <v>38.133428541752579</v>
      </c>
      <c r="AQ73" s="59">
        <f t="shared" si="19"/>
        <v>7.3432374479129813E-4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52" t="s">
        <v>40</v>
      </c>
      <c r="E74" s="52">
        <f>AVERAGE(M16:M17)</f>
        <v>25.430201773003198</v>
      </c>
      <c r="F74" s="59">
        <f t="shared" si="11"/>
        <v>1.919991049872146</v>
      </c>
      <c r="G74" s="59">
        <f>SUM(E74*(LOG(E65)/LOG(2)))</f>
        <v>28.329075026288976</v>
      </c>
      <c r="H74" s="59">
        <f t="shared" si="20"/>
        <v>0.2047271199036419</v>
      </c>
      <c r="I74" s="6"/>
      <c r="J74" s="113"/>
      <c r="K74" s="52" t="s">
        <v>40</v>
      </c>
      <c r="L74" s="52">
        <f>AVERAGE(E19:E20)</f>
        <v>24.715979792903099</v>
      </c>
      <c r="M74" s="59">
        <f t="shared" si="12"/>
        <v>2.1039765998380737</v>
      </c>
      <c r="N74" s="59">
        <f t="shared" si="21"/>
        <v>25.675372964761134</v>
      </c>
      <c r="O74" s="59">
        <f t="shared" si="13"/>
        <v>1.0544458398237748</v>
      </c>
      <c r="P74" s="6"/>
      <c r="Q74" s="113"/>
      <c r="R74" s="52" t="s">
        <v>40</v>
      </c>
      <c r="S74" s="52">
        <f>AVERAGE(S19:S20)</f>
        <v>20.889929158428501</v>
      </c>
      <c r="T74" s="59">
        <f t="shared" si="14"/>
        <v>4.4643179118807268</v>
      </c>
      <c r="U74" s="59">
        <f t="shared" si="22"/>
        <v>21.951362595005328</v>
      </c>
      <c r="V74" s="59">
        <f t="shared" si="15"/>
        <v>2.0606137111766132</v>
      </c>
      <c r="W74" s="6"/>
      <c r="X74" s="113"/>
      <c r="Y74" s="52" t="s">
        <v>40</v>
      </c>
      <c r="Z74" s="52">
        <f>AVERAGE(M22:M23)</f>
        <v>19.224086374095847</v>
      </c>
      <c r="AA74" s="59">
        <f t="shared" si="16"/>
        <v>4.0570799138957794</v>
      </c>
      <c r="AB74" s="59">
        <f t="shared" si="23"/>
        <v>19.460334173772036</v>
      </c>
      <c r="AC74" s="59">
        <f t="shared" si="17"/>
        <v>3.4373354095004935</v>
      </c>
      <c r="AD74" s="6"/>
      <c r="AE74" s="113"/>
      <c r="AF74" s="52"/>
      <c r="AG74" s="52"/>
      <c r="AH74" s="59"/>
      <c r="AI74" s="59"/>
      <c r="AJ74" s="59"/>
      <c r="AK74" s="6"/>
      <c r="AL74" s="113"/>
      <c r="AM74" s="52" t="s">
        <v>40</v>
      </c>
      <c r="AN74" s="52">
        <f>AVERAGE(S25:S26)</f>
        <v>30.038825402549101</v>
      </c>
      <c r="AO74" s="59">
        <f t="shared" si="18"/>
        <v>0.84041629303664944</v>
      </c>
      <c r="AP74" s="59">
        <f t="shared" si="24"/>
        <v>37.705202358641237</v>
      </c>
      <c r="AQ74" s="59">
        <f t="shared" si="19"/>
        <v>1.0658499447349723E-3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53" t="s">
        <v>41</v>
      </c>
      <c r="E75" s="53">
        <f>AVERAGE(N16:N17)</f>
        <v>25.918713905202502</v>
      </c>
      <c r="F75" s="60">
        <f t="shared" si="11"/>
        <v>1.3166759563132464</v>
      </c>
      <c r="G75" s="60">
        <f>SUM(E75*(LOG(E65)/LOG(2)))</f>
        <v>28.873274280697494</v>
      </c>
      <c r="H75" s="60">
        <f t="shared" si="20"/>
        <v>0.13448710874041184</v>
      </c>
      <c r="I75" s="6"/>
      <c r="J75" s="113"/>
      <c r="K75" s="53" t="s">
        <v>41</v>
      </c>
      <c r="L75" s="53">
        <f>AVERAGE(F19:F20)</f>
        <v>26.056340062757599</v>
      </c>
      <c r="M75" s="60">
        <f t="shared" si="12"/>
        <v>0.80147532239174879</v>
      </c>
      <c r="N75" s="60">
        <f t="shared" si="21"/>
        <v>27.067761618742143</v>
      </c>
      <c r="O75" s="60">
        <f t="shared" si="13"/>
        <v>0.38690422435882826</v>
      </c>
      <c r="P75" s="6"/>
      <c r="Q75" s="113"/>
      <c r="R75" s="53" t="s">
        <v>41</v>
      </c>
      <c r="S75" s="53">
        <f>AVERAGE(T19:T20)</f>
        <v>22.35790213805705</v>
      </c>
      <c r="T75" s="60">
        <f t="shared" si="14"/>
        <v>1.5324903050122871</v>
      </c>
      <c r="U75" s="60">
        <f t="shared" si="22"/>
        <v>23.493924415637217</v>
      </c>
      <c r="V75" s="60">
        <f t="shared" si="15"/>
        <v>0.66995379263122512</v>
      </c>
      <c r="W75" s="6"/>
      <c r="X75" s="113"/>
      <c r="Y75" s="53" t="s">
        <v>41</v>
      </c>
      <c r="Z75" s="53">
        <f>AVERAGE(N22:N23)</f>
        <v>20.077248274723651</v>
      </c>
      <c r="AA75" s="60">
        <f t="shared" si="16"/>
        <v>2.2296158750383492</v>
      </c>
      <c r="AB75" s="60">
        <f t="shared" si="23"/>
        <v>20.323980714234921</v>
      </c>
      <c r="AC75" s="60">
        <f t="shared" si="17"/>
        <v>1.875181974378852</v>
      </c>
      <c r="AD75" s="6"/>
      <c r="AE75" s="113"/>
      <c r="AF75" s="53"/>
      <c r="AG75" s="53"/>
      <c r="AH75" s="60"/>
      <c r="AI75" s="60"/>
      <c r="AJ75" s="60"/>
      <c r="AK75" s="6"/>
      <c r="AL75" s="113"/>
      <c r="AM75" s="53" t="s">
        <v>41</v>
      </c>
      <c r="AN75" s="53">
        <f>AVERAGE(T25:T26)</f>
        <v>30.195751848798</v>
      </c>
      <c r="AO75" s="60">
        <f t="shared" si="18"/>
        <v>0.73315976150988604</v>
      </c>
      <c r="AP75" s="60">
        <f t="shared" si="24"/>
        <v>37.902178882587975</v>
      </c>
      <c r="AQ75" s="60">
        <f t="shared" si="19"/>
        <v>8.9798069607444271E-4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4" t="s">
        <v>42</v>
      </c>
      <c r="E76" s="54">
        <f>AVERAGE(O16:O17)</f>
        <v>22.893026146358352</v>
      </c>
      <c r="F76" s="61">
        <f t="shared" si="11"/>
        <v>13.618503734458498</v>
      </c>
      <c r="G76" s="61">
        <f>SUM(E76*(LOG(E65)/LOG(2)))</f>
        <v>25.502678314077386</v>
      </c>
      <c r="H76" s="61">
        <f t="shared" si="20"/>
        <v>1.815492792685317</v>
      </c>
      <c r="I76" s="6"/>
      <c r="J76" s="113"/>
      <c r="K76" s="54" t="s">
        <v>42</v>
      </c>
      <c r="L76" s="54">
        <f>AVERAGE(G19:G20)</f>
        <v>23.245676910471751</v>
      </c>
      <c r="M76" s="61">
        <f t="shared" si="12"/>
        <v>6.0649420951006228</v>
      </c>
      <c r="N76" s="61">
        <f t="shared" si="21"/>
        <v>24.147997752695787</v>
      </c>
      <c r="O76" s="61">
        <f t="shared" si="13"/>
        <v>3.1670681170816053</v>
      </c>
      <c r="P76" s="6"/>
      <c r="Q76" s="113"/>
      <c r="R76" s="54" t="s">
        <v>42</v>
      </c>
      <c r="S76" s="54">
        <f>AVERAGE(U19:U20)</f>
        <v>20.1413091504817</v>
      </c>
      <c r="T76" s="61">
        <f t="shared" si="14"/>
        <v>7.7012772560051621</v>
      </c>
      <c r="U76" s="61">
        <f t="shared" si="22"/>
        <v>21.164704626197157</v>
      </c>
      <c r="V76" s="61">
        <f t="shared" si="15"/>
        <v>3.6545727326794215</v>
      </c>
      <c r="W76" s="6"/>
      <c r="X76" s="113"/>
      <c r="Y76" s="54" t="s">
        <v>42</v>
      </c>
      <c r="Z76" s="54">
        <f>AVERAGE(O22:O23)</f>
        <v>17.448159809474802</v>
      </c>
      <c r="AA76" s="61">
        <f t="shared" si="16"/>
        <v>14.105568660533926</v>
      </c>
      <c r="AB76" s="61">
        <f t="shared" si="23"/>
        <v>17.662582970251972</v>
      </c>
      <c r="AC76" s="61">
        <f t="shared" si="17"/>
        <v>12.135273201849923</v>
      </c>
      <c r="AD76" s="6"/>
      <c r="AE76" s="113"/>
      <c r="AF76" s="54"/>
      <c r="AG76" s="54"/>
      <c r="AH76" s="61"/>
      <c r="AI76" s="61"/>
      <c r="AJ76" s="61"/>
      <c r="AK76" s="6"/>
      <c r="AL76" s="113"/>
      <c r="AM76" s="54" t="s">
        <v>42</v>
      </c>
      <c r="AN76" s="54">
        <f>AVERAGE(U25:U26)</f>
        <v>26.465151796999251</v>
      </c>
      <c r="AO76" s="61">
        <f t="shared" si="18"/>
        <v>18.829292775704147</v>
      </c>
      <c r="AP76" s="61">
        <f t="shared" si="24"/>
        <v>33.219471486835658</v>
      </c>
      <c r="AQ76" s="61">
        <f t="shared" si="19"/>
        <v>5.2803575851741301E-2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5" t="s">
        <v>43</v>
      </c>
      <c r="E77" s="55">
        <f>AVERAGE(P16:P17)</f>
        <v>23.5776471335639</v>
      </c>
      <c r="F77" s="62">
        <f t="shared" si="11"/>
        <v>8.0268452726325084</v>
      </c>
      <c r="G77" s="62">
        <f>SUM(E77*(LOG(E65)/LOG(2)))</f>
        <v>26.26534152391898</v>
      </c>
      <c r="H77" s="62">
        <f t="shared" si="20"/>
        <v>1.0074857811724878</v>
      </c>
      <c r="I77" s="6"/>
      <c r="J77" s="114"/>
      <c r="K77" s="55" t="s">
        <v>43</v>
      </c>
      <c r="L77" s="55">
        <f>AVERAGE(H19:H20)</f>
        <v>23.560492823622049</v>
      </c>
      <c r="M77" s="62">
        <f t="shared" si="12"/>
        <v>4.8348054521280801</v>
      </c>
      <c r="N77" s="62">
        <f t="shared" si="21"/>
        <v>24.47503378578466</v>
      </c>
      <c r="O77" s="62">
        <f t="shared" si="13"/>
        <v>2.5025821001234223</v>
      </c>
      <c r="P77" s="6"/>
      <c r="Q77" s="114"/>
      <c r="R77" s="55" t="s">
        <v>43</v>
      </c>
      <c r="S77" s="55">
        <f>AVERAGE(V19:V20)</f>
        <v>20.574312137434248</v>
      </c>
      <c r="T77" s="62">
        <f t="shared" si="14"/>
        <v>5.6181437285050713</v>
      </c>
      <c r="U77" s="62">
        <f t="shared" si="22"/>
        <v>21.619708829381864</v>
      </c>
      <c r="V77" s="62">
        <f t="shared" si="15"/>
        <v>2.6236575533676132</v>
      </c>
      <c r="W77" s="6"/>
      <c r="X77" s="114"/>
      <c r="Y77" s="55" t="s">
        <v>43</v>
      </c>
      <c r="Z77" s="55">
        <f>AVERAGE(P22:P23)</f>
        <v>17.280926999997199</v>
      </c>
      <c r="AA77" s="62">
        <f t="shared" si="16"/>
        <v>15.861759218420319</v>
      </c>
      <c r="AB77" s="62">
        <f t="shared" si="23"/>
        <v>17.493295010661956</v>
      </c>
      <c r="AC77" s="62">
        <f t="shared" si="17"/>
        <v>13.665847702515226</v>
      </c>
      <c r="AD77" s="6"/>
      <c r="AE77" s="114"/>
      <c r="AF77" s="55"/>
      <c r="AG77" s="55"/>
      <c r="AH77" s="62"/>
      <c r="AI77" s="62"/>
      <c r="AJ77" s="62"/>
      <c r="AK77" s="6"/>
      <c r="AL77" s="114"/>
      <c r="AM77" s="55" t="s">
        <v>43</v>
      </c>
      <c r="AN77" s="55">
        <f>AVERAGE(V25:V26)</f>
        <v>26.860167610111802</v>
      </c>
      <c r="AO77" s="62">
        <f t="shared" si="18"/>
        <v>13.352860192576667</v>
      </c>
      <c r="AP77" s="62">
        <f t="shared" si="24"/>
        <v>33.715301499117295</v>
      </c>
      <c r="AQ77" s="62">
        <f t="shared" si="19"/>
        <v>3.4301271685767964E-2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0" t="s">
        <v>34</v>
      </c>
      <c r="D78" s="111"/>
      <c r="E78" s="64">
        <f>AVERAGE(Q16:Q17)</f>
        <v>30.724061459380451</v>
      </c>
      <c r="F78" s="63">
        <f t="shared" si="11"/>
        <v>3.2212740915975348E-2</v>
      </c>
      <c r="G78" s="63">
        <f>SUM(E78*(LOG(E65)/LOG(2)))</f>
        <v>34.226399379933575</v>
      </c>
      <c r="H78" s="63">
        <f t="shared" si="20"/>
        <v>2.1554340959850293E-3</v>
      </c>
      <c r="I78" s="6"/>
      <c r="J78" s="110" t="s">
        <v>34</v>
      </c>
      <c r="K78" s="111"/>
      <c r="L78" s="64">
        <f>AVERAGE(Z16:Z17)</f>
        <v>36.870253009760752</v>
      </c>
      <c r="M78" s="63">
        <f t="shared" si="12"/>
        <v>3.3282616354360475E-4</v>
      </c>
      <c r="N78" s="63">
        <f t="shared" si="21"/>
        <v>38.301435155022077</v>
      </c>
      <c r="O78" s="63">
        <f t="shared" si="13"/>
        <v>1.1875867581718637E-4</v>
      </c>
      <c r="P78" s="6"/>
      <c r="Q78" s="110" t="s">
        <v>34</v>
      </c>
      <c r="R78" s="111"/>
      <c r="S78" s="64">
        <f>AVERAGE(W19:W20)</f>
        <v>31.382933805793648</v>
      </c>
      <c r="T78" s="63">
        <f t="shared" si="14"/>
        <v>2.1406689952739697E-3</v>
      </c>
      <c r="U78" s="63">
        <f t="shared" si="22"/>
        <v>32.977524913629296</v>
      </c>
      <c r="V78" s="63">
        <f t="shared" si="15"/>
        <v>6.7009995714178571E-4</v>
      </c>
      <c r="W78" s="6"/>
      <c r="X78" s="110" t="s">
        <v>34</v>
      </c>
      <c r="Y78" s="111"/>
      <c r="Z78" s="64">
        <f>AVERAGE(Q22:Q23)</f>
        <v>35.075579668036255</v>
      </c>
      <c r="AA78" s="63">
        <f t="shared" si="16"/>
        <v>5.9951149831426606E-5</v>
      </c>
      <c r="AB78" s="63">
        <f t="shared" si="23"/>
        <v>35.506628944328853</v>
      </c>
      <c r="AC78" s="63">
        <f t="shared" si="17"/>
        <v>4.4304121518016103E-5</v>
      </c>
      <c r="AD78" s="6"/>
      <c r="AE78" s="110"/>
      <c r="AF78" s="111"/>
      <c r="AG78" s="64"/>
      <c r="AH78" s="63"/>
      <c r="AI78" s="63"/>
      <c r="AJ78" s="63"/>
      <c r="AK78" s="6"/>
      <c r="AL78" s="110" t="s">
        <v>34</v>
      </c>
      <c r="AM78" s="111"/>
      <c r="AN78" s="64">
        <f>AVERAGE(W25:W26)</f>
        <v>35.7987010631049</v>
      </c>
      <c r="AO78" s="63">
        <f t="shared" si="18"/>
        <v>5.5986326334178591E-3</v>
      </c>
      <c r="AP78" s="63">
        <f t="shared" si="24"/>
        <v>44.935088162479595</v>
      </c>
      <c r="AQ78" s="63">
        <f t="shared" si="19"/>
        <v>1.9761920461340853E-6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7">
        <f>AVERAGE(E69:E77)</f>
        <v>24.47321066020184</v>
      </c>
      <c r="F79" s="87">
        <f>AVERAGE(F69:F77)</f>
        <v>5.3540782850755209</v>
      </c>
      <c r="G79" s="87">
        <f>AVERAGE(G69:G77)</f>
        <v>27.262993314628233</v>
      </c>
      <c r="H79" s="87">
        <f>AVERAGE(H69:H77)</f>
        <v>0.66121186826733125</v>
      </c>
      <c r="I79" s="6"/>
      <c r="J79" s="108" t="s">
        <v>84</v>
      </c>
      <c r="K79" s="109"/>
      <c r="L79" s="87">
        <f>AVERAGE(L69:L77)</f>
        <v>23.880593155722394</v>
      </c>
      <c r="M79" s="87">
        <f>AVERAGE(M69:M77)</f>
        <v>4.8625781834038442</v>
      </c>
      <c r="N79" s="87">
        <f>AVERAGE(N69:N77)</f>
        <v>24.807559361613951</v>
      </c>
      <c r="O79" s="87">
        <f>AVERAGE(O69:O77)</f>
        <v>2.5355036173702548</v>
      </c>
      <c r="P79" s="6"/>
      <c r="Q79" s="108" t="s">
        <v>84</v>
      </c>
      <c r="R79" s="109"/>
      <c r="S79" s="87">
        <f>AVERAGE(S69:S77)</f>
        <v>20.783460146608178</v>
      </c>
      <c r="T79" s="87">
        <f>AVERAGE(T69:T77)</f>
        <v>5.529557747673187</v>
      </c>
      <c r="U79" s="87">
        <f>AVERAGE(U69:U77)</f>
        <v>21.839483810454411</v>
      </c>
      <c r="V79" s="87">
        <f>AVERAGE(V69:V77)</f>
        <v>2.5970615392730867</v>
      </c>
      <c r="W79" s="6"/>
      <c r="X79" s="108" t="s">
        <v>84</v>
      </c>
      <c r="Y79" s="109"/>
      <c r="Z79" s="87">
        <f>AVERAGE(Z69:Z77)</f>
        <v>19.364976099395435</v>
      </c>
      <c r="AA79" s="87">
        <f>AVERAGE(AA69:AA77)</f>
        <v>6.7713424297544895</v>
      </c>
      <c r="AB79" s="87">
        <f>AVERAGE(AB69:AB77)</f>
        <v>19.602955314908574</v>
      </c>
      <c r="AC79" s="87">
        <f>AVERAGE(AC69:AC77)</f>
        <v>5.8078951479992567</v>
      </c>
      <c r="AD79" s="6"/>
      <c r="AE79" s="108"/>
      <c r="AF79" s="109"/>
      <c r="AG79" s="87"/>
      <c r="AH79" s="87"/>
      <c r="AI79" s="87"/>
      <c r="AJ79" s="87"/>
      <c r="AK79" s="6"/>
      <c r="AL79" s="108" t="s">
        <v>84</v>
      </c>
      <c r="AM79" s="109"/>
      <c r="AN79" s="87">
        <f>AVERAGE(AN69:AN77)</f>
        <v>28.404366625322201</v>
      </c>
      <c r="AO79" s="87">
        <f>AVERAGE(AO69:AO77)</f>
        <v>6.4809678007149687</v>
      </c>
      <c r="AP79" s="87">
        <f>AVERAGE(AP69:AP77)</f>
        <v>35.653604198049777</v>
      </c>
      <c r="AQ79" s="87">
        <f>AVERAGE(AQ69:AQ77)</f>
        <v>1.5759938266007169E-2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7">
        <f>(E81/SQRT(9))</f>
        <v>0.34767568890825012</v>
      </c>
      <c r="F80" s="87">
        <f>(F81/SQRT(9))</f>
        <v>1.2499726720190734</v>
      </c>
      <c r="G80" s="87">
        <f>(G81/SQRT(9))</f>
        <v>0.38730839667794587</v>
      </c>
      <c r="H80" s="87">
        <f>(H81/SQRT(9))</f>
        <v>0.1695251038463261</v>
      </c>
      <c r="I80" s="6"/>
      <c r="J80" s="108" t="s">
        <v>85</v>
      </c>
      <c r="K80" s="109"/>
      <c r="L80" s="87">
        <f>(L81/SQRT(9))</f>
        <v>0.35758968705864419</v>
      </c>
      <c r="M80" s="87">
        <f>(M81/SQRT(9))</f>
        <v>0.91329864437421227</v>
      </c>
      <c r="N80" s="87">
        <f>(N81/SQRT(9))</f>
        <v>0.3714701444374538</v>
      </c>
      <c r="O80" s="87">
        <f>(O81/SQRT(9))</f>
        <v>0.48916077702545141</v>
      </c>
      <c r="P80" s="6"/>
      <c r="Q80" s="108" t="s">
        <v>85</v>
      </c>
      <c r="R80" s="109"/>
      <c r="S80" s="87">
        <f>(S81/SQRT(9))</f>
        <v>0.25144257865103176</v>
      </c>
      <c r="T80" s="87">
        <f>(T81/SQRT(9))</f>
        <v>0.9178046636835715</v>
      </c>
      <c r="U80" s="87">
        <f>(U81/SQRT(9))</f>
        <v>0.26421857029443169</v>
      </c>
      <c r="V80" s="87">
        <f>(V81/SQRT(9))</f>
        <v>0.45174061627339374</v>
      </c>
      <c r="W80" s="6"/>
      <c r="X80" s="108" t="s">
        <v>85</v>
      </c>
      <c r="Y80" s="109"/>
      <c r="Z80" s="87">
        <f>(Z81/SQRT(9))</f>
        <v>0.54988383602048718</v>
      </c>
      <c r="AA80" s="87">
        <f>(AA81/SQRT(9))</f>
        <v>2.2525033530167025</v>
      </c>
      <c r="AB80" s="87">
        <f>(AB81/SQRT(9))</f>
        <v>0.55664144435668306</v>
      </c>
      <c r="AC80" s="87">
        <f>(AC81/SQRT(9))</f>
        <v>1.9476350741079926</v>
      </c>
      <c r="AD80" s="6"/>
      <c r="AE80" s="108"/>
      <c r="AF80" s="109"/>
      <c r="AG80" s="87"/>
      <c r="AH80" s="87"/>
      <c r="AI80" s="87"/>
      <c r="AJ80" s="87"/>
      <c r="AK80" s="6"/>
      <c r="AL80" s="108" t="s">
        <v>85</v>
      </c>
      <c r="AM80" s="109"/>
      <c r="AN80" s="87">
        <f>(AN81/SQRT(9))</f>
        <v>0.47376685335682306</v>
      </c>
      <c r="AO80" s="87">
        <f>(AO81/SQRT(9))</f>
        <v>2.032203385292942</v>
      </c>
      <c r="AP80" s="87">
        <f>(AP81/SQRT(9))</f>
        <v>0.59467954679479018</v>
      </c>
      <c r="AQ80" s="87">
        <f>(AQ81/SQRT(9))</f>
        <v>5.7281319524301209E-3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7">
        <f>_xlfn.STDEV.P(E69:E77)</f>
        <v>1.0430270667247503</v>
      </c>
      <c r="F81" s="87">
        <f>_xlfn.STDEV.P(F69:F77)</f>
        <v>3.7499180160572201</v>
      </c>
      <c r="G81" s="87">
        <f>_xlfn.STDEV.P(G69:G77)</f>
        <v>1.1619251900338377</v>
      </c>
      <c r="H81" s="87">
        <f>_xlfn.STDEV.P(H69:H77)</f>
        <v>0.50857531153897828</v>
      </c>
      <c r="I81" s="6"/>
      <c r="J81" s="108" t="s">
        <v>86</v>
      </c>
      <c r="K81" s="109"/>
      <c r="L81" s="87">
        <f>_xlfn.STDEV.P(L69:L77)</f>
        <v>1.0727690611759326</v>
      </c>
      <c r="M81" s="87">
        <f>_xlfn.STDEV.P(M69:M77)</f>
        <v>2.7398959331226367</v>
      </c>
      <c r="N81" s="87">
        <f>_xlfn.STDEV.P(N69:N77)</f>
        <v>1.1144104333123614</v>
      </c>
      <c r="O81" s="87">
        <f>_xlfn.STDEV.P(O69:O77)</f>
        <v>1.4674823310763543</v>
      </c>
      <c r="P81" s="6"/>
      <c r="Q81" s="108" t="s">
        <v>86</v>
      </c>
      <c r="R81" s="109"/>
      <c r="S81" s="87">
        <f>_xlfn.STDEV.P(S69:S77)</f>
        <v>0.75432773595309532</v>
      </c>
      <c r="T81" s="87">
        <f>_xlfn.STDEV.P(T69:T77)</f>
        <v>2.7534139910507145</v>
      </c>
      <c r="U81" s="87">
        <f>_xlfn.STDEV.P(U69:U77)</f>
        <v>0.79265571088329501</v>
      </c>
      <c r="V81" s="87">
        <f>_xlfn.STDEV.P(V69:V77)</f>
        <v>1.3552218488201813</v>
      </c>
      <c r="W81" s="6"/>
      <c r="X81" s="108" t="s">
        <v>86</v>
      </c>
      <c r="Y81" s="109"/>
      <c r="Z81" s="87">
        <f>_xlfn.STDEV.P(Z69:Z77)</f>
        <v>1.6496515080614615</v>
      </c>
      <c r="AA81" s="87">
        <f>_xlfn.STDEV.P(AA69:AA77)</f>
        <v>6.7575100590501069</v>
      </c>
      <c r="AB81" s="87">
        <f>_xlfn.STDEV.P(AB69:AB77)</f>
        <v>1.6699243330700491</v>
      </c>
      <c r="AC81" s="87">
        <f>_xlfn.STDEV.P(AC69:AC77)</f>
        <v>5.8429052223239779</v>
      </c>
      <c r="AD81" s="6"/>
      <c r="AE81" s="108"/>
      <c r="AF81" s="109"/>
      <c r="AG81" s="87"/>
      <c r="AH81" s="87"/>
      <c r="AI81" s="87"/>
      <c r="AJ81" s="87"/>
      <c r="AK81" s="6"/>
      <c r="AL81" s="108" t="s">
        <v>86</v>
      </c>
      <c r="AM81" s="109"/>
      <c r="AN81" s="87">
        <f>_xlfn.STDEV.P(AN69:AN77)</f>
        <v>1.4213005600704691</v>
      </c>
      <c r="AO81" s="87">
        <f>_xlfn.STDEV.P(AO69:AO77)</f>
        <v>6.0966101558788255</v>
      </c>
      <c r="AP81" s="87">
        <f>_xlfn.STDEV.P(AP69:AP77)</f>
        <v>1.7840386403843704</v>
      </c>
      <c r="AQ81" s="87">
        <f>_xlfn.STDEV.P(AQ69:AQ77)</f>
        <v>1.7184395857290362E-2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7">
        <f>SUM(E81/E79)</f>
        <v>4.2619134906598646E-2</v>
      </c>
      <c r="F82" s="87">
        <f>SUM(F81/F79)</f>
        <v>0.70038535419067494</v>
      </c>
      <c r="G82" s="87">
        <f>SUM(G81/G79)</f>
        <v>4.2619134906598646E-2</v>
      </c>
      <c r="H82" s="87">
        <f>SUM(H81/H79)</f>
        <v>0.76915635660272019</v>
      </c>
      <c r="I82" s="6"/>
      <c r="J82" s="108" t="s">
        <v>87</v>
      </c>
      <c r="K82" s="109"/>
      <c r="L82" s="87">
        <f>SUM(L81/L79)</f>
        <v>4.4922211696356878E-2</v>
      </c>
      <c r="M82" s="87">
        <f>SUM(M81/M79)</f>
        <v>0.56346568215067494</v>
      </c>
      <c r="N82" s="87">
        <f>SUM(N81/N79)</f>
        <v>4.4922211696356865E-2</v>
      </c>
      <c r="O82" s="87">
        <f>SUM(O81/O79)</f>
        <v>0.57877351111744069</v>
      </c>
      <c r="P82" s="6"/>
      <c r="Q82" s="108" t="s">
        <v>87</v>
      </c>
      <c r="R82" s="109"/>
      <c r="S82" s="87">
        <f>SUM(S81/S79)</f>
        <v>3.629461748101652E-2</v>
      </c>
      <c r="T82" s="87">
        <f>SUM(T81/T79)</f>
        <v>0.4979447031201254</v>
      </c>
      <c r="U82" s="87">
        <f>SUM(U81/U79)</f>
        <v>3.6294617481016478E-2</v>
      </c>
      <c r="V82" s="87">
        <f>SUM(V81/V79)</f>
        <v>0.52182893178553857</v>
      </c>
      <c r="W82" s="6"/>
      <c r="X82" s="108" t="s">
        <v>87</v>
      </c>
      <c r="Y82" s="109"/>
      <c r="Z82" s="87">
        <f>SUM(Z81/Z79)</f>
        <v>8.5187376405435528E-2</v>
      </c>
      <c r="AA82" s="87">
        <f>SUM(AA81/AA79)</f>
        <v>0.99795721884576383</v>
      </c>
      <c r="AB82" s="87">
        <f>SUM(AB81/AB79)</f>
        <v>8.51873764054355E-2</v>
      </c>
      <c r="AC82" s="87">
        <f>SUM(AC81/AC79)</f>
        <v>1.006028014182863</v>
      </c>
      <c r="AD82" s="6"/>
      <c r="AE82" s="108"/>
      <c r="AF82" s="109"/>
      <c r="AG82" s="87"/>
      <c r="AH82" s="87"/>
      <c r="AI82" s="87"/>
      <c r="AJ82" s="87"/>
      <c r="AK82" s="6"/>
      <c r="AL82" s="108" t="s">
        <v>87</v>
      </c>
      <c r="AM82" s="109"/>
      <c r="AN82" s="87">
        <f>SUM(AN81/AN79)</f>
        <v>5.0038100789876243E-2</v>
      </c>
      <c r="AO82" s="87">
        <f>SUM(AO81/AO79)</f>
        <v>0.94069440604322374</v>
      </c>
      <c r="AP82" s="87">
        <f>SUM(AP81/AP79)</f>
        <v>5.0038100789876271E-2</v>
      </c>
      <c r="AQ82" s="87">
        <f>SUM(AQ81/AQ79)</f>
        <v>1.0903847189779687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</sheetData>
  <mergeCells count="159">
    <mergeCell ref="C3:Q3"/>
    <mergeCell ref="R3:Z3"/>
    <mergeCell ref="C6:H6"/>
    <mergeCell ref="I6:W6"/>
    <mergeCell ref="X6:Z8"/>
    <mergeCell ref="C9:Q9"/>
    <mergeCell ref="R9:Z9"/>
    <mergeCell ref="C28:E28"/>
    <mergeCell ref="H28:J28"/>
    <mergeCell ref="M28:O28"/>
    <mergeCell ref="R28:T28"/>
    <mergeCell ref="W28:Y28"/>
    <mergeCell ref="C21:Q21"/>
    <mergeCell ref="C12:H12"/>
    <mergeCell ref="I12:W12"/>
    <mergeCell ref="X12:Z14"/>
    <mergeCell ref="C15:Q15"/>
    <mergeCell ref="R15:Z15"/>
    <mergeCell ref="C18:H18"/>
    <mergeCell ref="I18:W18"/>
    <mergeCell ref="X18:Z20"/>
    <mergeCell ref="R21:Z23"/>
    <mergeCell ref="C24:H26"/>
    <mergeCell ref="AB28:AD28"/>
    <mergeCell ref="AG23:AK25"/>
    <mergeCell ref="I24:W24"/>
    <mergeCell ref="X24:Z26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AK4:AL4"/>
    <mergeCell ref="AK5:AL5"/>
    <mergeCell ref="AK6:AL6"/>
    <mergeCell ref="AK7:AL7"/>
    <mergeCell ref="AK8:AL8"/>
    <mergeCell ref="AH2:AL3"/>
    <mergeCell ref="C67:H67"/>
    <mergeCell ref="J67:O67"/>
    <mergeCell ref="Q67:V67"/>
    <mergeCell ref="X67:AC67"/>
    <mergeCell ref="AE67:AJ67"/>
    <mergeCell ref="AL67:AQ67"/>
    <mergeCell ref="C65:D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0049-B0C7-47D0-A835-5A2BA58E55FE}">
  <dimension ref="A1:CJ115"/>
  <sheetViews>
    <sheetView topLeftCell="A25" zoomScale="60" zoomScaleNormal="60" workbookViewId="0">
      <selection activeCell="BD92" sqref="BD92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133" t="s">
        <v>17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33" t="s">
        <v>18</v>
      </c>
      <c r="S3" s="134"/>
      <c r="T3" s="134"/>
      <c r="U3" s="134"/>
      <c r="V3" s="134"/>
      <c r="W3" s="134"/>
      <c r="X3" s="134"/>
      <c r="Y3" s="134"/>
      <c r="Z3" s="135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26">
        <v>27.797364349606902</v>
      </c>
      <c r="D4" s="27">
        <v>25.388861096188499</v>
      </c>
      <c r="E4" s="27">
        <v>23.1516422957774</v>
      </c>
      <c r="F4" s="27">
        <v>20.8367241346774</v>
      </c>
      <c r="G4" s="27">
        <v>18.799193604964898</v>
      </c>
      <c r="H4" s="28">
        <v>19.9350684122243</v>
      </c>
      <c r="I4" s="28">
        <v>19.283192525049699</v>
      </c>
      <c r="J4" s="28">
        <v>20.439978992142301</v>
      </c>
      <c r="K4" s="29">
        <v>19.771533767482499</v>
      </c>
      <c r="L4" s="29">
        <v>19.403361938924199</v>
      </c>
      <c r="M4" s="29">
        <v>19.628525256000898</v>
      </c>
      <c r="N4" s="30">
        <v>20.3608312562727</v>
      </c>
      <c r="O4" s="30">
        <v>20.347421850757399</v>
      </c>
      <c r="P4" s="30">
        <v>20.3472056010472</v>
      </c>
      <c r="Q4" s="31">
        <v>36.597927133641903</v>
      </c>
      <c r="R4" s="26">
        <v>28.862774699016601</v>
      </c>
      <c r="S4" s="27">
        <v>23.915303030379999</v>
      </c>
      <c r="T4" s="27">
        <v>20.074982062615899</v>
      </c>
      <c r="U4" s="27">
        <v>17.2394415470186</v>
      </c>
      <c r="V4" s="27">
        <v>14.7547868594351</v>
      </c>
      <c r="W4" s="28">
        <v>16.1025253388386</v>
      </c>
      <c r="X4" s="28">
        <v>15.4328627766293</v>
      </c>
      <c r="Y4" s="28">
        <v>16.968172957563201</v>
      </c>
      <c r="Z4" s="31">
        <v>36.975349350922201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88"/>
      <c r="AJ4" s="88"/>
      <c r="AK4" s="93">
        <v>45150</v>
      </c>
      <c r="AL4" s="94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19">
        <v>27.938182765080601</v>
      </c>
      <c r="D5" s="20">
        <v>25.349983683968599</v>
      </c>
      <c r="E5" s="20">
        <v>23.189249795752701</v>
      </c>
      <c r="F5" s="20">
        <v>20.841522194171802</v>
      </c>
      <c r="G5" s="20">
        <v>18.563814152949401</v>
      </c>
      <c r="H5" s="10">
        <v>19.980988399627002</v>
      </c>
      <c r="I5" s="10">
        <v>19.405596851125999</v>
      </c>
      <c r="J5" s="10">
        <v>20.437798157623899</v>
      </c>
      <c r="K5" s="11">
        <v>19.7439830456264</v>
      </c>
      <c r="L5" s="11">
        <v>19.5608340965893</v>
      </c>
      <c r="M5" s="11">
        <v>19.602119276932399</v>
      </c>
      <c r="N5" s="12">
        <v>20.5297908970675</v>
      </c>
      <c r="O5" s="12">
        <v>19.007151796340899</v>
      </c>
      <c r="P5" s="12">
        <v>20.2704561740189</v>
      </c>
      <c r="Q5" s="13">
        <v>36.577446552636502</v>
      </c>
      <c r="R5" s="19">
        <v>28.721512710288302</v>
      </c>
      <c r="S5" s="20">
        <v>24.039784385350799</v>
      </c>
      <c r="T5" s="20">
        <v>20.200324337948299</v>
      </c>
      <c r="U5" s="20">
        <v>17.491328381398201</v>
      </c>
      <c r="V5" s="20">
        <v>14.6213106981486</v>
      </c>
      <c r="W5" s="10">
        <v>16.128480559981099</v>
      </c>
      <c r="X5" s="10">
        <v>15.5892278246406</v>
      </c>
      <c r="Y5" s="10">
        <v>17.210913392010099</v>
      </c>
      <c r="Z5" s="13">
        <v>36.693121123527703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88"/>
      <c r="AJ5" s="88"/>
      <c r="AK5" s="93">
        <v>45157</v>
      </c>
      <c r="AL5" s="94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45" t="s">
        <v>18</v>
      </c>
      <c r="D6" s="146"/>
      <c r="E6" s="146"/>
      <c r="F6" s="146"/>
      <c r="G6" s="146"/>
      <c r="H6" s="147"/>
      <c r="I6" s="145" t="s">
        <v>26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7"/>
      <c r="X6" s="136"/>
      <c r="Y6" s="137"/>
      <c r="Z6" s="13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88"/>
      <c r="AJ6" s="88"/>
      <c r="AK6" s="93">
        <v>45160</v>
      </c>
      <c r="AL6" s="9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16.438312478752099</v>
      </c>
      <c r="D7" s="29">
        <v>15.7360777118857</v>
      </c>
      <c r="E7" s="29">
        <v>15.513117621784801</v>
      </c>
      <c r="F7" s="30">
        <v>16.184926529182199</v>
      </c>
      <c r="G7" s="30">
        <v>15.877670851624501</v>
      </c>
      <c r="H7" s="33">
        <v>15.6962893364278</v>
      </c>
      <c r="I7" s="26">
        <v>25.658616409799301</v>
      </c>
      <c r="J7" s="27">
        <v>24.379157348646402</v>
      </c>
      <c r="K7" s="27">
        <v>23.1568532174525</v>
      </c>
      <c r="L7" s="27">
        <v>23.2574005511471</v>
      </c>
      <c r="M7" s="27">
        <v>22.121813718361398</v>
      </c>
      <c r="N7" s="28">
        <v>23.197267597089201</v>
      </c>
      <c r="O7" s="28">
        <v>22.797581220552299</v>
      </c>
      <c r="P7" s="28">
        <v>23.863120222812501</v>
      </c>
      <c r="Q7" s="29">
        <v>23.010465166590301</v>
      </c>
      <c r="R7" s="29">
        <v>22.901329710285498</v>
      </c>
      <c r="S7" s="29">
        <v>22.740792286267901</v>
      </c>
      <c r="T7" s="30">
        <v>23.897750383058199</v>
      </c>
      <c r="U7" s="30">
        <v>23.503275753980802</v>
      </c>
      <c r="V7" s="30">
        <v>23.519328709664201</v>
      </c>
      <c r="W7" s="31">
        <v>34.212973005084699</v>
      </c>
      <c r="X7" s="139"/>
      <c r="Y7" s="140"/>
      <c r="Z7" s="14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88"/>
      <c r="AJ7" s="88"/>
      <c r="AK7" s="93">
        <v>45176</v>
      </c>
      <c r="AL7" s="9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15.9671157085502</v>
      </c>
      <c r="D8" s="11">
        <v>15.035566625217299</v>
      </c>
      <c r="E8" s="11">
        <v>15.598388602664601</v>
      </c>
      <c r="F8" s="12">
        <v>16.7733628808719</v>
      </c>
      <c r="G8" s="12">
        <v>16.030262743019001</v>
      </c>
      <c r="H8" s="15">
        <v>15.900670926135</v>
      </c>
      <c r="I8" s="19">
        <v>25.748612264907798</v>
      </c>
      <c r="J8" s="20">
        <v>23.343933762855599</v>
      </c>
      <c r="K8" s="20">
        <v>22.585409354515399</v>
      </c>
      <c r="L8" s="20">
        <v>23.241994320471001</v>
      </c>
      <c r="M8" s="20">
        <v>22.069679776951698</v>
      </c>
      <c r="N8" s="10">
        <v>23.159120008435099</v>
      </c>
      <c r="O8" s="10">
        <v>22.738267053809398</v>
      </c>
      <c r="P8" s="10">
        <v>23.832383065083199</v>
      </c>
      <c r="Q8" s="11">
        <v>23.034721268400499</v>
      </c>
      <c r="R8" s="16">
        <v>22.833176419684499</v>
      </c>
      <c r="S8" s="16">
        <v>22.858064797690201</v>
      </c>
      <c r="T8" s="17">
        <v>23.9071005010912</v>
      </c>
      <c r="U8" s="17">
        <v>23.608295269270702</v>
      </c>
      <c r="V8" s="17">
        <v>23.335586218219198</v>
      </c>
      <c r="W8" s="18">
        <v>35.468860799731502</v>
      </c>
      <c r="X8" s="142"/>
      <c r="Y8" s="143"/>
      <c r="Z8" s="144"/>
      <c r="AA8" s="6"/>
      <c r="AB8" s="5"/>
      <c r="AC8" s="6" t="s">
        <v>32</v>
      </c>
      <c r="AD8" s="6"/>
      <c r="AE8" s="6"/>
      <c r="AF8" s="6"/>
      <c r="AG8" s="6"/>
      <c r="AH8" s="91" t="s">
        <v>93</v>
      </c>
      <c r="AI8" s="92"/>
      <c r="AJ8" s="92"/>
      <c r="AK8" s="95">
        <v>45177</v>
      </c>
      <c r="AL8" s="9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145" t="s">
        <v>19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33" t="s">
        <v>20</v>
      </c>
      <c r="S9" s="134"/>
      <c r="T9" s="134"/>
      <c r="U9" s="134"/>
      <c r="V9" s="134"/>
      <c r="W9" s="134"/>
      <c r="X9" s="134"/>
      <c r="Y9" s="134"/>
      <c r="Z9" s="135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26">
        <v>26.9476687535537</v>
      </c>
      <c r="D10" s="27">
        <v>24.648272813938402</v>
      </c>
      <c r="E10" s="27">
        <v>22.387501838894899</v>
      </c>
      <c r="F10" s="27">
        <v>20.057451315070601</v>
      </c>
      <c r="G10" s="27">
        <v>18.258478679073502</v>
      </c>
      <c r="H10" s="28">
        <v>19.397927469078901</v>
      </c>
      <c r="I10" s="28">
        <v>19.276712691146301</v>
      </c>
      <c r="J10" s="28">
        <v>20.211877023092001</v>
      </c>
      <c r="K10" s="29">
        <v>19.018109072074299</v>
      </c>
      <c r="L10" s="29">
        <v>19.301508570304701</v>
      </c>
      <c r="M10" s="29">
        <v>19.485346162197299</v>
      </c>
      <c r="N10" s="30">
        <v>19.451089180890499</v>
      </c>
      <c r="O10" s="30">
        <v>19.588764137135399</v>
      </c>
      <c r="P10" s="30">
        <v>19.326945366565099</v>
      </c>
      <c r="Q10" s="31" t="s">
        <v>49</v>
      </c>
      <c r="R10" s="26">
        <v>25.0394991461594</v>
      </c>
      <c r="S10" s="27">
        <v>22.440197925543099</v>
      </c>
      <c r="T10" s="27">
        <v>20.125238237561799</v>
      </c>
      <c r="U10" s="27">
        <v>17.919313139402998</v>
      </c>
      <c r="V10" s="27">
        <v>16.107423315220199</v>
      </c>
      <c r="W10" s="28">
        <v>16.936867673122599</v>
      </c>
      <c r="X10" s="28">
        <v>16.933529378583799</v>
      </c>
      <c r="Y10" s="28">
        <v>17.9749353886595</v>
      </c>
      <c r="Z10" s="31" t="s">
        <v>49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19">
        <v>26.991152493198101</v>
      </c>
      <c r="D11" s="20">
        <v>24.5422981024908</v>
      </c>
      <c r="E11" s="20">
        <v>22.192399238240501</v>
      </c>
      <c r="F11" s="20">
        <v>20.144673600160299</v>
      </c>
      <c r="G11" s="20">
        <v>18.240171372067099</v>
      </c>
      <c r="H11" s="10">
        <v>19.394072092766699</v>
      </c>
      <c r="I11" s="10">
        <v>19.207838770656799</v>
      </c>
      <c r="J11" s="10">
        <v>20.148162022284101</v>
      </c>
      <c r="K11" s="11">
        <v>19.208106917133399</v>
      </c>
      <c r="L11" s="11">
        <v>19.435372504685599</v>
      </c>
      <c r="M11" s="11">
        <v>19.645234357428301</v>
      </c>
      <c r="N11" s="12">
        <v>19.5546027695875</v>
      </c>
      <c r="O11" s="12">
        <v>19.406762748497201</v>
      </c>
      <c r="P11" s="12">
        <v>19.3190263292136</v>
      </c>
      <c r="Q11" s="13" t="s">
        <v>49</v>
      </c>
      <c r="R11" s="19">
        <v>24.664099802708702</v>
      </c>
      <c r="S11" s="20">
        <v>22.4600274163801</v>
      </c>
      <c r="T11" s="20">
        <v>20.189673166119</v>
      </c>
      <c r="U11" s="20">
        <v>17.844893817833999</v>
      </c>
      <c r="V11" s="20">
        <v>15.965245358805999</v>
      </c>
      <c r="W11" s="10">
        <v>17.2804068078444</v>
      </c>
      <c r="X11" s="10">
        <v>17.006076990706902</v>
      </c>
      <c r="Y11" s="10">
        <v>18.023160052221598</v>
      </c>
      <c r="Z11" s="13" t="s">
        <v>49</v>
      </c>
      <c r="AA11" s="6"/>
      <c r="AB11" s="6" t="s">
        <v>61</v>
      </c>
      <c r="AC11" s="6" t="s">
        <v>62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133" t="s">
        <v>20</v>
      </c>
      <c r="D12" s="134"/>
      <c r="E12" s="134"/>
      <c r="F12" s="134"/>
      <c r="G12" s="134"/>
      <c r="H12" s="135"/>
      <c r="I12" s="133" t="s">
        <v>21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5"/>
      <c r="X12" s="136"/>
      <c r="Y12" s="137"/>
      <c r="Z12" s="138"/>
      <c r="AA12" s="6"/>
      <c r="AB12" s="6" t="s">
        <v>63</v>
      </c>
      <c r="AC12" s="6" t="s">
        <v>64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17.284923056701</v>
      </c>
      <c r="D13" s="29">
        <v>17.110420621516901</v>
      </c>
      <c r="E13" s="29">
        <v>16.7954071721832</v>
      </c>
      <c r="F13" s="30">
        <v>17.393075083688299</v>
      </c>
      <c r="G13" s="30">
        <v>17.028070069270601</v>
      </c>
      <c r="H13" s="33">
        <v>17.012674439356999</v>
      </c>
      <c r="I13" s="26">
        <v>26.64301876587</v>
      </c>
      <c r="J13" s="27">
        <v>24.529818640295002</v>
      </c>
      <c r="K13" s="27">
        <v>22.207462595454299</v>
      </c>
      <c r="L13" s="27">
        <v>19.692361577986699</v>
      </c>
      <c r="M13" s="27">
        <v>17.4149300986901</v>
      </c>
      <c r="N13" s="28">
        <v>19.0407440910679</v>
      </c>
      <c r="O13" s="28">
        <v>18.651185871033501</v>
      </c>
      <c r="P13" s="28">
        <v>19.7238071158148</v>
      </c>
      <c r="Q13" s="29">
        <v>18.543374932554499</v>
      </c>
      <c r="R13" s="29">
        <v>18.732270960697299</v>
      </c>
      <c r="S13" s="29">
        <v>18.7614929860564</v>
      </c>
      <c r="T13" s="30">
        <v>18.9630723234872</v>
      </c>
      <c r="U13" s="30">
        <v>18.9305830559729</v>
      </c>
      <c r="V13" s="30">
        <v>18.913405747260601</v>
      </c>
      <c r="W13" s="31" t="s">
        <v>49</v>
      </c>
      <c r="X13" s="139"/>
      <c r="Y13" s="140"/>
      <c r="Z13" s="141"/>
      <c r="AA13" s="6"/>
      <c r="AB13" s="6" t="s">
        <v>65</v>
      </c>
      <c r="AC13" s="6" t="s">
        <v>66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17.269779639868101</v>
      </c>
      <c r="D14" s="11">
        <v>17.049033538628699</v>
      </c>
      <c r="E14" s="11">
        <v>16.968294497520102</v>
      </c>
      <c r="F14" s="12">
        <v>17.394229483801698</v>
      </c>
      <c r="G14" s="12">
        <v>16.982959407633398</v>
      </c>
      <c r="H14" s="15">
        <v>16.7429695279878</v>
      </c>
      <c r="I14" s="19">
        <v>27.036920250211899</v>
      </c>
      <c r="J14" s="20">
        <v>24.3164014160695</v>
      </c>
      <c r="K14" s="20">
        <v>21.9233374854741</v>
      </c>
      <c r="L14" s="20">
        <v>19.7334743787032</v>
      </c>
      <c r="M14" s="20">
        <v>17.587964191470299</v>
      </c>
      <c r="N14" s="10">
        <v>18.994711878689099</v>
      </c>
      <c r="O14" s="10">
        <v>18.623979571725599</v>
      </c>
      <c r="P14" s="10">
        <v>19.761845225046599</v>
      </c>
      <c r="Q14" s="11">
        <v>18.490471619145101</v>
      </c>
      <c r="R14" s="16">
        <v>18.5973409788905</v>
      </c>
      <c r="S14" s="16">
        <v>18.776971011335199</v>
      </c>
      <c r="T14" s="17">
        <v>18.893490546767399</v>
      </c>
      <c r="U14" s="17">
        <v>18.707199313056002</v>
      </c>
      <c r="V14" s="17">
        <v>18.7832085760861</v>
      </c>
      <c r="W14" s="18">
        <v>39.840714853200303</v>
      </c>
      <c r="X14" s="142"/>
      <c r="Y14" s="143"/>
      <c r="Z14" s="144"/>
      <c r="AA14" s="6"/>
      <c r="AB14" s="6" t="s">
        <v>67</v>
      </c>
      <c r="AC14" s="6" t="s">
        <v>68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133" t="s">
        <v>22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5"/>
      <c r="R15" s="133" t="s">
        <v>23</v>
      </c>
      <c r="S15" s="134"/>
      <c r="T15" s="134"/>
      <c r="U15" s="134"/>
      <c r="V15" s="134"/>
      <c r="W15" s="134"/>
      <c r="X15" s="134"/>
      <c r="Y15" s="134"/>
      <c r="Z15" s="135"/>
      <c r="AA15" s="6"/>
      <c r="AB15" s="6" t="s">
        <v>69</v>
      </c>
      <c r="AC15" s="6" t="s">
        <v>70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26">
        <v>29.1983976128245</v>
      </c>
      <c r="D16" s="27">
        <v>27.823054057613898</v>
      </c>
      <c r="E16" s="27">
        <v>26.5472707730408</v>
      </c>
      <c r="F16" s="27">
        <v>24.2991407196441</v>
      </c>
      <c r="G16" s="27">
        <v>21.988431678349301</v>
      </c>
      <c r="H16" s="28">
        <v>23.008602129175699</v>
      </c>
      <c r="I16" s="28">
        <v>22.5220698219374</v>
      </c>
      <c r="J16" s="28">
        <v>23.803327606371401</v>
      </c>
      <c r="K16" s="29">
        <v>23.262544540588699</v>
      </c>
      <c r="L16" s="29">
        <v>23.0153826995783</v>
      </c>
      <c r="M16" s="29">
        <v>22.841376012558602</v>
      </c>
      <c r="N16" s="30">
        <v>23.714748829278101</v>
      </c>
      <c r="O16" s="30">
        <v>23.3689311742129</v>
      </c>
      <c r="P16" s="30">
        <v>23.336296666942399</v>
      </c>
      <c r="Q16" s="31">
        <v>30.585698607279902</v>
      </c>
      <c r="R16" s="26">
        <v>28.919483546916599</v>
      </c>
      <c r="S16" s="27">
        <v>27.0973476835564</v>
      </c>
      <c r="T16" s="27">
        <v>25.629738359561301</v>
      </c>
      <c r="U16" s="27">
        <v>23.390927440284202</v>
      </c>
      <c r="V16" s="27">
        <v>21.0195270741672</v>
      </c>
      <c r="W16" s="28">
        <v>22.360967300073401</v>
      </c>
      <c r="X16" s="28">
        <v>21.964449034841302</v>
      </c>
      <c r="Y16" s="28">
        <v>23.233238923269699</v>
      </c>
      <c r="Z16" s="31">
        <v>38.778891579220598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19">
        <v>28.934183261667801</v>
      </c>
      <c r="D17" s="20">
        <v>27.625771409963999</v>
      </c>
      <c r="E17" s="20">
        <v>26.454173931104599</v>
      </c>
      <c r="F17" s="20">
        <v>24.438999093086299</v>
      </c>
      <c r="G17" s="20">
        <v>21.964827913674</v>
      </c>
      <c r="H17" s="10">
        <v>22.9805727303055</v>
      </c>
      <c r="I17" s="10">
        <v>22.6314559537545</v>
      </c>
      <c r="J17" s="10">
        <v>23.9557101729091</v>
      </c>
      <c r="K17" s="11">
        <v>23.303523814043999</v>
      </c>
      <c r="L17" s="11">
        <v>22.973329643244298</v>
      </c>
      <c r="M17" s="11">
        <v>22.874035196307101</v>
      </c>
      <c r="N17" s="12">
        <v>23.772578754365199</v>
      </c>
      <c r="O17" s="12">
        <v>23.368849226014099</v>
      </c>
      <c r="P17" s="12">
        <v>23.287522129294999</v>
      </c>
      <c r="Q17" s="13">
        <v>30.638220862856901</v>
      </c>
      <c r="R17" s="19">
        <v>28.985650383337401</v>
      </c>
      <c r="S17" s="20">
        <v>27.272215944151299</v>
      </c>
      <c r="T17" s="20">
        <v>25.830478756355401</v>
      </c>
      <c r="U17" s="20">
        <v>23.246389453829401</v>
      </c>
      <c r="V17" s="20">
        <v>21.1347587916359</v>
      </c>
      <c r="W17" s="10">
        <v>22.2787657026254</v>
      </c>
      <c r="X17" s="10">
        <v>21.754908857378201</v>
      </c>
      <c r="Y17" s="10">
        <v>23.292905424295</v>
      </c>
      <c r="Z17" s="13" t="s">
        <v>49</v>
      </c>
      <c r="AA17" s="6"/>
      <c r="AB17" s="6" t="s">
        <v>71</v>
      </c>
      <c r="AC17" s="6" t="s">
        <v>72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133" t="s">
        <v>23</v>
      </c>
      <c r="D18" s="134"/>
      <c r="E18" s="134"/>
      <c r="F18" s="134"/>
      <c r="G18" s="134"/>
      <c r="H18" s="135"/>
      <c r="I18" s="133" t="s">
        <v>27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5"/>
      <c r="X18" s="136"/>
      <c r="Y18" s="137"/>
      <c r="Z18" s="138"/>
      <c r="AA18" s="6"/>
      <c r="AB18" s="6" t="s">
        <v>73</v>
      </c>
      <c r="AC18" s="6" t="s">
        <v>74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22.491417426604301</v>
      </c>
      <c r="D19" s="29">
        <v>22.173509837531199</v>
      </c>
      <c r="E19" s="29">
        <v>22.098939070340698</v>
      </c>
      <c r="F19" s="30">
        <v>23.4449892781568</v>
      </c>
      <c r="G19" s="30">
        <v>23.161360343953699</v>
      </c>
      <c r="H19" s="33">
        <v>23.001070379195401</v>
      </c>
      <c r="I19" s="26">
        <v>27.302197179649099</v>
      </c>
      <c r="J19" s="27">
        <v>24.2202228479395</v>
      </c>
      <c r="K19" s="27">
        <v>22.544218727264301</v>
      </c>
      <c r="L19" s="27">
        <v>20.258440623742398</v>
      </c>
      <c r="M19" s="27">
        <v>18.231171002523901</v>
      </c>
      <c r="N19" s="28">
        <v>19.7336752925357</v>
      </c>
      <c r="O19" s="28">
        <v>19.094905276504001</v>
      </c>
      <c r="P19" s="28">
        <v>20.577629055414</v>
      </c>
      <c r="Q19" s="29">
        <v>19.188159280779999</v>
      </c>
      <c r="R19" s="29">
        <v>18.981770598297999</v>
      </c>
      <c r="S19" s="29">
        <v>18.708136916657502</v>
      </c>
      <c r="T19" s="30">
        <v>20.319678010792298</v>
      </c>
      <c r="U19" s="30">
        <v>20.050693229458201</v>
      </c>
      <c r="V19" s="30">
        <v>20.0696649343394</v>
      </c>
      <c r="W19" s="31">
        <v>35.000533512480501</v>
      </c>
      <c r="X19" s="139"/>
      <c r="Y19" s="140"/>
      <c r="Z19" s="141"/>
      <c r="AA19" s="6"/>
      <c r="AB19" s="6" t="s">
        <v>75</v>
      </c>
      <c r="AC19" s="6" t="s">
        <v>76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22.3844632040352</v>
      </c>
      <c r="D20" s="11">
        <v>22.2312906663505</v>
      </c>
      <c r="E20" s="11">
        <v>22.019802547127401</v>
      </c>
      <c r="F20" s="12">
        <v>23.522890264146099</v>
      </c>
      <c r="G20" s="12">
        <v>22.495546323003801</v>
      </c>
      <c r="H20" s="15">
        <v>23.038118173028298</v>
      </c>
      <c r="I20" s="19">
        <v>24.468288172810599</v>
      </c>
      <c r="J20" s="20">
        <v>24.792274611787601</v>
      </c>
      <c r="K20" s="20">
        <v>22.466079636489599</v>
      </c>
      <c r="L20" s="20">
        <v>20.496926427896199</v>
      </c>
      <c r="M20" s="20">
        <v>18.193330883133001</v>
      </c>
      <c r="N20" s="10">
        <v>19.552548866072598</v>
      </c>
      <c r="O20" s="10">
        <v>19.071624278345901</v>
      </c>
      <c r="P20" s="10">
        <v>20.435744719666602</v>
      </c>
      <c r="Q20" s="11">
        <v>19.340026323351498</v>
      </c>
      <c r="R20" s="16">
        <v>19.051737343381301</v>
      </c>
      <c r="S20" s="16">
        <v>18.855881017209001</v>
      </c>
      <c r="T20" s="17">
        <v>19.9829454113003</v>
      </c>
      <c r="U20" s="17">
        <v>20.125336597268301</v>
      </c>
      <c r="V20" s="17">
        <v>20.014751217125301</v>
      </c>
      <c r="W20" s="18">
        <v>35.184161576280403</v>
      </c>
      <c r="X20" s="142"/>
      <c r="Y20" s="143"/>
      <c r="Z20" s="14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133" t="s">
        <v>24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5"/>
      <c r="R21" s="148"/>
      <c r="S21" s="149"/>
      <c r="T21" s="149"/>
      <c r="U21" s="149"/>
      <c r="V21" s="149"/>
      <c r="W21" s="149"/>
      <c r="X21" s="149"/>
      <c r="Y21" s="149"/>
      <c r="Z21" s="150"/>
      <c r="AA21" s="6"/>
      <c r="AB21" s="72" t="s">
        <v>77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26">
        <v>26.061677910692101</v>
      </c>
      <c r="D22" s="27">
        <v>23.774021966894001</v>
      </c>
      <c r="E22" s="27">
        <v>21.4134001382474</v>
      </c>
      <c r="F22" s="27">
        <v>18.989659998443699</v>
      </c>
      <c r="G22" s="27">
        <v>16.732240407619599</v>
      </c>
      <c r="H22" s="28">
        <v>20.477616427683099</v>
      </c>
      <c r="I22" s="28">
        <v>19.8128162574863</v>
      </c>
      <c r="J22" s="28">
        <v>21.149407743888698</v>
      </c>
      <c r="K22" s="29">
        <v>17.6095673835265</v>
      </c>
      <c r="L22" s="29">
        <v>17.484413909355499</v>
      </c>
      <c r="M22" s="29">
        <v>17.632639183403398</v>
      </c>
      <c r="N22" s="30">
        <v>17.769234394242101</v>
      </c>
      <c r="O22" s="30">
        <v>17.786476521517901</v>
      </c>
      <c r="P22" s="30">
        <v>17.802677828137199</v>
      </c>
      <c r="Q22" s="31" t="s">
        <v>49</v>
      </c>
      <c r="R22" s="151"/>
      <c r="S22" s="152"/>
      <c r="T22" s="152"/>
      <c r="U22" s="152"/>
      <c r="V22" s="152"/>
      <c r="W22" s="152"/>
      <c r="X22" s="152"/>
      <c r="Y22" s="152"/>
      <c r="Z22" s="153"/>
      <c r="AA22" s="6"/>
      <c r="AB22" s="6" t="s">
        <v>69</v>
      </c>
      <c r="AC22" s="6" t="s">
        <v>78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19">
        <v>26.0072254470799</v>
      </c>
      <c r="D23" s="20">
        <v>23.894629521372799</v>
      </c>
      <c r="E23" s="20">
        <v>21.280657463011401</v>
      </c>
      <c r="F23" s="20">
        <v>19.058449470179202</v>
      </c>
      <c r="G23" s="20">
        <v>17.238144294302302</v>
      </c>
      <c r="H23" s="10">
        <v>20.318277712234199</v>
      </c>
      <c r="I23" s="10">
        <v>19.838061671180299</v>
      </c>
      <c r="J23" s="10">
        <v>21.0713623101155</v>
      </c>
      <c r="K23" s="11">
        <v>17.629467243195901</v>
      </c>
      <c r="L23" s="11">
        <v>15.9108128442848</v>
      </c>
      <c r="M23" s="11">
        <v>17.518245290640799</v>
      </c>
      <c r="N23" s="12">
        <v>17.9963048874504</v>
      </c>
      <c r="O23" s="12">
        <v>17.761283096384702</v>
      </c>
      <c r="P23" s="12">
        <v>17.654149994833102</v>
      </c>
      <c r="Q23" s="13">
        <v>36.760610048918899</v>
      </c>
      <c r="R23" s="154"/>
      <c r="S23" s="155"/>
      <c r="T23" s="155"/>
      <c r="U23" s="155"/>
      <c r="V23" s="155"/>
      <c r="W23" s="155"/>
      <c r="X23" s="155"/>
      <c r="Y23" s="155"/>
      <c r="Z23" s="156"/>
      <c r="AA23" s="6"/>
      <c r="AB23" s="73" t="s">
        <v>71</v>
      </c>
      <c r="AC23" s="74" t="s">
        <v>79</v>
      </c>
      <c r="AD23" s="74"/>
      <c r="AE23" s="74"/>
      <c r="AF23" s="74"/>
      <c r="AG23" s="130" t="s">
        <v>80</v>
      </c>
      <c r="AH23" s="130"/>
      <c r="AI23" s="130"/>
      <c r="AJ23" s="130"/>
      <c r="AK23" s="130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48"/>
      <c r="D24" s="149"/>
      <c r="E24" s="149"/>
      <c r="F24" s="149"/>
      <c r="G24" s="149"/>
      <c r="H24" s="150"/>
      <c r="I24" s="133" t="s">
        <v>25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5"/>
      <c r="X24" s="136"/>
      <c r="Y24" s="137"/>
      <c r="Z24" s="138"/>
      <c r="AA24" s="6"/>
      <c r="AB24" s="76" t="s">
        <v>73</v>
      </c>
      <c r="AC24" s="6" t="s">
        <v>81</v>
      </c>
      <c r="AD24" s="6"/>
      <c r="AE24" s="6"/>
      <c r="AF24" s="7"/>
      <c r="AG24" s="131"/>
      <c r="AH24" s="131"/>
      <c r="AI24" s="131"/>
      <c r="AJ24" s="131"/>
      <c r="AK24" s="131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1"/>
      <c r="D25" s="152"/>
      <c r="E25" s="152"/>
      <c r="F25" s="152"/>
      <c r="G25" s="152"/>
      <c r="H25" s="153"/>
      <c r="I25" s="26">
        <v>29.8440790186987</v>
      </c>
      <c r="J25" s="27">
        <v>28.6157583356398</v>
      </c>
      <c r="K25" s="27">
        <v>29.1034280135584</v>
      </c>
      <c r="L25" s="27">
        <v>27.7240053280068</v>
      </c>
      <c r="M25" s="27">
        <v>26.092243829937001</v>
      </c>
      <c r="N25" s="28">
        <v>27.856376282366298</v>
      </c>
      <c r="O25" s="28">
        <v>26.974073306011501</v>
      </c>
      <c r="P25" s="28">
        <v>29.357205883633</v>
      </c>
      <c r="Q25" s="29">
        <v>27.261310919363101</v>
      </c>
      <c r="R25" s="29">
        <v>27.0707468632733</v>
      </c>
      <c r="S25" s="29">
        <v>27.001781293125099</v>
      </c>
      <c r="T25" s="30">
        <v>26.822821689237301</v>
      </c>
      <c r="U25" s="30">
        <v>26.3700864701099</v>
      </c>
      <c r="V25" s="30">
        <v>26.319163819151399</v>
      </c>
      <c r="W25" s="31" t="s">
        <v>49</v>
      </c>
      <c r="X25" s="139"/>
      <c r="Y25" s="140"/>
      <c r="Z25" s="141"/>
      <c r="AA25" s="6"/>
      <c r="AB25" s="78" t="s">
        <v>75</v>
      </c>
      <c r="AC25" s="79" t="s">
        <v>82</v>
      </c>
      <c r="AD25" s="79"/>
      <c r="AE25" s="79"/>
      <c r="AF25" s="80"/>
      <c r="AG25" s="132"/>
      <c r="AH25" s="132"/>
      <c r="AI25" s="132"/>
      <c r="AJ25" s="132"/>
      <c r="AK25" s="132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54"/>
      <c r="D26" s="155"/>
      <c r="E26" s="155"/>
      <c r="F26" s="155"/>
      <c r="G26" s="155"/>
      <c r="H26" s="156"/>
      <c r="I26" s="19">
        <v>29.945342654131199</v>
      </c>
      <c r="J26" s="20">
        <v>28.321267108233702</v>
      </c>
      <c r="K26" s="20">
        <v>28.388255008934799</v>
      </c>
      <c r="L26" s="20">
        <v>28.077480403216001</v>
      </c>
      <c r="M26" s="20">
        <v>26.088494016344399</v>
      </c>
      <c r="N26" s="10">
        <v>27.7153643510363</v>
      </c>
      <c r="O26" s="10">
        <v>27.012419181522599</v>
      </c>
      <c r="P26" s="10">
        <v>29.247361374809</v>
      </c>
      <c r="Q26" s="11">
        <v>27.241518801039401</v>
      </c>
      <c r="R26" s="11">
        <v>26.9314105559172</v>
      </c>
      <c r="S26" s="11">
        <v>26.925874702780501</v>
      </c>
      <c r="T26" s="12">
        <v>26.715882610149698</v>
      </c>
      <c r="U26" s="12">
        <v>26.444938647872402</v>
      </c>
      <c r="V26" s="12">
        <v>26.1975673564448</v>
      </c>
      <c r="W26" s="13">
        <v>38.5865808860257</v>
      </c>
      <c r="X26" s="142"/>
      <c r="Y26" s="143"/>
      <c r="Z26" s="14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5" t="s">
        <v>17</v>
      </c>
      <c r="D28" s="125"/>
      <c r="E28" s="125"/>
      <c r="F28" s="6"/>
      <c r="G28" s="6"/>
      <c r="H28" s="125" t="s">
        <v>18</v>
      </c>
      <c r="I28" s="125"/>
      <c r="J28" s="125"/>
      <c r="K28" s="6"/>
      <c r="L28" s="6"/>
      <c r="M28" s="125" t="s">
        <v>26</v>
      </c>
      <c r="N28" s="125"/>
      <c r="O28" s="125"/>
      <c r="P28" s="6"/>
      <c r="Q28" s="6"/>
      <c r="R28" s="125" t="s">
        <v>19</v>
      </c>
      <c r="S28" s="125"/>
      <c r="T28" s="125"/>
      <c r="U28" s="6"/>
      <c r="V28" s="6"/>
      <c r="W28" s="125" t="s">
        <v>20</v>
      </c>
      <c r="X28" s="125"/>
      <c r="Y28" s="125"/>
      <c r="Z28" s="6"/>
      <c r="AA28" s="6"/>
      <c r="AB28" s="125" t="s">
        <v>21</v>
      </c>
      <c r="AC28" s="125"/>
      <c r="AD28" s="12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7" t="s">
        <v>47</v>
      </c>
      <c r="D29" s="118"/>
      <c r="E29" s="119"/>
      <c r="F29" s="6"/>
      <c r="G29" s="6"/>
      <c r="H29" s="120" t="s">
        <v>47</v>
      </c>
      <c r="I29" s="121"/>
      <c r="J29" s="122"/>
      <c r="K29" s="6"/>
      <c r="L29" s="6"/>
      <c r="M29" s="120" t="s">
        <v>47</v>
      </c>
      <c r="N29" s="121"/>
      <c r="O29" s="122"/>
      <c r="P29" s="6"/>
      <c r="Q29" s="6"/>
      <c r="R29" s="120" t="s">
        <v>47</v>
      </c>
      <c r="S29" s="123"/>
      <c r="T29" s="124"/>
      <c r="U29" s="6"/>
      <c r="V29" s="6"/>
      <c r="W29" s="120" t="s">
        <v>47</v>
      </c>
      <c r="X29" s="121"/>
      <c r="Y29" s="122"/>
      <c r="Z29" s="6"/>
      <c r="AA29" s="6"/>
      <c r="AB29" s="120" t="s">
        <v>47</v>
      </c>
      <c r="AC29" s="121"/>
      <c r="AD29" s="122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27.867773557343753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28.792143704652453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25.70361433735355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26.9694106233759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24.851799474434053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26.839969508040951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AVERAGE(D4:D5)</f>
        <v>25.369422390078547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23.977543707865401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23.861545555751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24.595285458214601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22.450112670961602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24.423110028182251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23.170446045765051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20.137653200282099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22.87113128598395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22.289950538567702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20.157455701840398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22.065400040464198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20.839123164424599</v>
      </c>
      <c r="F34" s="6"/>
      <c r="G34" s="6"/>
      <c r="H34" s="65">
        <v>4</v>
      </c>
      <c r="I34" s="66">
        <f>LOG(H34)</f>
        <v>0.6020599913279624</v>
      </c>
      <c r="J34" s="67">
        <f>AVERAGE(U4:U5)</f>
        <v>17.365384964208403</v>
      </c>
      <c r="K34" s="6"/>
      <c r="L34" s="6"/>
      <c r="M34" s="65">
        <v>4</v>
      </c>
      <c r="N34" s="66">
        <f>LOG(M34)</f>
        <v>0.6020599913279624</v>
      </c>
      <c r="O34" s="67">
        <f>AVERAGE(L7:L8)</f>
        <v>23.24969743580905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20.101062457615448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17.882103478618497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19.712917978344947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18.681503878957152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14.688048778791849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22.095746747656548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18.2493250255703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16.036334337013098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17.501447145080199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06" t="s">
        <v>46</v>
      </c>
      <c r="D36" s="107"/>
      <c r="E36" s="37">
        <f>(10^(-1/-3.2767)-1)*100</f>
        <v>101.9226767568004</v>
      </c>
      <c r="F36" s="6"/>
      <c r="G36" s="6"/>
      <c r="H36" s="106" t="s">
        <v>46</v>
      </c>
      <c r="I36" s="107"/>
      <c r="J36" s="37">
        <f>(10^(-1/-4.9817)-1)*100</f>
        <v>58.757659977877211</v>
      </c>
      <c r="K36" s="6"/>
      <c r="L36" s="6"/>
      <c r="M36" s="106" t="s">
        <v>46</v>
      </c>
      <c r="N36" s="107"/>
      <c r="O36" s="37">
        <f>(10^(-1/-1.1199)-1)*100</f>
        <v>681.51419256536508</v>
      </c>
      <c r="P36" s="6"/>
      <c r="Q36" s="6"/>
      <c r="R36" s="106" t="s">
        <v>46</v>
      </c>
      <c r="S36" s="107"/>
      <c r="T36" s="37">
        <f>(10^(-1/-3.1381)-1)*100</f>
        <v>108.28795682641012</v>
      </c>
      <c r="U36" s="6"/>
      <c r="V36" s="6"/>
      <c r="W36" s="106" t="s">
        <v>46</v>
      </c>
      <c r="X36" s="107"/>
      <c r="Y36" s="37">
        <f>(10^(-1/-3.176)-1)*100</f>
        <v>106.4721408881295</v>
      </c>
      <c r="Z36" s="6"/>
      <c r="AA36" s="6"/>
      <c r="AB36" s="106" t="s">
        <v>46</v>
      </c>
      <c r="AC36" s="107"/>
      <c r="AD36" s="37">
        <f>(10^(-1/-3.346)-1)*100</f>
        <v>99.005150026180971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06" t="s">
        <v>60</v>
      </c>
      <c r="D37" s="107"/>
      <c r="E37" s="37">
        <f>SUM(E36/100)+1</f>
        <v>2.019226767568004</v>
      </c>
      <c r="F37" s="6"/>
      <c r="G37" s="6"/>
      <c r="H37" s="106" t="s">
        <v>60</v>
      </c>
      <c r="I37" s="107"/>
      <c r="J37" s="37">
        <f>SUM(J36/100)+1</f>
        <v>1.5875765997787721</v>
      </c>
      <c r="K37" s="6"/>
      <c r="L37" s="6"/>
      <c r="M37" s="106" t="s">
        <v>60</v>
      </c>
      <c r="N37" s="107"/>
      <c r="O37" s="37">
        <f>SUM(O36/100)+1</f>
        <v>7.8151419256536512</v>
      </c>
      <c r="P37" s="6"/>
      <c r="Q37" s="6"/>
      <c r="R37" s="106" t="s">
        <v>60</v>
      </c>
      <c r="S37" s="107"/>
      <c r="T37" s="37">
        <f>SUM(T36/100)+1</f>
        <v>2.0828795682641013</v>
      </c>
      <c r="U37" s="6"/>
      <c r="V37" s="6"/>
      <c r="W37" s="106" t="s">
        <v>60</v>
      </c>
      <c r="X37" s="107"/>
      <c r="Y37" s="37">
        <f>SUM(Y36/100)+1</f>
        <v>2.0647214088812951</v>
      </c>
      <c r="Z37" s="6"/>
      <c r="AA37" s="6"/>
      <c r="AB37" s="106" t="s">
        <v>60</v>
      </c>
      <c r="AC37" s="107"/>
      <c r="AD37" s="37">
        <f>SUM(AD36/100)+1</f>
        <v>1.9900515002618095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03" t="s">
        <v>94</v>
      </c>
      <c r="D39" s="104"/>
      <c r="E39" s="104"/>
      <c r="F39" s="104"/>
      <c r="G39" s="104"/>
      <c r="H39" s="105"/>
      <c r="J39" s="103" t="s">
        <v>95</v>
      </c>
      <c r="K39" s="104"/>
      <c r="L39" s="104"/>
      <c r="M39" s="104"/>
      <c r="N39" s="104"/>
      <c r="O39" s="105"/>
      <c r="Q39" s="103" t="s">
        <v>103</v>
      </c>
      <c r="R39" s="104"/>
      <c r="S39" s="104"/>
      <c r="T39" s="104"/>
      <c r="U39" s="104"/>
      <c r="V39" s="105"/>
      <c r="X39" s="103" t="s">
        <v>96</v>
      </c>
      <c r="Y39" s="104"/>
      <c r="Z39" s="104"/>
      <c r="AA39" s="104"/>
      <c r="AB39" s="104"/>
      <c r="AC39" s="105"/>
      <c r="AE39" s="103" t="s">
        <v>97</v>
      </c>
      <c r="AF39" s="104"/>
      <c r="AG39" s="104"/>
      <c r="AH39" s="104"/>
      <c r="AI39" s="104"/>
      <c r="AJ39" s="105"/>
      <c r="AL39" s="103" t="s">
        <v>104</v>
      </c>
      <c r="AM39" s="104"/>
      <c r="AN39" s="104"/>
      <c r="AO39" s="104"/>
      <c r="AP39" s="104"/>
      <c r="AQ39" s="105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28" t="s">
        <v>17</v>
      </c>
      <c r="D40" s="83" t="s">
        <v>61</v>
      </c>
      <c r="E40" s="83" t="s">
        <v>63</v>
      </c>
      <c r="F40" s="83" t="s">
        <v>65</v>
      </c>
      <c r="G40" s="84" t="s">
        <v>67</v>
      </c>
      <c r="H40" s="82" t="s">
        <v>69</v>
      </c>
      <c r="I40" s="6"/>
      <c r="J40" s="113" t="s">
        <v>18</v>
      </c>
      <c r="K40" s="83" t="s">
        <v>61</v>
      </c>
      <c r="L40" s="83" t="s">
        <v>63</v>
      </c>
      <c r="M40" s="83" t="s">
        <v>65</v>
      </c>
      <c r="N40" s="83" t="s">
        <v>67</v>
      </c>
      <c r="O40" s="85" t="s">
        <v>69</v>
      </c>
      <c r="P40" s="40"/>
      <c r="Q40" s="113" t="s">
        <v>26</v>
      </c>
      <c r="R40" s="83" t="s">
        <v>61</v>
      </c>
      <c r="S40" s="83" t="s">
        <v>63</v>
      </c>
      <c r="T40" s="83" t="s">
        <v>65</v>
      </c>
      <c r="U40" s="83" t="s">
        <v>67</v>
      </c>
      <c r="V40" s="85" t="s">
        <v>69</v>
      </c>
      <c r="W40" s="86"/>
      <c r="X40" s="113" t="s">
        <v>19</v>
      </c>
      <c r="Y40" s="83" t="s">
        <v>61</v>
      </c>
      <c r="Z40" s="83" t="s">
        <v>63</v>
      </c>
      <c r="AA40" s="83" t="s">
        <v>65</v>
      </c>
      <c r="AB40" s="83" t="s">
        <v>67</v>
      </c>
      <c r="AC40" s="85" t="s">
        <v>69</v>
      </c>
      <c r="AD40" s="86"/>
      <c r="AE40" s="112" t="s">
        <v>20</v>
      </c>
      <c r="AF40" s="83" t="s">
        <v>61</v>
      </c>
      <c r="AG40" s="83" t="s">
        <v>63</v>
      </c>
      <c r="AH40" s="83" t="s">
        <v>65</v>
      </c>
      <c r="AI40" s="83" t="s">
        <v>67</v>
      </c>
      <c r="AJ40" s="85" t="s">
        <v>69</v>
      </c>
      <c r="AK40" s="86"/>
      <c r="AL40" s="112" t="s">
        <v>21</v>
      </c>
      <c r="AM40" s="83" t="s">
        <v>61</v>
      </c>
      <c r="AN40" s="83" t="s">
        <v>63</v>
      </c>
      <c r="AO40" s="83" t="s">
        <v>65</v>
      </c>
      <c r="AP40" s="83" t="s">
        <v>67</v>
      </c>
      <c r="AQ40" s="85" t="s">
        <v>69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28"/>
      <c r="D41" s="49" t="s">
        <v>35</v>
      </c>
      <c r="E41" s="49">
        <f>AVERAGE(H4:H5)</f>
        <v>19.958028405925653</v>
      </c>
      <c r="F41" s="56">
        <f t="shared" ref="F41:F50" si="0">10^((E41-22.868)/-3.2767)</f>
        <v>7.7282285415348628</v>
      </c>
      <c r="G41" s="57">
        <f>SUM(E41*(LOG(E37)/LOG(2)))</f>
        <v>20.233507882993401</v>
      </c>
      <c r="H41" s="56">
        <f t="shared" ref="H41:H50" si="1">10^((G41-22.868)/-3.2767)</f>
        <v>6.3680685000309731</v>
      </c>
      <c r="I41" s="6"/>
      <c r="J41" s="113"/>
      <c r="K41" s="49" t="s">
        <v>35</v>
      </c>
      <c r="L41" s="49">
        <f>AVERAGE(W4:W5)</f>
        <v>16.115502949409851</v>
      </c>
      <c r="M41" s="56">
        <f t="shared" ref="M41:M50" si="2">10^((L41-20.509)/-4.9817)</f>
        <v>7.6195138691972719</v>
      </c>
      <c r="N41" s="56">
        <f>SUM(L41*(LOG($J$37)/LOG(2)))</f>
        <v>10.746239639256627</v>
      </c>
      <c r="O41" s="56">
        <f t="shared" ref="O41:O50" si="3">10^((N41-20.509)/-4.9817)</f>
        <v>91.14328226856982</v>
      </c>
      <c r="P41" s="6"/>
      <c r="Q41" s="113" t="s">
        <v>19</v>
      </c>
      <c r="R41" s="49" t="s">
        <v>35</v>
      </c>
      <c r="S41" s="49">
        <f>AVERAGE(N7:N8)</f>
        <v>23.178193802762152</v>
      </c>
      <c r="T41" s="56">
        <f t="shared" ref="T41:T50" si="4">10^((S41-23.448)/-1.1199)</f>
        <v>1.7414856536626035</v>
      </c>
      <c r="U41" s="56">
        <f>SUM(S41*(LOG($O$37)/LOG(2)))</f>
        <v>68.752828986641433</v>
      </c>
      <c r="V41" s="56">
        <f t="shared" ref="V41:V50" si="5">10^((U41-23.448)/-1.1199)</f>
        <v>3.5127548140171964E-41</v>
      </c>
      <c r="W41" s="6"/>
      <c r="X41" s="113"/>
      <c r="Y41" s="49" t="s">
        <v>35</v>
      </c>
      <c r="Z41" s="49">
        <f>AVERAGE(H10:H11)</f>
        <v>19.3959997809228</v>
      </c>
      <c r="AA41" s="56">
        <f t="shared" ref="AA41:AA50" si="6">10^((Z41-22.137)/-3.1381)</f>
        <v>7.4723728177486306</v>
      </c>
      <c r="AB41" s="56">
        <f>SUM(Z41*(LOG($T$37)/LOG(2)))</f>
        <v>20.53220630339268</v>
      </c>
      <c r="AC41" s="56">
        <f t="shared" ref="AC41:AC50" si="7">10^((AB41-22.137)/-3.1381)</f>
        <v>3.2463118349374089</v>
      </c>
      <c r="AD41" s="6"/>
      <c r="AE41" s="113"/>
      <c r="AF41" s="49" t="s">
        <v>35</v>
      </c>
      <c r="AG41" s="49">
        <f>AVERAGE(W10:W11)</f>
        <v>17.1086372404835</v>
      </c>
      <c r="AH41" s="56">
        <f t="shared" ref="AH41:AH50" si="8">10^((AG41-19.968)/-3.176)</f>
        <v>7.9488286630138623</v>
      </c>
      <c r="AI41" s="56">
        <f>SUM(AG41*(LOG($Y$37)/LOG(2)))</f>
        <v>17.894730073803004</v>
      </c>
      <c r="AJ41" s="56">
        <f t="shared" ref="AJ41:AJ50" si="9">10^((AI41-19.968)/-3.176)</f>
        <v>4.4956531591871052</v>
      </c>
      <c r="AK41" s="6"/>
      <c r="AL41" s="113" t="s">
        <v>21</v>
      </c>
      <c r="AM41" s="49" t="s">
        <v>35</v>
      </c>
      <c r="AN41" s="49">
        <f>AVERAGE(N13:N14)</f>
        <v>19.017727984878498</v>
      </c>
      <c r="AO41" s="56">
        <f t="shared" ref="AO41:AO50" si="10">10^((AN41-21.784)/-3.346)</f>
        <v>6.7102699599891862</v>
      </c>
      <c r="AP41" s="49">
        <f>SUM(AN41*(LOG($AD$37)/LOG(2)))</f>
        <v>18.880910010129558</v>
      </c>
      <c r="AQ41" s="56">
        <f t="shared" ref="AQ41:AQ50" si="11">10^((AP41-21.784)/-3.346)</f>
        <v>7.3727584056370317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28"/>
      <c r="D42" s="50" t="s">
        <v>36</v>
      </c>
      <c r="E42" s="50">
        <f>AVERAGE(I4:I5)</f>
        <v>19.344394688087849</v>
      </c>
      <c r="F42" s="57">
        <f t="shared" si="0"/>
        <v>11.894654205871557</v>
      </c>
      <c r="G42" s="57">
        <f>SUM(E42*(LOG(E37)/LOG(2)))</f>
        <v>19.611404215506116</v>
      </c>
      <c r="H42" s="57">
        <f t="shared" si="1"/>
        <v>9.8597179845727929</v>
      </c>
      <c r="I42" s="6"/>
      <c r="J42" s="113"/>
      <c r="K42" s="50" t="s">
        <v>36</v>
      </c>
      <c r="L42" s="50">
        <f>AVERAGE(X4:X5)</f>
        <v>15.511045300634951</v>
      </c>
      <c r="M42" s="57">
        <f t="shared" si="2"/>
        <v>10.075413573773329</v>
      </c>
      <c r="N42" s="57">
        <f t="shared" ref="N42:N48" si="12">SUM(L42*(LOG($J$37)/LOG(2)))</f>
        <v>10.34317144052228</v>
      </c>
      <c r="O42" s="57">
        <f t="shared" si="3"/>
        <v>109.80811438011187</v>
      </c>
      <c r="P42" s="6"/>
      <c r="Q42" s="113"/>
      <c r="R42" s="50" t="s">
        <v>36</v>
      </c>
      <c r="S42" s="50">
        <f>AVERAGE(O7:O8)</f>
        <v>22.767924137180849</v>
      </c>
      <c r="T42" s="57">
        <f t="shared" si="4"/>
        <v>4.0482265783201132</v>
      </c>
      <c r="U42" s="57">
        <f>SUM(S42*(LOG($O$37)/LOG(2)))</f>
        <v>67.535857535105961</v>
      </c>
      <c r="V42" s="57">
        <f t="shared" si="5"/>
        <v>4.2887083722488053E-40</v>
      </c>
      <c r="W42" s="6"/>
      <c r="X42" s="113"/>
      <c r="Y42" s="50" t="s">
        <v>36</v>
      </c>
      <c r="Z42" s="50">
        <f>AVERAGE(I10:I11)</f>
        <v>19.24227573090155</v>
      </c>
      <c r="AA42" s="57">
        <f t="shared" si="6"/>
        <v>8.3645942143171474</v>
      </c>
      <c r="AB42" s="57">
        <f t="shared" ref="AB42:AB50" si="13">SUM(Z42*(LOG($T$37)/LOG(2)))</f>
        <v>20.369477186849085</v>
      </c>
      <c r="AC42" s="57">
        <f t="shared" si="7"/>
        <v>3.6580208138956229</v>
      </c>
      <c r="AD42" s="6"/>
      <c r="AE42" s="113"/>
      <c r="AF42" s="50" t="s">
        <v>36</v>
      </c>
      <c r="AG42" s="50">
        <f>AVERAGE(X10:X11)</f>
        <v>16.96980318464535</v>
      </c>
      <c r="AH42" s="57">
        <f t="shared" si="8"/>
        <v>8.7905617602472326</v>
      </c>
      <c r="AI42" s="57">
        <f t="shared" ref="AI42:AI50" si="14">SUM(AG42*(LOG($Y$37)/LOG(2)))</f>
        <v>17.749516991115375</v>
      </c>
      <c r="AJ42" s="57">
        <f t="shared" si="9"/>
        <v>4.9947620267687665</v>
      </c>
      <c r="AK42" s="6"/>
      <c r="AL42" s="113"/>
      <c r="AM42" s="50" t="s">
        <v>36</v>
      </c>
      <c r="AN42" s="50">
        <f>AVERAGE(O13:O14)</f>
        <v>18.637582721379552</v>
      </c>
      <c r="AO42" s="57">
        <f t="shared" si="10"/>
        <v>8.7166949282097104</v>
      </c>
      <c r="AP42" s="50">
        <f t="shared" ref="AP42:AP50" si="15">SUM(AN42*(LOG($AD$37)/LOG(2)))</f>
        <v>18.503499600399877</v>
      </c>
      <c r="AQ42" s="57">
        <f t="shared" si="11"/>
        <v>9.5592651223219605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28"/>
      <c r="D43" s="51" t="s">
        <v>37</v>
      </c>
      <c r="E43" s="51">
        <f>AVERAGE(J4:J5)</f>
        <v>20.438888574883102</v>
      </c>
      <c r="F43" s="58">
        <f t="shared" si="0"/>
        <v>5.5122461202119482</v>
      </c>
      <c r="G43" s="58">
        <f>SUM(E43*(LOG(E37)/LOG(2)))</f>
        <v>20.721005336215249</v>
      </c>
      <c r="H43" s="58">
        <f t="shared" si="1"/>
        <v>4.5209610968169063</v>
      </c>
      <c r="I43" s="6"/>
      <c r="J43" s="113"/>
      <c r="K43" s="51" t="s">
        <v>37</v>
      </c>
      <c r="L43" s="51">
        <f>AVERAGE(Y4:Y5)</f>
        <v>17.089543174786648</v>
      </c>
      <c r="M43" s="58">
        <f t="shared" si="2"/>
        <v>4.8573970220693896</v>
      </c>
      <c r="N43" s="58">
        <f t="shared" si="12"/>
        <v>11.395755184197029</v>
      </c>
      <c r="O43" s="58">
        <f t="shared" si="3"/>
        <v>67.506309083844144</v>
      </c>
      <c r="P43" s="6"/>
      <c r="Q43" s="113"/>
      <c r="R43" s="51" t="s">
        <v>37</v>
      </c>
      <c r="S43" s="51">
        <f>AVERAGE(P7:P8)</f>
        <v>23.847751643947852</v>
      </c>
      <c r="T43" s="58">
        <f t="shared" si="4"/>
        <v>0.43958920462077977</v>
      </c>
      <c r="U43" s="58">
        <f t="shared" ref="U43:U50" si="16">SUM(S43*(LOG($O$37)/LOG(2)))</f>
        <v>70.73891971240883</v>
      </c>
      <c r="V43" s="58">
        <f t="shared" si="5"/>
        <v>5.9182622088917461E-43</v>
      </c>
      <c r="W43" s="6"/>
      <c r="X43" s="113"/>
      <c r="Y43" s="51" t="s">
        <v>37</v>
      </c>
      <c r="Z43" s="51">
        <f>AVERAGE(J10:J11)</f>
        <v>20.180019522688049</v>
      </c>
      <c r="AA43" s="58">
        <f t="shared" si="6"/>
        <v>4.2035821542503395</v>
      </c>
      <c r="AB43" s="58">
        <f t="shared" si="13"/>
        <v>21.362153471142694</v>
      </c>
      <c r="AC43" s="58">
        <f t="shared" si="7"/>
        <v>1.7656955322759258</v>
      </c>
      <c r="AD43" s="6"/>
      <c r="AE43" s="113"/>
      <c r="AF43" s="51" t="s">
        <v>37</v>
      </c>
      <c r="AG43" s="51">
        <f>AVERAGE(Y10:Y11)</f>
        <v>17.999047720440551</v>
      </c>
      <c r="AH43" s="58">
        <f t="shared" si="8"/>
        <v>4.1681869668066494</v>
      </c>
      <c r="AI43" s="58">
        <f t="shared" si="14"/>
        <v>18.826052362641629</v>
      </c>
      <c r="AJ43" s="58">
        <f t="shared" si="9"/>
        <v>2.2885231049962629</v>
      </c>
      <c r="AK43" s="6"/>
      <c r="AL43" s="113"/>
      <c r="AM43" s="51" t="s">
        <v>37</v>
      </c>
      <c r="AN43" s="51">
        <f>AVERAGE(P13:P14)</f>
        <v>19.7428261704307</v>
      </c>
      <c r="AO43" s="58">
        <f t="shared" si="10"/>
        <v>4.0741219037956107</v>
      </c>
      <c r="AP43" s="51">
        <f t="shared" si="15"/>
        <v>19.600791670063121</v>
      </c>
      <c r="AQ43" s="58">
        <f t="shared" si="11"/>
        <v>4.4924480463486089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28"/>
      <c r="D44" s="52" t="s">
        <v>38</v>
      </c>
      <c r="E44" s="52">
        <f>AVERAGE(K4:K5)</f>
        <v>19.757758406554451</v>
      </c>
      <c r="F44" s="59">
        <f t="shared" si="0"/>
        <v>8.8960942502203419</v>
      </c>
      <c r="G44" s="59">
        <f>SUM(E44*(LOG(E37)/LOG(2)))</f>
        <v>20.030473568752161</v>
      </c>
      <c r="H44" s="59">
        <f t="shared" si="1"/>
        <v>7.3446443842887321</v>
      </c>
      <c r="I44" s="6"/>
      <c r="J44" s="113"/>
      <c r="K44" s="52" t="s">
        <v>38</v>
      </c>
      <c r="L44" s="52">
        <f>AVERAGE(C7:C8)</f>
        <v>16.202714093651149</v>
      </c>
      <c r="M44" s="59">
        <f t="shared" si="2"/>
        <v>7.3184812076485679</v>
      </c>
      <c r="N44" s="59">
        <f t="shared" si="12"/>
        <v>10.804394315419874</v>
      </c>
      <c r="O44" s="59">
        <f t="shared" si="3"/>
        <v>88.726020585050819</v>
      </c>
      <c r="P44" s="6"/>
      <c r="Q44" s="113"/>
      <c r="R44" s="52" t="s">
        <v>38</v>
      </c>
      <c r="S44" s="52">
        <f>AVERAGE(Q7:Q8)</f>
        <v>23.022593217495398</v>
      </c>
      <c r="T44" s="59">
        <f t="shared" si="4"/>
        <v>2.3980674848993253</v>
      </c>
      <c r="U44" s="59">
        <f t="shared" si="16"/>
        <v>68.29127531597571</v>
      </c>
      <c r="V44" s="59">
        <f t="shared" si="5"/>
        <v>9.0737357497412645E-41</v>
      </c>
      <c r="W44" s="6"/>
      <c r="X44" s="113"/>
      <c r="Y44" s="52" t="s">
        <v>38</v>
      </c>
      <c r="Z44" s="52">
        <f>AVERAGE(K10:K11)</f>
        <v>19.113107994603851</v>
      </c>
      <c r="AA44" s="59">
        <f t="shared" si="6"/>
        <v>9.1961491285375168</v>
      </c>
      <c r="AB44" s="59">
        <f t="shared" si="13"/>
        <v>20.232742878777216</v>
      </c>
      <c r="AC44" s="59">
        <f t="shared" si="7"/>
        <v>4.0440684294903422</v>
      </c>
      <c r="AD44" s="6"/>
      <c r="AE44" s="113"/>
      <c r="AF44" s="52" t="s">
        <v>38</v>
      </c>
      <c r="AG44" s="52">
        <f>AVERAGE(C13:C14)</f>
        <v>17.277351348284551</v>
      </c>
      <c r="AH44" s="59">
        <f t="shared" si="8"/>
        <v>7.0336631462980446</v>
      </c>
      <c r="AI44" s="59">
        <f t="shared" si="14"/>
        <v>18.071196111179631</v>
      </c>
      <c r="AJ44" s="59">
        <f t="shared" si="9"/>
        <v>3.9557646357484022</v>
      </c>
      <c r="AK44" s="6"/>
      <c r="AL44" s="113"/>
      <c r="AM44" s="52" t="s">
        <v>38</v>
      </c>
      <c r="AN44" s="52">
        <f>AVERAGE(Q13:Q14)</f>
        <v>18.516923275849798</v>
      </c>
      <c r="AO44" s="59">
        <f t="shared" si="10"/>
        <v>9.4713666519015423</v>
      </c>
      <c r="AP44" s="52">
        <f t="shared" si="15"/>
        <v>18.383708207088812</v>
      </c>
      <c r="AQ44" s="59">
        <f t="shared" si="11"/>
        <v>10.380681818008521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28"/>
      <c r="D45" s="52" t="s">
        <v>39</v>
      </c>
      <c r="E45" s="52">
        <f>AVERAGE(L4:L5)</f>
        <v>19.482098017756748</v>
      </c>
      <c r="F45" s="59">
        <f t="shared" si="0"/>
        <v>10.797589618009532</v>
      </c>
      <c r="G45" s="59">
        <f>SUM(E45*(LOG(E37)/LOG(2)))</f>
        <v>19.751008256030619</v>
      </c>
      <c r="H45" s="59">
        <f t="shared" si="1"/>
        <v>8.9383924876051175</v>
      </c>
      <c r="I45" s="6"/>
      <c r="J45" s="113"/>
      <c r="K45" s="52" t="s">
        <v>39</v>
      </c>
      <c r="L45" s="52">
        <f>AVERAGE(D7:D8)</f>
        <v>15.385822168551499</v>
      </c>
      <c r="M45" s="59">
        <f t="shared" si="2"/>
        <v>10.675777368764489</v>
      </c>
      <c r="N45" s="59">
        <f t="shared" si="12"/>
        <v>10.259669374842328</v>
      </c>
      <c r="O45" s="59">
        <f t="shared" si="3"/>
        <v>114.12904812180564</v>
      </c>
      <c r="P45" s="6"/>
      <c r="Q45" s="113"/>
      <c r="R45" s="52" t="s">
        <v>39</v>
      </c>
      <c r="S45" s="52">
        <f>AVERAGE(R7:R8)</f>
        <v>22.867253064985</v>
      </c>
      <c r="T45" s="59">
        <f t="shared" si="4"/>
        <v>3.3004286622286396</v>
      </c>
      <c r="U45" s="59">
        <f t="shared" si="16"/>
        <v>67.830494159722136</v>
      </c>
      <c r="V45" s="59">
        <f t="shared" si="5"/>
        <v>2.3401010446493486E-40</v>
      </c>
      <c r="W45" s="6"/>
      <c r="X45" s="113"/>
      <c r="Y45" s="52" t="s">
        <v>39</v>
      </c>
      <c r="Z45" s="52">
        <f>AVERAGE(L10:L11)</f>
        <v>19.36844053749515</v>
      </c>
      <c r="AA45" s="59">
        <f t="shared" si="6"/>
        <v>7.6250145211047977</v>
      </c>
      <c r="AB45" s="59">
        <f t="shared" si="13"/>
        <v>20.503032655320233</v>
      </c>
      <c r="AC45" s="59">
        <f t="shared" si="7"/>
        <v>3.316552153796207</v>
      </c>
      <c r="AD45" s="6"/>
      <c r="AE45" s="113"/>
      <c r="AF45" s="52" t="s">
        <v>39</v>
      </c>
      <c r="AG45" s="52">
        <f>AVERAGE(D13:D14)</f>
        <v>17.0797270800728</v>
      </c>
      <c r="AH45" s="59">
        <f t="shared" si="8"/>
        <v>8.11719223434668</v>
      </c>
      <c r="AI45" s="59">
        <f t="shared" si="14"/>
        <v>17.8644915744025</v>
      </c>
      <c r="AJ45" s="59">
        <f t="shared" si="9"/>
        <v>4.595298591127249</v>
      </c>
      <c r="AK45" s="6"/>
      <c r="AL45" s="113"/>
      <c r="AM45" s="52" t="s">
        <v>39</v>
      </c>
      <c r="AN45" s="52">
        <f>AVERAGE(R13:R14)</f>
        <v>18.6648059697939</v>
      </c>
      <c r="AO45" s="59">
        <f t="shared" si="10"/>
        <v>8.5549167774236903</v>
      </c>
      <c r="AP45" s="52">
        <f t="shared" si="15"/>
        <v>18.530526998409954</v>
      </c>
      <c r="AQ45" s="59">
        <f t="shared" si="11"/>
        <v>9.3831137652280638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28"/>
      <c r="D46" s="52" t="s">
        <v>40</v>
      </c>
      <c r="E46" s="52">
        <f>AVERAGE(M4:M5)</f>
        <v>19.615322266466649</v>
      </c>
      <c r="F46" s="59">
        <f t="shared" si="0"/>
        <v>9.8326088375551084</v>
      </c>
      <c r="G46" s="59">
        <f>SUM(E46*(LOG(E37)/LOG(2)))</f>
        <v>19.886071391108498</v>
      </c>
      <c r="H46" s="59">
        <f t="shared" si="1"/>
        <v>8.1290569304822906</v>
      </c>
      <c r="I46" s="6"/>
      <c r="J46" s="113"/>
      <c r="K46" s="52" t="s">
        <v>40</v>
      </c>
      <c r="L46" s="52">
        <f>AVERAGE(E7:E8)</f>
        <v>15.5557531122247</v>
      </c>
      <c r="M46" s="59">
        <f t="shared" si="2"/>
        <v>9.8693482409357234</v>
      </c>
      <c r="N46" s="59">
        <f t="shared" si="12"/>
        <v>10.372983780763747</v>
      </c>
      <c r="O46" s="59">
        <f t="shared" si="3"/>
        <v>108.30538813442058</v>
      </c>
      <c r="P46" s="6"/>
      <c r="Q46" s="113"/>
      <c r="R46" s="52" t="s">
        <v>40</v>
      </c>
      <c r="S46" s="52">
        <f>AVERAGE(S7:S8)</f>
        <v>22.799428541979051</v>
      </c>
      <c r="T46" s="59">
        <f t="shared" si="4"/>
        <v>3.7943148651733076</v>
      </c>
      <c r="U46" s="59">
        <f t="shared" si="16"/>
        <v>67.629308171244773</v>
      </c>
      <c r="V46" s="59">
        <f t="shared" si="5"/>
        <v>3.5390035411197649E-40</v>
      </c>
      <c r="W46" s="6"/>
      <c r="X46" s="113"/>
      <c r="Y46" s="52" t="s">
        <v>40</v>
      </c>
      <c r="Z46" s="52">
        <f>AVERAGE(M10:M11)</f>
        <v>19.565290259812798</v>
      </c>
      <c r="AA46" s="59">
        <f t="shared" si="6"/>
        <v>6.5995104930223443</v>
      </c>
      <c r="AB46" s="59">
        <f t="shared" si="13"/>
        <v>20.711413721263884</v>
      </c>
      <c r="AC46" s="59">
        <f t="shared" si="7"/>
        <v>2.846316915528853</v>
      </c>
      <c r="AD46" s="6"/>
      <c r="AE46" s="113"/>
      <c r="AF46" s="52" t="s">
        <v>40</v>
      </c>
      <c r="AG46" s="52">
        <f>AVERAGE(E13:E14)</f>
        <v>16.881850834851651</v>
      </c>
      <c r="AH46" s="59">
        <f t="shared" si="8"/>
        <v>9.3693493998085167</v>
      </c>
      <c r="AI46" s="59">
        <f t="shared" si="14"/>
        <v>17.657523482994769</v>
      </c>
      <c r="AJ46" s="59">
        <f t="shared" si="9"/>
        <v>5.3392469919206409</v>
      </c>
      <c r="AK46" s="6"/>
      <c r="AL46" s="113"/>
      <c r="AM46" s="52" t="s">
        <v>40</v>
      </c>
      <c r="AN46" s="52">
        <f>AVERAGE(S13:S14)</f>
        <v>18.769231998695801</v>
      </c>
      <c r="AO46" s="59">
        <f t="shared" si="10"/>
        <v>7.9617140470260379</v>
      </c>
      <c r="AP46" s="52">
        <f t="shared" si="15"/>
        <v>18.634201762082025</v>
      </c>
      <c r="AQ46" s="59">
        <f t="shared" si="11"/>
        <v>8.7369991740471047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28"/>
      <c r="D47" s="53" t="s">
        <v>41</v>
      </c>
      <c r="E47" s="53">
        <f>AVERAGE(N4:N5)</f>
        <v>20.445311076670102</v>
      </c>
      <c r="F47" s="60">
        <f t="shared" si="0"/>
        <v>5.4874243823685944</v>
      </c>
      <c r="G47" s="60">
        <f>SUM(E47*(LOG(E37)/LOG(2)))</f>
        <v>20.727516487411787</v>
      </c>
      <c r="H47" s="60">
        <f t="shared" si="1"/>
        <v>4.5003227748456105</v>
      </c>
      <c r="I47" s="6"/>
      <c r="J47" s="113"/>
      <c r="K47" s="53" t="s">
        <v>41</v>
      </c>
      <c r="L47" s="53">
        <f>AVERAGE(F7:F8)</f>
        <v>16.47914470502705</v>
      </c>
      <c r="M47" s="60">
        <f t="shared" si="2"/>
        <v>6.4406804015485104</v>
      </c>
      <c r="N47" s="60">
        <f t="shared" si="12"/>
        <v>10.988725490363466</v>
      </c>
      <c r="O47" s="60">
        <f t="shared" si="3"/>
        <v>81.479685219426671</v>
      </c>
      <c r="P47" s="6"/>
      <c r="Q47" s="113"/>
      <c r="R47" s="53" t="s">
        <v>41</v>
      </c>
      <c r="S47" s="53">
        <f>AVERAGE(T7:T8)</f>
        <v>23.902425442074701</v>
      </c>
      <c r="T47" s="60">
        <f t="shared" si="4"/>
        <v>0.39285000987235025</v>
      </c>
      <c r="U47" s="60">
        <f t="shared" si="16"/>
        <v>70.90109707293368</v>
      </c>
      <c r="V47" s="60">
        <f t="shared" si="5"/>
        <v>4.2401386510267298E-43</v>
      </c>
      <c r="W47" s="6"/>
      <c r="X47" s="113"/>
      <c r="Y47" s="53" t="s">
        <v>41</v>
      </c>
      <c r="Z47" s="53">
        <f>AVERAGE(N10:N11)</f>
        <v>19.502845975238998</v>
      </c>
      <c r="AA47" s="60">
        <f t="shared" si="6"/>
        <v>6.9089250155799284</v>
      </c>
      <c r="AB47" s="60">
        <f t="shared" si="13"/>
        <v>20.645311486379448</v>
      </c>
      <c r="AC47" s="60">
        <f t="shared" si="7"/>
        <v>2.9877734722083242</v>
      </c>
      <c r="AD47" s="6"/>
      <c r="AE47" s="113"/>
      <c r="AF47" s="53" t="s">
        <v>41</v>
      </c>
      <c r="AG47" s="53">
        <f>AVERAGE(F13:F14)</f>
        <v>17.393652283744998</v>
      </c>
      <c r="AH47" s="60">
        <f t="shared" si="8"/>
        <v>6.4649159490512025</v>
      </c>
      <c r="AI47" s="60">
        <f t="shared" si="14"/>
        <v>18.192840741207259</v>
      </c>
      <c r="AJ47" s="60">
        <f t="shared" si="9"/>
        <v>3.6218398068363959</v>
      </c>
      <c r="AK47" s="6"/>
      <c r="AL47" s="113"/>
      <c r="AM47" s="53" t="s">
        <v>41</v>
      </c>
      <c r="AN47" s="53">
        <f>AVERAGE(T13:T14)</f>
        <v>18.9282814351273</v>
      </c>
      <c r="AO47" s="60">
        <f t="shared" si="10"/>
        <v>7.1362880960375188</v>
      </c>
      <c r="AP47" s="53">
        <f t="shared" si="15"/>
        <v>18.79210695973827</v>
      </c>
      <c r="AQ47" s="60">
        <f t="shared" si="11"/>
        <v>7.837364868705369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28"/>
      <c r="D48" s="54" t="s">
        <v>42</v>
      </c>
      <c r="E48" s="54">
        <f>AVERAGE(O4:O5)</f>
        <v>19.677286823549149</v>
      </c>
      <c r="F48" s="61">
        <f t="shared" si="0"/>
        <v>9.4136512122776548</v>
      </c>
      <c r="G48" s="61">
        <f>SUM(E48*(LOG(E37)/LOG(2)))</f>
        <v>19.948891241280808</v>
      </c>
      <c r="H48" s="61">
        <f t="shared" si="1"/>
        <v>7.7780097487406135</v>
      </c>
      <c r="I48" s="6"/>
      <c r="J48" s="113"/>
      <c r="K48" s="54" t="s">
        <v>42</v>
      </c>
      <c r="L48" s="54">
        <f>AVERAGE(G7:G8)</f>
        <v>15.953966797321751</v>
      </c>
      <c r="M48" s="61">
        <f t="shared" si="2"/>
        <v>8.2101893474530563</v>
      </c>
      <c r="N48" s="61">
        <f t="shared" si="12"/>
        <v>10.638523100331872</v>
      </c>
      <c r="O48" s="61">
        <f t="shared" si="3"/>
        <v>95.79594155530215</v>
      </c>
      <c r="P48" s="6"/>
      <c r="Q48" s="113"/>
      <c r="R48" s="54" t="s">
        <v>42</v>
      </c>
      <c r="S48" s="54">
        <f>AVERAGE(U7:U8)</f>
        <v>23.55578551162575</v>
      </c>
      <c r="T48" s="61">
        <f t="shared" si="4"/>
        <v>0.80122472492817198</v>
      </c>
      <c r="U48" s="61">
        <f t="shared" si="16"/>
        <v>69.872868727752703</v>
      </c>
      <c r="V48" s="61">
        <f t="shared" si="5"/>
        <v>3.5117456864141157E-42</v>
      </c>
      <c r="W48" s="6"/>
      <c r="X48" s="113"/>
      <c r="Y48" s="54" t="s">
        <v>42</v>
      </c>
      <c r="Z48" s="54">
        <f>AVERAGE(O10:O11)</f>
        <v>19.4977634428163</v>
      </c>
      <c r="AA48" s="61">
        <f t="shared" si="6"/>
        <v>6.9347386769713433</v>
      </c>
      <c r="AB48" s="61">
        <f t="shared" si="13"/>
        <v>20.639931222127785</v>
      </c>
      <c r="AC48" s="61">
        <f t="shared" si="7"/>
        <v>2.9995918457904853</v>
      </c>
      <c r="AD48" s="6"/>
      <c r="AE48" s="113"/>
      <c r="AF48" s="54" t="s">
        <v>42</v>
      </c>
      <c r="AG48" s="54">
        <f>AVERAGE(G13:G14)</f>
        <v>17.005514738452</v>
      </c>
      <c r="AH48" s="61">
        <f t="shared" si="8"/>
        <v>8.5658889047101692</v>
      </c>
      <c r="AI48" s="61">
        <f t="shared" si="14"/>
        <v>17.786869388439804</v>
      </c>
      <c r="AJ48" s="61">
        <f t="shared" si="9"/>
        <v>4.8613173260942766</v>
      </c>
      <c r="AK48" s="6"/>
      <c r="AL48" s="113"/>
      <c r="AM48" s="54" t="s">
        <v>42</v>
      </c>
      <c r="AN48" s="54">
        <f>AVERAGE(U13:U14)</f>
        <v>18.818891184514449</v>
      </c>
      <c r="AO48" s="61">
        <f t="shared" si="10"/>
        <v>7.6942309300541858</v>
      </c>
      <c r="AP48" s="54">
        <f t="shared" si="15"/>
        <v>18.683503688125121</v>
      </c>
      <c r="AQ48" s="61">
        <f t="shared" si="11"/>
        <v>8.4455455440174028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29"/>
      <c r="D49" s="55" t="s">
        <v>43</v>
      </c>
      <c r="E49" s="55">
        <f>AVERAGE(P4:P5)</f>
        <v>20.308830887533048</v>
      </c>
      <c r="F49" s="62">
        <f t="shared" si="0"/>
        <v>6.0397681572079991</v>
      </c>
      <c r="G49" s="62">
        <f>SUM(E49*(LOG(E37)/LOG(2)))</f>
        <v>20.589152470355017</v>
      </c>
      <c r="H49" s="62">
        <f t="shared" si="1"/>
        <v>4.9598700645885501</v>
      </c>
      <c r="I49" s="6"/>
      <c r="J49" s="114"/>
      <c r="K49" s="55" t="s">
        <v>43</v>
      </c>
      <c r="L49" s="55">
        <f>AVERAGE(H7:H8)</f>
        <v>15.7984801312814</v>
      </c>
      <c r="M49" s="62">
        <f t="shared" si="2"/>
        <v>8.8219530203422742</v>
      </c>
      <c r="N49" s="62">
        <f>SUM(L49*(LOG($J$37)/LOG(2)))</f>
        <v>10.534840517217711</v>
      </c>
      <c r="O49" s="62">
        <f t="shared" si="3"/>
        <v>100.49855130945316</v>
      </c>
      <c r="P49" s="6"/>
      <c r="Q49" s="114"/>
      <c r="R49" s="55" t="s">
        <v>43</v>
      </c>
      <c r="S49" s="55">
        <f>AVERAGE(V7:V8)</f>
        <v>23.4274574639417</v>
      </c>
      <c r="T49" s="62">
        <f t="shared" si="4"/>
        <v>1.0431414141566246</v>
      </c>
      <c r="U49" s="62">
        <f t="shared" si="16"/>
        <v>69.492212823686557</v>
      </c>
      <c r="V49" s="62">
        <f t="shared" si="5"/>
        <v>7.6811235176976569E-42</v>
      </c>
      <c r="W49" s="6"/>
      <c r="X49" s="114"/>
      <c r="Y49" s="55" t="s">
        <v>43</v>
      </c>
      <c r="Z49" s="55">
        <f>AVERAGE(P10:P11)</f>
        <v>19.322985847889349</v>
      </c>
      <c r="AA49" s="62">
        <f t="shared" si="6"/>
        <v>7.8836158788290067</v>
      </c>
      <c r="AB49" s="62">
        <f t="shared" si="13"/>
        <v>20.454915256115015</v>
      </c>
      <c r="AC49" s="62">
        <f t="shared" si="7"/>
        <v>3.435738659647162</v>
      </c>
      <c r="AD49" s="6"/>
      <c r="AE49" s="114"/>
      <c r="AF49" s="55" t="s">
        <v>43</v>
      </c>
      <c r="AG49" s="55">
        <f>AVERAGE(H13:H14)</f>
        <v>16.877821983672398</v>
      </c>
      <c r="AH49" s="62">
        <f t="shared" si="8"/>
        <v>9.396756322488482</v>
      </c>
      <c r="AI49" s="62">
        <f t="shared" si="14"/>
        <v>17.653309517653938</v>
      </c>
      <c r="AJ49" s="62">
        <f t="shared" si="9"/>
        <v>5.355583895371363</v>
      </c>
      <c r="AK49" s="6"/>
      <c r="AL49" s="114"/>
      <c r="AM49" s="55" t="s">
        <v>43</v>
      </c>
      <c r="AN49" s="55">
        <f>AVERAGE(V13:V14)</f>
        <v>18.84830716167335</v>
      </c>
      <c r="AO49" s="62">
        <f t="shared" si="10"/>
        <v>7.5400431446566056</v>
      </c>
      <c r="AP49" s="55">
        <f t="shared" si="15"/>
        <v>18.712708039877278</v>
      </c>
      <c r="AQ49" s="62">
        <f t="shared" si="11"/>
        <v>8.2775072473954197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6" t="s">
        <v>34</v>
      </c>
      <c r="D50" s="127"/>
      <c r="E50" s="64">
        <f>AVERAGE(Q4:Q5)</f>
        <v>36.587686843139203</v>
      </c>
      <c r="F50" s="63">
        <f t="shared" si="0"/>
        <v>6.5006393243135504E-5</v>
      </c>
      <c r="G50" s="63">
        <f>SUM(E50*(LOG(E37)/LOG(2)))</f>
        <v>37.092704504887486</v>
      </c>
      <c r="H50" s="63">
        <f t="shared" si="1"/>
        <v>4.5586075740801082E-5</v>
      </c>
      <c r="I50" s="6"/>
      <c r="J50" s="126" t="s">
        <v>34</v>
      </c>
      <c r="K50" s="127"/>
      <c r="L50" s="64">
        <f>AVERAGE(Z4:Z5)</f>
        <v>36.834235237224952</v>
      </c>
      <c r="M50" s="63">
        <f t="shared" si="2"/>
        <v>5.2839534435733461E-4</v>
      </c>
      <c r="N50" s="63">
        <f>SUM(L50*(LOG($J$37)/LOG(2)))</f>
        <v>24.562033219227903</v>
      </c>
      <c r="O50" s="63">
        <f t="shared" si="3"/>
        <v>0.15360863763525223</v>
      </c>
      <c r="P50" s="6"/>
      <c r="Q50" s="126" t="s">
        <v>34</v>
      </c>
      <c r="R50" s="127"/>
      <c r="S50" s="64">
        <f>AVERAGE(W7:W8)</f>
        <v>34.840916902408097</v>
      </c>
      <c r="T50" s="63">
        <f t="shared" si="4"/>
        <v>6.7118840954576727E-11</v>
      </c>
      <c r="U50" s="63">
        <f t="shared" si="16"/>
        <v>103.34763881573839</v>
      </c>
      <c r="V50" s="63">
        <f t="shared" si="5"/>
        <v>4.5150925057063338E-72</v>
      </c>
      <c r="W50" s="6"/>
      <c r="X50" s="126" t="s">
        <v>34</v>
      </c>
      <c r="Y50" s="127"/>
      <c r="Z50" s="64" t="e">
        <f>AVERAGE(Q10:Q11)</f>
        <v>#DIV/0!</v>
      </c>
      <c r="AA50" s="63" t="e">
        <f t="shared" si="6"/>
        <v>#DIV/0!</v>
      </c>
      <c r="AB50" s="63" t="e">
        <f t="shared" si="13"/>
        <v>#DIV/0!</v>
      </c>
      <c r="AC50" s="63" t="e">
        <f t="shared" si="7"/>
        <v>#DIV/0!</v>
      </c>
      <c r="AD50" s="6"/>
      <c r="AE50" s="110" t="s">
        <v>34</v>
      </c>
      <c r="AF50" s="111"/>
      <c r="AG50" s="64" t="e">
        <f>AVERAGE(Z10:Z11)</f>
        <v>#DIV/0!</v>
      </c>
      <c r="AH50" s="63" t="e">
        <f t="shared" si="8"/>
        <v>#DIV/0!</v>
      </c>
      <c r="AI50" s="63" t="e">
        <f t="shared" si="14"/>
        <v>#DIV/0!</v>
      </c>
      <c r="AJ50" s="63" t="e">
        <f t="shared" si="9"/>
        <v>#DIV/0!</v>
      </c>
      <c r="AK50" s="6"/>
      <c r="AL50" s="110" t="s">
        <v>34</v>
      </c>
      <c r="AM50" s="111"/>
      <c r="AN50" s="64">
        <f>AVERAGE(W13:W14)</f>
        <v>39.840714853200303</v>
      </c>
      <c r="AO50" s="63">
        <f t="shared" si="10"/>
        <v>4.013213582300564E-6</v>
      </c>
      <c r="AP50" s="64">
        <f t="shared" si="15"/>
        <v>39.554091449863208</v>
      </c>
      <c r="AQ50" s="63">
        <f t="shared" si="11"/>
        <v>4.8882541840372196E-6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7">
        <f>AVERAGE(E41:E49)</f>
        <v>19.891991016380747</v>
      </c>
      <c r="F51" s="87">
        <f>AVERAGE(F41:F49)</f>
        <v>8.4002517028064005</v>
      </c>
      <c r="G51" s="87">
        <f>AVERAGE(G41:G49)</f>
        <v>20.166558983294848</v>
      </c>
      <c r="H51" s="87">
        <f>AVERAGE(H41:H49)</f>
        <v>6.9332271079968431</v>
      </c>
      <c r="I51" s="6"/>
      <c r="J51" s="108" t="s">
        <v>84</v>
      </c>
      <c r="K51" s="109"/>
      <c r="L51" s="87">
        <f>AVERAGE(L41:L49)</f>
        <v>16.010219159209885</v>
      </c>
      <c r="M51" s="87">
        <f>AVERAGE(M41:M49)</f>
        <v>8.2098615613036241</v>
      </c>
      <c r="N51" s="87">
        <f>AVERAGE(N41:N49)</f>
        <v>10.676033649212771</v>
      </c>
      <c r="O51" s="87">
        <f>AVERAGE(O41:O49)</f>
        <v>95.265815628664996</v>
      </c>
      <c r="P51" s="6"/>
      <c r="Q51" s="108" t="s">
        <v>84</v>
      </c>
      <c r="R51" s="109"/>
      <c r="S51" s="87">
        <f>AVERAGE(S41:S49)</f>
        <v>23.263201425110267</v>
      </c>
      <c r="T51" s="87">
        <f>AVERAGE(T41:T49)</f>
        <v>1.9954809553179906</v>
      </c>
      <c r="U51" s="87">
        <f>AVERAGE(U41:U49)</f>
        <v>69.004984722830216</v>
      </c>
      <c r="V51" s="87">
        <f>AVERAGE(V41:V49)</f>
        <v>1.2831721230327556E-40</v>
      </c>
      <c r="W51" s="6"/>
      <c r="X51" s="108" t="s">
        <v>84</v>
      </c>
      <c r="Y51" s="109"/>
      <c r="Z51" s="87">
        <f>AVERAGE(Z41:Z49)</f>
        <v>19.465414343596539</v>
      </c>
      <c r="AA51" s="87">
        <f>AVERAGE(AA41:AA49)</f>
        <v>7.2431669889290067</v>
      </c>
      <c r="AB51" s="87">
        <f>AVERAGE(AB41:AB49)</f>
        <v>20.605687131263114</v>
      </c>
      <c r="AC51" s="87">
        <f>AVERAGE(AC41:AC49)</f>
        <v>3.1444521841744812</v>
      </c>
      <c r="AD51" s="6"/>
      <c r="AE51" s="108" t="s">
        <v>84</v>
      </c>
      <c r="AF51" s="109"/>
      <c r="AG51" s="87">
        <f>AVERAGE(AG41:AG49)</f>
        <v>17.177045157183088</v>
      </c>
      <c r="AH51" s="87">
        <f>AVERAGE(AH41:AH49)</f>
        <v>7.761704816307871</v>
      </c>
      <c r="AI51" s="87">
        <f>AVERAGE(AI41:AI49)</f>
        <v>17.966281138159768</v>
      </c>
      <c r="AJ51" s="87">
        <f>AVERAGE(AJ41:AJ49)</f>
        <v>4.3897766153389401</v>
      </c>
      <c r="AK51" s="6"/>
      <c r="AL51" s="108" t="s">
        <v>84</v>
      </c>
      <c r="AM51" s="109"/>
      <c r="AN51" s="87">
        <f>AVERAGE(AN41:AN49)</f>
        <v>18.882730878038149</v>
      </c>
      <c r="AO51" s="87">
        <f>AVERAGE(AO41:AO49)</f>
        <v>7.5399607154548995</v>
      </c>
      <c r="AP51" s="87">
        <f>AVERAGE(AP41:AP49)</f>
        <v>18.746884103990443</v>
      </c>
      <c r="AQ51" s="87">
        <f>AVERAGE(AQ41:AQ49)</f>
        <v>8.2761871101899445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7">
        <f>(E53/SQRT(9))</f>
        <v>0.13108814929980747</v>
      </c>
      <c r="F52" s="87">
        <f>(F53/SQRT(9))</f>
        <v>0.73812575657688628</v>
      </c>
      <c r="G52" s="87">
        <f>(G53/SQRT(9))</f>
        <v>0.13289755121488689</v>
      </c>
      <c r="H52" s="87">
        <f>(H53/SQRT(9))</f>
        <v>0.61713756771027806</v>
      </c>
      <c r="I52" s="6"/>
      <c r="J52" s="108" t="s">
        <v>85</v>
      </c>
      <c r="K52" s="109"/>
      <c r="L52" s="87">
        <f>(L53/SQRT(9))</f>
        <v>0.16947827529088319</v>
      </c>
      <c r="M52" s="87">
        <f>(M53/SQRT(9))</f>
        <v>0.59005824129336959</v>
      </c>
      <c r="N52" s="87">
        <f>(N53/SQRT(9))</f>
        <v>0.11301255478287321</v>
      </c>
      <c r="O52" s="87">
        <f>(O53/SQRT(9))</f>
        <v>4.694894516482365</v>
      </c>
      <c r="P52" s="6"/>
      <c r="Q52" s="108" t="s">
        <v>85</v>
      </c>
      <c r="R52" s="109"/>
      <c r="S52" s="87">
        <f>(S53/SQRT(9))</f>
        <v>0.13811653625544243</v>
      </c>
      <c r="T52" s="87">
        <f>(T53/SQRT(9))</f>
        <v>0.45408257400895469</v>
      </c>
      <c r="U52" s="87">
        <f>(U53/SQRT(9))</f>
        <v>0.40969122435528443</v>
      </c>
      <c r="V52" s="87">
        <f>(V53/SQRT(9))</f>
        <v>5.2738312337044692E-41</v>
      </c>
      <c r="W52" s="6"/>
      <c r="X52" s="108" t="s">
        <v>85</v>
      </c>
      <c r="Y52" s="109"/>
      <c r="Z52" s="87">
        <f>(Z53/SQRT(9))</f>
        <v>9.5030997728979105E-2</v>
      </c>
      <c r="AA52" s="87">
        <f>(AA53/SQRT(9))</f>
        <v>0.43801560463402889</v>
      </c>
      <c r="AB52" s="87">
        <f>(AB53/SQRT(9))</f>
        <v>0.1005978589723313</v>
      </c>
      <c r="AC52" s="87">
        <f>(AC53/SQRT(9))</f>
        <v>0.19979282495073911</v>
      </c>
      <c r="AD52" s="6"/>
      <c r="AE52" s="108" t="s">
        <v>85</v>
      </c>
      <c r="AF52" s="109"/>
      <c r="AG52" s="87">
        <f>(AG53/SQRT(9))</f>
        <v>0.11088113754282558</v>
      </c>
      <c r="AH52" s="87">
        <f>(AH53/SQRT(9))</f>
        <v>0.5241057805589463</v>
      </c>
      <c r="AI52" s="87">
        <f>(AI53/SQRT(9))</f>
        <v>0.1159758079334328</v>
      </c>
      <c r="AJ52" s="87">
        <f>(AJ53/SQRT(9))</f>
        <v>0.30770846528375811</v>
      </c>
      <c r="AK52" s="6"/>
      <c r="AL52" s="108" t="s">
        <v>85</v>
      </c>
      <c r="AM52" s="109"/>
      <c r="AN52" s="87">
        <f>(AN53/SQRT(9))</f>
        <v>0.11219524233420557</v>
      </c>
      <c r="AO52" s="87">
        <f>(AO53/SQRT(9))</f>
        <v>0.48699405891515246</v>
      </c>
      <c r="AP52" s="87">
        <f>(AP53/SQRT(9))</f>
        <v>0.11138808356924483</v>
      </c>
      <c r="AQ52" s="87">
        <f>(AQ53/SQRT(9))</f>
        <v>0.53132649337137916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7">
        <f>_xlfn.STDEV.P(E41:E49)</f>
        <v>0.39326444789942239</v>
      </c>
      <c r="F53" s="87">
        <f>_xlfn.STDEV.P(F41:F49)</f>
        <v>2.214377269730659</v>
      </c>
      <c r="G53" s="87">
        <f>_xlfn.STDEV.P(G41:G49)</f>
        <v>0.39869265364466067</v>
      </c>
      <c r="H53" s="87">
        <f>_xlfn.STDEV.P(H41:H49)</f>
        <v>1.8514127031308343</v>
      </c>
      <c r="I53" s="6"/>
      <c r="J53" s="108" t="s">
        <v>86</v>
      </c>
      <c r="K53" s="109"/>
      <c r="L53" s="87">
        <f>_xlfn.STDEV.P(L41:L49)</f>
        <v>0.50843482587264954</v>
      </c>
      <c r="M53" s="87">
        <f>_xlfn.STDEV.P(M41:M49)</f>
        <v>1.7701747238801087</v>
      </c>
      <c r="N53" s="87">
        <f>_xlfn.STDEV.P(N41:N49)</f>
        <v>0.33903766434861965</v>
      </c>
      <c r="O53" s="87">
        <f>_xlfn.STDEV.P(O41:O49)</f>
        <v>14.084683549447096</v>
      </c>
      <c r="P53" s="6"/>
      <c r="Q53" s="108" t="s">
        <v>86</v>
      </c>
      <c r="R53" s="109"/>
      <c r="S53" s="87">
        <f>_xlfn.STDEV.P(S41:S49)</f>
        <v>0.41434960876632732</v>
      </c>
      <c r="T53" s="87">
        <f>_xlfn.STDEV.P(T41:T49)</f>
        <v>1.3622477220268641</v>
      </c>
      <c r="U53" s="87">
        <f>_xlfn.STDEV.P(U41:U49)</f>
        <v>1.2290736730658534</v>
      </c>
      <c r="V53" s="87">
        <f>_xlfn.STDEV.P(V41:V49)</f>
        <v>1.5821493701113407E-40</v>
      </c>
      <c r="W53" s="6"/>
      <c r="X53" s="108" t="s">
        <v>86</v>
      </c>
      <c r="Y53" s="109"/>
      <c r="Z53" s="87">
        <f>_xlfn.STDEV.P(Z41:Z49)</f>
        <v>0.28509299318693732</v>
      </c>
      <c r="AA53" s="87">
        <f>_xlfn.STDEV.P(AA41:AA49)</f>
        <v>1.3140468139020867</v>
      </c>
      <c r="AB53" s="87">
        <f>_xlfn.STDEV.P(AB41:AB49)</f>
        <v>0.30179357691699388</v>
      </c>
      <c r="AC53" s="87">
        <f>_xlfn.STDEV.P(AC41:AC49)</f>
        <v>0.59937847485221729</v>
      </c>
      <c r="AD53" s="6"/>
      <c r="AE53" s="108" t="s">
        <v>86</v>
      </c>
      <c r="AF53" s="109"/>
      <c r="AG53" s="87">
        <f>_xlfn.STDEV.P(AG41:AG49)</f>
        <v>0.33264341262847674</v>
      </c>
      <c r="AH53" s="87">
        <f>_xlfn.STDEV.P(AH41:AH49)</f>
        <v>1.572317341676839</v>
      </c>
      <c r="AI53" s="87">
        <f>_xlfn.STDEV.P(AI41:AI49)</f>
        <v>0.3479274238002984</v>
      </c>
      <c r="AJ53" s="87">
        <f>_xlfn.STDEV.P(AJ41:AJ49)</f>
        <v>0.9231253958512744</v>
      </c>
      <c r="AK53" s="6"/>
      <c r="AL53" s="108" t="s">
        <v>86</v>
      </c>
      <c r="AM53" s="109"/>
      <c r="AN53" s="87">
        <f>_xlfn.STDEV.P(AN41:AN49)</f>
        <v>0.33658572700261669</v>
      </c>
      <c r="AO53" s="87">
        <f>_xlfn.STDEV.P(AO41:AO49)</f>
        <v>1.4609821767454574</v>
      </c>
      <c r="AP53" s="87">
        <f>_xlfn.STDEV.P(AP41:AP49)</f>
        <v>0.33416425070773448</v>
      </c>
      <c r="AQ53" s="87">
        <f>_xlfn.STDEV.P(AQ41:AQ49)</f>
        <v>1.5939794801141374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7">
        <f>SUM(E53/E51)</f>
        <v>1.9769989217045956E-2</v>
      </c>
      <c r="F54" s="87">
        <f>SUM(F53/F51)</f>
        <v>0.2636084427078379</v>
      </c>
      <c r="G54" s="87">
        <f>SUM(G53/G51)</f>
        <v>1.976998921704597E-2</v>
      </c>
      <c r="H54" s="87">
        <f>SUM(H53/H51)</f>
        <v>0.26703476956573358</v>
      </c>
      <c r="I54" s="6"/>
      <c r="J54" s="108" t="s">
        <v>87</v>
      </c>
      <c r="K54" s="109"/>
      <c r="L54" s="87">
        <f>SUM(L53/L51)</f>
        <v>3.1756893570077847E-2</v>
      </c>
      <c r="M54" s="87">
        <f>SUM(M53/M51)</f>
        <v>0.21561566058843834</v>
      </c>
      <c r="N54" s="87">
        <f>SUM(N53/N51)</f>
        <v>3.1756893570077833E-2</v>
      </c>
      <c r="O54" s="87">
        <f>SUM(O53/O51)</f>
        <v>0.14784614456404324</v>
      </c>
      <c r="P54" s="6"/>
      <c r="Q54" s="108" t="s">
        <v>87</v>
      </c>
      <c r="R54" s="109"/>
      <c r="S54" s="87">
        <f>SUM(S53/S51)</f>
        <v>1.7811375192714401E-2</v>
      </c>
      <c r="T54" s="87">
        <f>SUM(T53/T51)</f>
        <v>0.68266636090735455</v>
      </c>
      <c r="U54" s="87">
        <f>SUM(U53/U51)</f>
        <v>1.7811375192714387E-2</v>
      </c>
      <c r="V54" s="87">
        <f>SUM(V53/V51)</f>
        <v>1.2329985523469427</v>
      </c>
      <c r="W54" s="6"/>
      <c r="X54" s="108" t="s">
        <v>87</v>
      </c>
      <c r="Y54" s="109"/>
      <c r="Z54" s="87">
        <f>SUM(Z53/Z51)</f>
        <v>1.4646130216114472E-2</v>
      </c>
      <c r="AA54" s="87">
        <f>SUM(AA53/AA51)</f>
        <v>0.18141882078800242</v>
      </c>
      <c r="AB54" s="87">
        <f>SUM(AB53/AB51)</f>
        <v>1.4646130216114474E-2</v>
      </c>
      <c r="AC54" s="87">
        <f>SUM(AC53/AC51)</f>
        <v>0.19061459349542414</v>
      </c>
      <c r="AD54" s="6"/>
      <c r="AE54" s="108" t="s">
        <v>87</v>
      </c>
      <c r="AF54" s="109"/>
      <c r="AG54" s="87">
        <f>SUM(AG53/AG51)</f>
        <v>1.9365578281045161E-2</v>
      </c>
      <c r="AH54" s="87">
        <f>SUM(AH53/AH51)</f>
        <v>0.20257371014332998</v>
      </c>
      <c r="AI54" s="87">
        <f>SUM(AI53/AI51)</f>
        <v>1.9365578281045175E-2</v>
      </c>
      <c r="AJ54" s="87">
        <f>SUM(AJ53/AJ51)</f>
        <v>0.21028983402609855</v>
      </c>
      <c r="AK54" s="6"/>
      <c r="AL54" s="108" t="s">
        <v>87</v>
      </c>
      <c r="AM54" s="109"/>
      <c r="AN54" s="87">
        <f>SUM(AN53/AN51)</f>
        <v>1.7825055558785084E-2</v>
      </c>
      <c r="AO54" s="87">
        <f>SUM(AO53/AO51)</f>
        <v>0.19376522396871848</v>
      </c>
      <c r="AP54" s="87">
        <f>SUM(AP53/AP51)</f>
        <v>1.782505555878508E-2</v>
      </c>
      <c r="AQ54" s="87">
        <f>SUM(AQ53/AQ51)</f>
        <v>0.19259828939241497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5" t="s">
        <v>48</v>
      </c>
      <c r="D56" s="125"/>
      <c r="E56" s="125"/>
      <c r="F56" s="6"/>
      <c r="G56" s="6"/>
      <c r="H56" s="125" t="s">
        <v>23</v>
      </c>
      <c r="I56" s="125"/>
      <c r="J56" s="125"/>
      <c r="K56" s="6"/>
      <c r="L56" s="6"/>
      <c r="M56" s="125" t="s">
        <v>27</v>
      </c>
      <c r="N56" s="125"/>
      <c r="O56" s="125"/>
      <c r="P56" s="6"/>
      <c r="Q56" s="6"/>
      <c r="R56" s="125" t="s">
        <v>24</v>
      </c>
      <c r="S56" s="125"/>
      <c r="T56" s="125"/>
      <c r="U56" s="6"/>
      <c r="V56" s="6"/>
      <c r="W56" s="125"/>
      <c r="X56" s="125"/>
      <c r="Y56" s="125"/>
      <c r="Z56" s="6"/>
      <c r="AA56" s="6"/>
      <c r="AB56" s="125" t="s">
        <v>25</v>
      </c>
      <c r="AC56" s="125"/>
      <c r="AD56" s="12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7" t="s">
        <v>47</v>
      </c>
      <c r="D57" s="118"/>
      <c r="E57" s="119"/>
      <c r="F57" s="6"/>
      <c r="G57" s="6"/>
      <c r="H57" s="120" t="s">
        <v>47</v>
      </c>
      <c r="I57" s="121"/>
      <c r="J57" s="122"/>
      <c r="K57" s="6"/>
      <c r="L57" s="6"/>
      <c r="M57" s="120" t="s">
        <v>47</v>
      </c>
      <c r="N57" s="121"/>
      <c r="O57" s="122"/>
      <c r="P57" s="6"/>
      <c r="Q57" s="6"/>
      <c r="R57" s="120" t="s">
        <v>47</v>
      </c>
      <c r="S57" s="123"/>
      <c r="T57" s="124"/>
      <c r="U57" s="6"/>
      <c r="V57" s="6"/>
      <c r="W57" s="120"/>
      <c r="X57" s="121"/>
      <c r="Y57" s="122"/>
      <c r="Z57" s="6"/>
      <c r="AA57" s="6"/>
      <c r="AB57" s="120" t="s">
        <v>47</v>
      </c>
      <c r="AC57" s="121"/>
      <c r="AD57" s="122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29.066290437246153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28.952566965126998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25.885242676229851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26.034451678886001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29.894710836414951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27.724412733788949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27.184781813853849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24.50624872986355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23.834325744133402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28.468512721936751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26.5007223520727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25.730108557958353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22.505149181876952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21.347028800629403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28.745841511246599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24.369069906365198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23.318658447056801</v>
      </c>
      <c r="L62" s="6"/>
      <c r="M62" s="65">
        <v>4</v>
      </c>
      <c r="N62" s="66">
        <f>LOG(M62)</f>
        <v>0.6020599913279624</v>
      </c>
      <c r="O62" s="67">
        <f>AVERAGE(L19:L20)</f>
        <v>20.3776835258193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19.024054734311449</v>
      </c>
      <c r="U62" s="6"/>
      <c r="V62" s="6"/>
      <c r="W62" s="65"/>
      <c r="X62" s="66"/>
      <c r="Y62" s="67"/>
      <c r="AA62" s="6"/>
      <c r="AB62" s="65">
        <v>4</v>
      </c>
      <c r="AC62" s="66">
        <f>LOG(AB62)</f>
        <v>0.6020599913279624</v>
      </c>
      <c r="AD62" s="67">
        <f>AVERAGE(L25:L26)</f>
        <v>27.900742865611399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21.97662979601165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21.077142932901552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18.212250942828451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16.985192350960951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26.090368923140701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7">
        <f>(10^(-1/-2.5086)-1)*100</f>
        <v>150.39676702024653</v>
      </c>
      <c r="F64" s="6"/>
      <c r="G64" s="6"/>
      <c r="H64" s="106" t="s">
        <v>46</v>
      </c>
      <c r="I64" s="107"/>
      <c r="J64" s="37">
        <f>(10^(-1/-2.8066)-1)*100</f>
        <v>127.14490515891956</v>
      </c>
      <c r="K64" s="6"/>
      <c r="L64" s="6"/>
      <c r="M64" s="106" t="s">
        <v>46</v>
      </c>
      <c r="N64" s="107"/>
      <c r="O64" s="37">
        <f>(10^(-1/-2.7862)-1)*100</f>
        <v>128.51345648588187</v>
      </c>
      <c r="P64" s="6"/>
      <c r="Q64" s="6"/>
      <c r="R64" s="106" t="s">
        <v>46</v>
      </c>
      <c r="S64" s="107"/>
      <c r="T64" s="37">
        <f>(10^(-1/-3.2775)-1)*100</f>
        <v>101.88804503027109</v>
      </c>
      <c r="U64" s="6"/>
      <c r="V64" s="6"/>
      <c r="W64" s="106"/>
      <c r="X64" s="107"/>
      <c r="Y64" s="37"/>
      <c r="Z64" s="6"/>
      <c r="AA64" s="6"/>
      <c r="AB64" s="115" t="s">
        <v>46</v>
      </c>
      <c r="AC64" s="116"/>
      <c r="AD64" s="37">
        <f>(10^(-1/-1.1698)-1)*100</f>
        <v>615.89113150610615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60</v>
      </c>
      <c r="D65" s="107"/>
      <c r="E65" s="37">
        <f>SUM(E64/100)+1</f>
        <v>2.5039676702024654</v>
      </c>
      <c r="F65" s="6"/>
      <c r="G65" s="6"/>
      <c r="H65" s="106" t="s">
        <v>60</v>
      </c>
      <c r="I65" s="107"/>
      <c r="J65" s="37">
        <f>SUM(J64/100)+1</f>
        <v>2.2714490515891956</v>
      </c>
      <c r="K65" s="6"/>
      <c r="L65" s="6"/>
      <c r="M65" s="106" t="s">
        <v>60</v>
      </c>
      <c r="N65" s="107"/>
      <c r="O65" s="37">
        <f>SUM(O64/100)+1</f>
        <v>2.2851345648588186</v>
      </c>
      <c r="P65" s="6"/>
      <c r="Q65" s="6"/>
      <c r="R65" s="106" t="s">
        <v>60</v>
      </c>
      <c r="S65" s="107"/>
      <c r="T65" s="37">
        <f>SUM(T64/100)+1</f>
        <v>2.0188804503027109</v>
      </c>
      <c r="U65" s="6"/>
      <c r="V65" s="6"/>
      <c r="W65" s="106"/>
      <c r="X65" s="107"/>
      <c r="Y65" s="37"/>
      <c r="Z65" s="6"/>
      <c r="AA65" s="6"/>
      <c r="AB65" s="106" t="s">
        <v>60</v>
      </c>
      <c r="AC65" s="107"/>
      <c r="AD65" s="37">
        <f>SUM(AD64/100)+1</f>
        <v>7.1589113150610615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3" t="s">
        <v>98</v>
      </c>
      <c r="D67" s="104"/>
      <c r="E67" s="104"/>
      <c r="F67" s="104"/>
      <c r="G67" s="104"/>
      <c r="H67" s="105"/>
      <c r="I67" s="6"/>
      <c r="J67" s="103" t="s">
        <v>99</v>
      </c>
      <c r="K67" s="104"/>
      <c r="L67" s="104"/>
      <c r="M67" s="104"/>
      <c r="N67" s="104"/>
      <c r="O67" s="105"/>
      <c r="P67" s="6"/>
      <c r="Q67" s="103" t="s">
        <v>100</v>
      </c>
      <c r="R67" s="104"/>
      <c r="S67" s="104"/>
      <c r="T67" s="104"/>
      <c r="U67" s="104"/>
      <c r="V67" s="105"/>
      <c r="W67" s="6"/>
      <c r="X67" s="103" t="s">
        <v>101</v>
      </c>
      <c r="Y67" s="104"/>
      <c r="Z67" s="104"/>
      <c r="AA67" s="104"/>
      <c r="AB67" s="104"/>
      <c r="AC67" s="105"/>
      <c r="AD67" s="6"/>
      <c r="AE67" s="103"/>
      <c r="AF67" s="104"/>
      <c r="AG67" s="104"/>
      <c r="AH67" s="104"/>
      <c r="AI67" s="104"/>
      <c r="AJ67" s="105"/>
      <c r="AK67" s="6"/>
      <c r="AL67" s="103" t="s">
        <v>102</v>
      </c>
      <c r="AM67" s="104"/>
      <c r="AN67" s="104"/>
      <c r="AO67" s="104"/>
      <c r="AP67" s="104"/>
      <c r="AQ67" s="105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3" t="s">
        <v>61</v>
      </c>
      <c r="E68" s="83" t="s">
        <v>63</v>
      </c>
      <c r="F68" s="83" t="s">
        <v>65</v>
      </c>
      <c r="G68" s="84" t="s">
        <v>67</v>
      </c>
      <c r="H68" s="82" t="s">
        <v>69</v>
      </c>
      <c r="I68" s="6"/>
      <c r="J68" s="112" t="s">
        <v>23</v>
      </c>
      <c r="K68" s="83" t="s">
        <v>61</v>
      </c>
      <c r="L68" s="83" t="s">
        <v>63</v>
      </c>
      <c r="M68" s="83" t="s">
        <v>65</v>
      </c>
      <c r="N68" s="84" t="s">
        <v>67</v>
      </c>
      <c r="O68" s="82" t="s">
        <v>69</v>
      </c>
      <c r="P68" s="6"/>
      <c r="Q68" s="112" t="s">
        <v>27</v>
      </c>
      <c r="R68" s="83" t="s">
        <v>61</v>
      </c>
      <c r="S68" s="83" t="s">
        <v>63</v>
      </c>
      <c r="T68" s="83" t="s">
        <v>65</v>
      </c>
      <c r="U68" s="84" t="s">
        <v>67</v>
      </c>
      <c r="V68" s="82" t="s">
        <v>69</v>
      </c>
      <c r="W68" s="6"/>
      <c r="X68" s="112" t="s">
        <v>24</v>
      </c>
      <c r="Y68" s="83" t="s">
        <v>61</v>
      </c>
      <c r="Z68" s="83" t="s">
        <v>63</v>
      </c>
      <c r="AA68" s="83" t="s">
        <v>65</v>
      </c>
      <c r="AB68" s="84" t="s">
        <v>67</v>
      </c>
      <c r="AC68" s="82" t="s">
        <v>69</v>
      </c>
      <c r="AD68" s="6"/>
      <c r="AE68" s="112"/>
      <c r="AF68" s="83"/>
      <c r="AG68" s="83"/>
      <c r="AH68" s="83"/>
      <c r="AI68" s="84"/>
      <c r="AJ68" s="82"/>
      <c r="AK68" s="6"/>
      <c r="AL68" s="112" t="s">
        <v>25</v>
      </c>
      <c r="AM68" s="83" t="s">
        <v>61</v>
      </c>
      <c r="AN68" s="83" t="s">
        <v>63</v>
      </c>
      <c r="AO68" s="83" t="s">
        <v>65</v>
      </c>
      <c r="AP68" s="84" t="s">
        <v>67</v>
      </c>
      <c r="AQ68" s="82" t="s">
        <v>69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9" t="s">
        <v>35</v>
      </c>
      <c r="E69" s="49">
        <f>AVERAGE(H16:H17)</f>
        <v>22.994587429740598</v>
      </c>
      <c r="F69" s="56">
        <f t="shared" ref="F69:F78" si="17">10^((E69-25.684)/-2.5086)</f>
        <v>11.805301493836156</v>
      </c>
      <c r="G69" s="57">
        <f>SUM(E69*(LOG(E65)/LOG(2)))</f>
        <v>30.449799096388059</v>
      </c>
      <c r="H69" s="56">
        <f t="shared" ref="H69:H78" si="18">10^((G69-25.684)/-2.5086)</f>
        <v>1.2595506017132347E-2</v>
      </c>
      <c r="I69" s="6"/>
      <c r="J69" s="113"/>
      <c r="K69" s="49" t="s">
        <v>35</v>
      </c>
      <c r="L69" s="49">
        <f>AVERAGE(W16:W17)</f>
        <v>22.319866501349402</v>
      </c>
      <c r="M69" s="56">
        <f t="shared" ref="M69:M78" si="19">10^((L69- 24.981)/-2.8066)</f>
        <v>8.8750303963876895</v>
      </c>
      <c r="N69" s="57">
        <f>SUM(L69*(LOG($J$65)/LOG(2)))</f>
        <v>26.418082949108488</v>
      </c>
      <c r="O69" s="56">
        <f t="shared" ref="O69:O78" si="20">10^((N69- 24.981)/-2.8066)</f>
        <v>0.307583499580181</v>
      </c>
      <c r="P69" s="6"/>
      <c r="Q69" s="113"/>
      <c r="R69" s="49" t="s">
        <v>35</v>
      </c>
      <c r="S69" s="49">
        <f>AVERAGE(N19:N20)</f>
        <v>19.643112079304149</v>
      </c>
      <c r="T69" s="56">
        <f t="shared" ref="T69:T78" si="21">10^((S69-22.027)/-2.7862)</f>
        <v>7.1714249151274512</v>
      </c>
      <c r="U69" s="57">
        <f>SUM(S69*(LOG($O$65)/LOG(2)))</f>
        <v>23.42007245971638</v>
      </c>
      <c r="V69" s="56">
        <f t="shared" ref="V69:V78" si="22">10^((U69-22.027)/-2.7862)</f>
        <v>0.31623496343526714</v>
      </c>
      <c r="W69" s="6"/>
      <c r="X69" s="113"/>
      <c r="Y69" s="49" t="s">
        <v>35</v>
      </c>
      <c r="Z69" s="49">
        <f>AVERAGE(H22:H23)</f>
        <v>20.397947069958647</v>
      </c>
      <c r="AA69" s="56">
        <f t="shared" ref="AA69:AA78" si="23">10^((Z69-21.127)/-3.2775)</f>
        <v>1.6689440548248922</v>
      </c>
      <c r="AB69" s="57">
        <f>SUM(Z69*(LOG($T$65)/LOG(2)))</f>
        <v>20.674451090685277</v>
      </c>
      <c r="AC69" s="56">
        <f t="shared" ref="AC69:AC78" si="24">10^((AB69-21.127)/-3.2775)</f>
        <v>1.3742871015651346</v>
      </c>
      <c r="AD69" s="6"/>
      <c r="AE69" s="113"/>
      <c r="AF69" s="49"/>
      <c r="AG69" s="49"/>
      <c r="AH69" s="56"/>
      <c r="AI69" s="57"/>
      <c r="AJ69" s="56"/>
      <c r="AK69" s="6"/>
      <c r="AL69" s="113"/>
      <c r="AM69" s="49" t="s">
        <v>35</v>
      </c>
      <c r="AN69" s="49">
        <f>AVERAGE(N25:N26)</f>
        <v>27.785870316701299</v>
      </c>
      <c r="AO69" s="56">
        <f t="shared" ref="AO69:AO78" si="25">10^((AN69-28.107)/-1.1698)</f>
        <v>1.8815542329806387</v>
      </c>
      <c r="AP69" s="57">
        <f>SUM(AN69*(LOG($AD$65)/LOG(2)))</f>
        <v>78.904653142372098</v>
      </c>
      <c r="AQ69" s="56">
        <f t="shared" ref="AQ69:AQ78" si="26">10^((AP69-28.107)/-1.1698)</f>
        <v>3.7651258638026218E-44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50" t="s">
        <v>36</v>
      </c>
      <c r="E70" s="50">
        <f>AVERAGE(I16:I17)</f>
        <v>22.576762887845952</v>
      </c>
      <c r="F70" s="57">
        <f t="shared" si="17"/>
        <v>17.323432336377504</v>
      </c>
      <c r="G70" s="57">
        <f>SUM(E70*(LOG(E65)/LOG(2)))</f>
        <v>29.896509179919406</v>
      </c>
      <c r="H70" s="57">
        <f t="shared" si="18"/>
        <v>2.0930175472940404E-2</v>
      </c>
      <c r="I70" s="6"/>
      <c r="J70" s="113"/>
      <c r="K70" s="50" t="s">
        <v>36</v>
      </c>
      <c r="L70" s="50">
        <f>AVERAGE(X16:X17)</f>
        <v>21.859678946109753</v>
      </c>
      <c r="M70" s="57">
        <f t="shared" si="19"/>
        <v>12.946013503747103</v>
      </c>
      <c r="N70" s="57">
        <f t="shared" ref="N70:N78" si="27">SUM(L70*(LOG($J$65)/LOG(2)))</f>
        <v>25.873399001033192</v>
      </c>
      <c r="O70" s="57">
        <f t="shared" si="20"/>
        <v>0.48087871968060153</v>
      </c>
      <c r="P70" s="6"/>
      <c r="Q70" s="113"/>
      <c r="R70" s="50" t="s">
        <v>36</v>
      </c>
      <c r="S70" s="50">
        <f>AVERAGE(O19:O20)</f>
        <v>19.083264777424951</v>
      </c>
      <c r="T70" s="57">
        <f t="shared" si="21"/>
        <v>11.390459574907492</v>
      </c>
      <c r="U70" s="57">
        <f t="shared" ref="U70:U78" si="28">SUM(S70*(LOG($O$65)/LOG(2)))</f>
        <v>22.752578209138747</v>
      </c>
      <c r="V70" s="57">
        <f t="shared" si="22"/>
        <v>0.54901149014560935</v>
      </c>
      <c r="W70" s="6"/>
      <c r="X70" s="113"/>
      <c r="Y70" s="50" t="s">
        <v>36</v>
      </c>
      <c r="Z70" s="50">
        <f>AVERAGE(I22:I23)</f>
        <v>19.825438964333301</v>
      </c>
      <c r="AA70" s="57">
        <f t="shared" si="23"/>
        <v>2.4952845173095994</v>
      </c>
      <c r="AB70" s="57">
        <f t="shared" ref="AB70:AB78" si="29">SUM(Z70*(LOG($T$65)/LOG(2)))</f>
        <v>20.094182361279458</v>
      </c>
      <c r="AC70" s="57">
        <f t="shared" si="24"/>
        <v>2.0659681033105817</v>
      </c>
      <c r="AD70" s="6"/>
      <c r="AE70" s="113"/>
      <c r="AF70" s="50"/>
      <c r="AG70" s="50"/>
      <c r="AH70" s="57"/>
      <c r="AI70" s="57"/>
      <c r="AJ70" s="57"/>
      <c r="AK70" s="6"/>
      <c r="AL70" s="113"/>
      <c r="AM70" s="50" t="s">
        <v>36</v>
      </c>
      <c r="AN70" s="50">
        <f>AVERAGE(O25:O26)</f>
        <v>26.99324624376705</v>
      </c>
      <c r="AO70" s="57">
        <f t="shared" si="25"/>
        <v>8.9554834913841503</v>
      </c>
      <c r="AP70" s="57">
        <f t="shared" ref="AP70:AP78" si="30">SUM(AN70*(LOG($AD$65)/LOG(2)))</f>
        <v>76.653806692924036</v>
      </c>
      <c r="AQ70" s="57">
        <f t="shared" si="26"/>
        <v>3.1616136204036459E-42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51" t="s">
        <v>37</v>
      </c>
      <c r="E71" s="51">
        <f>AVERAGE(J16:J17)</f>
        <v>23.879518889640252</v>
      </c>
      <c r="F71" s="58">
        <f t="shared" si="17"/>
        <v>5.2398395701944649</v>
      </c>
      <c r="G71" s="58">
        <f>SUM(E71*(LOG(E65)/LOG(2)))</f>
        <v>31.621639437092178</v>
      </c>
      <c r="H71" s="58">
        <f t="shared" si="18"/>
        <v>4.2962189651688182E-3</v>
      </c>
      <c r="I71" s="6"/>
      <c r="J71" s="113"/>
      <c r="K71" s="51" t="s">
        <v>37</v>
      </c>
      <c r="L71" s="51">
        <f>AVERAGE(Y16:Y17)</f>
        <v>23.263072173782348</v>
      </c>
      <c r="M71" s="58">
        <f t="shared" si="19"/>
        <v>4.09357581729759</v>
      </c>
      <c r="N71" s="58">
        <f t="shared" si="27"/>
        <v>27.534473393957104</v>
      </c>
      <c r="O71" s="58">
        <f t="shared" si="20"/>
        <v>0.12308064659949113</v>
      </c>
      <c r="P71" s="6"/>
      <c r="Q71" s="113"/>
      <c r="R71" s="51" t="s">
        <v>37</v>
      </c>
      <c r="S71" s="51">
        <f>AVERAGE(P19:P20)</f>
        <v>20.506686887540301</v>
      </c>
      <c r="T71" s="58">
        <f t="shared" si="21"/>
        <v>3.5128393142361127</v>
      </c>
      <c r="U71" s="58">
        <f t="shared" si="28"/>
        <v>24.449694675464219</v>
      </c>
      <c r="V71" s="58">
        <f t="shared" si="22"/>
        <v>0.13504121690443885</v>
      </c>
      <c r="W71" s="6"/>
      <c r="X71" s="113"/>
      <c r="Y71" s="51" t="s">
        <v>37</v>
      </c>
      <c r="Z71" s="51">
        <f>AVERAGE(J22:J23)</f>
        <v>21.110385027002099</v>
      </c>
      <c r="AA71" s="58">
        <f t="shared" si="23"/>
        <v>1.011741127276705</v>
      </c>
      <c r="AB71" s="58">
        <f t="shared" si="29"/>
        <v>21.396546488203754</v>
      </c>
      <c r="AC71" s="58">
        <f t="shared" si="24"/>
        <v>0.82748191064154009</v>
      </c>
      <c r="AD71" s="6"/>
      <c r="AE71" s="113"/>
      <c r="AF71" s="51"/>
      <c r="AG71" s="51"/>
      <c r="AH71" s="58"/>
      <c r="AI71" s="58"/>
      <c r="AJ71" s="58"/>
      <c r="AK71" s="6"/>
      <c r="AL71" s="113"/>
      <c r="AM71" s="51" t="s">
        <v>37</v>
      </c>
      <c r="AN71" s="51">
        <f>AVERAGE(P25:P26)</f>
        <v>29.302283629221002</v>
      </c>
      <c r="AO71" s="58">
        <f t="shared" si="25"/>
        <v>9.5107638079570289E-2</v>
      </c>
      <c r="AP71" s="58">
        <f t="shared" si="30"/>
        <v>83.210872997322014</v>
      </c>
      <c r="AQ71" s="58">
        <f t="shared" si="26"/>
        <v>7.8454968113392499E-48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52" t="s">
        <v>38</v>
      </c>
      <c r="E72" s="52">
        <f>AVERAGE(K16:K17)</f>
        <v>23.283034177316349</v>
      </c>
      <c r="F72" s="59">
        <f t="shared" si="17"/>
        <v>9.059285071667885</v>
      </c>
      <c r="G72" s="59">
        <f>SUM(E72*(LOG(E65)/LOG(2)))</f>
        <v>30.83176487596662</v>
      </c>
      <c r="H72" s="59">
        <f t="shared" si="18"/>
        <v>8.8706019370939186E-3</v>
      </c>
      <c r="I72" s="6"/>
      <c r="J72" s="113"/>
      <c r="K72" s="52" t="s">
        <v>38</v>
      </c>
      <c r="L72" s="52">
        <f>AVERAGE(C19:C20)</f>
        <v>22.43794031531975</v>
      </c>
      <c r="M72" s="59">
        <f t="shared" si="19"/>
        <v>8.0556352756194958</v>
      </c>
      <c r="N72" s="59">
        <f t="shared" si="27"/>
        <v>26.557836643934468</v>
      </c>
      <c r="O72" s="59">
        <f t="shared" si="20"/>
        <v>0.27426372684541728</v>
      </c>
      <c r="P72" s="6"/>
      <c r="Q72" s="113"/>
      <c r="R72" s="52" t="s">
        <v>38</v>
      </c>
      <c r="S72" s="52">
        <f>AVERAGE(Q19:Q20)</f>
        <v>19.264092802065747</v>
      </c>
      <c r="T72" s="59">
        <f t="shared" si="21"/>
        <v>9.8093434140778335</v>
      </c>
      <c r="U72" s="59">
        <f t="shared" si="28"/>
        <v>22.96817568792607</v>
      </c>
      <c r="V72" s="59">
        <f t="shared" si="22"/>
        <v>0.45941054453728203</v>
      </c>
      <c r="W72" s="6"/>
      <c r="X72" s="113"/>
      <c r="Y72" s="52" t="s">
        <v>38</v>
      </c>
      <c r="Z72" s="52">
        <f>AVERAGE(K22:K23)</f>
        <v>17.6195173133612</v>
      </c>
      <c r="AA72" s="59">
        <f t="shared" si="23"/>
        <v>11.753579687146877</v>
      </c>
      <c r="AB72" s="59">
        <f t="shared" si="29"/>
        <v>17.85835837730248</v>
      </c>
      <c r="AC72" s="59">
        <f t="shared" si="24"/>
        <v>9.9379593311956143</v>
      </c>
      <c r="AD72" s="6"/>
      <c r="AE72" s="113"/>
      <c r="AF72" s="52"/>
      <c r="AG72" s="52"/>
      <c r="AH72" s="59"/>
      <c r="AI72" s="59"/>
      <c r="AJ72" s="59"/>
      <c r="AK72" s="6"/>
      <c r="AL72" s="113"/>
      <c r="AM72" s="52" t="s">
        <v>38</v>
      </c>
      <c r="AN72" s="52">
        <f>AVERAGE(Q25:Q26)</f>
        <v>27.251414860201251</v>
      </c>
      <c r="AO72" s="59">
        <f t="shared" si="25"/>
        <v>5.3875879753324529</v>
      </c>
      <c r="AP72" s="59">
        <f t="shared" si="30"/>
        <v>77.386938493360844</v>
      </c>
      <c r="AQ72" s="59">
        <f t="shared" si="26"/>
        <v>7.4678104593221367E-43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52" t="s">
        <v>39</v>
      </c>
      <c r="E73" s="52">
        <f>AVERAGE(L16:L17)</f>
        <v>22.994356171411297</v>
      </c>
      <c r="F73" s="59">
        <f t="shared" si="17"/>
        <v>11.807807630969265</v>
      </c>
      <c r="G73" s="59">
        <f>SUM(E73*(LOG(E65)/LOG(2)))</f>
        <v>30.449492860423266</v>
      </c>
      <c r="H73" s="59">
        <f t="shared" si="18"/>
        <v>1.259904694534926E-2</v>
      </c>
      <c r="I73" s="6"/>
      <c r="J73" s="113"/>
      <c r="K73" s="52" t="s">
        <v>39</v>
      </c>
      <c r="L73" s="52">
        <f>AVERAGE(D19:D20)</f>
        <v>22.202400251940851</v>
      </c>
      <c r="M73" s="59">
        <f t="shared" si="19"/>
        <v>9.7728993542262881</v>
      </c>
      <c r="N73" s="59">
        <f t="shared" si="27"/>
        <v>26.279048375563519</v>
      </c>
      <c r="O73" s="59">
        <f t="shared" si="20"/>
        <v>0.34474777311553245</v>
      </c>
      <c r="P73" s="6"/>
      <c r="Q73" s="113"/>
      <c r="R73" s="52" t="s">
        <v>39</v>
      </c>
      <c r="S73" s="52">
        <f>AVERAGE(R19:R20)</f>
        <v>19.016753970839652</v>
      </c>
      <c r="T73" s="59">
        <f t="shared" si="21"/>
        <v>12.034076252290983</v>
      </c>
      <c r="U73" s="59">
        <f t="shared" si="28"/>
        <v>22.673278762936278</v>
      </c>
      <c r="V73" s="59">
        <f t="shared" si="22"/>
        <v>0.58619611947478367</v>
      </c>
      <c r="W73" s="6"/>
      <c r="X73" s="113"/>
      <c r="Y73" s="52" t="s">
        <v>39</v>
      </c>
      <c r="Z73" s="52">
        <f>AVERAGE(L22:L23)</f>
        <v>16.697613376820151</v>
      </c>
      <c r="AA73" s="59">
        <f t="shared" si="23"/>
        <v>22.462227510464675</v>
      </c>
      <c r="AB73" s="59">
        <f t="shared" si="29"/>
        <v>16.923957587803482</v>
      </c>
      <c r="AC73" s="59">
        <f t="shared" si="24"/>
        <v>19.159880811062703</v>
      </c>
      <c r="AD73" s="6"/>
      <c r="AE73" s="113"/>
      <c r="AF73" s="52"/>
      <c r="AG73" s="52"/>
      <c r="AH73" s="59"/>
      <c r="AI73" s="59"/>
      <c r="AJ73" s="59"/>
      <c r="AK73" s="6"/>
      <c r="AL73" s="113"/>
      <c r="AM73" s="52" t="s">
        <v>39</v>
      </c>
      <c r="AN73" s="52">
        <f>AVERAGE(R25:R26)</f>
        <v>27.001078709595248</v>
      </c>
      <c r="AO73" s="59">
        <f t="shared" si="25"/>
        <v>8.8184747933596679</v>
      </c>
      <c r="AP73" s="59">
        <f t="shared" si="30"/>
        <v>76.676048861061275</v>
      </c>
      <c r="AQ73" s="59">
        <f t="shared" si="26"/>
        <v>3.026182695703855E-42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52" t="s">
        <v>40</v>
      </c>
      <c r="E74" s="52">
        <f>AVERAGE(M16:M17)</f>
        <v>22.857705604432851</v>
      </c>
      <c r="F74" s="59">
        <f t="shared" si="17"/>
        <v>13.385731499581318</v>
      </c>
      <c r="G74" s="59">
        <f>SUM(E74*(LOG(E65)/LOG(2)))</f>
        <v>30.268538002084757</v>
      </c>
      <c r="H74" s="59">
        <f t="shared" si="18"/>
        <v>1.4875497428577742E-2</v>
      </c>
      <c r="I74" s="6"/>
      <c r="J74" s="113"/>
      <c r="K74" s="52" t="s">
        <v>40</v>
      </c>
      <c r="L74" s="52">
        <f>AVERAGE(E19:E20)</f>
        <v>22.059370808734052</v>
      </c>
      <c r="M74" s="59">
        <f t="shared" si="19"/>
        <v>10.989685041240204</v>
      </c>
      <c r="N74" s="59">
        <f t="shared" si="27"/>
        <v>26.109756874891971</v>
      </c>
      <c r="O74" s="59">
        <f t="shared" si="20"/>
        <v>0.39611431651486301</v>
      </c>
      <c r="P74" s="6"/>
      <c r="Q74" s="113"/>
      <c r="R74" s="52" t="s">
        <v>40</v>
      </c>
      <c r="S74" s="52">
        <f>AVERAGE(S19:S20)</f>
        <v>18.782008966933251</v>
      </c>
      <c r="T74" s="59">
        <f t="shared" si="21"/>
        <v>14.610514381624135</v>
      </c>
      <c r="U74" s="59">
        <f t="shared" si="28"/>
        <v>22.393397195349198</v>
      </c>
      <c r="V74" s="59">
        <f t="shared" si="22"/>
        <v>0.7387470006221255</v>
      </c>
      <c r="W74" s="6"/>
      <c r="X74" s="113"/>
      <c r="Y74" s="52" t="s">
        <v>40</v>
      </c>
      <c r="Z74" s="52">
        <f>AVERAGE(M22:M23)</f>
        <v>17.575442237022099</v>
      </c>
      <c r="AA74" s="59">
        <f t="shared" si="23"/>
        <v>12.123218404238061</v>
      </c>
      <c r="AB74" s="59">
        <f t="shared" si="29"/>
        <v>17.813685842024018</v>
      </c>
      <c r="AC74" s="59">
        <f t="shared" si="24"/>
        <v>10.254801997778831</v>
      </c>
      <c r="AD74" s="6"/>
      <c r="AE74" s="113"/>
      <c r="AF74" s="52"/>
      <c r="AG74" s="52"/>
      <c r="AH74" s="59"/>
      <c r="AI74" s="59"/>
      <c r="AJ74" s="59"/>
      <c r="AK74" s="6"/>
      <c r="AL74" s="113"/>
      <c r="AM74" s="52" t="s">
        <v>40</v>
      </c>
      <c r="AN74" s="52">
        <f>AVERAGE(S25:S26)</f>
        <v>26.963827997952798</v>
      </c>
      <c r="AO74" s="59">
        <f t="shared" si="25"/>
        <v>9.4893646633914148</v>
      </c>
      <c r="AP74" s="59">
        <f t="shared" si="30"/>
        <v>76.570266517447322</v>
      </c>
      <c r="AQ74" s="59">
        <f t="shared" si="26"/>
        <v>3.7266865055696916E-42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53" t="s">
        <v>41</v>
      </c>
      <c r="E75" s="53">
        <f>AVERAGE(N16:N17)</f>
        <v>23.74366379182165</v>
      </c>
      <c r="F75" s="60">
        <f t="shared" si="17"/>
        <v>5.9357244751325551</v>
      </c>
      <c r="G75" s="60">
        <f>SUM(E75*(LOG(E65)/LOG(2)))</f>
        <v>31.441737951691046</v>
      </c>
      <c r="H75" s="60">
        <f t="shared" si="18"/>
        <v>5.0675764154911448E-3</v>
      </c>
      <c r="I75" s="6"/>
      <c r="J75" s="113"/>
      <c r="K75" s="53" t="s">
        <v>41</v>
      </c>
      <c r="L75" s="53">
        <f>AVERAGE(F19:F20)</f>
        <v>23.483939771151448</v>
      </c>
      <c r="M75" s="60">
        <f t="shared" si="19"/>
        <v>3.4151285112836027</v>
      </c>
      <c r="N75" s="60">
        <f t="shared" si="27"/>
        <v>27.795895141605747</v>
      </c>
      <c r="O75" s="60">
        <f t="shared" si="20"/>
        <v>9.9321762156705296E-2</v>
      </c>
      <c r="P75" s="6"/>
      <c r="Q75" s="113"/>
      <c r="R75" s="53" t="s">
        <v>41</v>
      </c>
      <c r="S75" s="53">
        <f>AVERAGE(T19:T20)</f>
        <v>20.151311711046297</v>
      </c>
      <c r="T75" s="60">
        <f t="shared" si="21"/>
        <v>4.7120145362091339</v>
      </c>
      <c r="U75" s="60">
        <f t="shared" si="28"/>
        <v>24.025988271393807</v>
      </c>
      <c r="V75" s="60">
        <f t="shared" si="22"/>
        <v>0.19166356519848748</v>
      </c>
      <c r="W75" s="6"/>
      <c r="X75" s="113"/>
      <c r="Y75" s="53" t="s">
        <v>41</v>
      </c>
      <c r="Z75" s="53">
        <f>AVERAGE(N22:N23)</f>
        <v>17.882769640846249</v>
      </c>
      <c r="AA75" s="60">
        <f t="shared" si="23"/>
        <v>9.7689768364321292</v>
      </c>
      <c r="AB75" s="60">
        <f t="shared" si="29"/>
        <v>18.125179217185647</v>
      </c>
      <c r="AC75" s="60">
        <f t="shared" si="24"/>
        <v>8.2392436873004904</v>
      </c>
      <c r="AD75" s="6"/>
      <c r="AE75" s="113"/>
      <c r="AF75" s="53"/>
      <c r="AG75" s="53"/>
      <c r="AH75" s="60"/>
      <c r="AI75" s="60"/>
      <c r="AJ75" s="60"/>
      <c r="AK75" s="6"/>
      <c r="AL75" s="113"/>
      <c r="AM75" s="53" t="s">
        <v>41</v>
      </c>
      <c r="AN75" s="53">
        <f>AVERAGE(T25:T26)</f>
        <v>26.7693521496935</v>
      </c>
      <c r="AO75" s="60">
        <f t="shared" si="25"/>
        <v>13.91503260650866</v>
      </c>
      <c r="AP75" s="60">
        <f t="shared" si="30"/>
        <v>76.018005631732137</v>
      </c>
      <c r="AQ75" s="60">
        <f t="shared" si="26"/>
        <v>1.1051504692788473E-41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4" t="s">
        <v>42</v>
      </c>
      <c r="E76" s="54">
        <f>AVERAGE(O16:O17)</f>
        <v>23.368890200113498</v>
      </c>
      <c r="F76" s="61">
        <f t="shared" si="17"/>
        <v>8.3727717049051833</v>
      </c>
      <c r="G76" s="61">
        <f>SUM(E76*(LOG(E65)/LOG(2)))</f>
        <v>30.945456789482179</v>
      </c>
      <c r="H76" s="61">
        <f t="shared" si="18"/>
        <v>7.9915722347242823E-3</v>
      </c>
      <c r="I76" s="6"/>
      <c r="J76" s="113"/>
      <c r="K76" s="54" t="s">
        <v>42</v>
      </c>
      <c r="L76" s="54">
        <f>AVERAGE(G19:G20)</f>
        <v>22.828453333478748</v>
      </c>
      <c r="M76" s="61">
        <f t="shared" si="19"/>
        <v>5.8473465700883223</v>
      </c>
      <c r="N76" s="61">
        <f t="shared" si="27"/>
        <v>27.020052907898567</v>
      </c>
      <c r="O76" s="61">
        <f t="shared" si="20"/>
        <v>0.18770650853652396</v>
      </c>
      <c r="P76" s="6"/>
      <c r="Q76" s="113"/>
      <c r="R76" s="54" t="s">
        <v>42</v>
      </c>
      <c r="S76" s="54">
        <f>AVERAGE(U19:U20)</f>
        <v>20.088014913363253</v>
      </c>
      <c r="T76" s="61">
        <f t="shared" si="21"/>
        <v>4.9650609919675395</v>
      </c>
      <c r="U76" s="61">
        <f t="shared" si="28"/>
        <v>23.950520820909382</v>
      </c>
      <c r="V76" s="61">
        <f t="shared" si="22"/>
        <v>0.20399791060038469</v>
      </c>
      <c r="W76" s="6"/>
      <c r="X76" s="113"/>
      <c r="Y76" s="54" t="s">
        <v>42</v>
      </c>
      <c r="Z76" s="54">
        <f>AVERAGE(O22:O23)</f>
        <v>17.7738798089513</v>
      </c>
      <c r="AA76" s="61">
        <f t="shared" si="23"/>
        <v>10.545629812756916</v>
      </c>
      <c r="AB76" s="61">
        <f t="shared" si="29"/>
        <v>18.014813331047005</v>
      </c>
      <c r="AC76" s="61">
        <f t="shared" si="24"/>
        <v>8.9035079320979325</v>
      </c>
      <c r="AD76" s="6"/>
      <c r="AE76" s="113"/>
      <c r="AF76" s="54"/>
      <c r="AG76" s="54"/>
      <c r="AH76" s="61"/>
      <c r="AI76" s="61"/>
      <c r="AJ76" s="61"/>
      <c r="AK76" s="6"/>
      <c r="AL76" s="113"/>
      <c r="AM76" s="54" t="s">
        <v>42</v>
      </c>
      <c r="AN76" s="54">
        <f>AVERAGE(U25:U26)</f>
        <v>26.407512558991151</v>
      </c>
      <c r="AO76" s="61">
        <f t="shared" si="25"/>
        <v>28.366235919044282</v>
      </c>
      <c r="AP76" s="61">
        <f t="shared" si="30"/>
        <v>74.990475197301748</v>
      </c>
      <c r="AQ76" s="61">
        <f t="shared" si="26"/>
        <v>8.3522349693172877E-41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5" t="s">
        <v>43</v>
      </c>
      <c r="E77" s="55">
        <f>AVERAGE(P16:P17)</f>
        <v>23.311909398118701</v>
      </c>
      <c r="F77" s="62">
        <f t="shared" si="17"/>
        <v>8.8223327459149701</v>
      </c>
      <c r="G77" s="62">
        <f>SUM(E77*(LOG(E65)/LOG(2)))</f>
        <v>30.870001903483722</v>
      </c>
      <c r="H77" s="62">
        <f t="shared" si="18"/>
        <v>8.564671570950871E-3</v>
      </c>
      <c r="I77" s="6"/>
      <c r="J77" s="114"/>
      <c r="K77" s="55" t="s">
        <v>43</v>
      </c>
      <c r="L77" s="55">
        <f>AVERAGE(H19:H20)</f>
        <v>23.019594276111849</v>
      </c>
      <c r="M77" s="62">
        <f t="shared" si="19"/>
        <v>4.9986731898634957</v>
      </c>
      <c r="N77" s="62">
        <f t="shared" si="27"/>
        <v>27.246289802153591</v>
      </c>
      <c r="O77" s="62">
        <f t="shared" si="20"/>
        <v>0.15590873487411833</v>
      </c>
      <c r="P77" s="6"/>
      <c r="Q77" s="114"/>
      <c r="R77" s="55" t="s">
        <v>43</v>
      </c>
      <c r="S77" s="55">
        <f>AVERAGE(V19:V20)</f>
        <v>20.042208075732351</v>
      </c>
      <c r="T77" s="62">
        <f t="shared" si="21"/>
        <v>5.1566208638066957</v>
      </c>
      <c r="U77" s="62">
        <f t="shared" si="28"/>
        <v>23.895906284672201</v>
      </c>
      <c r="V77" s="62">
        <f t="shared" si="22"/>
        <v>0.21341626727723872</v>
      </c>
      <c r="W77" s="6"/>
      <c r="X77" s="114"/>
      <c r="Y77" s="55" t="s">
        <v>43</v>
      </c>
      <c r="Z77" s="55">
        <f>AVERAGE(P22:P23)</f>
        <v>17.728413911485148</v>
      </c>
      <c r="AA77" s="62">
        <f t="shared" si="23"/>
        <v>10.887913186989588</v>
      </c>
      <c r="AB77" s="62">
        <f t="shared" si="29"/>
        <v>17.96873112138962</v>
      </c>
      <c r="AC77" s="62">
        <f t="shared" si="24"/>
        <v>9.196473435558838</v>
      </c>
      <c r="AD77" s="6"/>
      <c r="AE77" s="114"/>
      <c r="AF77" s="55"/>
      <c r="AG77" s="55"/>
      <c r="AH77" s="62"/>
      <c r="AI77" s="62"/>
      <c r="AJ77" s="62"/>
      <c r="AK77" s="6"/>
      <c r="AL77" s="114"/>
      <c r="AM77" s="55" t="s">
        <v>43</v>
      </c>
      <c r="AN77" s="55">
        <f>AVERAGE(V25:V26)</f>
        <v>26.258365587798099</v>
      </c>
      <c r="AO77" s="62">
        <f t="shared" si="25"/>
        <v>38.045171733023174</v>
      </c>
      <c r="AP77" s="62">
        <f t="shared" si="30"/>
        <v>74.566936546358377</v>
      </c>
      <c r="AQ77" s="62">
        <f t="shared" si="26"/>
        <v>1.9224871308341816E-40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0" t="s">
        <v>34</v>
      </c>
      <c r="D78" s="111"/>
      <c r="E78" s="64">
        <f>AVERAGE(Q16:Q17)</f>
        <v>30.611959735068403</v>
      </c>
      <c r="F78" s="63">
        <f t="shared" si="17"/>
        <v>1.0853598009212888E-2</v>
      </c>
      <c r="G78" s="63">
        <f>SUM(E78*(LOG(E65)/LOG(2)))</f>
        <v>40.536844886982557</v>
      </c>
      <c r="H78" s="63">
        <f t="shared" si="18"/>
        <v>1.2001333262374485E-6</v>
      </c>
      <c r="I78" s="6"/>
      <c r="J78" s="110" t="s">
        <v>34</v>
      </c>
      <c r="K78" s="111"/>
      <c r="L78" s="64">
        <f>AVERAGE(Z16:Z17)</f>
        <v>38.778891579220598</v>
      </c>
      <c r="M78" s="63">
        <f t="shared" si="19"/>
        <v>1.212745957551105E-5</v>
      </c>
      <c r="N78" s="63">
        <f t="shared" si="27"/>
        <v>45.899198113590778</v>
      </c>
      <c r="O78" s="63">
        <f t="shared" si="20"/>
        <v>3.5219505669231108E-8</v>
      </c>
      <c r="P78" s="6"/>
      <c r="Q78" s="110" t="s">
        <v>34</v>
      </c>
      <c r="R78" s="111"/>
      <c r="S78" s="64">
        <f>AVERAGE(W19:W20)</f>
        <v>35.092347544380452</v>
      </c>
      <c r="T78" s="63">
        <f t="shared" si="21"/>
        <v>2.0449978853710869E-5</v>
      </c>
      <c r="U78" s="63">
        <f t="shared" si="28"/>
        <v>41.839873384261352</v>
      </c>
      <c r="V78" s="63">
        <f t="shared" si="22"/>
        <v>7.7433048392519638E-8</v>
      </c>
      <c r="W78" s="6"/>
      <c r="X78" s="110" t="s">
        <v>34</v>
      </c>
      <c r="Y78" s="111"/>
      <c r="Z78" s="64">
        <f>AVERAGE(Q22:Q23)</f>
        <v>36.760610048918899</v>
      </c>
      <c r="AA78" s="63">
        <f t="shared" si="23"/>
        <v>1.6983211466763706E-5</v>
      </c>
      <c r="AB78" s="63">
        <f t="shared" si="29"/>
        <v>37.258917866270757</v>
      </c>
      <c r="AC78" s="63">
        <f t="shared" si="24"/>
        <v>1.1966876769134068E-5</v>
      </c>
      <c r="AD78" s="6"/>
      <c r="AE78" s="110"/>
      <c r="AF78" s="111"/>
      <c r="AG78" s="64"/>
      <c r="AH78" s="63"/>
      <c r="AI78" s="63"/>
      <c r="AJ78" s="63"/>
      <c r="AK78" s="6"/>
      <c r="AL78" s="110" t="s">
        <v>34</v>
      </c>
      <c r="AM78" s="111"/>
      <c r="AN78" s="64">
        <f>AVERAGE(W25:W26)</f>
        <v>38.5865808860257</v>
      </c>
      <c r="AO78" s="63">
        <f t="shared" si="25"/>
        <v>1.1004286855028029E-9</v>
      </c>
      <c r="AP78" s="63">
        <f t="shared" si="30"/>
        <v>109.57586521707341</v>
      </c>
      <c r="AQ78" s="63">
        <f t="shared" si="26"/>
        <v>2.2729318295720084E-70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7">
        <f>AVERAGE(E69:E77)</f>
        <v>23.22338095004902</v>
      </c>
      <c r="F79" s="87">
        <f>AVERAGE(F69:F77)</f>
        <v>10.19469183650881</v>
      </c>
      <c r="G79" s="87">
        <f>AVERAGE(G69:G77)</f>
        <v>30.752771121836808</v>
      </c>
      <c r="H79" s="87">
        <f>AVERAGE(H69:H77)</f>
        <v>1.0643429665269865E-2</v>
      </c>
      <c r="I79" s="6"/>
      <c r="J79" s="108" t="s">
        <v>84</v>
      </c>
      <c r="K79" s="109"/>
      <c r="L79" s="87">
        <f>AVERAGE(L69:L77)</f>
        <v>22.608257375330915</v>
      </c>
      <c r="M79" s="87">
        <f>AVERAGE(M69:M77)</f>
        <v>7.6659986288615336</v>
      </c>
      <c r="N79" s="87">
        <f>AVERAGE(N69:N77)</f>
        <v>26.759426121127404</v>
      </c>
      <c r="O79" s="87">
        <f>AVERAGE(O69:O77)</f>
        <v>0.26328952087815932</v>
      </c>
      <c r="P79" s="6"/>
      <c r="Q79" s="108" t="s">
        <v>84</v>
      </c>
      <c r="R79" s="109"/>
      <c r="S79" s="87">
        <f>AVERAGE(S69:S77)</f>
        <v>19.619717131583329</v>
      </c>
      <c r="T79" s="87">
        <f>AVERAGE(T69:T77)</f>
        <v>8.1513726938052642</v>
      </c>
      <c r="U79" s="87">
        <f>AVERAGE(U69:U77)</f>
        <v>23.392179151945143</v>
      </c>
      <c r="V79" s="87">
        <f>AVERAGE(V69:V77)</f>
        <v>0.37707989757729082</v>
      </c>
      <c r="W79" s="6"/>
      <c r="X79" s="108" t="s">
        <v>84</v>
      </c>
      <c r="Y79" s="109"/>
      <c r="Z79" s="87">
        <f>AVERAGE(Z69:Z77)</f>
        <v>18.512378594420024</v>
      </c>
      <c r="AA79" s="87">
        <f>AVERAGE(AA69:AA77)</f>
        <v>9.1908350152710501</v>
      </c>
      <c r="AB79" s="87">
        <f>AVERAGE(AB69:AB77)</f>
        <v>18.763322824102303</v>
      </c>
      <c r="AC79" s="87">
        <f>AVERAGE(AC69:AC77)</f>
        <v>7.7732893678346278</v>
      </c>
      <c r="AD79" s="6"/>
      <c r="AE79" s="108"/>
      <c r="AF79" s="109"/>
      <c r="AG79" s="87"/>
      <c r="AH79" s="87"/>
      <c r="AI79" s="87"/>
      <c r="AJ79" s="87"/>
      <c r="AK79" s="6"/>
      <c r="AL79" s="108" t="s">
        <v>84</v>
      </c>
      <c r="AM79" s="109"/>
      <c r="AN79" s="87">
        <f>AVERAGE(AN69:AN77)</f>
        <v>27.192550228213491</v>
      </c>
      <c r="AO79" s="87">
        <f>AVERAGE(AO69:AO77)</f>
        <v>12.772668117011555</v>
      </c>
      <c r="AP79" s="87">
        <f>AVERAGE(AP69:AP77)</f>
        <v>77.219778231097763</v>
      </c>
      <c r="AQ79" s="87">
        <f>AVERAGE(AQ69:AQ77)</f>
        <v>3.3057943382347081E-41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7">
        <f>(E81/SQRT(9))</f>
        <v>0.13101748859011453</v>
      </c>
      <c r="F80" s="87">
        <f>(F81/SQRT(9))</f>
        <v>1.1934965551925625</v>
      </c>
      <c r="G80" s="87">
        <f>(G81/SQRT(9))</f>
        <v>0.17349544617280008</v>
      </c>
      <c r="H80" s="87">
        <f>(H81/SQRT(9))</f>
        <v>1.6376598111799668E-3</v>
      </c>
      <c r="I80" s="6"/>
      <c r="J80" s="108" t="s">
        <v>85</v>
      </c>
      <c r="K80" s="109"/>
      <c r="L80" s="87">
        <f>(L81/SQRT(9))</f>
        <v>0.17749386057782759</v>
      </c>
      <c r="M80" s="87">
        <f>(M81/SQRT(9))</f>
        <v>1.0317926115565386</v>
      </c>
      <c r="N80" s="87">
        <f>(N81/SQRT(9))</f>
        <v>0.21008403125614825</v>
      </c>
      <c r="O80" s="87">
        <f>(O81/SQRT(9))</f>
        <v>4.1200009238127493E-2</v>
      </c>
      <c r="P80" s="6"/>
      <c r="Q80" s="108" t="s">
        <v>85</v>
      </c>
      <c r="R80" s="109"/>
      <c r="S80" s="87">
        <f>(S81/SQRT(9))</f>
        <v>0.19074985925098353</v>
      </c>
      <c r="T80" s="87">
        <f>(T81/SQRT(9))</f>
        <v>1.2345991696317635</v>
      </c>
      <c r="U80" s="87">
        <f>(U81/SQRT(9))</f>
        <v>0.22742707506340254</v>
      </c>
      <c r="V80" s="87">
        <f>(V81/SQRT(9))</f>
        <v>6.7061672279404363E-2</v>
      </c>
      <c r="W80" s="6"/>
      <c r="X80" s="108" t="s">
        <v>85</v>
      </c>
      <c r="Y80" s="109"/>
      <c r="Z80" s="87">
        <f>(Z81/SQRT(9))</f>
        <v>0.47860323717526804</v>
      </c>
      <c r="AA80" s="87">
        <f>(AA81/SQRT(9))</f>
        <v>2.1217655107882507</v>
      </c>
      <c r="AB80" s="87">
        <f>(AB81/SQRT(9))</f>
        <v>0.48509093512633522</v>
      </c>
      <c r="AC80" s="87">
        <f>(AC81/SQRT(9))</f>
        <v>1.8114284427241485</v>
      </c>
      <c r="AD80" s="6"/>
      <c r="AE80" s="108"/>
      <c r="AF80" s="109"/>
      <c r="AG80" s="87"/>
      <c r="AH80" s="87"/>
      <c r="AI80" s="87"/>
      <c r="AJ80" s="87"/>
      <c r="AK80" s="6"/>
      <c r="AL80" s="108" t="s">
        <v>85</v>
      </c>
      <c r="AM80" s="109"/>
      <c r="AN80" s="87">
        <f>(AN81/SQRT(9))</f>
        <v>0.28551983721815616</v>
      </c>
      <c r="AO80" s="87">
        <f>(AO81/SQRT(9))</f>
        <v>3.9409636086659887</v>
      </c>
      <c r="AP80" s="87">
        <f>(AP81/SQRT(9))</f>
        <v>0.81080216182480791</v>
      </c>
      <c r="AQ80" s="87">
        <f>(AQ81/SQRT(9))</f>
        <v>2.0564814318615815E-41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7">
        <f>_xlfn.STDEV.P(E69:E77)</f>
        <v>0.39305246577034358</v>
      </c>
      <c r="F81" s="87">
        <f>_xlfn.STDEV.P(F69:F77)</f>
        <v>3.5804896655776872</v>
      </c>
      <c r="G81" s="87">
        <f>_xlfn.STDEV.P(G69:G77)</f>
        <v>0.5204863385184002</v>
      </c>
      <c r="H81" s="87">
        <f>_xlfn.STDEV.P(H69:H77)</f>
        <v>4.9129794335399006E-3</v>
      </c>
      <c r="I81" s="6"/>
      <c r="J81" s="108" t="s">
        <v>86</v>
      </c>
      <c r="K81" s="109"/>
      <c r="L81" s="87">
        <f>_xlfn.STDEV.P(L69:L77)</f>
        <v>0.53248158173348281</v>
      </c>
      <c r="M81" s="87">
        <f>_xlfn.STDEV.P(M69:M77)</f>
        <v>3.0953778346696157</v>
      </c>
      <c r="N81" s="87">
        <f>_xlfn.STDEV.P(N69:N77)</f>
        <v>0.63025209376844471</v>
      </c>
      <c r="O81" s="87">
        <f>_xlfn.STDEV.P(O69:O77)</f>
        <v>0.12360002771438248</v>
      </c>
      <c r="P81" s="6"/>
      <c r="Q81" s="108" t="s">
        <v>86</v>
      </c>
      <c r="R81" s="109"/>
      <c r="S81" s="87">
        <f>_xlfn.STDEV.P(S69:S77)</f>
        <v>0.5722495777529506</v>
      </c>
      <c r="T81" s="87">
        <f>_xlfn.STDEV.P(T69:T77)</f>
        <v>3.7037975088952906</v>
      </c>
      <c r="U81" s="87">
        <f>_xlfn.STDEV.P(U69:U77)</f>
        <v>0.68228122519020762</v>
      </c>
      <c r="V81" s="87">
        <f>_xlfn.STDEV.P(V69:V77)</f>
        <v>0.2011850168382131</v>
      </c>
      <c r="W81" s="6"/>
      <c r="X81" s="108" t="s">
        <v>86</v>
      </c>
      <c r="Y81" s="109"/>
      <c r="Z81" s="87">
        <f>_xlfn.STDEV.P(Z69:Z77)</f>
        <v>1.4358097115258042</v>
      </c>
      <c r="AA81" s="87">
        <f>_xlfn.STDEV.P(AA69:AA77)</f>
        <v>6.3652965323647521</v>
      </c>
      <c r="AB81" s="87">
        <f>_xlfn.STDEV.P(AB69:AB77)</f>
        <v>1.4552728053790056</v>
      </c>
      <c r="AC81" s="87">
        <f>_xlfn.STDEV.P(AC69:AC77)</f>
        <v>5.4342853281724457</v>
      </c>
      <c r="AD81" s="6"/>
      <c r="AE81" s="108"/>
      <c r="AF81" s="109"/>
      <c r="AG81" s="87"/>
      <c r="AH81" s="87"/>
      <c r="AI81" s="87"/>
      <c r="AJ81" s="87"/>
      <c r="AK81" s="6"/>
      <c r="AL81" s="108" t="s">
        <v>86</v>
      </c>
      <c r="AM81" s="109"/>
      <c r="AN81" s="87">
        <f>_xlfn.STDEV.P(AN69:AN77)</f>
        <v>0.85655951165446842</v>
      </c>
      <c r="AO81" s="87">
        <f>_xlfn.STDEV.P(AO69:AO77)</f>
        <v>11.822890825997966</v>
      </c>
      <c r="AP81" s="87">
        <f>_xlfn.STDEV.P(AP69:AP77)</f>
        <v>2.4324064854744236</v>
      </c>
      <c r="AQ81" s="87">
        <f>_xlfn.STDEV.P(AQ69:AQ77)</f>
        <v>6.1694442955847444E-41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7">
        <f>SUM(E81/E79)</f>
        <v>1.6924859761623723E-2</v>
      </c>
      <c r="F82" s="87">
        <f>SUM(F81/F79)</f>
        <v>0.35121117175463662</v>
      </c>
      <c r="G82" s="87">
        <f>SUM(G81/G79)</f>
        <v>1.6924859761623737E-2</v>
      </c>
      <c r="H82" s="87">
        <f>SUM(H81/H79)</f>
        <v>0.46159739746026046</v>
      </c>
      <c r="I82" s="6"/>
      <c r="J82" s="108" t="s">
        <v>87</v>
      </c>
      <c r="K82" s="109"/>
      <c r="L82" s="87">
        <f>SUM(L81/L79)</f>
        <v>2.3552526534597138E-2</v>
      </c>
      <c r="M82" s="87">
        <f>SUM(M81/M79)</f>
        <v>0.40378011848526846</v>
      </c>
      <c r="N82" s="87">
        <f>SUM(N81/N79)</f>
        <v>2.3552526534597128E-2</v>
      </c>
      <c r="O82" s="87">
        <f>SUM(O81/O79)</f>
        <v>0.46944529847650113</v>
      </c>
      <c r="P82" s="6"/>
      <c r="Q82" s="108" t="s">
        <v>87</v>
      </c>
      <c r="R82" s="109"/>
      <c r="S82" s="87">
        <f>SUM(S81/S79)</f>
        <v>2.9167065657218758E-2</v>
      </c>
      <c r="T82" s="87">
        <f>SUM(T81/T79)</f>
        <v>0.45437715192559369</v>
      </c>
      <c r="U82" s="87">
        <f>SUM(U81/U79)</f>
        <v>2.9167065657218751E-2</v>
      </c>
      <c r="V82" s="87">
        <f>SUM(V81/V79)</f>
        <v>0.53353418766370542</v>
      </c>
      <c r="W82" s="6"/>
      <c r="X82" s="108" t="s">
        <v>87</v>
      </c>
      <c r="Y82" s="109"/>
      <c r="Z82" s="87">
        <f>SUM(Z81/Z79)</f>
        <v>7.755943971233302E-2</v>
      </c>
      <c r="AA82" s="87">
        <f>SUM(AA81/AA79)</f>
        <v>0.69256999193092694</v>
      </c>
      <c r="AB82" s="87">
        <f>SUM(AB81/AB79)</f>
        <v>7.7559439712333061E-2</v>
      </c>
      <c r="AC82" s="87">
        <f>SUM(AC81/AC79)</f>
        <v>0.6990972638506382</v>
      </c>
      <c r="AD82" s="6"/>
      <c r="AE82" s="108"/>
      <c r="AF82" s="109"/>
      <c r="AG82" s="87"/>
      <c r="AH82" s="87"/>
      <c r="AI82" s="87"/>
      <c r="AJ82" s="87"/>
      <c r="AK82" s="6"/>
      <c r="AL82" s="108" t="s">
        <v>87</v>
      </c>
      <c r="AM82" s="109"/>
      <c r="AN82" s="87">
        <f>SUM(AN81/AN79)</f>
        <v>3.1499785951144423E-2</v>
      </c>
      <c r="AO82" s="87">
        <f>SUM(AO81/AO79)</f>
        <v>0.92563986769932527</v>
      </c>
      <c r="AP82" s="87">
        <f>SUM(AP81/AP79)</f>
        <v>3.149978595114445E-2</v>
      </c>
      <c r="AQ82" s="87">
        <f>SUM(AQ81/AQ79)</f>
        <v>1.86625169758117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</sheetData>
  <mergeCells count="159"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C28:E28"/>
    <mergeCell ref="H28:J28"/>
    <mergeCell ref="M28:O28"/>
    <mergeCell ref="R28:T28"/>
    <mergeCell ref="W28:Y28"/>
    <mergeCell ref="AB28:AD28"/>
    <mergeCell ref="C21:Q21"/>
    <mergeCell ref="AG23:AK25"/>
    <mergeCell ref="I24:W24"/>
    <mergeCell ref="X24:Z26"/>
    <mergeCell ref="C12:H12"/>
    <mergeCell ref="I12:W12"/>
    <mergeCell ref="X12:Z14"/>
    <mergeCell ref="C15:Q15"/>
    <mergeCell ref="R15:Z15"/>
    <mergeCell ref="C18:H18"/>
    <mergeCell ref="I18:W18"/>
    <mergeCell ref="X18:Z20"/>
    <mergeCell ref="R21:Z23"/>
    <mergeCell ref="C24:H26"/>
    <mergeCell ref="C3:Q3"/>
    <mergeCell ref="R3:Z3"/>
    <mergeCell ref="C6:H6"/>
    <mergeCell ref="I6:W6"/>
    <mergeCell ref="X6:Z8"/>
    <mergeCell ref="C9:Q9"/>
    <mergeCell ref="R9:Z9"/>
    <mergeCell ref="AH2:AL3"/>
    <mergeCell ref="AK4:AL4"/>
    <mergeCell ref="AK5:AL5"/>
    <mergeCell ref="AK6:AL6"/>
    <mergeCell ref="AK7:AL7"/>
    <mergeCell ref="AK8:A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1F4E-CD6B-4D2D-A400-63ACFF2C707E}">
  <dimension ref="A1:CJ115"/>
  <sheetViews>
    <sheetView topLeftCell="C13" zoomScale="50" zoomScaleNormal="50" workbookViewId="0">
      <selection activeCell="C24" sqref="C24:H26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133" t="s">
        <v>17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33" t="s">
        <v>18</v>
      </c>
      <c r="S3" s="134"/>
      <c r="T3" s="134"/>
      <c r="U3" s="134"/>
      <c r="V3" s="134"/>
      <c r="W3" s="134"/>
      <c r="X3" s="134"/>
      <c r="Y3" s="134"/>
      <c r="Z3" s="135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26">
        <v>29.080621987442601</v>
      </c>
      <c r="D4" s="27">
        <v>26.975438583267</v>
      </c>
      <c r="E4" s="27">
        <v>24.643256806596298</v>
      </c>
      <c r="F4" s="27">
        <v>22.4459385970219</v>
      </c>
      <c r="G4" s="27">
        <v>20.0444198748514</v>
      </c>
      <c r="H4" s="28">
        <v>20.261684332875799</v>
      </c>
      <c r="I4" s="28">
        <v>20.9671647512289</v>
      </c>
      <c r="J4" s="28">
        <v>19.718949171297201</v>
      </c>
      <c r="K4" s="29">
        <v>19.844785170767999</v>
      </c>
      <c r="L4" s="29">
        <v>19.3386990166487</v>
      </c>
      <c r="M4" s="29">
        <v>19.734837710921799</v>
      </c>
      <c r="N4" s="30">
        <v>20.739008585747801</v>
      </c>
      <c r="O4" s="30">
        <v>21.254106377497202</v>
      </c>
      <c r="P4" s="30">
        <v>20.473991833784101</v>
      </c>
      <c r="Q4" s="31">
        <v>35.2700786124771</v>
      </c>
      <c r="R4" s="26">
        <v>33.212262830522199</v>
      </c>
      <c r="S4" s="27">
        <v>28.305705538197302</v>
      </c>
      <c r="T4" s="27">
        <v>23.0809592088793</v>
      </c>
      <c r="U4" s="27">
        <v>19.317924235880401</v>
      </c>
      <c r="V4" s="27">
        <v>16.6129378937685</v>
      </c>
      <c r="W4" s="28">
        <v>17.3197140579726</v>
      </c>
      <c r="X4" s="28">
        <v>19.481650603481601</v>
      </c>
      <c r="Y4" s="28">
        <v>16.265921309364099</v>
      </c>
      <c r="Z4" s="31" t="s">
        <v>49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88"/>
      <c r="AJ4" s="88"/>
      <c r="AK4" s="93">
        <v>45150</v>
      </c>
      <c r="AL4" s="94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19">
        <v>29.258435191989101</v>
      </c>
      <c r="D5" s="20">
        <v>26.989478313467899</v>
      </c>
      <c r="E5" s="20">
        <v>24.658802309749898</v>
      </c>
      <c r="F5" s="20">
        <v>22.329313002812199</v>
      </c>
      <c r="G5" s="20">
        <v>20.167982016436099</v>
      </c>
      <c r="H5" s="10">
        <v>20.268530533865999</v>
      </c>
      <c r="I5" s="10">
        <v>20.978494109997801</v>
      </c>
      <c r="J5" s="10">
        <v>19.800870500005999</v>
      </c>
      <c r="K5" s="11">
        <v>19.725299504885001</v>
      </c>
      <c r="L5" s="11">
        <v>19.075605207396801</v>
      </c>
      <c r="M5" s="11">
        <v>19.687248200068499</v>
      </c>
      <c r="N5" s="12">
        <v>20.689433926272901</v>
      </c>
      <c r="O5" s="12">
        <v>21.072171110280699</v>
      </c>
      <c r="P5" s="12">
        <v>20.271631843048301</v>
      </c>
      <c r="Q5" s="13">
        <v>37.003729302527603</v>
      </c>
      <c r="R5" s="19">
        <v>32.057173031761899</v>
      </c>
      <c r="S5" s="20">
        <v>28.504659594405901</v>
      </c>
      <c r="T5" s="20">
        <v>23.003513980328599</v>
      </c>
      <c r="U5" s="20">
        <v>19.529505955554399</v>
      </c>
      <c r="V5" s="20">
        <v>16.7384694369077</v>
      </c>
      <c r="W5" s="10">
        <v>17.385482762471501</v>
      </c>
      <c r="X5" s="10">
        <v>19.708120895490101</v>
      </c>
      <c r="Y5" s="10">
        <v>16.457995213950198</v>
      </c>
      <c r="Z5" s="13" t="s">
        <v>49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88"/>
      <c r="AJ5" s="88"/>
      <c r="AK5" s="93">
        <v>45157</v>
      </c>
      <c r="AL5" s="94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45" t="s">
        <v>18</v>
      </c>
      <c r="D6" s="146"/>
      <c r="E6" s="146"/>
      <c r="F6" s="146"/>
      <c r="G6" s="146"/>
      <c r="H6" s="147"/>
      <c r="I6" s="145" t="s">
        <v>26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7"/>
      <c r="X6" s="136"/>
      <c r="Y6" s="137"/>
      <c r="Z6" s="13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88"/>
      <c r="AJ6" s="88"/>
      <c r="AK6" s="93">
        <v>45160</v>
      </c>
      <c r="AL6" s="9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15.9597639625011</v>
      </c>
      <c r="D7" s="29">
        <v>15.9287894461173</v>
      </c>
      <c r="E7" s="29">
        <v>16.3921332805639</v>
      </c>
      <c r="F7" s="30">
        <v>16.4666527805682</v>
      </c>
      <c r="G7" s="30">
        <v>17.758043166297401</v>
      </c>
      <c r="H7" s="33">
        <v>16.180307167955899</v>
      </c>
      <c r="I7" s="26">
        <v>25.8948464023917</v>
      </c>
      <c r="J7" s="27">
        <v>24.709556262347501</v>
      </c>
      <c r="K7" s="27">
        <v>24.1718654944561</v>
      </c>
      <c r="L7" s="27">
        <v>24.490381295072101</v>
      </c>
      <c r="M7" s="27">
        <v>23.554746850731799</v>
      </c>
      <c r="N7" s="28">
        <v>24.2053773760294</v>
      </c>
      <c r="O7" s="28">
        <v>22.8125058177759</v>
      </c>
      <c r="P7" s="28">
        <v>23.4573140113989</v>
      </c>
      <c r="Q7" s="29">
        <v>23.2925404903574</v>
      </c>
      <c r="R7" s="29">
        <v>23.008183424228399</v>
      </c>
      <c r="S7" s="29">
        <v>23.375055419578398</v>
      </c>
      <c r="T7" s="30">
        <v>24.105763103592501</v>
      </c>
      <c r="U7" s="30">
        <v>24.676879594804301</v>
      </c>
      <c r="V7" s="30">
        <v>23.877548579035501</v>
      </c>
      <c r="W7" s="31">
        <v>33.505820512802799</v>
      </c>
      <c r="X7" s="139"/>
      <c r="Y7" s="140"/>
      <c r="Z7" s="14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88"/>
      <c r="AJ7" s="88"/>
      <c r="AK7" s="93">
        <v>45176</v>
      </c>
      <c r="AL7" s="9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16.172121249722899</v>
      </c>
      <c r="D8" s="11">
        <v>15.3647224311367</v>
      </c>
      <c r="E8" s="11">
        <v>16.365933032775999</v>
      </c>
      <c r="F8" s="12">
        <v>16.932923041101901</v>
      </c>
      <c r="G8" s="12">
        <v>17.907530399481502</v>
      </c>
      <c r="H8" s="15">
        <v>16.090076640505</v>
      </c>
      <c r="I8" s="19">
        <v>26.033022710913201</v>
      </c>
      <c r="J8" s="20">
        <v>24.486870904501298</v>
      </c>
      <c r="K8" s="20">
        <v>24.190640332826501</v>
      </c>
      <c r="L8" s="20">
        <v>24.4369502592637</v>
      </c>
      <c r="M8" s="20">
        <v>23.5324380065084</v>
      </c>
      <c r="N8" s="10">
        <v>24.027500043921101</v>
      </c>
      <c r="O8" s="10">
        <v>25.023855146059599</v>
      </c>
      <c r="P8" s="10">
        <v>23.414996489120899</v>
      </c>
      <c r="Q8" s="11">
        <v>23.268682296079302</v>
      </c>
      <c r="R8" s="16">
        <v>23.058925750920299</v>
      </c>
      <c r="S8" s="16">
        <v>23.4422918236274</v>
      </c>
      <c r="T8" s="17">
        <v>24.141864741263099</v>
      </c>
      <c r="U8" s="17">
        <v>24.752944722960802</v>
      </c>
      <c r="V8" s="17">
        <v>23.854171119059998</v>
      </c>
      <c r="W8" s="18">
        <v>33.267311693830898</v>
      </c>
      <c r="X8" s="142"/>
      <c r="Y8" s="143"/>
      <c r="Z8" s="144"/>
      <c r="AA8" s="6"/>
      <c r="AB8" s="5"/>
      <c r="AC8" s="6" t="s">
        <v>32</v>
      </c>
      <c r="AD8" s="6"/>
      <c r="AE8" s="6"/>
      <c r="AF8" s="6"/>
      <c r="AG8" s="6"/>
      <c r="AH8" s="91" t="s">
        <v>93</v>
      </c>
      <c r="AI8" s="92"/>
      <c r="AJ8" s="92"/>
      <c r="AK8" s="95">
        <v>45177</v>
      </c>
      <c r="AL8" s="9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145" t="s">
        <v>19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33" t="s">
        <v>20</v>
      </c>
      <c r="S9" s="134"/>
      <c r="T9" s="134"/>
      <c r="U9" s="134"/>
      <c r="V9" s="134"/>
      <c r="W9" s="134"/>
      <c r="X9" s="134"/>
      <c r="Y9" s="134"/>
      <c r="Z9" s="135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26">
        <v>28.076219703236401</v>
      </c>
      <c r="D10" s="27">
        <v>25.675533171342199</v>
      </c>
      <c r="E10" s="27">
        <v>23.3952786944823</v>
      </c>
      <c r="F10" s="27">
        <v>21.217196959485001</v>
      </c>
      <c r="G10" s="27">
        <v>18.793043073292299</v>
      </c>
      <c r="H10" s="28">
        <v>20.194095169627101</v>
      </c>
      <c r="I10" s="28">
        <v>19.6654516049059</v>
      </c>
      <c r="J10" s="28">
        <v>19.635226221936499</v>
      </c>
      <c r="K10" s="29">
        <v>19.8600479534912</v>
      </c>
      <c r="L10" s="29">
        <v>19.029445088442401</v>
      </c>
      <c r="M10" s="29">
        <v>19.666164905262399</v>
      </c>
      <c r="N10" s="30">
        <v>19.367262016973001</v>
      </c>
      <c r="O10" s="30">
        <v>19.9953937502092</v>
      </c>
      <c r="P10" s="30">
        <v>19.486785560808499</v>
      </c>
      <c r="Q10" s="31" t="s">
        <v>49</v>
      </c>
      <c r="R10" s="26">
        <v>26.12176306273</v>
      </c>
      <c r="S10" s="27">
        <v>23.719309940514002</v>
      </c>
      <c r="T10" s="27">
        <v>21.266421401697201</v>
      </c>
      <c r="U10" s="27">
        <v>19.169488005117302</v>
      </c>
      <c r="V10" s="27">
        <v>17.083028995646998</v>
      </c>
      <c r="W10" s="28">
        <v>18.064901959728299</v>
      </c>
      <c r="X10" s="28">
        <v>18.196603507031998</v>
      </c>
      <c r="Y10" s="28">
        <v>17.209346937217401</v>
      </c>
      <c r="Z10" s="31" t="s">
        <v>49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19">
        <v>28.313375330045599</v>
      </c>
      <c r="D11" s="20">
        <v>25.557164517504201</v>
      </c>
      <c r="E11" s="20">
        <v>23.4160494075517</v>
      </c>
      <c r="F11" s="20">
        <v>21.115143011836501</v>
      </c>
      <c r="G11" s="20">
        <v>18.9674273853852</v>
      </c>
      <c r="H11" s="10">
        <v>20.141393632674699</v>
      </c>
      <c r="I11" s="10">
        <v>19.603265017215001</v>
      </c>
      <c r="J11" s="10">
        <v>19.555696105086898</v>
      </c>
      <c r="K11" s="11">
        <v>19.678884163255098</v>
      </c>
      <c r="L11" s="11">
        <v>18.9576451674899</v>
      </c>
      <c r="M11" s="11">
        <v>19.366451574079001</v>
      </c>
      <c r="N11" s="12">
        <v>19.3078305929034</v>
      </c>
      <c r="O11" s="12">
        <v>19.947698558434102</v>
      </c>
      <c r="P11" s="12">
        <v>19.634548961183899</v>
      </c>
      <c r="Q11" s="13" t="s">
        <v>49</v>
      </c>
      <c r="R11" s="19">
        <v>26.262527597328901</v>
      </c>
      <c r="S11" s="20">
        <v>23.686347897280498</v>
      </c>
      <c r="T11" s="20">
        <v>21.366836225266901</v>
      </c>
      <c r="U11" s="20">
        <v>19.640259713532998</v>
      </c>
      <c r="V11" s="20">
        <v>17.018121563803099</v>
      </c>
      <c r="W11" s="10">
        <v>17.978211505043699</v>
      </c>
      <c r="X11" s="10">
        <v>17.9916942124316</v>
      </c>
      <c r="Y11" s="10">
        <v>17.169562119555501</v>
      </c>
      <c r="Z11" s="13">
        <v>35.654729570002601</v>
      </c>
      <c r="AA11" s="6"/>
      <c r="AB11" s="6" t="s">
        <v>61</v>
      </c>
      <c r="AC11" s="6" t="s">
        <v>62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133" t="s">
        <v>20</v>
      </c>
      <c r="D12" s="134"/>
      <c r="E12" s="134"/>
      <c r="F12" s="134"/>
      <c r="G12" s="134"/>
      <c r="H12" s="135"/>
      <c r="I12" s="133" t="s">
        <v>21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5"/>
      <c r="X12" s="136"/>
      <c r="Y12" s="137"/>
      <c r="Z12" s="138"/>
      <c r="AA12" s="6"/>
      <c r="AB12" s="6" t="s">
        <v>63</v>
      </c>
      <c r="AC12" s="6" t="s">
        <v>64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16.9514008659906</v>
      </c>
      <c r="D13" s="29">
        <v>16.509090852904599</v>
      </c>
      <c r="E13" s="29">
        <v>17.056879132467198</v>
      </c>
      <c r="F13" s="30">
        <v>16.985537499456399</v>
      </c>
      <c r="G13" s="30">
        <v>17.944986593397498</v>
      </c>
      <c r="H13" s="33">
        <v>17.106287910172199</v>
      </c>
      <c r="I13" s="26">
        <v>28.6821532585993</v>
      </c>
      <c r="J13" s="27">
        <v>25.7924201370123</v>
      </c>
      <c r="K13" s="27">
        <v>23.4515988995079</v>
      </c>
      <c r="L13" s="27">
        <v>21.0831851767682</v>
      </c>
      <c r="M13" s="27">
        <v>18.8218723032494</v>
      </c>
      <c r="N13" s="28">
        <v>19.8545904612917</v>
      </c>
      <c r="O13" s="28">
        <v>19.732331149556899</v>
      </c>
      <c r="P13" s="28">
        <v>19.315213758016601</v>
      </c>
      <c r="Q13" s="29">
        <v>19.076049923227998</v>
      </c>
      <c r="R13" s="29">
        <v>18.424976389374301</v>
      </c>
      <c r="S13" s="29">
        <v>19.095397431842901</v>
      </c>
      <c r="T13" s="30">
        <v>19.170048247089898</v>
      </c>
      <c r="U13" s="30">
        <v>19.5967908426754</v>
      </c>
      <c r="V13" s="30">
        <v>19.019012914921198</v>
      </c>
      <c r="W13" s="31">
        <v>38.899886208181599</v>
      </c>
      <c r="X13" s="139"/>
      <c r="Y13" s="140"/>
      <c r="Z13" s="141"/>
      <c r="AA13" s="6"/>
      <c r="AB13" s="6" t="s">
        <v>65</v>
      </c>
      <c r="AC13" s="6" t="s">
        <v>66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16.943895030900801</v>
      </c>
      <c r="D14" s="11">
        <v>16.469675988728302</v>
      </c>
      <c r="E14" s="11">
        <v>17.230351907209101</v>
      </c>
      <c r="F14" s="12">
        <v>17.412836773153799</v>
      </c>
      <c r="G14" s="12">
        <v>17.994433564837198</v>
      </c>
      <c r="H14" s="15">
        <v>17.040682342032898</v>
      </c>
      <c r="I14" s="19">
        <v>28.54356559643</v>
      </c>
      <c r="J14" s="20">
        <v>25.936551130596101</v>
      </c>
      <c r="K14" s="20">
        <v>23.557046842853399</v>
      </c>
      <c r="L14" s="20">
        <v>21.063013214683899</v>
      </c>
      <c r="M14" s="20">
        <v>18.733359360609299</v>
      </c>
      <c r="N14" s="10">
        <v>19.8240702907563</v>
      </c>
      <c r="O14" s="10">
        <v>19.60913428421</v>
      </c>
      <c r="P14" s="10">
        <v>19.211095449366901</v>
      </c>
      <c r="Q14" s="11">
        <v>18.939691985381899</v>
      </c>
      <c r="R14" s="16">
        <v>18.579158206424498</v>
      </c>
      <c r="S14" s="16">
        <v>19.045485462267401</v>
      </c>
      <c r="T14" s="17">
        <v>19.0842001023038</v>
      </c>
      <c r="U14" s="17">
        <v>19.5981552625563</v>
      </c>
      <c r="V14" s="17">
        <v>18.984676818505299</v>
      </c>
      <c r="W14" s="18">
        <v>36.924418258111501</v>
      </c>
      <c r="X14" s="142"/>
      <c r="Y14" s="143"/>
      <c r="Z14" s="144"/>
      <c r="AA14" s="6"/>
      <c r="AB14" s="6" t="s">
        <v>67</v>
      </c>
      <c r="AC14" s="6" t="s">
        <v>68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133" t="s">
        <v>22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5"/>
      <c r="R15" s="133" t="s">
        <v>23</v>
      </c>
      <c r="S15" s="134"/>
      <c r="T15" s="134"/>
      <c r="U15" s="134"/>
      <c r="V15" s="134"/>
      <c r="W15" s="134"/>
      <c r="X15" s="134"/>
      <c r="Y15" s="134"/>
      <c r="Z15" s="135"/>
      <c r="AA15" s="6"/>
      <c r="AB15" s="6" t="s">
        <v>69</v>
      </c>
      <c r="AC15" s="6" t="s">
        <v>70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26">
        <v>29.446504200977898</v>
      </c>
      <c r="D16" s="27">
        <v>28.315356829971201</v>
      </c>
      <c r="E16" s="27">
        <v>27.166757562041902</v>
      </c>
      <c r="F16" s="27">
        <v>25.7298983640339</v>
      </c>
      <c r="G16" s="27">
        <v>23.365764938266</v>
      </c>
      <c r="H16" s="28">
        <v>24.026876543876998</v>
      </c>
      <c r="I16" s="28">
        <v>25.107230717228401</v>
      </c>
      <c r="J16" s="28">
        <v>23.300802363915601</v>
      </c>
      <c r="K16" s="29">
        <v>23.188094724463198</v>
      </c>
      <c r="L16" s="29">
        <v>22.945815190887402</v>
      </c>
      <c r="M16" s="29">
        <v>23.158318691619101</v>
      </c>
      <c r="N16" s="30">
        <v>23.8110938574379</v>
      </c>
      <c r="O16" s="30">
        <v>24.4977977626632</v>
      </c>
      <c r="P16" s="30">
        <v>23.2711174484891</v>
      </c>
      <c r="Q16" s="31">
        <v>30.5423198937136</v>
      </c>
      <c r="R16" s="26">
        <v>30.744007965942998</v>
      </c>
      <c r="S16" s="27">
        <v>28.532250853309598</v>
      </c>
      <c r="T16" s="27">
        <v>26.928636418007699</v>
      </c>
      <c r="U16" s="27">
        <v>25.140065985668201</v>
      </c>
      <c r="V16" s="27">
        <v>22.9267091869057</v>
      </c>
      <c r="W16" s="28">
        <v>23.293521937350999</v>
      </c>
      <c r="X16" s="28">
        <v>23.971778768794302</v>
      </c>
      <c r="Y16" s="28">
        <v>22.672050063020301</v>
      </c>
      <c r="Z16" s="31">
        <v>35.3392927013061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19">
        <v>29.4279360781644</v>
      </c>
      <c r="D17" s="20">
        <v>28.403939326500598</v>
      </c>
      <c r="E17" s="20">
        <v>27.3109458285861</v>
      </c>
      <c r="F17" s="20">
        <v>25.894684505898098</v>
      </c>
      <c r="G17" s="20">
        <v>23.380435393340399</v>
      </c>
      <c r="H17" s="10">
        <v>24.005479157431299</v>
      </c>
      <c r="I17" s="10">
        <v>25.340179141930498</v>
      </c>
      <c r="J17" s="10">
        <v>23.298175517910501</v>
      </c>
      <c r="K17" s="11">
        <v>23.130046634804099</v>
      </c>
      <c r="L17" s="11">
        <v>22.938210762274899</v>
      </c>
      <c r="M17" s="11">
        <v>23.122431307960401</v>
      </c>
      <c r="N17" s="12">
        <v>23.796528777289002</v>
      </c>
      <c r="O17" s="12">
        <v>24.368531191337301</v>
      </c>
      <c r="P17" s="12">
        <v>23.367982050698298</v>
      </c>
      <c r="Q17" s="13">
        <v>30.7403653343125</v>
      </c>
      <c r="R17" s="19">
        <v>30.347268242490799</v>
      </c>
      <c r="S17" s="20">
        <v>28.888539457451898</v>
      </c>
      <c r="T17" s="20">
        <v>27.167080344343798</v>
      </c>
      <c r="U17" s="20">
        <v>24.985018626367498</v>
      </c>
      <c r="V17" s="20">
        <v>22.7465254016508</v>
      </c>
      <c r="W17" s="10">
        <v>23.355376041688</v>
      </c>
      <c r="X17" s="10">
        <v>24.215338351694399</v>
      </c>
      <c r="Y17" s="10">
        <v>22.606466359052501</v>
      </c>
      <c r="Z17" s="13">
        <v>36.373170839061899</v>
      </c>
      <c r="AA17" s="6"/>
      <c r="AB17" s="6" t="s">
        <v>71</v>
      </c>
      <c r="AC17" s="6" t="s">
        <v>72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133" t="s">
        <v>23</v>
      </c>
      <c r="D18" s="134"/>
      <c r="E18" s="134"/>
      <c r="F18" s="134"/>
      <c r="G18" s="134"/>
      <c r="H18" s="135"/>
      <c r="I18" s="133" t="s">
        <v>27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5"/>
      <c r="X18" s="136"/>
      <c r="Y18" s="137"/>
      <c r="Z18" s="138"/>
      <c r="AA18" s="6"/>
      <c r="AB18" s="6" t="s">
        <v>73</v>
      </c>
      <c r="AC18" s="6" t="s">
        <v>74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22.538402569025202</v>
      </c>
      <c r="D19" s="29">
        <v>22.208643613225298</v>
      </c>
      <c r="E19" s="29">
        <v>22.534309813137099</v>
      </c>
      <c r="F19" s="30">
        <v>23.854964761767999</v>
      </c>
      <c r="G19" s="30">
        <v>23.8273258251394</v>
      </c>
      <c r="H19" s="33">
        <v>23.3564633389744</v>
      </c>
      <c r="I19" s="26">
        <v>25.986286606040899</v>
      </c>
      <c r="J19" s="27">
        <v>25.2389751424096</v>
      </c>
      <c r="K19" s="27">
        <v>24.0154293194025</v>
      </c>
      <c r="L19" s="27">
        <v>21.658724385190599</v>
      </c>
      <c r="M19" s="27">
        <v>19.6769691500497</v>
      </c>
      <c r="N19" s="28">
        <v>20.4950165148996</v>
      </c>
      <c r="O19" s="28">
        <v>21.239206398932001</v>
      </c>
      <c r="P19" s="28">
        <v>19.9122013021341</v>
      </c>
      <c r="Q19" s="29">
        <v>19.289151928896</v>
      </c>
      <c r="R19" s="29">
        <v>19.1995141844383</v>
      </c>
      <c r="S19" s="29">
        <v>19.432229944721598</v>
      </c>
      <c r="T19" s="30">
        <v>20.570212894437699</v>
      </c>
      <c r="U19" s="30">
        <v>21.059453964075601</v>
      </c>
      <c r="V19" s="30">
        <v>20.1281531370674</v>
      </c>
      <c r="W19" s="31">
        <v>34.498573863470703</v>
      </c>
      <c r="X19" s="139"/>
      <c r="Y19" s="140"/>
      <c r="Z19" s="141"/>
      <c r="AA19" s="6"/>
      <c r="AB19" s="6" t="s">
        <v>75</v>
      </c>
      <c r="AC19" s="6" t="s">
        <v>76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22.552792828169402</v>
      </c>
      <c r="D20" s="11">
        <v>22.262307746106501</v>
      </c>
      <c r="E20" s="11">
        <v>22.498342131266899</v>
      </c>
      <c r="F20" s="12">
        <v>23.679983111534</v>
      </c>
      <c r="G20" s="12">
        <v>24.500603468913301</v>
      </c>
      <c r="H20" s="15">
        <v>23.327365049908401</v>
      </c>
      <c r="I20" s="19">
        <v>26.292844007685702</v>
      </c>
      <c r="J20" s="20">
        <v>25.4302824104882</v>
      </c>
      <c r="K20" s="20">
        <v>23.912776571686202</v>
      </c>
      <c r="L20" s="20">
        <v>21.7527924902389</v>
      </c>
      <c r="M20" s="20">
        <v>19.612394066700901</v>
      </c>
      <c r="N20" s="10">
        <v>20.17516343774</v>
      </c>
      <c r="O20" s="10">
        <v>21.079108021286199</v>
      </c>
      <c r="P20" s="10">
        <v>20.0572716017274</v>
      </c>
      <c r="Q20" s="11">
        <v>19.460316646559601</v>
      </c>
      <c r="R20" s="16">
        <v>17.5747407142496</v>
      </c>
      <c r="S20" s="16">
        <v>19.5574069245177</v>
      </c>
      <c r="T20" s="17">
        <v>20.509411419430201</v>
      </c>
      <c r="U20" s="17">
        <v>21.1429556813634</v>
      </c>
      <c r="V20" s="17">
        <v>20.233268395233701</v>
      </c>
      <c r="W20" s="18">
        <v>34.444804156773898</v>
      </c>
      <c r="X20" s="142"/>
      <c r="Y20" s="143"/>
      <c r="Z20" s="14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133" t="s">
        <v>24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5"/>
      <c r="R21" s="148"/>
      <c r="S21" s="149"/>
      <c r="T21" s="149"/>
      <c r="U21" s="149"/>
      <c r="V21" s="149"/>
      <c r="W21" s="149"/>
      <c r="X21" s="149"/>
      <c r="Y21" s="149"/>
      <c r="Z21" s="150"/>
      <c r="AA21" s="6"/>
      <c r="AB21" s="72" t="s">
        <v>77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26">
        <v>28.051026552300499</v>
      </c>
      <c r="D22" s="27">
        <v>25.6559421732637</v>
      </c>
      <c r="E22" s="27">
        <v>23.468748153055401</v>
      </c>
      <c r="F22" s="27">
        <v>21.079419644894699</v>
      </c>
      <c r="G22" s="27">
        <v>18.700367177255401</v>
      </c>
      <c r="H22" s="28">
        <v>21.107861800402599</v>
      </c>
      <c r="I22" s="28">
        <v>21.776444800724001</v>
      </c>
      <c r="J22" s="28">
        <v>20.708912314862602</v>
      </c>
      <c r="K22" s="29">
        <v>17.568937961596301</v>
      </c>
      <c r="L22" s="29">
        <v>17.2435612434824</v>
      </c>
      <c r="M22" s="29">
        <v>17.977708321008699</v>
      </c>
      <c r="N22" s="30">
        <v>18.159962118197601</v>
      </c>
      <c r="O22" s="30">
        <v>18.804229151381598</v>
      </c>
      <c r="P22" s="30">
        <v>17.577705218416298</v>
      </c>
      <c r="Q22" s="31">
        <v>35.951246267682599</v>
      </c>
      <c r="R22" s="151"/>
      <c r="S22" s="152"/>
      <c r="T22" s="152"/>
      <c r="U22" s="152"/>
      <c r="V22" s="152"/>
      <c r="W22" s="152"/>
      <c r="X22" s="152"/>
      <c r="Y22" s="152"/>
      <c r="Z22" s="153"/>
      <c r="AA22" s="6"/>
      <c r="AB22" s="6" t="s">
        <v>69</v>
      </c>
      <c r="AC22" s="6" t="s">
        <v>78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19">
        <v>28.063253516406501</v>
      </c>
      <c r="D23" s="20">
        <v>25.6409461427317</v>
      </c>
      <c r="E23" s="20">
        <v>23.4252193065991</v>
      </c>
      <c r="F23" s="20">
        <v>20.9748309384109</v>
      </c>
      <c r="G23" s="20">
        <v>18.3519863751835</v>
      </c>
      <c r="H23" s="10">
        <v>21.283953504718301</v>
      </c>
      <c r="I23" s="10">
        <v>21.847014655315501</v>
      </c>
      <c r="J23" s="10">
        <v>20.632102411098401</v>
      </c>
      <c r="K23" s="11">
        <v>16.603414366723602</v>
      </c>
      <c r="L23" s="11">
        <v>16.894994748435099</v>
      </c>
      <c r="M23" s="11">
        <v>17.772944455318498</v>
      </c>
      <c r="N23" s="12">
        <v>18.040823984517001</v>
      </c>
      <c r="O23" s="12">
        <v>18.672866707400601</v>
      </c>
      <c r="P23" s="12">
        <v>17.844054800433799</v>
      </c>
      <c r="Q23" s="13" t="s">
        <v>49</v>
      </c>
      <c r="R23" s="154"/>
      <c r="S23" s="155"/>
      <c r="T23" s="155"/>
      <c r="U23" s="155"/>
      <c r="V23" s="155"/>
      <c r="W23" s="155"/>
      <c r="X23" s="155"/>
      <c r="Y23" s="155"/>
      <c r="Z23" s="156"/>
      <c r="AA23" s="6"/>
      <c r="AB23" s="73" t="s">
        <v>71</v>
      </c>
      <c r="AC23" s="74" t="s">
        <v>79</v>
      </c>
      <c r="AD23" s="74"/>
      <c r="AE23" s="74"/>
      <c r="AF23" s="74"/>
      <c r="AG23" s="130" t="s">
        <v>80</v>
      </c>
      <c r="AH23" s="130"/>
      <c r="AI23" s="130"/>
      <c r="AJ23" s="130"/>
      <c r="AK23" s="130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48"/>
      <c r="D24" s="149"/>
      <c r="E24" s="149"/>
      <c r="F24" s="149"/>
      <c r="G24" s="149"/>
      <c r="H24" s="150"/>
      <c r="I24" s="133" t="s">
        <v>25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5"/>
      <c r="X24" s="136"/>
      <c r="Y24" s="137"/>
      <c r="Z24" s="138"/>
      <c r="AA24" s="6"/>
      <c r="AB24" s="76" t="s">
        <v>73</v>
      </c>
      <c r="AC24" s="6" t="s">
        <v>81</v>
      </c>
      <c r="AD24" s="6"/>
      <c r="AE24" s="6"/>
      <c r="AF24" s="7"/>
      <c r="AG24" s="131"/>
      <c r="AH24" s="131"/>
      <c r="AI24" s="131"/>
      <c r="AJ24" s="131"/>
      <c r="AK24" s="131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1"/>
      <c r="D25" s="152"/>
      <c r="E25" s="152"/>
      <c r="F25" s="152"/>
      <c r="G25" s="152"/>
      <c r="H25" s="153"/>
      <c r="I25" s="26">
        <v>30.497120933789098</v>
      </c>
      <c r="J25" s="27">
        <v>29.033421039852499</v>
      </c>
      <c r="K25" s="27">
        <v>28.7057699677618</v>
      </c>
      <c r="L25" s="27">
        <v>28.853367938889701</v>
      </c>
      <c r="M25" s="27">
        <v>27.539539223854799</v>
      </c>
      <c r="N25" s="28">
        <v>28.736416900647999</v>
      </c>
      <c r="O25" s="28">
        <v>30.361446501006199</v>
      </c>
      <c r="P25" s="28">
        <v>28.0923159435069</v>
      </c>
      <c r="Q25" s="29">
        <v>27.0699648690236</v>
      </c>
      <c r="R25" s="29">
        <v>26.7350594614195</v>
      </c>
      <c r="S25" s="29">
        <v>26.838889007178899</v>
      </c>
      <c r="T25" s="30">
        <v>26.8128290708256</v>
      </c>
      <c r="U25" s="30">
        <v>27.769825105196102</v>
      </c>
      <c r="V25" s="30">
        <v>26.452812485649002</v>
      </c>
      <c r="W25" s="31">
        <v>37.019496533200197</v>
      </c>
      <c r="X25" s="139"/>
      <c r="Y25" s="140"/>
      <c r="Z25" s="141"/>
      <c r="AA25" s="6"/>
      <c r="AB25" s="78" t="s">
        <v>75</v>
      </c>
      <c r="AC25" s="79" t="s">
        <v>82</v>
      </c>
      <c r="AD25" s="79"/>
      <c r="AE25" s="79"/>
      <c r="AF25" s="80"/>
      <c r="AG25" s="132"/>
      <c r="AH25" s="132"/>
      <c r="AI25" s="132"/>
      <c r="AJ25" s="132"/>
      <c r="AK25" s="132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54"/>
      <c r="D26" s="155"/>
      <c r="E26" s="155"/>
      <c r="F26" s="155"/>
      <c r="G26" s="155"/>
      <c r="H26" s="156"/>
      <c r="I26" s="19">
        <v>30.3070915843963</v>
      </c>
      <c r="J26" s="20">
        <v>28.944752206275201</v>
      </c>
      <c r="K26" s="20">
        <v>28.7131152992099</v>
      </c>
      <c r="L26" s="20">
        <v>28.882190082165501</v>
      </c>
      <c r="M26" s="20">
        <v>26.591079846025199</v>
      </c>
      <c r="N26" s="10">
        <v>28.765166651651199</v>
      </c>
      <c r="O26" s="10">
        <v>30.365986284995099</v>
      </c>
      <c r="P26" s="10">
        <v>27.712729681768401</v>
      </c>
      <c r="Q26" s="11">
        <v>27.391066294201298</v>
      </c>
      <c r="R26" s="11">
        <v>26.748756758393899</v>
      </c>
      <c r="S26" s="11">
        <v>27.0693442034203</v>
      </c>
      <c r="T26" s="12">
        <v>26.7120133460453</v>
      </c>
      <c r="U26" s="12">
        <v>27.6226149532378</v>
      </c>
      <c r="V26" s="12">
        <v>26.393176204656999</v>
      </c>
      <c r="W26" s="13">
        <v>39.376343183705501</v>
      </c>
      <c r="X26" s="142"/>
      <c r="Y26" s="143"/>
      <c r="Z26" s="14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5" t="s">
        <v>17</v>
      </c>
      <c r="D28" s="125"/>
      <c r="E28" s="125"/>
      <c r="F28" s="6"/>
      <c r="G28" s="6"/>
      <c r="H28" s="125" t="s">
        <v>18</v>
      </c>
      <c r="I28" s="125"/>
      <c r="J28" s="125"/>
      <c r="K28" s="6"/>
      <c r="L28" s="6"/>
      <c r="M28" s="125" t="s">
        <v>26</v>
      </c>
      <c r="N28" s="125"/>
      <c r="O28" s="125"/>
      <c r="P28" s="6"/>
      <c r="Q28" s="6"/>
      <c r="R28" s="125" t="s">
        <v>19</v>
      </c>
      <c r="S28" s="125"/>
      <c r="T28" s="125"/>
      <c r="U28" s="6"/>
      <c r="V28" s="6"/>
      <c r="W28" s="125" t="s">
        <v>20</v>
      </c>
      <c r="X28" s="125"/>
      <c r="Y28" s="125"/>
      <c r="Z28" s="6"/>
      <c r="AA28" s="6"/>
      <c r="AB28" s="125" t="s">
        <v>21</v>
      </c>
      <c r="AC28" s="125"/>
      <c r="AD28" s="12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7" t="s">
        <v>47</v>
      </c>
      <c r="D29" s="118"/>
      <c r="E29" s="119"/>
      <c r="F29" s="6"/>
      <c r="G29" s="6"/>
      <c r="H29" s="120" t="s">
        <v>47</v>
      </c>
      <c r="I29" s="121"/>
      <c r="J29" s="122"/>
      <c r="K29" s="6"/>
      <c r="L29" s="6"/>
      <c r="M29" s="120" t="s">
        <v>47</v>
      </c>
      <c r="N29" s="121"/>
      <c r="O29" s="122"/>
      <c r="P29" s="6"/>
      <c r="Q29" s="6"/>
      <c r="R29" s="120" t="s">
        <v>47</v>
      </c>
      <c r="S29" s="123"/>
      <c r="T29" s="124"/>
      <c r="U29" s="6"/>
      <c r="V29" s="6"/>
      <c r="W29" s="120" t="s">
        <v>47</v>
      </c>
      <c r="X29" s="121"/>
      <c r="Y29" s="122"/>
      <c r="Z29" s="6"/>
      <c r="AA29" s="6"/>
      <c r="AB29" s="120" t="s">
        <v>47</v>
      </c>
      <c r="AC29" s="121"/>
      <c r="AD29" s="122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29.169528589715853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32.634717931142049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25.96393455665245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28.194797516641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26.192145330029451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28.61285942751465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AVERAGE(D4:D5)</f>
        <v>26.982458448367449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28.405182566301601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24.5982135834244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25.6163488444232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23.70282891889725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25.8644856338042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24.6510295581731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23.042236594603949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24.181252913641302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23.405664051016998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21.316628813482051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23.504322871180648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22.38762579991705</v>
      </c>
      <c r="F34" s="6"/>
      <c r="G34" s="6"/>
      <c r="H34" s="65">
        <v>4</v>
      </c>
      <c r="I34" s="66">
        <f>LOG(H34)</f>
        <v>0.6020599913279624</v>
      </c>
      <c r="J34" s="67">
        <f>AVERAGE(U4:U5)</f>
        <v>19.423715095717398</v>
      </c>
      <c r="K34" s="6"/>
      <c r="L34" s="6"/>
      <c r="M34" s="65">
        <v>4</v>
      </c>
      <c r="N34" s="66">
        <f>LOG(M34)</f>
        <v>0.6020599913279624</v>
      </c>
      <c r="O34" s="67">
        <f>AVERAGE(L7:L8)</f>
        <v>24.4636657771679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21.166169985660751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19.40487385932515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21.073099195726051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20.106200945643749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16.675703665338098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23.543592428620101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18.880235229338751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17.050575279725049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18.777615831929349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06" t="s">
        <v>46</v>
      </c>
      <c r="D36" s="107"/>
      <c r="E36" s="37">
        <f>(10^(-1/-3.2507)-1)*100</f>
        <v>103.06077986175896</v>
      </c>
      <c r="F36" s="6"/>
      <c r="G36" s="6"/>
      <c r="H36" s="106" t="s">
        <v>46</v>
      </c>
      <c r="I36" s="107"/>
      <c r="J36" s="37">
        <f>(10^(-1/-5.8514)-1)*100</f>
        <v>48.217427738992249</v>
      </c>
      <c r="K36" s="6"/>
      <c r="L36" s="6"/>
      <c r="M36" s="106" t="s">
        <v>46</v>
      </c>
      <c r="N36" s="107"/>
      <c r="O36" s="37">
        <f>(10^(-1/-0.7118)-1)*100</f>
        <v>2440.3234296171977</v>
      </c>
      <c r="P36" s="6"/>
      <c r="Q36" s="6"/>
      <c r="R36" s="106" t="s">
        <v>46</v>
      </c>
      <c r="S36" s="107"/>
      <c r="T36" s="37">
        <f>(10^(-1/-3.3019)-1)*100</f>
        <v>100.84264465141874</v>
      </c>
      <c r="U36" s="6"/>
      <c r="V36" s="6"/>
      <c r="W36" s="106" t="s">
        <v>46</v>
      </c>
      <c r="X36" s="107"/>
      <c r="Y36" s="37">
        <f>(10^(-1/-3.2306)-1)*100</f>
        <v>103.95766133766627</v>
      </c>
      <c r="Z36" s="6"/>
      <c r="AA36" s="6"/>
      <c r="AB36" s="106" t="s">
        <v>46</v>
      </c>
      <c r="AC36" s="107"/>
      <c r="AD36" s="37">
        <f>(10^(-1/-3.4997)-1)*100</f>
        <v>93.080661302023969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06" t="s">
        <v>60</v>
      </c>
      <c r="D37" s="107"/>
      <c r="E37" s="37">
        <f>SUM(E36/100)+1</f>
        <v>2.0306077986175897</v>
      </c>
      <c r="F37" s="6"/>
      <c r="G37" s="6"/>
      <c r="H37" s="106" t="s">
        <v>60</v>
      </c>
      <c r="I37" s="107"/>
      <c r="J37" s="37">
        <f>SUM(J36/100)+1</f>
        <v>1.4821742773899225</v>
      </c>
      <c r="K37" s="6"/>
      <c r="L37" s="6"/>
      <c r="M37" s="106" t="s">
        <v>60</v>
      </c>
      <c r="N37" s="107"/>
      <c r="O37" s="37">
        <f>SUM(O36/100)+1</f>
        <v>25.403234296171977</v>
      </c>
      <c r="P37" s="6"/>
      <c r="Q37" s="6"/>
      <c r="R37" s="106" t="s">
        <v>60</v>
      </c>
      <c r="S37" s="107"/>
      <c r="T37" s="37">
        <f>SUM(T36/100)+1</f>
        <v>2.0084264465141874</v>
      </c>
      <c r="U37" s="6"/>
      <c r="V37" s="6"/>
      <c r="W37" s="106" t="s">
        <v>60</v>
      </c>
      <c r="X37" s="107"/>
      <c r="Y37" s="37">
        <f>SUM(Y36/100)+1</f>
        <v>2.0395766133766626</v>
      </c>
      <c r="Z37" s="6"/>
      <c r="AA37" s="6"/>
      <c r="AB37" s="106" t="s">
        <v>60</v>
      </c>
      <c r="AC37" s="107"/>
      <c r="AD37" s="37">
        <f>SUM(AD36/100)+1</f>
        <v>1.9308066130202397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03" t="s">
        <v>105</v>
      </c>
      <c r="D39" s="104"/>
      <c r="E39" s="104"/>
      <c r="F39" s="104"/>
      <c r="G39" s="104"/>
      <c r="H39" s="105"/>
      <c r="J39" s="103" t="s">
        <v>106</v>
      </c>
      <c r="K39" s="104"/>
      <c r="L39" s="104"/>
      <c r="M39" s="104"/>
      <c r="N39" s="104"/>
      <c r="O39" s="105"/>
      <c r="Q39" s="103" t="s">
        <v>107</v>
      </c>
      <c r="R39" s="104"/>
      <c r="S39" s="104"/>
      <c r="T39" s="104"/>
      <c r="U39" s="104"/>
      <c r="V39" s="105"/>
      <c r="X39" s="103" t="s">
        <v>108</v>
      </c>
      <c r="Y39" s="104"/>
      <c r="Z39" s="104"/>
      <c r="AA39" s="104"/>
      <c r="AB39" s="104"/>
      <c r="AC39" s="105"/>
      <c r="AE39" s="103" t="s">
        <v>109</v>
      </c>
      <c r="AF39" s="104"/>
      <c r="AG39" s="104"/>
      <c r="AH39" s="104"/>
      <c r="AI39" s="104"/>
      <c r="AJ39" s="105"/>
      <c r="AL39" s="103" t="s">
        <v>110</v>
      </c>
      <c r="AM39" s="104"/>
      <c r="AN39" s="104"/>
      <c r="AO39" s="104"/>
      <c r="AP39" s="104"/>
      <c r="AQ39" s="105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28" t="s">
        <v>17</v>
      </c>
      <c r="D40" s="83" t="s">
        <v>61</v>
      </c>
      <c r="E40" s="83" t="s">
        <v>63</v>
      </c>
      <c r="F40" s="83" t="s">
        <v>65</v>
      </c>
      <c r="G40" s="84" t="s">
        <v>67</v>
      </c>
      <c r="H40" s="82" t="s">
        <v>69</v>
      </c>
      <c r="I40" s="6"/>
      <c r="J40" s="113" t="s">
        <v>18</v>
      </c>
      <c r="K40" s="83" t="s">
        <v>61</v>
      </c>
      <c r="L40" s="83" t="s">
        <v>63</v>
      </c>
      <c r="M40" s="83" t="s">
        <v>65</v>
      </c>
      <c r="N40" s="83" t="s">
        <v>67</v>
      </c>
      <c r="O40" s="85" t="s">
        <v>69</v>
      </c>
      <c r="P40" s="40"/>
      <c r="Q40" s="113" t="s">
        <v>26</v>
      </c>
      <c r="R40" s="83" t="s">
        <v>61</v>
      </c>
      <c r="S40" s="83" t="s">
        <v>63</v>
      </c>
      <c r="T40" s="83" t="s">
        <v>65</v>
      </c>
      <c r="U40" s="83" t="s">
        <v>67</v>
      </c>
      <c r="V40" s="85" t="s">
        <v>69</v>
      </c>
      <c r="W40" s="86"/>
      <c r="X40" s="113" t="s">
        <v>19</v>
      </c>
      <c r="Y40" s="83" t="s">
        <v>61</v>
      </c>
      <c r="Z40" s="83" t="s">
        <v>63</v>
      </c>
      <c r="AA40" s="83" t="s">
        <v>65</v>
      </c>
      <c r="AB40" s="83" t="s">
        <v>67</v>
      </c>
      <c r="AC40" s="85" t="s">
        <v>69</v>
      </c>
      <c r="AD40" s="86"/>
      <c r="AE40" s="112" t="s">
        <v>20</v>
      </c>
      <c r="AF40" s="83" t="s">
        <v>61</v>
      </c>
      <c r="AG40" s="83" t="s">
        <v>63</v>
      </c>
      <c r="AH40" s="83" t="s">
        <v>65</v>
      </c>
      <c r="AI40" s="83" t="s">
        <v>67</v>
      </c>
      <c r="AJ40" s="85" t="s">
        <v>69</v>
      </c>
      <c r="AK40" s="86"/>
      <c r="AL40" s="112" t="s">
        <v>21</v>
      </c>
      <c r="AM40" s="83" t="s">
        <v>61</v>
      </c>
      <c r="AN40" s="83" t="s">
        <v>63</v>
      </c>
      <c r="AO40" s="83" t="s">
        <v>65</v>
      </c>
      <c r="AP40" s="83" t="s">
        <v>67</v>
      </c>
      <c r="AQ40" s="85" t="s">
        <v>69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28"/>
      <c r="D41" s="49" t="s">
        <v>35</v>
      </c>
      <c r="E41" s="49">
        <f>AVERAGE(H4:H5)</f>
        <v>20.2651074333709</v>
      </c>
      <c r="F41" s="56">
        <f t="shared" ref="F41:F50" si="0">10^((E41-24.344)/-3.2507)</f>
        <v>17.979334306143826</v>
      </c>
      <c r="G41" s="57">
        <f>SUM(E41*(LOG(E37)/LOG(2)))</f>
        <v>20.709148715299939</v>
      </c>
      <c r="H41" s="56">
        <f t="shared" ref="H41:H50" si="1">10^((G41-24.344)/-3.2507)</f>
        <v>13.127285850258914</v>
      </c>
      <c r="I41" s="6"/>
      <c r="J41" s="113"/>
      <c r="K41" s="49" t="s">
        <v>35</v>
      </c>
      <c r="L41" s="49">
        <f>AVERAGE(W4:W5)</f>
        <v>17.352598410222051</v>
      </c>
      <c r="M41" s="56">
        <f t="shared" ref="M41:M49" si="2">10^((L41-23.469)/-5.8514)</f>
        <v>11.099120815141621</v>
      </c>
      <c r="N41" s="56">
        <f>SUM(L41*(LOG($J$37)/LOG(2)))</f>
        <v>9.8513320193824381</v>
      </c>
      <c r="O41" s="56">
        <f t="shared" ref="O41:O49" si="3">10^((N41-23.469)/-5.8514)</f>
        <v>212.44648200171738</v>
      </c>
      <c r="P41" s="6"/>
      <c r="Q41" s="113"/>
      <c r="R41" s="49" t="s">
        <v>35</v>
      </c>
      <c r="S41" s="49">
        <f>AVERAGE(N7:N8)</f>
        <v>24.116438709975249</v>
      </c>
      <c r="T41" s="56">
        <f t="shared" ref="T41:T50" si="4">10^((S41-24.481)/-0.7118)</f>
        <v>3.2521318985128591</v>
      </c>
      <c r="U41" s="56">
        <f>SUM(S41*(LOG($O$37)/LOG(2)))</f>
        <v>112.54997934714235</v>
      </c>
      <c r="V41" s="56">
        <f t="shared" ref="V41:V50" si="5">10^((U41-24.481)/-0.7118)</f>
        <v>1.8743835383654389E-124</v>
      </c>
      <c r="W41" s="6"/>
      <c r="X41" s="113"/>
      <c r="Y41" s="49" t="s">
        <v>35</v>
      </c>
      <c r="Z41" s="49">
        <f>AVERAGE(H10:H11)</f>
        <v>20.167744401150898</v>
      </c>
      <c r="AA41" s="56">
        <f t="shared" ref="AA41:AA50" si="6">10^((Z41-23.133)/-3.3019)</f>
        <v>7.907610079732823</v>
      </c>
      <c r="AB41" s="56">
        <f>SUM(Z41*(LOG($T$37)/LOG(2)))</f>
        <v>20.290074422814286</v>
      </c>
      <c r="AC41" s="56">
        <f t="shared" ref="AC41:AC50" si="7">10^((AB41-23.133)/-3.3019)</f>
        <v>7.2610073048542301</v>
      </c>
      <c r="AD41" s="6"/>
      <c r="AE41" s="113"/>
      <c r="AF41" s="49" t="s">
        <v>35</v>
      </c>
      <c r="AG41" s="49">
        <f>AVERAGE(W10:W11)</f>
        <v>18.021556732385999</v>
      </c>
      <c r="AH41" s="56">
        <f t="shared" ref="AH41:AH50" si="8">10^((AG41-21.22)/-3.2306)</f>
        <v>9.7734119410376099</v>
      </c>
      <c r="AI41" s="56">
        <f>SUM(AG41*(LOG($Y$37)/LOG(2)))</f>
        <v>18.531020746276095</v>
      </c>
      <c r="AJ41" s="56">
        <f t="shared" ref="AJ41:AJ50" si="9">10^((AI41-21.22)/-3.2306)</f>
        <v>6.7974606388569256</v>
      </c>
      <c r="AK41" s="6"/>
      <c r="AL41" s="113" t="s">
        <v>21</v>
      </c>
      <c r="AM41" s="49" t="s">
        <v>35</v>
      </c>
      <c r="AN41" s="49">
        <f>AVERAGE(N13:N14)</f>
        <v>19.839330376024002</v>
      </c>
      <c r="AO41" s="56">
        <f t="shared" ref="AO41:AO50" si="10">10^((AN41-23.227)/-3.4997)</f>
        <v>9.2894195366955401</v>
      </c>
      <c r="AP41" s="49">
        <f>SUM(AN41*(LOG($AD$37)/LOG(2)))</f>
        <v>18.831565265556019</v>
      </c>
      <c r="AQ41" s="56">
        <f t="shared" ref="AQ41:AQ50" si="11">10^((AP41-23.227)/-3.4997)</f>
        <v>18.027941830037349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28"/>
      <c r="D42" s="50" t="s">
        <v>36</v>
      </c>
      <c r="E42" s="50">
        <f>AVERAGE(I4:I5)</f>
        <v>20.972829430613352</v>
      </c>
      <c r="F42" s="57">
        <f t="shared" si="0"/>
        <v>10.890802575314551</v>
      </c>
      <c r="G42" s="57">
        <f>SUM(E42*(LOG(E37)/LOG(2)))</f>
        <v>21.432378046216201</v>
      </c>
      <c r="H42" s="57">
        <f t="shared" si="1"/>
        <v>7.8648557224335089</v>
      </c>
      <c r="I42" s="6"/>
      <c r="J42" s="113"/>
      <c r="K42" s="50" t="s">
        <v>36</v>
      </c>
      <c r="L42" s="50">
        <f>AVERAGE(X4:X5)</f>
        <v>19.594885749485851</v>
      </c>
      <c r="M42" s="57">
        <f t="shared" si="2"/>
        <v>4.5928610313651435</v>
      </c>
      <c r="N42" s="57">
        <f t="shared" ref="N42:N48" si="12">SUM(L42*(LOG($J$37)/LOG(2)))</f>
        <v>11.124312384613091</v>
      </c>
      <c r="O42" s="57">
        <f t="shared" si="3"/>
        <v>128.73544131735287</v>
      </c>
      <c r="P42" s="6"/>
      <c r="Q42" s="113"/>
      <c r="R42" s="50" t="s">
        <v>36</v>
      </c>
      <c r="S42" s="50">
        <f>AVERAGE(O7:O8)</f>
        <v>23.918180481917751</v>
      </c>
      <c r="T42" s="57">
        <f t="shared" si="4"/>
        <v>6.1758815472817137</v>
      </c>
      <c r="U42" s="57">
        <f>SUM(S42*(LOG($O$37)/LOG(2)))</f>
        <v>111.62472003578131</v>
      </c>
      <c r="V42" s="57">
        <f t="shared" si="5"/>
        <v>3.7389107883198363E-123</v>
      </c>
      <c r="W42" s="6"/>
      <c r="X42" s="113"/>
      <c r="Y42" s="50" t="s">
        <v>36</v>
      </c>
      <c r="Z42" s="50">
        <f>AVERAGE(I10:I11)</f>
        <v>19.634358311060453</v>
      </c>
      <c r="AA42" s="57">
        <f t="shared" si="6"/>
        <v>11.47055383295123</v>
      </c>
      <c r="AB42" s="57">
        <f t="shared" ref="AB42:AB50" si="13">SUM(Z42*(LOG($T$37)/LOG(2)))</f>
        <v>19.753453011477305</v>
      </c>
      <c r="AC42" s="57">
        <f t="shared" si="7"/>
        <v>10.556400316322524</v>
      </c>
      <c r="AD42" s="6"/>
      <c r="AE42" s="113"/>
      <c r="AF42" s="50" t="s">
        <v>36</v>
      </c>
      <c r="AG42" s="50">
        <f>AVERAGE(X10:X11)</f>
        <v>18.094148859731799</v>
      </c>
      <c r="AH42" s="57">
        <f t="shared" si="8"/>
        <v>9.2805995896787827</v>
      </c>
      <c r="AI42" s="57">
        <f t="shared" ref="AI42:AI50" si="14">SUM(AG42*(LOG($Y$37)/LOG(2)))</f>
        <v>18.605665031330776</v>
      </c>
      <c r="AJ42" s="57">
        <f t="shared" si="9"/>
        <v>6.4452728571939364</v>
      </c>
      <c r="AK42" s="6"/>
      <c r="AL42" s="113"/>
      <c r="AM42" s="50" t="s">
        <v>36</v>
      </c>
      <c r="AN42" s="50">
        <f>AVERAGE(O13:O14)</f>
        <v>19.67073271688345</v>
      </c>
      <c r="AO42" s="57">
        <f t="shared" si="10"/>
        <v>10.379190099710506</v>
      </c>
      <c r="AP42" s="50">
        <f t="shared" ref="AP42:AP50" si="15">SUM(AN42*(LOG($AD$37)/LOG(2)))</f>
        <v>18.671531748217035</v>
      </c>
      <c r="AQ42" s="57">
        <f t="shared" si="11"/>
        <v>20.029676253646002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28"/>
      <c r="D43" s="51" t="s">
        <v>37</v>
      </c>
      <c r="E43" s="51">
        <f>AVERAGE(J4:J5)</f>
        <v>19.759909835651598</v>
      </c>
      <c r="F43" s="58">
        <f t="shared" si="0"/>
        <v>25.714941997512046</v>
      </c>
      <c r="G43" s="58">
        <f>SUM(E43*(LOG(E37)/LOG(2)))</f>
        <v>20.192881421076123</v>
      </c>
      <c r="H43" s="58">
        <f t="shared" si="1"/>
        <v>18.923096782367505</v>
      </c>
      <c r="I43" s="6"/>
      <c r="J43" s="113"/>
      <c r="K43" s="51" t="s">
        <v>37</v>
      </c>
      <c r="L43" s="51">
        <f>AVERAGE(Y4:Y5)</f>
        <v>16.361958261657151</v>
      </c>
      <c r="M43" s="58">
        <f t="shared" si="2"/>
        <v>16.390351182421448</v>
      </c>
      <c r="N43" s="58">
        <f t="shared" si="12"/>
        <v>9.2889306553599589</v>
      </c>
      <c r="O43" s="58">
        <f t="shared" si="3"/>
        <v>265.07180015236179</v>
      </c>
      <c r="P43" s="6"/>
      <c r="Q43" s="113"/>
      <c r="R43" s="51" t="s">
        <v>37</v>
      </c>
      <c r="S43" s="51">
        <f>AVERAGE(P7:P8)</f>
        <v>23.436155250259901</v>
      </c>
      <c r="T43" s="58">
        <f t="shared" si="4"/>
        <v>29.369118393492549</v>
      </c>
      <c r="U43" s="58">
        <f t="shared" ref="U43:U50" si="16">SUM(S43*(LOG($O$37)/LOG(2)))</f>
        <v>109.37513706375434</v>
      </c>
      <c r="V43" s="58">
        <f t="shared" si="5"/>
        <v>5.4095296536197661E-120</v>
      </c>
      <c r="W43" s="6"/>
      <c r="X43" s="113"/>
      <c r="Y43" s="51" t="s">
        <v>37</v>
      </c>
      <c r="Z43" s="51">
        <f>AVERAGE(J10:J11)</f>
        <v>19.5954611635117</v>
      </c>
      <c r="AA43" s="58">
        <f t="shared" si="6"/>
        <v>11.785950677588184</v>
      </c>
      <c r="AB43" s="58">
        <f t="shared" si="13"/>
        <v>19.714319928327246</v>
      </c>
      <c r="AC43" s="58">
        <f t="shared" si="7"/>
        <v>10.84844614555729</v>
      </c>
      <c r="AD43" s="6"/>
      <c r="AE43" s="113"/>
      <c r="AF43" s="51" t="s">
        <v>37</v>
      </c>
      <c r="AG43" s="51">
        <f>AVERAGE(Y10:Y11)</f>
        <v>17.189454528386449</v>
      </c>
      <c r="AH43" s="58">
        <f t="shared" si="8"/>
        <v>17.685410309760329</v>
      </c>
      <c r="AI43" s="58">
        <f t="shared" si="14"/>
        <v>17.675395262067649</v>
      </c>
      <c r="AJ43" s="58">
        <f t="shared" si="9"/>
        <v>12.508263857705586</v>
      </c>
      <c r="AK43" s="6"/>
      <c r="AL43" s="113"/>
      <c r="AM43" s="51" t="s">
        <v>37</v>
      </c>
      <c r="AN43" s="51">
        <f>AVERAGE(P13:P14)</f>
        <v>19.263154603691753</v>
      </c>
      <c r="AO43" s="58">
        <f t="shared" si="10"/>
        <v>13.571390225369688</v>
      </c>
      <c r="AP43" s="51">
        <f t="shared" si="15"/>
        <v>18.284657106084087</v>
      </c>
      <c r="AQ43" s="58">
        <f t="shared" si="11"/>
        <v>25.835627667073307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28"/>
      <c r="D44" s="52" t="s">
        <v>38</v>
      </c>
      <c r="E44" s="52">
        <f>AVERAGE(K4:K5)</f>
        <v>19.7850423378265</v>
      </c>
      <c r="F44" s="59">
        <f t="shared" si="0"/>
        <v>25.26120927194906</v>
      </c>
      <c r="G44" s="59">
        <f>SUM(E44*(LOG(E37)/LOG(2)))</f>
        <v>20.218564617024573</v>
      </c>
      <c r="H44" s="59">
        <f t="shared" si="1"/>
        <v>18.581954420383216</v>
      </c>
      <c r="I44" s="6"/>
      <c r="J44" s="113"/>
      <c r="K44" s="52" t="s">
        <v>38</v>
      </c>
      <c r="L44" s="52">
        <f>AVERAGE(C7:C8)</f>
        <v>16.065942606111999</v>
      </c>
      <c r="M44" s="59">
        <f t="shared" si="2"/>
        <v>18.41522879342466</v>
      </c>
      <c r="N44" s="59">
        <f t="shared" si="12"/>
        <v>9.120878099957503</v>
      </c>
      <c r="O44" s="59">
        <f t="shared" si="3"/>
        <v>283.19369944110809</v>
      </c>
      <c r="P44" s="6"/>
      <c r="Q44" s="113"/>
      <c r="R44" s="52" t="s">
        <v>38</v>
      </c>
      <c r="S44" s="52">
        <f>AVERAGE(Q7:Q8)</f>
        <v>23.280611393218351</v>
      </c>
      <c r="T44" s="59">
        <f t="shared" si="4"/>
        <v>48.574995151150574</v>
      </c>
      <c r="U44" s="59">
        <f t="shared" si="16"/>
        <v>108.64922317123752</v>
      </c>
      <c r="V44" s="59">
        <f t="shared" si="5"/>
        <v>5.6622358919867655E-119</v>
      </c>
      <c r="W44" s="6"/>
      <c r="X44" s="113"/>
      <c r="Y44" s="52" t="s">
        <v>38</v>
      </c>
      <c r="Z44" s="52">
        <f>AVERAGE(K10:K11)</f>
        <v>19.769466058373148</v>
      </c>
      <c r="AA44" s="59">
        <f t="shared" si="6"/>
        <v>10.439175642679597</v>
      </c>
      <c r="AB44" s="59">
        <f t="shared" si="13"/>
        <v>19.88938027203486</v>
      </c>
      <c r="AC44" s="59">
        <f t="shared" si="7"/>
        <v>9.6017296563271159</v>
      </c>
      <c r="AD44" s="6"/>
      <c r="AE44" s="113"/>
      <c r="AF44" s="52" t="s">
        <v>38</v>
      </c>
      <c r="AG44" s="52">
        <f>AVERAGE(C13:C14)</f>
        <v>16.947647948445699</v>
      </c>
      <c r="AH44" s="59">
        <f t="shared" si="8"/>
        <v>21.011833683669234</v>
      </c>
      <c r="AI44" s="59">
        <f t="shared" si="14"/>
        <v>17.426752882499208</v>
      </c>
      <c r="AJ44" s="59">
        <f t="shared" si="9"/>
        <v>14.933506729254496</v>
      </c>
      <c r="AK44" s="6"/>
      <c r="AL44" s="113"/>
      <c r="AM44" s="52" t="s">
        <v>38</v>
      </c>
      <c r="AN44" s="52">
        <f>AVERAGE(Q13:Q14)</f>
        <v>19.007870954304948</v>
      </c>
      <c r="AO44" s="59">
        <f t="shared" si="10"/>
        <v>16.05346465142021</v>
      </c>
      <c r="AP44" s="52">
        <f t="shared" si="15"/>
        <v>18.0423409283936</v>
      </c>
      <c r="AQ44" s="59">
        <f t="shared" si="11"/>
        <v>30.301082610343837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28"/>
      <c r="D45" s="52" t="s">
        <v>39</v>
      </c>
      <c r="E45" s="52">
        <f>AVERAGE(L4:L5)</f>
        <v>19.207152112022751</v>
      </c>
      <c r="F45" s="59">
        <f t="shared" si="0"/>
        <v>38.0389240382138</v>
      </c>
      <c r="G45" s="59">
        <f>SUM(E45*(LOG(E37)/LOG(2)))</f>
        <v>19.628011881657336</v>
      </c>
      <c r="H45" s="59">
        <f t="shared" si="1"/>
        <v>28.233244921341214</v>
      </c>
      <c r="I45" s="6"/>
      <c r="J45" s="113"/>
      <c r="K45" s="52" t="s">
        <v>39</v>
      </c>
      <c r="L45" s="52">
        <f>AVERAGE(D7:D8)</f>
        <v>15.646755938626999</v>
      </c>
      <c r="M45" s="59">
        <f t="shared" si="2"/>
        <v>21.717799293729854</v>
      </c>
      <c r="N45" s="59">
        <f t="shared" si="12"/>
        <v>8.8828995020628732</v>
      </c>
      <c r="O45" s="59">
        <f t="shared" si="3"/>
        <v>310.99539329346879</v>
      </c>
      <c r="P45" s="6"/>
      <c r="Q45" s="113"/>
      <c r="R45" s="52" t="s">
        <v>39</v>
      </c>
      <c r="S45" s="52">
        <f>AVERAGE(R7:R8)</f>
        <v>23.033554587574351</v>
      </c>
      <c r="T45" s="59">
        <f t="shared" si="4"/>
        <v>108.01900137286685</v>
      </c>
      <c r="U45" s="59">
        <f t="shared" si="16"/>
        <v>107.49622381228566</v>
      </c>
      <c r="V45" s="59">
        <f t="shared" si="5"/>
        <v>2.3595223238590008E-117</v>
      </c>
      <c r="W45" s="6"/>
      <c r="X45" s="113"/>
      <c r="Y45" s="52" t="s">
        <v>39</v>
      </c>
      <c r="Z45" s="52">
        <f>AVERAGE(L10:L11)</f>
        <v>18.993545127966151</v>
      </c>
      <c r="AA45" s="59">
        <f t="shared" si="6"/>
        <v>17.933227621420521</v>
      </c>
      <c r="AB45" s="59">
        <f t="shared" si="13"/>
        <v>19.108752894424953</v>
      </c>
      <c r="AC45" s="59">
        <f t="shared" si="7"/>
        <v>16.54882279204605</v>
      </c>
      <c r="AD45" s="6"/>
      <c r="AE45" s="113"/>
      <c r="AF45" s="52" t="s">
        <v>39</v>
      </c>
      <c r="AG45" s="52">
        <f>AVERAGE(D13:D14)</f>
        <v>16.489383420816452</v>
      </c>
      <c r="AH45" s="59">
        <f t="shared" si="8"/>
        <v>29.128301901227793</v>
      </c>
      <c r="AI45" s="59">
        <f t="shared" si="14"/>
        <v>16.955533353859984</v>
      </c>
      <c r="AJ45" s="59">
        <f t="shared" si="9"/>
        <v>20.89407291588628</v>
      </c>
      <c r="AK45" s="6"/>
      <c r="AL45" s="113"/>
      <c r="AM45" s="52" t="s">
        <v>39</v>
      </c>
      <c r="AN45" s="52">
        <f>AVERAGE(R13:R14)</f>
        <v>18.502067297899401</v>
      </c>
      <c r="AO45" s="59">
        <f t="shared" si="10"/>
        <v>22.392186085520361</v>
      </c>
      <c r="AP45" s="52">
        <f t="shared" si="15"/>
        <v>17.56223023984591</v>
      </c>
      <c r="AQ45" s="59">
        <f t="shared" si="11"/>
        <v>41.557018985512038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28"/>
      <c r="D46" s="52" t="s">
        <v>40</v>
      </c>
      <c r="E46" s="52">
        <f>AVERAGE(M4:M5)</f>
        <v>19.711042955495149</v>
      </c>
      <c r="F46" s="59">
        <f t="shared" si="0"/>
        <v>26.62062663864527</v>
      </c>
      <c r="G46" s="59">
        <f>SUM(E46*(LOG(E37)/LOG(2)))</f>
        <v>20.142943788535071</v>
      </c>
      <c r="H46" s="59">
        <f t="shared" si="1"/>
        <v>19.604434853991236</v>
      </c>
      <c r="I46" s="6"/>
      <c r="J46" s="113"/>
      <c r="K46" s="52" t="s">
        <v>40</v>
      </c>
      <c r="L46" s="52">
        <f>AVERAGE(E7:E8)</f>
        <v>16.379033156669948</v>
      </c>
      <c r="M46" s="59">
        <f t="shared" si="2"/>
        <v>16.280591213419896</v>
      </c>
      <c r="N46" s="59">
        <f t="shared" si="12"/>
        <v>9.2986243309692611</v>
      </c>
      <c r="O46" s="59">
        <f t="shared" si="3"/>
        <v>264.06259408372932</v>
      </c>
      <c r="P46" s="6"/>
      <c r="Q46" s="113"/>
      <c r="R46" s="52" t="s">
        <v>40</v>
      </c>
      <c r="S46" s="52">
        <f>AVERAGE(S7:S8)</f>
        <v>23.408673621602901</v>
      </c>
      <c r="T46" s="59">
        <f t="shared" si="4"/>
        <v>32.099594647415522</v>
      </c>
      <c r="U46" s="59">
        <f t="shared" si="16"/>
        <v>109.24688194387663</v>
      </c>
      <c r="V46" s="59">
        <f t="shared" si="5"/>
        <v>8.1911280403723896E-120</v>
      </c>
      <c r="W46" s="6"/>
      <c r="X46" s="113"/>
      <c r="Y46" s="52" t="s">
        <v>40</v>
      </c>
      <c r="Z46" s="52">
        <f>AVERAGE(M10:M11)</f>
        <v>19.5163082396707</v>
      </c>
      <c r="AA46" s="59">
        <f t="shared" si="6"/>
        <v>12.454794086061893</v>
      </c>
      <c r="AB46" s="59">
        <f t="shared" si="13"/>
        <v>19.634686892347993</v>
      </c>
      <c r="AC46" s="59">
        <f t="shared" si="7"/>
        <v>11.467925809529271</v>
      </c>
      <c r="AD46" s="6"/>
      <c r="AE46" s="113"/>
      <c r="AF46" s="52" t="s">
        <v>40</v>
      </c>
      <c r="AG46" s="52">
        <f>AVERAGE(E13:E14)</f>
        <v>17.14361551983815</v>
      </c>
      <c r="AH46" s="59">
        <f t="shared" si="8"/>
        <v>18.27275990676203</v>
      </c>
      <c r="AI46" s="59">
        <f t="shared" si="14"/>
        <v>17.628260398470058</v>
      </c>
      <c r="AJ46" s="59">
        <f t="shared" si="9"/>
        <v>12.935617367292911</v>
      </c>
      <c r="AK46" s="6"/>
      <c r="AL46" s="113"/>
      <c r="AM46" s="52" t="s">
        <v>40</v>
      </c>
      <c r="AN46" s="52">
        <f>AVERAGE(S13:S14)</f>
        <v>19.070441447055153</v>
      </c>
      <c r="AO46" s="59">
        <f t="shared" si="10"/>
        <v>15.40600235742227</v>
      </c>
      <c r="AP46" s="52">
        <f t="shared" si="15"/>
        <v>18.101733069942259</v>
      </c>
      <c r="AQ46" s="59">
        <f t="shared" si="11"/>
        <v>29.139863127349571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28"/>
      <c r="D47" s="53" t="s">
        <v>41</v>
      </c>
      <c r="E47" s="53">
        <f>AVERAGE(N4:N5)</f>
        <v>20.714221256010351</v>
      </c>
      <c r="F47" s="60">
        <f t="shared" si="0"/>
        <v>13.080203374478833</v>
      </c>
      <c r="G47" s="60">
        <f>SUM(E47*(LOG(E37)/LOG(2)))</f>
        <v>21.168103348218466</v>
      </c>
      <c r="H47" s="60">
        <f t="shared" si="1"/>
        <v>9.4839344034710038</v>
      </c>
      <c r="I47" s="6"/>
      <c r="J47" s="113"/>
      <c r="K47" s="53" t="s">
        <v>41</v>
      </c>
      <c r="L47" s="53">
        <f>AVERAGE(F7:F8)</f>
        <v>16.699787910835049</v>
      </c>
      <c r="M47" s="60">
        <f t="shared" si="2"/>
        <v>14.350050117437446</v>
      </c>
      <c r="N47" s="60">
        <f t="shared" si="12"/>
        <v>9.4807216460442412</v>
      </c>
      <c r="O47" s="60">
        <f t="shared" si="3"/>
        <v>245.80266476352375</v>
      </c>
      <c r="P47" s="6"/>
      <c r="Q47" s="113"/>
      <c r="R47" s="53" t="s">
        <v>41</v>
      </c>
      <c r="S47" s="53">
        <f>AVERAGE(T7:T8)</f>
        <v>24.1238139224278</v>
      </c>
      <c r="T47" s="60">
        <f t="shared" si="4"/>
        <v>3.1754610951305891</v>
      </c>
      <c r="U47" s="60">
        <f t="shared" si="16"/>
        <v>112.58439902324784</v>
      </c>
      <c r="V47" s="60">
        <f t="shared" si="5"/>
        <v>1.676882516174448E-124</v>
      </c>
      <c r="W47" s="6"/>
      <c r="X47" s="113"/>
      <c r="Y47" s="53" t="s">
        <v>41</v>
      </c>
      <c r="Z47" s="53">
        <f>AVERAGE(N10:N11)</f>
        <v>19.337546304938201</v>
      </c>
      <c r="AA47" s="60">
        <f t="shared" si="6"/>
        <v>14.108331773016895</v>
      </c>
      <c r="AB47" s="60">
        <f t="shared" si="13"/>
        <v>19.45484065433827</v>
      </c>
      <c r="AC47" s="60">
        <f t="shared" si="7"/>
        <v>13.000270072303902</v>
      </c>
      <c r="AD47" s="6"/>
      <c r="AE47" s="113"/>
      <c r="AF47" s="53" t="s">
        <v>41</v>
      </c>
      <c r="AG47" s="53">
        <f>AVERAGE(F13:F14)</f>
        <v>17.199187136305099</v>
      </c>
      <c r="AH47" s="60">
        <f t="shared" si="8"/>
        <v>17.563153960505407</v>
      </c>
      <c r="AI47" s="60">
        <f t="shared" si="14"/>
        <v>17.685403007898604</v>
      </c>
      <c r="AJ47" s="60">
        <f t="shared" si="9"/>
        <v>12.419360569827939</v>
      </c>
      <c r="AK47" s="6"/>
      <c r="AL47" s="113"/>
      <c r="AM47" s="53" t="s">
        <v>41</v>
      </c>
      <c r="AN47" s="53">
        <f>AVERAGE(T13:T14)</f>
        <v>19.127124174696849</v>
      </c>
      <c r="AO47" s="60">
        <f t="shared" si="10"/>
        <v>14.842036889189741</v>
      </c>
      <c r="AP47" s="53">
        <f t="shared" si="15"/>
        <v>18.15553652322334</v>
      </c>
      <c r="AQ47" s="60">
        <f t="shared" si="11"/>
        <v>28.126375762286767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28"/>
      <c r="D48" s="54" t="s">
        <v>42</v>
      </c>
      <c r="E48" s="54">
        <f>AVERAGE(O4:O5)</f>
        <v>21.16313874388895</v>
      </c>
      <c r="F48" s="61">
        <f t="shared" si="0"/>
        <v>9.5173443534325788</v>
      </c>
      <c r="G48" s="61">
        <f>SUM(E48*(LOG(E37)/LOG(2)))</f>
        <v>21.626857344363966</v>
      </c>
      <c r="H48" s="61">
        <f t="shared" si="1"/>
        <v>6.8527338031816312</v>
      </c>
      <c r="I48" s="6"/>
      <c r="J48" s="113"/>
      <c r="K48" s="54" t="s">
        <v>42</v>
      </c>
      <c r="L48" s="54">
        <f>AVERAGE(G7:G8)</f>
        <v>17.83278678288945</v>
      </c>
      <c r="M48" s="61">
        <f t="shared" si="2"/>
        <v>9.1880793135672505</v>
      </c>
      <c r="N48" s="61">
        <f t="shared" si="12"/>
        <v>10.123942206004799</v>
      </c>
      <c r="O48" s="61">
        <f t="shared" si="3"/>
        <v>190.83615660166643</v>
      </c>
      <c r="P48" s="6"/>
      <c r="Q48" s="113"/>
      <c r="R48" s="54" t="s">
        <v>42</v>
      </c>
      <c r="S48" s="54">
        <f>AVERAGE(U7:U8)</f>
        <v>24.714912158882552</v>
      </c>
      <c r="T48" s="61">
        <f t="shared" si="4"/>
        <v>0.46922309284344627</v>
      </c>
      <c r="U48" s="61">
        <f t="shared" si="16"/>
        <v>115.34301919537121</v>
      </c>
      <c r="V48" s="61">
        <f t="shared" si="5"/>
        <v>2.2333020452638674E-128</v>
      </c>
      <c r="W48" s="6"/>
      <c r="X48" s="113"/>
      <c r="Y48" s="54" t="s">
        <v>42</v>
      </c>
      <c r="Z48" s="54">
        <f>AVERAGE(O10:O11)</f>
        <v>19.971546154321651</v>
      </c>
      <c r="AA48" s="61">
        <f t="shared" si="6"/>
        <v>9.0670299256370814</v>
      </c>
      <c r="AB48" s="61">
        <f t="shared" si="13"/>
        <v>20.09268611053659</v>
      </c>
      <c r="AC48" s="61">
        <f t="shared" si="7"/>
        <v>8.3325340079766903</v>
      </c>
      <c r="AD48" s="6"/>
      <c r="AE48" s="113"/>
      <c r="AF48" s="54" t="s">
        <v>42</v>
      </c>
      <c r="AG48" s="54">
        <f>AVERAGE(G13:G14)</f>
        <v>17.969710079117348</v>
      </c>
      <c r="AH48" s="61">
        <f t="shared" si="8"/>
        <v>10.14132774979462</v>
      </c>
      <c r="AI48" s="61">
        <f t="shared" si="14"/>
        <v>18.477708403640356</v>
      </c>
      <c r="AJ48" s="61">
        <f t="shared" si="9"/>
        <v>7.0607202568879615</v>
      </c>
      <c r="AK48" s="6"/>
      <c r="AL48" s="113"/>
      <c r="AM48" s="54" t="s">
        <v>42</v>
      </c>
      <c r="AN48" s="54">
        <f>AVERAGE(U13:U14)</f>
        <v>19.59747305261585</v>
      </c>
      <c r="AO48" s="61">
        <f t="shared" si="10"/>
        <v>10.891723137509382</v>
      </c>
      <c r="AP48" s="54">
        <f t="shared" si="15"/>
        <v>18.601993405801242</v>
      </c>
      <c r="AQ48" s="61">
        <f t="shared" si="11"/>
        <v>20.967358974877918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29"/>
      <c r="D49" s="55" t="s">
        <v>43</v>
      </c>
      <c r="E49" s="55">
        <f>AVERAGE(P4:P5)</f>
        <v>20.372811838416201</v>
      </c>
      <c r="F49" s="62">
        <f t="shared" si="0"/>
        <v>16.658693089156067</v>
      </c>
      <c r="G49" s="62">
        <f>SUM(E49*(LOG(E37)/LOG(2)))</f>
        <v>20.819213098067685</v>
      </c>
      <c r="H49" s="62">
        <f t="shared" si="1"/>
        <v>12.142728114921988</v>
      </c>
      <c r="I49" s="6"/>
      <c r="J49" s="114"/>
      <c r="K49" s="55" t="s">
        <v>43</v>
      </c>
      <c r="L49" s="55">
        <f>AVERAGE(H7:H8)</f>
        <v>16.135191904230449</v>
      </c>
      <c r="M49" s="62">
        <f t="shared" si="2"/>
        <v>17.920183989734134</v>
      </c>
      <c r="N49" s="62">
        <f>SUM(L49*(LOG($J$37)/LOG(2)))</f>
        <v>9.1601919716755376</v>
      </c>
      <c r="O49" s="62">
        <f t="shared" si="3"/>
        <v>278.84629265215415</v>
      </c>
      <c r="P49" s="6"/>
      <c r="Q49" s="114"/>
      <c r="R49" s="55" t="s">
        <v>43</v>
      </c>
      <c r="S49" s="55">
        <f>AVERAGE(V7:V8)</f>
        <v>23.865859849047752</v>
      </c>
      <c r="T49" s="62">
        <f t="shared" si="4"/>
        <v>7.3148199383993129</v>
      </c>
      <c r="U49" s="62">
        <f t="shared" si="16"/>
        <v>111.38054276650182</v>
      </c>
      <c r="V49" s="62">
        <f t="shared" si="5"/>
        <v>8.2373414003173084E-123</v>
      </c>
      <c r="W49" s="6"/>
      <c r="X49" s="114"/>
      <c r="Y49" s="55" t="s">
        <v>43</v>
      </c>
      <c r="Z49" s="55">
        <f>AVERAGE(P10:P11)</f>
        <v>19.560667260996198</v>
      </c>
      <c r="AA49" s="62">
        <f t="shared" si="6"/>
        <v>12.075417608942701</v>
      </c>
      <c r="AB49" s="62">
        <f t="shared" si="13"/>
        <v>19.67931497896566</v>
      </c>
      <c r="AC49" s="62">
        <f t="shared" si="7"/>
        <v>11.116523589945963</v>
      </c>
      <c r="AD49" s="6"/>
      <c r="AE49" s="114"/>
      <c r="AF49" s="55" t="s">
        <v>43</v>
      </c>
      <c r="AG49" s="55">
        <f>AVERAGE(H13:H14)</f>
        <v>17.073485126102547</v>
      </c>
      <c r="AH49" s="62">
        <f t="shared" si="8"/>
        <v>19.209334166320307</v>
      </c>
      <c r="AI49" s="62">
        <f t="shared" si="14"/>
        <v>17.556147439497789</v>
      </c>
      <c r="AJ49" s="62">
        <f t="shared" si="9"/>
        <v>13.617864475169274</v>
      </c>
      <c r="AK49" s="6"/>
      <c r="AL49" s="114"/>
      <c r="AM49" s="55" t="s">
        <v>43</v>
      </c>
      <c r="AN49" s="55">
        <f>AVERAGE(V13:V14)</f>
        <v>19.001844866713249</v>
      </c>
      <c r="AO49" s="62">
        <f t="shared" si="10"/>
        <v>16.117239629090435</v>
      </c>
      <c r="AP49" s="55">
        <f t="shared" si="15"/>
        <v>18.036620943916894</v>
      </c>
      <c r="AQ49" s="62">
        <f t="shared" si="11"/>
        <v>30.415332380167879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6" t="s">
        <v>34</v>
      </c>
      <c r="D50" s="127"/>
      <c r="E50" s="64">
        <f>AVERAGE(Q4:Q5)</f>
        <v>36.136903957502355</v>
      </c>
      <c r="F50" s="63">
        <f t="shared" si="0"/>
        <v>2.3561098787038145E-4</v>
      </c>
      <c r="G50" s="63">
        <f>SUM(E50*(LOG(E37)/LOG(2)))</f>
        <v>36.928721973320627</v>
      </c>
      <c r="H50" s="63">
        <f t="shared" si="1"/>
        <v>1.3446575412010743E-4</v>
      </c>
      <c r="I50" s="6"/>
      <c r="J50" s="126" t="s">
        <v>34</v>
      </c>
      <c r="K50" s="127"/>
      <c r="L50" s="64" t="e">
        <f>AVERAGE(Z4:Z5)</f>
        <v>#DIV/0!</v>
      </c>
      <c r="M50" s="63" t="e">
        <f t="shared" ref="M50:O50" si="17">10^((L50-21.592)/-3.4567)</f>
        <v>#DIV/0!</v>
      </c>
      <c r="N50" s="63" t="e">
        <f>SUM(L50*(LOG($J$37)/LOG(2)))</f>
        <v>#DIV/0!</v>
      </c>
      <c r="O50" s="63" t="e">
        <f t="shared" si="17"/>
        <v>#DIV/0!</v>
      </c>
      <c r="P50" s="6"/>
      <c r="Q50" s="126" t="s">
        <v>34</v>
      </c>
      <c r="R50" s="127"/>
      <c r="S50" s="64">
        <f>AVERAGE(W7:W8)</f>
        <v>33.386566103316852</v>
      </c>
      <c r="T50" s="63">
        <f t="shared" si="4"/>
        <v>3.0808320248016977E-13</v>
      </c>
      <c r="U50" s="63">
        <f t="shared" si="16"/>
        <v>155.81311032652761</v>
      </c>
      <c r="V50" s="63">
        <f t="shared" si="5"/>
        <v>3.1114372538942077E-185</v>
      </c>
      <c r="W50" s="6"/>
      <c r="X50" s="126" t="s">
        <v>34</v>
      </c>
      <c r="Y50" s="127"/>
      <c r="Z50" s="64" t="e">
        <f>AVERAGE(Q10:Q11)</f>
        <v>#DIV/0!</v>
      </c>
      <c r="AA50" s="63" t="e">
        <f t="shared" si="6"/>
        <v>#DIV/0!</v>
      </c>
      <c r="AB50" s="63" t="e">
        <f t="shared" si="13"/>
        <v>#DIV/0!</v>
      </c>
      <c r="AC50" s="63" t="e">
        <f t="shared" si="7"/>
        <v>#DIV/0!</v>
      </c>
      <c r="AD50" s="6"/>
      <c r="AE50" s="110" t="s">
        <v>34</v>
      </c>
      <c r="AF50" s="111"/>
      <c r="AG50" s="64">
        <f>AVERAGE(Z10:Z11)</f>
        <v>35.654729570002601</v>
      </c>
      <c r="AH50" s="63">
        <f t="shared" si="8"/>
        <v>3.4030902702138155E-5</v>
      </c>
      <c r="AI50" s="63">
        <f t="shared" si="14"/>
        <v>36.662678101344291</v>
      </c>
      <c r="AJ50" s="63">
        <f t="shared" si="9"/>
        <v>1.6591018867945913E-5</v>
      </c>
      <c r="AK50" s="6"/>
      <c r="AL50" s="110" t="s">
        <v>34</v>
      </c>
      <c r="AM50" s="111"/>
      <c r="AN50" s="64">
        <f>AVERAGE(W13:W14)</f>
        <v>37.91215223314655</v>
      </c>
      <c r="AO50" s="63">
        <f t="shared" si="10"/>
        <v>6.3662333286331355E-5</v>
      </c>
      <c r="AP50" s="64">
        <f t="shared" si="15"/>
        <v>35.986354156338031</v>
      </c>
      <c r="AQ50" s="63">
        <f t="shared" si="11"/>
        <v>2.2602565698884192E-4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7">
        <f>AVERAGE(E41:E49)</f>
        <v>20.21680621592175</v>
      </c>
      <c r="F51" s="87">
        <f>AVERAGE(F41:F49)</f>
        <v>20.418008849427334</v>
      </c>
      <c r="G51" s="87">
        <f>AVERAGE(G41:G49)</f>
        <v>20.659789140051039</v>
      </c>
      <c r="H51" s="87">
        <f>AVERAGE(H41:H49)</f>
        <v>14.979363208038912</v>
      </c>
      <c r="I51" s="6"/>
      <c r="J51" s="108" t="s">
        <v>84</v>
      </c>
      <c r="K51" s="109"/>
      <c r="L51" s="87">
        <f>AVERAGE(L41:L49)</f>
        <v>16.896548968969885</v>
      </c>
      <c r="M51" s="87">
        <f>AVERAGE(M41:M49)</f>
        <v>14.439362861137941</v>
      </c>
      <c r="N51" s="87">
        <f>AVERAGE(N41:N49)</f>
        <v>9.5924258684521906</v>
      </c>
      <c r="O51" s="87">
        <f>AVERAGE(O41:O49)</f>
        <v>242.22116936745365</v>
      </c>
      <c r="P51" s="6"/>
      <c r="Q51" s="108" t="s">
        <v>84</v>
      </c>
      <c r="R51" s="109"/>
      <c r="S51" s="87">
        <f>AVERAGE(S41:S49)</f>
        <v>23.766466663878514</v>
      </c>
      <c r="T51" s="87">
        <f>AVERAGE(T41:T49)</f>
        <v>26.494469681899272</v>
      </c>
      <c r="U51" s="87">
        <f>AVERAGE(U41:U49)</f>
        <v>110.91668070657761</v>
      </c>
      <c r="V51" s="87">
        <f>AVERAGE(V41:V49)</f>
        <v>2.699730746526653E-118</v>
      </c>
      <c r="W51" s="6"/>
      <c r="X51" s="108" t="s">
        <v>84</v>
      </c>
      <c r="Y51" s="109"/>
      <c r="Z51" s="87">
        <f>AVERAGE(Z41:Z49)</f>
        <v>19.616293669109901</v>
      </c>
      <c r="AA51" s="87">
        <f>AVERAGE(AA41:AA49)</f>
        <v>11.915787916447881</v>
      </c>
      <c r="AB51" s="87">
        <f>AVERAGE(AB41:AB49)</f>
        <v>19.735278796140793</v>
      </c>
      <c r="AC51" s="87">
        <f>AVERAGE(AC41:AC49)</f>
        <v>10.970406632762559</v>
      </c>
      <c r="AD51" s="6"/>
      <c r="AE51" s="108" t="s">
        <v>84</v>
      </c>
      <c r="AF51" s="109"/>
      <c r="AG51" s="87">
        <f>AVERAGE(AG41:AG49)</f>
        <v>17.347576594569951</v>
      </c>
      <c r="AH51" s="87">
        <f>AVERAGE(AH41:AH49)</f>
        <v>16.896237023195123</v>
      </c>
      <c r="AI51" s="87">
        <f>AVERAGE(AI41:AI49)</f>
        <v>17.837987391726724</v>
      </c>
      <c r="AJ51" s="87">
        <f>AVERAGE(AJ41:AJ49)</f>
        <v>11.956904407563922</v>
      </c>
      <c r="AK51" s="6"/>
      <c r="AL51" s="108" t="s">
        <v>84</v>
      </c>
      <c r="AM51" s="109"/>
      <c r="AN51" s="87">
        <f>AVERAGE(AN41:AN49)</f>
        <v>19.231115498876072</v>
      </c>
      <c r="AO51" s="87">
        <f>AVERAGE(AO41:AO49)</f>
        <v>14.326961401325349</v>
      </c>
      <c r="AP51" s="87">
        <f>AVERAGE(AP41:AP49)</f>
        <v>18.254245470108931</v>
      </c>
      <c r="AQ51" s="87">
        <f>AVERAGE(AQ41:AQ49)</f>
        <v>27.155586399032742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7">
        <f>(E53/SQRT(9))</f>
        <v>0.20522739789099967</v>
      </c>
      <c r="F52" s="87">
        <f>(F53/SQRT(9))</f>
        <v>2.9059290904634145</v>
      </c>
      <c r="G52" s="87">
        <f>(G53/SQRT(9))</f>
        <v>0.20972426212653886</v>
      </c>
      <c r="H52" s="87">
        <f>(H53/SQRT(9))</f>
        <v>2.1771062324363069</v>
      </c>
      <c r="I52" s="6"/>
      <c r="J52" s="108" t="s">
        <v>85</v>
      </c>
      <c r="K52" s="109"/>
      <c r="L52" s="87">
        <f>(L53/SQRT(9))</f>
        <v>0.38150809581932726</v>
      </c>
      <c r="M52" s="87">
        <f>(M53/SQRT(9))</f>
        <v>1.6621810403835235</v>
      </c>
      <c r="N52" s="87">
        <f>(N53/SQRT(9))</f>
        <v>0.21658790407922937</v>
      </c>
      <c r="O52" s="87">
        <f>(O53/SQRT(9))</f>
        <v>17.627150088200384</v>
      </c>
      <c r="P52" s="6"/>
      <c r="Q52" s="108" t="s">
        <v>85</v>
      </c>
      <c r="R52" s="109"/>
      <c r="S52" s="87">
        <f>(S53/SQRT(9))</f>
        <v>0.16454048951083622</v>
      </c>
      <c r="T52" s="87">
        <f>(T53/SQRT(9))</f>
        <v>10.951903706616768</v>
      </c>
      <c r="U52" s="87">
        <f>(U53/SQRT(9))</f>
        <v>0.76790063901737271</v>
      </c>
      <c r="V52" s="87">
        <f>(V53/SQRT(9))</f>
        <v>2.4632305638496924E-118</v>
      </c>
      <c r="W52" s="6"/>
      <c r="X52" s="108" t="s">
        <v>85</v>
      </c>
      <c r="Y52" s="109"/>
      <c r="Z52" s="87">
        <f>(Z53/SQRT(9))</f>
        <v>0.10733192806980364</v>
      </c>
      <c r="AA52" s="87">
        <f>(AA53/SQRT(9))</f>
        <v>0.91563393017600891</v>
      </c>
      <c r="AB52" s="87">
        <f>(AB53/SQRT(9))</f>
        <v>0.10798296354629471</v>
      </c>
      <c r="AC52" s="87">
        <f>(AC53/SQRT(9))</f>
        <v>0.84827723412391487</v>
      </c>
      <c r="AD52" s="6"/>
      <c r="AE52" s="108" t="s">
        <v>85</v>
      </c>
      <c r="AF52" s="109"/>
      <c r="AG52" s="87">
        <f>(AG53/SQRT(9))</f>
        <v>0.1742304477782243</v>
      </c>
      <c r="AH52" s="87">
        <f>(AH53/SQRT(9))</f>
        <v>2.0160948786394783</v>
      </c>
      <c r="AI52" s="87">
        <f>(AI53/SQRT(9))</f>
        <v>0.17915589037927607</v>
      </c>
      <c r="AJ52" s="87">
        <f>(AJ53/SQRT(9))</f>
        <v>1.4653960584738834</v>
      </c>
      <c r="AK52" s="6"/>
      <c r="AL52" s="108" t="s">
        <v>85</v>
      </c>
      <c r="AM52" s="109"/>
      <c r="AN52" s="87">
        <f>(AN53/SQRT(9))</f>
        <v>0.13000369281581872</v>
      </c>
      <c r="AO52" s="87">
        <f>(AO53/SQRT(9))</f>
        <v>1.2472036225980188</v>
      </c>
      <c r="AP52" s="87">
        <f>(AP53/SQRT(9))</f>
        <v>0.12339998274251372</v>
      </c>
      <c r="AQ52" s="87">
        <f>(AQ53/SQRT(9))</f>
        <v>2.2413897734188883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7">
        <f>_xlfn.STDEV.P(E41:E49)</f>
        <v>0.61568219367299903</v>
      </c>
      <c r="F53" s="87">
        <f>_xlfn.STDEV.P(F41:F49)</f>
        <v>8.7177872713902431</v>
      </c>
      <c r="G53" s="87">
        <f>_xlfn.STDEV.P(G41:G49)</f>
        <v>0.6291727863796166</v>
      </c>
      <c r="H53" s="87">
        <f>_xlfn.STDEV.P(H41:H49)</f>
        <v>6.5313186973089206</v>
      </c>
      <c r="I53" s="6"/>
      <c r="J53" s="108" t="s">
        <v>86</v>
      </c>
      <c r="K53" s="109"/>
      <c r="L53" s="87">
        <f>_xlfn.STDEV.P(L41:L49)</f>
        <v>1.1445242874579817</v>
      </c>
      <c r="M53" s="87">
        <f>_xlfn.STDEV.P(M41:M49)</f>
        <v>4.9865431211505706</v>
      </c>
      <c r="N53" s="87">
        <f>_xlfn.STDEV.P(N41:N49)</f>
        <v>0.64976371223768814</v>
      </c>
      <c r="O53" s="87">
        <f>_xlfn.STDEV.P(O41:O49)</f>
        <v>52.881450264601149</v>
      </c>
      <c r="P53" s="6"/>
      <c r="Q53" s="108" t="s">
        <v>86</v>
      </c>
      <c r="R53" s="109"/>
      <c r="S53" s="87">
        <f>_xlfn.STDEV.P(S41:S49)</f>
        <v>0.49362146853250866</v>
      </c>
      <c r="T53" s="87">
        <f>_xlfn.STDEV.P(T41:T49)</f>
        <v>32.855711119850305</v>
      </c>
      <c r="U53" s="87">
        <f>_xlfn.STDEV.P(U41:U49)</f>
        <v>2.303701917052118</v>
      </c>
      <c r="V53" s="87">
        <f>_xlfn.STDEV.P(V41:V49)</f>
        <v>7.3896916915490772E-118</v>
      </c>
      <c r="W53" s="6"/>
      <c r="X53" s="108" t="s">
        <v>86</v>
      </c>
      <c r="Y53" s="109"/>
      <c r="Z53" s="87">
        <f>_xlfn.STDEV.P(Z41:Z49)</f>
        <v>0.32199578420941094</v>
      </c>
      <c r="AA53" s="87">
        <f>_xlfn.STDEV.P(AA41:AA49)</f>
        <v>2.7469017905280269</v>
      </c>
      <c r="AB53" s="87">
        <f>_xlfn.STDEV.P(AB41:AB49)</f>
        <v>0.3239488906388841</v>
      </c>
      <c r="AC53" s="87">
        <f>_xlfn.STDEV.P(AC41:AC49)</f>
        <v>2.5448317023717446</v>
      </c>
      <c r="AD53" s="6"/>
      <c r="AE53" s="108" t="s">
        <v>86</v>
      </c>
      <c r="AF53" s="109"/>
      <c r="AG53" s="87">
        <f>_xlfn.STDEV.P(AG41:AG49)</f>
        <v>0.52269134333467293</v>
      </c>
      <c r="AH53" s="87">
        <f>_xlfn.STDEV.P(AH41:AH49)</f>
        <v>6.048284635918435</v>
      </c>
      <c r="AI53" s="87">
        <f>_xlfn.STDEV.P(AI41:AI49)</f>
        <v>0.53746767113782823</v>
      </c>
      <c r="AJ53" s="87">
        <f>_xlfn.STDEV.P(AJ41:AJ49)</f>
        <v>4.3961881754216501</v>
      </c>
      <c r="AK53" s="6"/>
      <c r="AL53" s="108" t="s">
        <v>86</v>
      </c>
      <c r="AM53" s="109"/>
      <c r="AN53" s="87">
        <f>_xlfn.STDEV.P(AN41:AN49)</f>
        <v>0.39001107844745619</v>
      </c>
      <c r="AO53" s="87">
        <f>_xlfn.STDEV.P(AO41:AO49)</f>
        <v>3.7416108677940563</v>
      </c>
      <c r="AP53" s="87">
        <f>_xlfn.STDEV.P(AP41:AP49)</f>
        <v>0.37019994822754115</v>
      </c>
      <c r="AQ53" s="87">
        <f>_xlfn.STDEV.P(AQ41:AQ49)</f>
        <v>6.7241693202566646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7">
        <f>SUM(E53/E51)</f>
        <v>3.0453979085386811E-2</v>
      </c>
      <c r="F54" s="87">
        <f>SUM(F53/F51)</f>
        <v>0.42696559374029031</v>
      </c>
      <c r="G54" s="87">
        <f>SUM(G53/G51)</f>
        <v>3.0453979085386843E-2</v>
      </c>
      <c r="H54" s="87">
        <f>SUM(H53/H51)</f>
        <v>0.43602111829452039</v>
      </c>
      <c r="I54" s="6"/>
      <c r="J54" s="108" t="s">
        <v>87</v>
      </c>
      <c r="K54" s="109"/>
      <c r="L54" s="87">
        <f>SUM(L53/L51)</f>
        <v>6.7737162751984076E-2</v>
      </c>
      <c r="M54" s="87">
        <f>SUM(M53/M51)</f>
        <v>0.34534370865984249</v>
      </c>
      <c r="N54" s="87">
        <f>SUM(N53/N51)</f>
        <v>6.7737162751984062E-2</v>
      </c>
      <c r="O54" s="87">
        <f>SUM(O53/O51)</f>
        <v>0.21831886289170327</v>
      </c>
      <c r="P54" s="6"/>
      <c r="Q54" s="108" t="s">
        <v>87</v>
      </c>
      <c r="R54" s="109"/>
      <c r="S54" s="87">
        <f>SUM(S53/S51)</f>
        <v>2.0769661536720545E-2</v>
      </c>
      <c r="T54" s="87">
        <f>SUM(T53/T51)</f>
        <v>1.2400969528481245</v>
      </c>
      <c r="U54" s="87">
        <f>SUM(U53/U51)</f>
        <v>2.0769661536720538E-2</v>
      </c>
      <c r="V54" s="87">
        <f>SUM(V53/V51)</f>
        <v>2.7371958114920565</v>
      </c>
      <c r="W54" s="6"/>
      <c r="X54" s="108" t="s">
        <v>87</v>
      </c>
      <c r="Y54" s="109"/>
      <c r="Z54" s="87">
        <f>SUM(Z53/Z51)</f>
        <v>1.6414710629891464E-2</v>
      </c>
      <c r="AA54" s="87">
        <f>SUM(AA53/AA51)</f>
        <v>0.23052624046256803</v>
      </c>
      <c r="AB54" s="87">
        <f>SUM(AB53/AB51)</f>
        <v>1.6414710629891475E-2</v>
      </c>
      <c r="AC54" s="87">
        <f>SUM(AC53/AC51)</f>
        <v>0.23197241338089827</v>
      </c>
      <c r="AD54" s="6"/>
      <c r="AE54" s="108" t="s">
        <v>87</v>
      </c>
      <c r="AF54" s="109"/>
      <c r="AG54" s="87">
        <f>SUM(AG53/AG51)</f>
        <v>3.0130510765306727E-2</v>
      </c>
      <c r="AH54" s="87">
        <f>SUM(AH53/AH51)</f>
        <v>0.35796637012225629</v>
      </c>
      <c r="AI54" s="87">
        <f>SUM(AI53/AI51)</f>
        <v>3.0130510765306755E-2</v>
      </c>
      <c r="AJ54" s="87">
        <f>SUM(AJ53/AJ51)</f>
        <v>0.36766942559485777</v>
      </c>
      <c r="AK54" s="6"/>
      <c r="AL54" s="108" t="s">
        <v>87</v>
      </c>
      <c r="AM54" s="109"/>
      <c r="AN54" s="87">
        <f>SUM(AN53/AN51)</f>
        <v>2.0280210914975248E-2</v>
      </c>
      <c r="AO54" s="87">
        <f>SUM(AO53/AO51)</f>
        <v>0.26115871767812049</v>
      </c>
      <c r="AP54" s="87">
        <f>SUM(AP53/AP51)</f>
        <v>2.0280210914975279E-2</v>
      </c>
      <c r="AQ54" s="87">
        <f>SUM(AQ53/AQ51)</f>
        <v>0.24761642858488128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5" t="s">
        <v>48</v>
      </c>
      <c r="D56" s="125"/>
      <c r="E56" s="125"/>
      <c r="F56" s="6"/>
      <c r="G56" s="6"/>
      <c r="H56" s="125" t="s">
        <v>23</v>
      </c>
      <c r="I56" s="125"/>
      <c r="J56" s="125"/>
      <c r="K56" s="6"/>
      <c r="L56" s="6"/>
      <c r="M56" s="125" t="s">
        <v>27</v>
      </c>
      <c r="N56" s="125"/>
      <c r="O56" s="125"/>
      <c r="P56" s="6"/>
      <c r="Q56" s="6"/>
      <c r="R56" s="125" t="s">
        <v>24</v>
      </c>
      <c r="S56" s="125"/>
      <c r="T56" s="125"/>
      <c r="U56" s="6"/>
      <c r="V56" s="6"/>
      <c r="W56" s="125"/>
      <c r="X56" s="125"/>
      <c r="Y56" s="125"/>
      <c r="Z56" s="6"/>
      <c r="AA56" s="6"/>
      <c r="AB56" s="125" t="s">
        <v>25</v>
      </c>
      <c r="AC56" s="125"/>
      <c r="AD56" s="12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7" t="s">
        <v>47</v>
      </c>
      <c r="D57" s="118"/>
      <c r="E57" s="119"/>
      <c r="F57" s="6"/>
      <c r="G57" s="6"/>
      <c r="H57" s="120" t="s">
        <v>47</v>
      </c>
      <c r="I57" s="121"/>
      <c r="J57" s="122"/>
      <c r="K57" s="6"/>
      <c r="L57" s="6"/>
      <c r="M57" s="120" t="s">
        <v>47</v>
      </c>
      <c r="N57" s="121"/>
      <c r="O57" s="122"/>
      <c r="P57" s="6"/>
      <c r="Q57" s="6"/>
      <c r="R57" s="120" t="s">
        <v>47</v>
      </c>
      <c r="S57" s="123"/>
      <c r="T57" s="124"/>
      <c r="U57" s="6"/>
      <c r="V57" s="6"/>
      <c r="W57" s="120"/>
      <c r="X57" s="121"/>
      <c r="Y57" s="122"/>
      <c r="Z57" s="6"/>
      <c r="AA57" s="6"/>
      <c r="AB57" s="120" t="s">
        <v>47</v>
      </c>
      <c r="AC57" s="121"/>
      <c r="AD57" s="122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29.437220139571149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30.545638104216899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26.1395653068633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28.057140034353502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30.402106259092697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28.3596480782359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28.710395155380748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25.334628776448902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25.648444157997702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28.989086623063848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27.238851695314001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27.04785838117575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23.964102945544351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23.446983729827252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28.70944263348585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25.812291434965999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25.06254230601785</v>
      </c>
      <c r="L62" s="6"/>
      <c r="M62" s="65">
        <v>4</v>
      </c>
      <c r="N62" s="66">
        <f>LOG(M62)</f>
        <v>0.6020599913279624</v>
      </c>
      <c r="O62" s="67">
        <f>AVERAGE(L19:L20)</f>
        <v>21.705758437714749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21.027125291652801</v>
      </c>
      <c r="U62" s="6"/>
      <c r="V62" s="6"/>
      <c r="W62" s="65"/>
      <c r="X62" s="66"/>
      <c r="Y62" s="67"/>
      <c r="AA62" s="6"/>
      <c r="AB62" s="65">
        <v>4</v>
      </c>
      <c r="AC62" s="66">
        <f>LOG(AB62)</f>
        <v>0.6020599913279624</v>
      </c>
      <c r="AD62" s="67">
        <f>AVERAGE(L25:L26)</f>
        <v>28.867779010527599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23.373100165803201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22.836617294278248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19.644681608375301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18.526176776219451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27.065309534939999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7">
        <f>(10^(-1/-2.0996)-1)*100</f>
        <v>199.42026915256102</v>
      </c>
      <c r="F64" s="6"/>
      <c r="G64" s="6"/>
      <c r="H64" s="106" t="s">
        <v>46</v>
      </c>
      <c r="I64" s="107"/>
      <c r="J64" s="37">
        <f>(10^(-1/-2.7277)-1)*100</f>
        <v>132.59974336458919</v>
      </c>
      <c r="K64" s="6"/>
      <c r="L64" s="6"/>
      <c r="M64" s="106" t="s">
        <v>46</v>
      </c>
      <c r="N64" s="107"/>
      <c r="O64" s="37">
        <f>(10^(-1/-2.3776)-1)*100</f>
        <v>163.38570102715585</v>
      </c>
      <c r="P64" s="6"/>
      <c r="Q64" s="6"/>
      <c r="R64" s="106" t="s">
        <v>46</v>
      </c>
      <c r="S64" s="107"/>
      <c r="T64" s="37">
        <f>(10^(-1/-3.3883)-1)*100</f>
        <v>97.302801875127102</v>
      </c>
      <c r="U64" s="6"/>
      <c r="V64" s="6"/>
      <c r="W64" s="106"/>
      <c r="X64" s="107"/>
      <c r="Y64" s="37"/>
      <c r="Z64" s="6"/>
      <c r="AA64" s="6"/>
      <c r="AB64" s="115" t="s">
        <v>46</v>
      </c>
      <c r="AC64" s="116"/>
      <c r="AD64" s="37">
        <f>(10^(-1/-0.9721)-1)*100</f>
        <v>968.31850453610127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60</v>
      </c>
      <c r="D65" s="107"/>
      <c r="E65" s="37">
        <f>SUM(E64/100)+1</f>
        <v>2.9942026915256101</v>
      </c>
      <c r="F65" s="6"/>
      <c r="G65" s="6"/>
      <c r="H65" s="106" t="s">
        <v>60</v>
      </c>
      <c r="I65" s="107"/>
      <c r="J65" s="37">
        <f>SUM(J64/100)+1</f>
        <v>2.3259974336458917</v>
      </c>
      <c r="K65" s="6"/>
      <c r="L65" s="6"/>
      <c r="M65" s="106" t="s">
        <v>60</v>
      </c>
      <c r="N65" s="107"/>
      <c r="O65" s="37">
        <f>SUM(O64/100)+1</f>
        <v>2.6338570102715586</v>
      </c>
      <c r="P65" s="6"/>
      <c r="Q65" s="6"/>
      <c r="R65" s="106" t="s">
        <v>60</v>
      </c>
      <c r="S65" s="107"/>
      <c r="T65" s="37">
        <f>SUM(T64/100)+1</f>
        <v>1.973028018751271</v>
      </c>
      <c r="U65" s="6"/>
      <c r="V65" s="6"/>
      <c r="W65" s="106"/>
      <c r="X65" s="107"/>
      <c r="Y65" s="37"/>
      <c r="Z65" s="6"/>
      <c r="AA65" s="6"/>
      <c r="AB65" s="106" t="s">
        <v>60</v>
      </c>
      <c r="AC65" s="107"/>
      <c r="AD65" s="37">
        <f>SUM(AD64/100)+1</f>
        <v>10.683185045361013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3" t="s">
        <v>111</v>
      </c>
      <c r="D67" s="104"/>
      <c r="E67" s="104"/>
      <c r="F67" s="104"/>
      <c r="G67" s="104"/>
      <c r="H67" s="105"/>
      <c r="I67" s="6"/>
      <c r="J67" s="103" t="s">
        <v>112</v>
      </c>
      <c r="K67" s="104"/>
      <c r="L67" s="104"/>
      <c r="M67" s="104"/>
      <c r="N67" s="104"/>
      <c r="O67" s="105"/>
      <c r="P67" s="6"/>
      <c r="Q67" s="103" t="s">
        <v>113</v>
      </c>
      <c r="R67" s="104"/>
      <c r="S67" s="104"/>
      <c r="T67" s="104"/>
      <c r="U67" s="104"/>
      <c r="V67" s="105"/>
      <c r="W67" s="6"/>
      <c r="X67" s="103" t="s">
        <v>114</v>
      </c>
      <c r="Y67" s="104"/>
      <c r="Z67" s="104"/>
      <c r="AA67" s="104"/>
      <c r="AB67" s="104"/>
      <c r="AC67" s="105"/>
      <c r="AD67" s="6"/>
      <c r="AE67" s="103"/>
      <c r="AF67" s="104"/>
      <c r="AG67" s="104"/>
      <c r="AH67" s="104"/>
      <c r="AI67" s="104"/>
      <c r="AJ67" s="105"/>
      <c r="AK67" s="6"/>
      <c r="AL67" s="103" t="s">
        <v>115</v>
      </c>
      <c r="AM67" s="104"/>
      <c r="AN67" s="104"/>
      <c r="AO67" s="104"/>
      <c r="AP67" s="104"/>
      <c r="AQ67" s="105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3" t="s">
        <v>61</v>
      </c>
      <c r="E68" s="83" t="s">
        <v>63</v>
      </c>
      <c r="F68" s="83" t="s">
        <v>65</v>
      </c>
      <c r="G68" s="84" t="s">
        <v>67</v>
      </c>
      <c r="H68" s="82" t="s">
        <v>69</v>
      </c>
      <c r="I68" s="6"/>
      <c r="J68" s="112" t="s">
        <v>23</v>
      </c>
      <c r="K68" s="83" t="s">
        <v>61</v>
      </c>
      <c r="L68" s="83" t="s">
        <v>63</v>
      </c>
      <c r="M68" s="83" t="s">
        <v>65</v>
      </c>
      <c r="N68" s="84" t="s">
        <v>67</v>
      </c>
      <c r="O68" s="82" t="s">
        <v>69</v>
      </c>
      <c r="P68" s="6"/>
      <c r="Q68" s="112" t="s">
        <v>27</v>
      </c>
      <c r="R68" s="83" t="s">
        <v>61</v>
      </c>
      <c r="S68" s="83" t="s">
        <v>63</v>
      </c>
      <c r="T68" s="83" t="s">
        <v>65</v>
      </c>
      <c r="U68" s="84" t="s">
        <v>67</v>
      </c>
      <c r="V68" s="82" t="s">
        <v>69</v>
      </c>
      <c r="W68" s="6"/>
      <c r="X68" s="112" t="s">
        <v>24</v>
      </c>
      <c r="Y68" s="83" t="s">
        <v>61</v>
      </c>
      <c r="Z68" s="83" t="s">
        <v>63</v>
      </c>
      <c r="AA68" s="83" t="s">
        <v>65</v>
      </c>
      <c r="AB68" s="84" t="s">
        <v>67</v>
      </c>
      <c r="AC68" s="82" t="s">
        <v>69</v>
      </c>
      <c r="AD68" s="6"/>
      <c r="AE68" s="112"/>
      <c r="AF68" s="83"/>
      <c r="AG68" s="83"/>
      <c r="AH68" s="83"/>
      <c r="AI68" s="84"/>
      <c r="AJ68" s="82"/>
      <c r="AK68" s="6"/>
      <c r="AL68" s="112" t="s">
        <v>25</v>
      </c>
      <c r="AM68" s="83" t="s">
        <v>61</v>
      </c>
      <c r="AN68" s="83" t="s">
        <v>63</v>
      </c>
      <c r="AO68" s="83" t="s">
        <v>65</v>
      </c>
      <c r="AP68" s="84" t="s">
        <v>67</v>
      </c>
      <c r="AQ68" s="82" t="s">
        <v>69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9" t="s">
        <v>35</v>
      </c>
      <c r="E69" s="49">
        <f>AVERAGE(H16:H17)</f>
        <v>24.016177850654149</v>
      </c>
      <c r="F69" s="56">
        <f t="shared" ref="F69:F78" si="18">10^((E69-26.641)/-2.0996)</f>
        <v>17.789077766459879</v>
      </c>
      <c r="G69" s="57">
        <f>SUM(E69*(LOG(E65)/LOG(2)))</f>
        <v>37.99772143927396</v>
      </c>
      <c r="H69" s="56">
        <f t="shared" ref="H69:H78" si="19">10^((G69-26.641)/-2.0996)</f>
        <v>3.8994838454575183E-6</v>
      </c>
      <c r="I69" s="6"/>
      <c r="J69" s="113"/>
      <c r="K69" s="49" t="s">
        <v>35</v>
      </c>
      <c r="L69" s="49">
        <f>AVERAGE(W16:W17)</f>
        <v>23.3244489895195</v>
      </c>
      <c r="M69" s="56">
        <f t="shared" ref="M69:M78" si="20">10^((L69-26.576)/-2.7277)</f>
        <v>15.561398208120716</v>
      </c>
      <c r="N69" s="57">
        <f>SUM(L69*(LOG($J$65)/LOG(2)))</f>
        <v>28.405668657129446</v>
      </c>
      <c r="O69" s="56">
        <f t="shared" ref="O69:O78" si="21">10^((N69-26.576)/-2.7277)</f>
        <v>0.21341580562014786</v>
      </c>
      <c r="P69" s="6"/>
      <c r="Q69" s="113"/>
      <c r="R69" s="49" t="s">
        <v>35</v>
      </c>
      <c r="S69" s="49">
        <f>AVERAGE(N19:N20)</f>
        <v>20.3350899763198</v>
      </c>
      <c r="T69" s="56">
        <f t="shared" ref="T69:T78" si="22">10^((S69-23.127)/-2.3776)</f>
        <v>14.936731070461303</v>
      </c>
      <c r="U69" s="57">
        <f>SUM(S69*(LOG($O$65)/LOG(2)))</f>
        <v>28.41172051833745</v>
      </c>
      <c r="V69" s="56">
        <f t="shared" ref="V69:V78" si="23">10^((U69-23.127)/-2.3776)</f>
        <v>5.9880828913010152E-3</v>
      </c>
      <c r="W69" s="6"/>
      <c r="X69" s="113"/>
      <c r="Y69" s="49" t="s">
        <v>35</v>
      </c>
      <c r="Z69" s="49">
        <f>AVERAGE(H22:H23)</f>
        <v>21.19590765256045</v>
      </c>
      <c r="AA69" s="56">
        <f t="shared" ref="AA69:AA78" si="24">10^((Z69-23.013)/-3.3883)</f>
        <v>3.4378298241281842</v>
      </c>
      <c r="AB69" s="57">
        <f>SUM(Z69*(LOG($T$65)/LOG(2)))</f>
        <v>20.780710423421361</v>
      </c>
      <c r="AC69" s="56">
        <f t="shared" ref="AC69:AC78" si="25">10^((AB69-23.013)/-3.3883)</f>
        <v>4.5585097037351154</v>
      </c>
      <c r="AD69" s="6"/>
      <c r="AE69" s="113"/>
      <c r="AF69" s="49"/>
      <c r="AG69" s="49"/>
      <c r="AH69" s="56"/>
      <c r="AI69" s="57"/>
      <c r="AJ69" s="56"/>
      <c r="AK69" s="6"/>
      <c r="AL69" s="113"/>
      <c r="AM69" s="49" t="s">
        <v>35</v>
      </c>
      <c r="AN69" s="49">
        <f>AVERAGE(N25:N26)</f>
        <v>28.750791776149597</v>
      </c>
      <c r="AO69" s="56">
        <f t="shared" ref="AO69:AO78" si="26">10^((AN69-28.713)/-0.9721)</f>
        <v>0.91437337466655899</v>
      </c>
      <c r="AP69" s="57">
        <f>SUM(AN69*(LOG($AD$65)/LOG(2)))</f>
        <v>98.249216080082164</v>
      </c>
      <c r="AQ69" s="56">
        <f t="shared" ref="AQ69:AQ78" si="27">10^((AP69-28.713)/-0.9721)</f>
        <v>2.9379357916722589E-72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50" t="s">
        <v>36</v>
      </c>
      <c r="E70" s="50">
        <f>AVERAGE(I16:I17)</f>
        <v>25.223704929579448</v>
      </c>
      <c r="F70" s="57">
        <f t="shared" si="18"/>
        <v>4.7318502485403613</v>
      </c>
      <c r="G70" s="57">
        <f>SUM(E70*(LOG(E65)/LOG(2)))</f>
        <v>39.908236836882658</v>
      </c>
      <c r="H70" s="57">
        <f t="shared" si="19"/>
        <v>4.798047754719801E-7</v>
      </c>
      <c r="I70" s="6"/>
      <c r="J70" s="113"/>
      <c r="K70" s="50" t="s">
        <v>36</v>
      </c>
      <c r="L70" s="50">
        <f>AVERAGE(X16:X17)</f>
        <v>24.09355856024435</v>
      </c>
      <c r="M70" s="57">
        <f t="shared" si="20"/>
        <v>8.1299139292725222</v>
      </c>
      <c r="N70" s="57">
        <f t="shared" ref="N70:N78" si="28">SUM(L70*(LOG($J$65)/LOG(2)))</f>
        <v>29.342328367155343</v>
      </c>
      <c r="O70" s="57">
        <f t="shared" si="21"/>
        <v>9.6791781651536402E-2</v>
      </c>
      <c r="P70" s="6"/>
      <c r="Q70" s="113"/>
      <c r="R70" s="50" t="s">
        <v>36</v>
      </c>
      <c r="S70" s="50">
        <f>AVERAGE(O19:O20)</f>
        <v>21.1591572101091</v>
      </c>
      <c r="T70" s="57">
        <f t="shared" si="22"/>
        <v>6.724489442420488</v>
      </c>
      <c r="U70" s="57">
        <f t="shared" ref="U70:U78" si="29">SUM(S70*(LOG($O$65)/LOG(2)))</f>
        <v>29.563088324528898</v>
      </c>
      <c r="V70" s="57">
        <f t="shared" si="23"/>
        <v>1.9635026513356284E-3</v>
      </c>
      <c r="W70" s="6"/>
      <c r="X70" s="113"/>
      <c r="Y70" s="50" t="s">
        <v>36</v>
      </c>
      <c r="Z70" s="50">
        <f>AVERAGE(I22:I23)</f>
        <v>21.811729728019749</v>
      </c>
      <c r="AA70" s="57">
        <f t="shared" si="24"/>
        <v>2.2622198181440161</v>
      </c>
      <c r="AB70" s="57">
        <f t="shared" ref="AB70:AB78" si="30">SUM(Z70*(LOG($T$65)/LOG(2)))</f>
        <v>21.384469433520849</v>
      </c>
      <c r="AC70" s="57">
        <f t="shared" si="25"/>
        <v>3.0243602623356582</v>
      </c>
      <c r="AD70" s="6"/>
      <c r="AE70" s="113"/>
      <c r="AF70" s="50"/>
      <c r="AG70" s="50"/>
      <c r="AH70" s="57"/>
      <c r="AI70" s="57"/>
      <c r="AJ70" s="57"/>
      <c r="AK70" s="6"/>
      <c r="AL70" s="113"/>
      <c r="AM70" s="50" t="s">
        <v>36</v>
      </c>
      <c r="AN70" s="50">
        <f>AVERAGE(O25:O26)</f>
        <v>30.363716393000651</v>
      </c>
      <c r="AO70" s="57">
        <f t="shared" si="26"/>
        <v>2.0040419438520165E-2</v>
      </c>
      <c r="AP70" s="57">
        <f t="shared" ref="AP70:AP78" si="31">SUM(AN70*(LOG($AD$65)/LOG(2)))</f>
        <v>103.76101486585827</v>
      </c>
      <c r="AQ70" s="57">
        <f t="shared" si="27"/>
        <v>6.2813175571002171E-78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51" t="s">
        <v>37</v>
      </c>
      <c r="E71" s="51">
        <f>AVERAGE(J16:J17)</f>
        <v>23.299488940913051</v>
      </c>
      <c r="F71" s="58">
        <f t="shared" si="18"/>
        <v>39.039018028584813</v>
      </c>
      <c r="G71" s="58">
        <f>SUM(E71*(LOG(E65)/LOG(2)))</f>
        <v>36.863796394235315</v>
      </c>
      <c r="H71" s="58">
        <f t="shared" si="19"/>
        <v>1.3523039064925349E-5</v>
      </c>
      <c r="I71" s="6"/>
      <c r="J71" s="113"/>
      <c r="K71" s="51" t="s">
        <v>37</v>
      </c>
      <c r="L71" s="51">
        <f>AVERAGE(Y16:Y17)</f>
        <v>22.639258211036399</v>
      </c>
      <c r="M71" s="58">
        <f t="shared" si="20"/>
        <v>27.748906959652196</v>
      </c>
      <c r="N71" s="58">
        <f t="shared" si="28"/>
        <v>27.571209406698404</v>
      </c>
      <c r="O71" s="58">
        <f t="shared" si="21"/>
        <v>0.43166520636820643</v>
      </c>
      <c r="P71" s="6"/>
      <c r="Q71" s="113"/>
      <c r="R71" s="51" t="s">
        <v>37</v>
      </c>
      <c r="S71" s="51">
        <f>AVERAGE(P19:P20)</f>
        <v>19.98473645193075</v>
      </c>
      <c r="T71" s="58">
        <f t="shared" si="22"/>
        <v>20.970632002209761</v>
      </c>
      <c r="U71" s="58">
        <f t="shared" si="29"/>
        <v>27.922214623396844</v>
      </c>
      <c r="V71" s="58">
        <f t="shared" si="23"/>
        <v>9.6198912337203055E-3</v>
      </c>
      <c r="W71" s="6"/>
      <c r="X71" s="113"/>
      <c r="Y71" s="51" t="s">
        <v>37</v>
      </c>
      <c r="Z71" s="51">
        <f>AVERAGE(J22:J23)</f>
        <v>20.670507362980501</v>
      </c>
      <c r="AA71" s="58">
        <f t="shared" si="24"/>
        <v>4.9130079999294818</v>
      </c>
      <c r="AB71" s="58">
        <f t="shared" si="30"/>
        <v>20.265601966963082</v>
      </c>
      <c r="AC71" s="58">
        <f t="shared" si="25"/>
        <v>6.4691693141869608</v>
      </c>
      <c r="AD71" s="6"/>
      <c r="AE71" s="113"/>
      <c r="AF71" s="51"/>
      <c r="AG71" s="51"/>
      <c r="AH71" s="58"/>
      <c r="AI71" s="58"/>
      <c r="AJ71" s="58"/>
      <c r="AK71" s="6"/>
      <c r="AL71" s="113"/>
      <c r="AM71" s="51" t="s">
        <v>37</v>
      </c>
      <c r="AN71" s="51">
        <f>AVERAGE(P25:P26)</f>
        <v>27.902522812637649</v>
      </c>
      <c r="AO71" s="58">
        <f t="shared" si="26"/>
        <v>6.8192795023017334</v>
      </c>
      <c r="AP71" s="58">
        <f t="shared" si="31"/>
        <v>95.350452062068257</v>
      </c>
      <c r="AQ71" s="58">
        <f t="shared" si="27"/>
        <v>2.8184025444418676E-69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52" t="s">
        <v>38</v>
      </c>
      <c r="E72" s="52">
        <f>AVERAGE(K16:K17)</f>
        <v>23.159070679633651</v>
      </c>
      <c r="F72" s="59">
        <f t="shared" si="18"/>
        <v>45.538368020703217</v>
      </c>
      <c r="G72" s="59">
        <f>SUM(E72*(LOG(E65)/LOG(2)))</f>
        <v>36.641630568754614</v>
      </c>
      <c r="H72" s="59">
        <f t="shared" si="19"/>
        <v>1.7253917128840055E-5</v>
      </c>
      <c r="I72" s="6"/>
      <c r="J72" s="113"/>
      <c r="K72" s="52" t="s">
        <v>38</v>
      </c>
      <c r="L72" s="52">
        <f>AVERAGE(C19:C20)</f>
        <v>22.545597698597302</v>
      </c>
      <c r="M72" s="59">
        <f t="shared" si="20"/>
        <v>30.031891705838795</v>
      </c>
      <c r="N72" s="59">
        <f t="shared" si="28"/>
        <v>27.457144997983008</v>
      </c>
      <c r="O72" s="59">
        <f t="shared" si="21"/>
        <v>0.4752959456348389</v>
      </c>
      <c r="P72" s="6"/>
      <c r="Q72" s="113"/>
      <c r="R72" s="52" t="s">
        <v>38</v>
      </c>
      <c r="S72" s="52">
        <f>AVERAGE(Q19:Q20)</f>
        <v>19.374734287727801</v>
      </c>
      <c r="T72" s="59">
        <f t="shared" si="22"/>
        <v>37.859394834350134</v>
      </c>
      <c r="U72" s="59">
        <f t="shared" si="29"/>
        <v>27.069933614308741</v>
      </c>
      <c r="V72" s="59">
        <f t="shared" si="23"/>
        <v>2.1960028586155429E-2</v>
      </c>
      <c r="W72" s="6"/>
      <c r="X72" s="113"/>
      <c r="Y72" s="52" t="s">
        <v>38</v>
      </c>
      <c r="Z72" s="52">
        <f>AVERAGE(K22:K23)</f>
        <v>17.086176164159951</v>
      </c>
      <c r="AA72" s="59">
        <f t="shared" si="24"/>
        <v>56.131002221451368</v>
      </c>
      <c r="AB72" s="59">
        <f t="shared" si="30"/>
        <v>16.751482641418331</v>
      </c>
      <c r="AC72" s="59">
        <f t="shared" si="25"/>
        <v>70.466383757888792</v>
      </c>
      <c r="AD72" s="6"/>
      <c r="AE72" s="113"/>
      <c r="AF72" s="52"/>
      <c r="AG72" s="52"/>
      <c r="AH72" s="59"/>
      <c r="AI72" s="59"/>
      <c r="AJ72" s="59"/>
      <c r="AK72" s="6"/>
      <c r="AL72" s="113"/>
      <c r="AM72" s="52" t="s">
        <v>38</v>
      </c>
      <c r="AN72" s="52">
        <f>AVERAGE(Q25:Q26)</f>
        <v>27.230515581612451</v>
      </c>
      <c r="AO72" s="59">
        <f t="shared" si="26"/>
        <v>33.499076489564096</v>
      </c>
      <c r="AP72" s="59">
        <f t="shared" si="31"/>
        <v>93.054021961553843</v>
      </c>
      <c r="AQ72" s="59">
        <f t="shared" si="27"/>
        <v>6.491460086958602E-67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52" t="s">
        <v>39</v>
      </c>
      <c r="E73" s="52">
        <f>AVERAGE(L16:L17)</f>
        <v>22.94201297658115</v>
      </c>
      <c r="F73" s="59">
        <f t="shared" si="18"/>
        <v>57.77739607293794</v>
      </c>
      <c r="G73" s="59">
        <f>SUM(E73*(LOG(E65)/LOG(2)))</f>
        <v>36.298207973030756</v>
      </c>
      <c r="H73" s="59">
        <f t="shared" si="19"/>
        <v>2.5145103788315758E-5</v>
      </c>
      <c r="I73" s="6"/>
      <c r="J73" s="113"/>
      <c r="K73" s="52" t="s">
        <v>39</v>
      </c>
      <c r="L73" s="52">
        <f>AVERAGE(D19:D20)</f>
        <v>22.2354756796659</v>
      </c>
      <c r="M73" s="59">
        <f t="shared" si="20"/>
        <v>39.019013414125929</v>
      </c>
      <c r="N73" s="59">
        <f t="shared" si="28"/>
        <v>27.079463050726559</v>
      </c>
      <c r="O73" s="59">
        <f t="shared" si="21"/>
        <v>0.65377121949032624</v>
      </c>
      <c r="P73" s="6"/>
      <c r="Q73" s="113"/>
      <c r="R73" s="52" t="s">
        <v>39</v>
      </c>
      <c r="S73" s="52">
        <f>AVERAGE(R19:R20)</f>
        <v>18.38712744934395</v>
      </c>
      <c r="T73" s="59">
        <f t="shared" si="22"/>
        <v>98.526576912982406</v>
      </c>
      <c r="U73" s="59">
        <f t="shared" si="29"/>
        <v>25.690072029883186</v>
      </c>
      <c r="V73" s="59">
        <f t="shared" si="23"/>
        <v>8.3558745680141738E-2</v>
      </c>
      <c r="W73" s="6"/>
      <c r="X73" s="113"/>
      <c r="Y73" s="52" t="s">
        <v>39</v>
      </c>
      <c r="Z73" s="52">
        <f>AVERAGE(L22:L23)</f>
        <v>17.06927799595875</v>
      </c>
      <c r="AA73" s="59">
        <f t="shared" si="24"/>
        <v>56.779296591618753</v>
      </c>
      <c r="AB73" s="59">
        <f t="shared" si="30"/>
        <v>16.734915483935314</v>
      </c>
      <c r="AC73" s="59">
        <f t="shared" si="25"/>
        <v>71.26421469246722</v>
      </c>
      <c r="AD73" s="6"/>
      <c r="AE73" s="113"/>
      <c r="AF73" s="52"/>
      <c r="AG73" s="52"/>
      <c r="AH73" s="59"/>
      <c r="AI73" s="59"/>
      <c r="AJ73" s="59"/>
      <c r="AK73" s="6"/>
      <c r="AL73" s="113"/>
      <c r="AM73" s="52" t="s">
        <v>39</v>
      </c>
      <c r="AN73" s="52">
        <f>AVERAGE(R25:R26)</f>
        <v>26.741908109906699</v>
      </c>
      <c r="AO73" s="59">
        <f t="shared" si="26"/>
        <v>106.57705307208846</v>
      </c>
      <c r="AP73" s="59">
        <f t="shared" si="31"/>
        <v>91.384318342963965</v>
      </c>
      <c r="AQ73" s="59">
        <f t="shared" si="27"/>
        <v>3.3881900088630823E-65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52" t="s">
        <v>40</v>
      </c>
      <c r="E74" s="52">
        <f>AVERAGE(M16:M17)</f>
        <v>23.140374999789749</v>
      </c>
      <c r="F74" s="59">
        <f t="shared" si="18"/>
        <v>46.481685011338378</v>
      </c>
      <c r="G74" s="59">
        <f>SUM(E74*(LOG(E65)/LOG(2)))</f>
        <v>36.612050789688851</v>
      </c>
      <c r="H74" s="59">
        <f t="shared" si="19"/>
        <v>1.7822802736689159E-5</v>
      </c>
      <c r="I74" s="6"/>
      <c r="J74" s="113"/>
      <c r="K74" s="52" t="s">
        <v>40</v>
      </c>
      <c r="L74" s="52">
        <f>AVERAGE(E19:E20)</f>
        <v>22.516325972201997</v>
      </c>
      <c r="M74" s="59">
        <f t="shared" si="20"/>
        <v>30.783214910850109</v>
      </c>
      <c r="N74" s="59">
        <f t="shared" si="28"/>
        <v>27.421496440480929</v>
      </c>
      <c r="O74" s="59">
        <f t="shared" si="21"/>
        <v>0.48981626229556308</v>
      </c>
      <c r="P74" s="6"/>
      <c r="Q74" s="113"/>
      <c r="R74" s="52" t="s">
        <v>40</v>
      </c>
      <c r="S74" s="52">
        <f>AVERAGE(S19:S20)</f>
        <v>19.494818434619649</v>
      </c>
      <c r="T74" s="59">
        <f t="shared" si="22"/>
        <v>33.702895429905659</v>
      </c>
      <c r="U74" s="59">
        <f t="shared" si="29"/>
        <v>27.237712425425251</v>
      </c>
      <c r="V74" s="59">
        <f t="shared" si="23"/>
        <v>1.8666652507953182E-2</v>
      </c>
      <c r="W74" s="6"/>
      <c r="X74" s="113"/>
      <c r="Y74" s="52" t="s">
        <v>40</v>
      </c>
      <c r="Z74" s="52">
        <f>AVERAGE(M22:M23)</f>
        <v>17.8753263881636</v>
      </c>
      <c r="AA74" s="59">
        <f t="shared" si="24"/>
        <v>32.832074471339993</v>
      </c>
      <c r="AB74" s="59">
        <f t="shared" si="30"/>
        <v>17.525174551876191</v>
      </c>
      <c r="AC74" s="59">
        <f t="shared" si="25"/>
        <v>41.652375462913461</v>
      </c>
      <c r="AD74" s="6"/>
      <c r="AE74" s="113"/>
      <c r="AF74" s="52"/>
      <c r="AG74" s="52"/>
      <c r="AH74" s="59"/>
      <c r="AI74" s="59"/>
      <c r="AJ74" s="59"/>
      <c r="AK74" s="6"/>
      <c r="AL74" s="113"/>
      <c r="AM74" s="52" t="s">
        <v>40</v>
      </c>
      <c r="AN74" s="52">
        <f>AVERAGE(S25:S26)</f>
        <v>26.9541166052996</v>
      </c>
      <c r="AO74" s="59">
        <f t="shared" si="26"/>
        <v>64.471038956944099</v>
      </c>
      <c r="AP74" s="59">
        <f t="shared" si="31"/>
        <v>92.10949205227314</v>
      </c>
      <c r="AQ74" s="59">
        <f t="shared" si="27"/>
        <v>6.081084218813811E-66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53" t="s">
        <v>41</v>
      </c>
      <c r="E75" s="53">
        <f>AVERAGE(N16:N17)</f>
        <v>23.803811317363451</v>
      </c>
      <c r="F75" s="60">
        <f t="shared" si="18"/>
        <v>22.454305144643115</v>
      </c>
      <c r="G75" s="60">
        <f>SUM(E75*(LOG(E65)/LOG(2)))</f>
        <v>37.661721080466471</v>
      </c>
      <c r="H75" s="60">
        <f t="shared" si="19"/>
        <v>5.6368668766304973E-6</v>
      </c>
      <c r="I75" s="6"/>
      <c r="J75" s="113"/>
      <c r="K75" s="53" t="s">
        <v>41</v>
      </c>
      <c r="L75" s="53">
        <f>AVERAGE(F19:F20)</f>
        <v>23.767473936651001</v>
      </c>
      <c r="M75" s="60">
        <f t="shared" si="20"/>
        <v>10.706107034767342</v>
      </c>
      <c r="N75" s="60">
        <f t="shared" si="28"/>
        <v>28.945206369712253</v>
      </c>
      <c r="O75" s="60">
        <f t="shared" si="21"/>
        <v>0.13534028110774429</v>
      </c>
      <c r="P75" s="6"/>
      <c r="Q75" s="113"/>
      <c r="R75" s="53" t="s">
        <v>41</v>
      </c>
      <c r="S75" s="53">
        <f>AVERAGE(T19:T20)</f>
        <v>20.539812156933948</v>
      </c>
      <c r="T75" s="60">
        <f t="shared" si="22"/>
        <v>12.25042090741147</v>
      </c>
      <c r="U75" s="60">
        <f t="shared" si="29"/>
        <v>28.69775364562074</v>
      </c>
      <c r="V75" s="60">
        <f t="shared" si="23"/>
        <v>4.5392541888774661E-3</v>
      </c>
      <c r="W75" s="6"/>
      <c r="X75" s="113"/>
      <c r="Y75" s="53" t="s">
        <v>41</v>
      </c>
      <c r="Z75" s="53">
        <f>AVERAGE(N22:N23)</f>
        <v>18.100393051357301</v>
      </c>
      <c r="AA75" s="60">
        <f t="shared" si="24"/>
        <v>28.17563209347809</v>
      </c>
      <c r="AB75" s="60">
        <f t="shared" si="30"/>
        <v>17.745832484079866</v>
      </c>
      <c r="AC75" s="60">
        <f t="shared" si="25"/>
        <v>35.852238869654691</v>
      </c>
      <c r="AD75" s="6"/>
      <c r="AE75" s="113"/>
      <c r="AF75" s="53"/>
      <c r="AG75" s="53"/>
      <c r="AH75" s="60"/>
      <c r="AI75" s="60"/>
      <c r="AJ75" s="60"/>
      <c r="AK75" s="6"/>
      <c r="AL75" s="113"/>
      <c r="AM75" s="53" t="s">
        <v>41</v>
      </c>
      <c r="AN75" s="53">
        <f>AVERAGE(T25:T26)</f>
        <v>26.762421208435448</v>
      </c>
      <c r="AO75" s="60">
        <f t="shared" si="26"/>
        <v>101.52239805936158</v>
      </c>
      <c r="AP75" s="60">
        <f t="shared" si="31"/>
        <v>91.454417137651589</v>
      </c>
      <c r="AQ75" s="60">
        <f t="shared" si="27"/>
        <v>2.8698359705022427E-65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4" t="s">
        <v>42</v>
      </c>
      <c r="E76" s="54">
        <f>AVERAGE(O16:O17)</f>
        <v>24.433164477000251</v>
      </c>
      <c r="F76" s="61">
        <f t="shared" si="18"/>
        <v>11.260315119213899</v>
      </c>
      <c r="G76" s="61">
        <f>SUM(E76*(LOG(E65)/LOG(2)))</f>
        <v>38.657465956920852</v>
      </c>
      <c r="H76" s="61">
        <f t="shared" si="19"/>
        <v>1.8913992710284584E-6</v>
      </c>
      <c r="I76" s="6"/>
      <c r="J76" s="113"/>
      <c r="K76" s="54" t="s">
        <v>42</v>
      </c>
      <c r="L76" s="54">
        <f>AVERAGE(G19:G20)</f>
        <v>24.163964647026351</v>
      </c>
      <c r="M76" s="61">
        <f t="shared" si="20"/>
        <v>7.6608053278781201</v>
      </c>
      <c r="N76" s="61">
        <f t="shared" si="28"/>
        <v>29.428072385094342</v>
      </c>
      <c r="O76" s="61">
        <f t="shared" si="21"/>
        <v>9.0033458972817407E-2</v>
      </c>
      <c r="P76" s="6"/>
      <c r="Q76" s="113"/>
      <c r="R76" s="54" t="s">
        <v>42</v>
      </c>
      <c r="S76" s="54">
        <f>AVERAGE(U19:U20)</f>
        <v>21.101204822719502</v>
      </c>
      <c r="T76" s="61">
        <f t="shared" si="22"/>
        <v>7.1126860207734941</v>
      </c>
      <c r="U76" s="61">
        <f t="shared" si="29"/>
        <v>29.482118580318225</v>
      </c>
      <c r="V76" s="61">
        <f t="shared" si="23"/>
        <v>2.123668544525073E-3</v>
      </c>
      <c r="W76" s="6"/>
      <c r="X76" s="113"/>
      <c r="Y76" s="54" t="s">
        <v>42</v>
      </c>
      <c r="Z76" s="54">
        <f>AVERAGE(O22:O23)</f>
        <v>18.7385479293911</v>
      </c>
      <c r="AA76" s="61">
        <f t="shared" si="24"/>
        <v>18.261352634005483</v>
      </c>
      <c r="AB76" s="61">
        <f t="shared" si="30"/>
        <v>18.371486829394595</v>
      </c>
      <c r="AC76" s="61">
        <f t="shared" si="25"/>
        <v>23.434995762187331</v>
      </c>
      <c r="AD76" s="6"/>
      <c r="AE76" s="113"/>
      <c r="AF76" s="54"/>
      <c r="AG76" s="54"/>
      <c r="AH76" s="61"/>
      <c r="AI76" s="61"/>
      <c r="AJ76" s="61"/>
      <c r="AK76" s="6"/>
      <c r="AL76" s="113"/>
      <c r="AM76" s="54" t="s">
        <v>42</v>
      </c>
      <c r="AN76" s="54">
        <f>AVERAGE(U25:U26)</f>
        <v>27.696220029216953</v>
      </c>
      <c r="AO76" s="61">
        <f t="shared" si="26"/>
        <v>11.116352747702246</v>
      </c>
      <c r="AP76" s="61">
        <f t="shared" si="31"/>
        <v>94.645459764672239</v>
      </c>
      <c r="AQ76" s="61">
        <f t="shared" si="27"/>
        <v>1.4970252584221476E-68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5" t="s">
        <v>43</v>
      </c>
      <c r="E77" s="55">
        <f>AVERAGE(P16:P17)</f>
        <v>23.319549749593698</v>
      </c>
      <c r="F77" s="62">
        <f t="shared" si="18"/>
        <v>38.189528731992311</v>
      </c>
      <c r="G77" s="62">
        <f>SUM(E77*(LOG(E65)/LOG(2)))</f>
        <v>36.895536041769319</v>
      </c>
      <c r="H77" s="62">
        <f t="shared" si="19"/>
        <v>1.3060424871935513E-5</v>
      </c>
      <c r="I77" s="6"/>
      <c r="J77" s="114"/>
      <c r="K77" s="55" t="s">
        <v>43</v>
      </c>
      <c r="L77" s="55">
        <f>AVERAGE(H19:H20)</f>
        <v>23.341914194441401</v>
      </c>
      <c r="M77" s="62">
        <f t="shared" si="20"/>
        <v>15.333655821506632</v>
      </c>
      <c r="N77" s="62">
        <f t="shared" si="28"/>
        <v>28.42693864829894</v>
      </c>
      <c r="O77" s="62">
        <f t="shared" si="21"/>
        <v>0.2096181120352327</v>
      </c>
      <c r="P77" s="6"/>
      <c r="Q77" s="114"/>
      <c r="R77" s="55" t="s">
        <v>43</v>
      </c>
      <c r="S77" s="55">
        <f>AVERAGE(V19:V20)</f>
        <v>20.18071076615055</v>
      </c>
      <c r="T77" s="62">
        <f t="shared" si="22"/>
        <v>17.345477201100739</v>
      </c>
      <c r="U77" s="62">
        <f t="shared" si="29"/>
        <v>28.196025432735269</v>
      </c>
      <c r="V77" s="62">
        <f t="shared" si="23"/>
        <v>7.3791692713163761E-3</v>
      </c>
      <c r="W77" s="6"/>
      <c r="X77" s="114"/>
      <c r="Y77" s="55" t="s">
        <v>43</v>
      </c>
      <c r="Z77" s="55">
        <f>AVERAGE(P22:P23)</f>
        <v>17.710880009425047</v>
      </c>
      <c r="AA77" s="62">
        <f t="shared" si="24"/>
        <v>36.714018196674012</v>
      </c>
      <c r="AB77" s="62">
        <f t="shared" si="30"/>
        <v>17.363949440276247</v>
      </c>
      <c r="AC77" s="62">
        <f t="shared" si="25"/>
        <v>46.475349687418877</v>
      </c>
      <c r="AD77" s="6"/>
      <c r="AE77" s="114"/>
      <c r="AF77" s="55"/>
      <c r="AG77" s="55"/>
      <c r="AH77" s="62"/>
      <c r="AI77" s="62"/>
      <c r="AJ77" s="62"/>
      <c r="AK77" s="6"/>
      <c r="AL77" s="114"/>
      <c r="AM77" s="55" t="s">
        <v>43</v>
      </c>
      <c r="AN77" s="55">
        <f>AVERAGE(V25:V26)</f>
        <v>26.422994345153</v>
      </c>
      <c r="AO77" s="62">
        <f t="shared" si="26"/>
        <v>226.84569240728987</v>
      </c>
      <c r="AP77" s="62">
        <f t="shared" si="31"/>
        <v>90.29450392574185</v>
      </c>
      <c r="AQ77" s="62">
        <f t="shared" si="27"/>
        <v>4.4777584989196772E-64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0" t="s">
        <v>34</v>
      </c>
      <c r="D78" s="111"/>
      <c r="E78" s="64">
        <f>AVERAGE(Q16:Q17)</f>
        <v>30.641342614013048</v>
      </c>
      <c r="F78" s="63">
        <f t="shared" si="18"/>
        <v>1.2436896888750047E-2</v>
      </c>
      <c r="G78" s="63">
        <f>SUM(E78*(LOG(E65)/LOG(2)))</f>
        <v>48.47987087757636</v>
      </c>
      <c r="H78" s="63">
        <f t="shared" si="19"/>
        <v>3.9678610020724446E-11</v>
      </c>
      <c r="I78" s="6"/>
      <c r="J78" s="110" t="s">
        <v>34</v>
      </c>
      <c r="K78" s="111"/>
      <c r="L78" s="64">
        <f>AVERAGE(Z16:Z17)</f>
        <v>35.856231770183996</v>
      </c>
      <c r="M78" s="63">
        <f t="shared" si="20"/>
        <v>3.9607858808832848E-4</v>
      </c>
      <c r="N78" s="63">
        <f t="shared" si="28"/>
        <v>43.667494113783434</v>
      </c>
      <c r="O78" s="63">
        <f t="shared" si="21"/>
        <v>5.4212630743485517E-7</v>
      </c>
      <c r="P78" s="6"/>
      <c r="Q78" s="110" t="s">
        <v>34</v>
      </c>
      <c r="R78" s="111"/>
      <c r="S78" s="64">
        <f>AVERAGE(W19:W20)</f>
        <v>34.471689010122304</v>
      </c>
      <c r="T78" s="63">
        <f t="shared" si="22"/>
        <v>1.6924364149033341E-5</v>
      </c>
      <c r="U78" s="63">
        <f t="shared" si="29"/>
        <v>48.163051901474262</v>
      </c>
      <c r="V78" s="63">
        <f t="shared" si="23"/>
        <v>2.9514267316153973E-11</v>
      </c>
      <c r="W78" s="6"/>
      <c r="X78" s="110" t="s">
        <v>34</v>
      </c>
      <c r="Y78" s="111"/>
      <c r="Z78" s="64">
        <f>AVERAGE(Q22:Q23)</f>
        <v>35.951246267682599</v>
      </c>
      <c r="AA78" s="63">
        <f t="shared" si="24"/>
        <v>1.5187744946417619E-4</v>
      </c>
      <c r="AB78" s="63">
        <f t="shared" si="30"/>
        <v>35.247013258220711</v>
      </c>
      <c r="AC78" s="63">
        <f t="shared" si="25"/>
        <v>2.45095802705727E-4</v>
      </c>
      <c r="AD78" s="6"/>
      <c r="AE78" s="110"/>
      <c r="AF78" s="111"/>
      <c r="AG78" s="64"/>
      <c r="AH78" s="63"/>
      <c r="AI78" s="63"/>
      <c r="AJ78" s="63"/>
      <c r="AK78" s="6"/>
      <c r="AL78" s="110" t="s">
        <v>34</v>
      </c>
      <c r="AM78" s="111"/>
      <c r="AN78" s="64">
        <f>AVERAGE(W25:W26)</f>
        <v>38.197919858452849</v>
      </c>
      <c r="AO78" s="63">
        <f t="shared" si="26"/>
        <v>1.7492658547298528E-10</v>
      </c>
      <c r="AP78" s="63">
        <f t="shared" si="31"/>
        <v>130.53260276108469</v>
      </c>
      <c r="AQ78" s="63">
        <f t="shared" si="27"/>
        <v>1.8117496165929974E-105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7">
        <f>AVERAGE(E69:E77)</f>
        <v>23.704150657900957</v>
      </c>
      <c r="F79" s="87">
        <f>AVERAGE(F69:F77)</f>
        <v>31.473504904934877</v>
      </c>
      <c r="G79" s="87">
        <f>AVERAGE(G69:G77)</f>
        <v>37.504040786780315</v>
      </c>
      <c r="H79" s="87">
        <f>AVERAGE(H69:H77)</f>
        <v>1.0968093595477144E-5</v>
      </c>
      <c r="I79" s="6"/>
      <c r="J79" s="108" t="s">
        <v>84</v>
      </c>
      <c r="K79" s="109"/>
      <c r="L79" s="87">
        <f>AVERAGE(L69:L77)</f>
        <v>23.180890876598241</v>
      </c>
      <c r="M79" s="87">
        <f>AVERAGE(M69:M77)</f>
        <v>20.552767479112486</v>
      </c>
      <c r="N79" s="87">
        <f>AVERAGE(N69:N77)</f>
        <v>28.230836480364356</v>
      </c>
      <c r="O79" s="87">
        <f>AVERAGE(O69:O77)</f>
        <v>0.31063867479737928</v>
      </c>
      <c r="P79" s="6"/>
      <c r="Q79" s="108" t="s">
        <v>84</v>
      </c>
      <c r="R79" s="109"/>
      <c r="S79" s="87">
        <f>AVERAGE(S69:S77)</f>
        <v>20.061932395095006</v>
      </c>
      <c r="T79" s="87">
        <f>AVERAGE(T69:T77)</f>
        <v>27.714367091290605</v>
      </c>
      <c r="U79" s="87">
        <f>AVERAGE(U69:U77)</f>
        <v>28.030071021617179</v>
      </c>
      <c r="V79" s="87">
        <f>AVERAGE(V69:V77)</f>
        <v>1.7310999506147357E-2</v>
      </c>
      <c r="W79" s="6"/>
      <c r="X79" s="108" t="s">
        <v>84</v>
      </c>
      <c r="Y79" s="109"/>
      <c r="Z79" s="87">
        <f>AVERAGE(Z69:Z77)</f>
        <v>18.917638475779604</v>
      </c>
      <c r="AA79" s="87">
        <f>AVERAGE(AA69:AA77)</f>
        <v>26.611825983418822</v>
      </c>
      <c r="AB79" s="87">
        <f>AVERAGE(AB69:AB77)</f>
        <v>18.547069250542872</v>
      </c>
      <c r="AC79" s="87">
        <f>AVERAGE(AC69:AC77)</f>
        <v>33.688621945865343</v>
      </c>
      <c r="AD79" s="6"/>
      <c r="AE79" s="108"/>
      <c r="AF79" s="109"/>
      <c r="AG79" s="87"/>
      <c r="AH79" s="87"/>
      <c r="AI79" s="87"/>
      <c r="AJ79" s="87"/>
      <c r="AK79" s="6"/>
      <c r="AL79" s="108" t="s">
        <v>84</v>
      </c>
      <c r="AM79" s="109"/>
      <c r="AN79" s="87">
        <f>AVERAGE(AN69:AN77)</f>
        <v>27.647245206823563</v>
      </c>
      <c r="AO79" s="87">
        <f>AVERAGE(AO69:AO77)</f>
        <v>61.309478336595248</v>
      </c>
      <c r="AP79" s="87">
        <f>AVERAGE(AP69:AP77)</f>
        <v>94.478099576985045</v>
      </c>
      <c r="AQ79" s="87">
        <f>AVERAGE(AQ69:AQ77)</f>
        <v>5.7456014611800152E-65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7">
        <f>(E81/SQRT(9))</f>
        <v>0.23452809286084444</v>
      </c>
      <c r="F80" s="87">
        <f>(F81/SQRT(9))</f>
        <v>5.6760283731522039</v>
      </c>
      <c r="G80" s="87">
        <f>(G81/SQRT(9))</f>
        <v>0.37106375534139407</v>
      </c>
      <c r="H80" s="87">
        <f>(H81/SQRT(9))</f>
        <v>2.6508084808887408E-6</v>
      </c>
      <c r="I80" s="6"/>
      <c r="J80" s="108" t="s">
        <v>85</v>
      </c>
      <c r="K80" s="109"/>
      <c r="L80" s="87">
        <f>(L81/SQRT(9))</f>
        <v>0.22831733491006592</v>
      </c>
      <c r="M80" s="87">
        <f>(M81/SQRT(9))</f>
        <v>3.6122940065064917</v>
      </c>
      <c r="N80" s="87">
        <f>(N81/SQRT(9))</f>
        <v>0.27805615331141809</v>
      </c>
      <c r="O80" s="87">
        <f>(O81/SQRT(9))</f>
        <v>6.4443305684571225E-2</v>
      </c>
      <c r="P80" s="6"/>
      <c r="Q80" s="108" t="s">
        <v>85</v>
      </c>
      <c r="R80" s="109"/>
      <c r="S80" s="87">
        <f>(S81/SQRT(9))</f>
        <v>0.27679542315798822</v>
      </c>
      <c r="T80" s="87">
        <f>(T81/SQRT(9))</f>
        <v>9.0086041179107195</v>
      </c>
      <c r="U80" s="87">
        <f>(U81/SQRT(9))</f>
        <v>0.3867322058902915</v>
      </c>
      <c r="V80" s="87">
        <f>(V81/SQRT(9))</f>
        <v>8.1099969846822918E-3</v>
      </c>
      <c r="W80" s="6"/>
      <c r="X80" s="108" t="s">
        <v>85</v>
      </c>
      <c r="Y80" s="109"/>
      <c r="Z80" s="87">
        <f>(Z81/SQRT(9))</f>
        <v>0.5736192074519284</v>
      </c>
      <c r="AA80" s="87">
        <f>(AA81/SQRT(9))</f>
        <v>6.6621798256917613</v>
      </c>
      <c r="AB80" s="87">
        <f>(AB81/SQRT(9))</f>
        <v>0.56238283534562561</v>
      </c>
      <c r="AC80" s="87">
        <f>(AC81/SQRT(9))</f>
        <v>8.3377971630372496</v>
      </c>
      <c r="AD80" s="6"/>
      <c r="AE80" s="108"/>
      <c r="AF80" s="109"/>
      <c r="AG80" s="87"/>
      <c r="AH80" s="87"/>
      <c r="AI80" s="87"/>
      <c r="AJ80" s="87"/>
      <c r="AK80" s="6"/>
      <c r="AL80" s="108" t="s">
        <v>85</v>
      </c>
      <c r="AM80" s="109"/>
      <c r="AN80" s="87">
        <f>(AN81/SQRT(9))</f>
        <v>0.3915784093393237</v>
      </c>
      <c r="AO80" s="87">
        <f>(AO81/SQRT(9))</f>
        <v>23.50318598033358</v>
      </c>
      <c r="AP80" s="87">
        <f>(AP81/SQRT(9))</f>
        <v>1.3381291218347935</v>
      </c>
      <c r="AQ80" s="87">
        <f>(AQ81/SQRT(9))</f>
        <v>4.6188215244075246E-65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7">
        <f>_xlfn.STDEV.P(E69:E77)</f>
        <v>0.70358427858253336</v>
      </c>
      <c r="F81" s="87">
        <f>_xlfn.STDEV.P(F69:F77)</f>
        <v>17.028085119456613</v>
      </c>
      <c r="G81" s="87">
        <f>_xlfn.STDEV.P(G69:G77)</f>
        <v>1.1131912660241823</v>
      </c>
      <c r="H81" s="87">
        <f>_xlfn.STDEV.P(H69:H77)</f>
        <v>7.952425442666222E-6</v>
      </c>
      <c r="I81" s="6"/>
      <c r="J81" s="108" t="s">
        <v>86</v>
      </c>
      <c r="K81" s="109"/>
      <c r="L81" s="87">
        <f>_xlfn.STDEV.P(L69:L77)</f>
        <v>0.68495200473019779</v>
      </c>
      <c r="M81" s="87">
        <f>_xlfn.STDEV.P(M69:M77)</f>
        <v>10.836882019519475</v>
      </c>
      <c r="N81" s="87">
        <f>_xlfn.STDEV.P(N69:N77)</f>
        <v>0.83416845993425426</v>
      </c>
      <c r="O81" s="87">
        <f>_xlfn.STDEV.P(O69:O77)</f>
        <v>0.19332991705371369</v>
      </c>
      <c r="P81" s="6"/>
      <c r="Q81" s="108" t="s">
        <v>86</v>
      </c>
      <c r="R81" s="109"/>
      <c r="S81" s="87">
        <f>_xlfn.STDEV.P(S69:S77)</f>
        <v>0.83038626947396466</v>
      </c>
      <c r="T81" s="87">
        <f>_xlfn.STDEV.P(T69:T77)</f>
        <v>27.025812353732157</v>
      </c>
      <c r="U81" s="87">
        <f>_xlfn.STDEV.P(U69:U77)</f>
        <v>1.1601966176708745</v>
      </c>
      <c r="V81" s="87">
        <f>_xlfn.STDEV.P(V69:V77)</f>
        <v>2.4329990954046875E-2</v>
      </c>
      <c r="W81" s="6"/>
      <c r="X81" s="108" t="s">
        <v>86</v>
      </c>
      <c r="Y81" s="109"/>
      <c r="Z81" s="87">
        <f>_xlfn.STDEV.P(Z69:Z77)</f>
        <v>1.7208576223557852</v>
      </c>
      <c r="AA81" s="87">
        <f>_xlfn.STDEV.P(AA69:AA77)</f>
        <v>19.986539477075283</v>
      </c>
      <c r="AB81" s="87">
        <f>_xlfn.STDEV.P(AB69:AB77)</f>
        <v>1.6871485060368769</v>
      </c>
      <c r="AC81" s="87">
        <f>_xlfn.STDEV.P(AC69:AC77)</f>
        <v>25.013391489111751</v>
      </c>
      <c r="AD81" s="6"/>
      <c r="AE81" s="108"/>
      <c r="AF81" s="109"/>
      <c r="AG81" s="87"/>
      <c r="AH81" s="87"/>
      <c r="AI81" s="87"/>
      <c r="AJ81" s="87"/>
      <c r="AK81" s="6"/>
      <c r="AL81" s="108" t="s">
        <v>86</v>
      </c>
      <c r="AM81" s="109"/>
      <c r="AN81" s="87">
        <f>_xlfn.STDEV.P(AN69:AN77)</f>
        <v>1.174735228017971</v>
      </c>
      <c r="AO81" s="87">
        <f>_xlfn.STDEV.P(AO69:AO77)</f>
        <v>70.509557941000736</v>
      </c>
      <c r="AP81" s="87">
        <f>_xlfn.STDEV.P(AP69:AP77)</f>
        <v>4.0143873655043807</v>
      </c>
      <c r="AQ81" s="87">
        <f>_xlfn.STDEV.P(AQ69:AQ77)</f>
        <v>1.3856464573222575E-64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7">
        <f>SUM(E81/E79)</f>
        <v>2.9681902074311105E-2</v>
      </c>
      <c r="F82" s="87">
        <f>SUM(F81/F79)</f>
        <v>0.54102919807913419</v>
      </c>
      <c r="G82" s="87">
        <f>SUM(G81/G79)</f>
        <v>2.9681902074311088E-2</v>
      </c>
      <c r="H82" s="87">
        <f>SUM(H81/H79)</f>
        <v>0.7250508370885459</v>
      </c>
      <c r="I82" s="6"/>
      <c r="J82" s="108" t="s">
        <v>87</v>
      </c>
      <c r="K82" s="109"/>
      <c r="L82" s="87">
        <f>SUM(L81/L79)</f>
        <v>2.9548131190319179E-2</v>
      </c>
      <c r="M82" s="87">
        <f>SUM(M81/M79)</f>
        <v>0.5272711828483857</v>
      </c>
      <c r="N82" s="87">
        <f>SUM(N81/N79)</f>
        <v>2.9548131190319168E-2</v>
      </c>
      <c r="O82" s="87">
        <f>SUM(O81/O79)</f>
        <v>0.62236267644335419</v>
      </c>
      <c r="P82" s="6"/>
      <c r="Q82" s="108" t="s">
        <v>87</v>
      </c>
      <c r="R82" s="109"/>
      <c r="S82" s="87">
        <f>SUM(S81/S79)</f>
        <v>4.1391140849272721E-2</v>
      </c>
      <c r="T82" s="87">
        <f>SUM(T81/T79)</f>
        <v>0.97515531437934844</v>
      </c>
      <c r="U82" s="87">
        <f>SUM(U81/U79)</f>
        <v>4.1391140849272721E-2</v>
      </c>
      <c r="V82" s="87">
        <f>SUM(V81/V79)</f>
        <v>1.4054642509467454</v>
      </c>
      <c r="W82" s="6"/>
      <c r="X82" s="108" t="s">
        <v>87</v>
      </c>
      <c r="Y82" s="109"/>
      <c r="Z82" s="87">
        <f>SUM(Z81/Z79)</f>
        <v>9.0965773796714222E-2</v>
      </c>
      <c r="AA82" s="87">
        <f>SUM(AA81/AA79)</f>
        <v>0.75103976290572494</v>
      </c>
      <c r="AB82" s="87">
        <f>SUM(AB81/AB79)</f>
        <v>9.0965773796714222E-2</v>
      </c>
      <c r="AC82" s="87">
        <f>SUM(AC81/AC79)</f>
        <v>0.74248782064478847</v>
      </c>
      <c r="AD82" s="6"/>
      <c r="AE82" s="108"/>
      <c r="AF82" s="109"/>
      <c r="AG82" s="87"/>
      <c r="AH82" s="87"/>
      <c r="AI82" s="87"/>
      <c r="AJ82" s="87"/>
      <c r="AK82" s="6"/>
      <c r="AL82" s="108" t="s">
        <v>87</v>
      </c>
      <c r="AM82" s="109"/>
      <c r="AN82" s="87">
        <f>SUM(AN81/AN79)</f>
        <v>4.2490136692824532E-2</v>
      </c>
      <c r="AO82" s="87">
        <f>SUM(AO81/AO79)</f>
        <v>1.1500596621275445</v>
      </c>
      <c r="AP82" s="87">
        <f>SUM(AP81/AP79)</f>
        <v>4.2490136692824518E-2</v>
      </c>
      <c r="AQ82" s="87">
        <f>SUM(AQ81/AQ79)</f>
        <v>2.4116647607466972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</sheetData>
  <mergeCells count="159"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C28:E28"/>
    <mergeCell ref="H28:J28"/>
    <mergeCell ref="M28:O28"/>
    <mergeCell ref="R28:T28"/>
    <mergeCell ref="W28:Y28"/>
    <mergeCell ref="AB28:AD28"/>
    <mergeCell ref="C21:Q21"/>
    <mergeCell ref="AG23:AK25"/>
    <mergeCell ref="I24:W24"/>
    <mergeCell ref="X24:Z26"/>
    <mergeCell ref="C12:H12"/>
    <mergeCell ref="I12:W12"/>
    <mergeCell ref="X12:Z14"/>
    <mergeCell ref="C15:Q15"/>
    <mergeCell ref="R15:Z15"/>
    <mergeCell ref="C18:H18"/>
    <mergeCell ref="I18:W18"/>
    <mergeCell ref="X18:Z20"/>
    <mergeCell ref="R21:Z23"/>
    <mergeCell ref="C24:H26"/>
    <mergeCell ref="C3:Q3"/>
    <mergeCell ref="R3:Z3"/>
    <mergeCell ref="C6:H6"/>
    <mergeCell ref="I6:W6"/>
    <mergeCell ref="X6:Z8"/>
    <mergeCell ref="C9:Q9"/>
    <mergeCell ref="R9:Z9"/>
    <mergeCell ref="AH2:AL3"/>
    <mergeCell ref="AK4:AL4"/>
    <mergeCell ref="AK5:AL5"/>
    <mergeCell ref="AK6:AL6"/>
    <mergeCell ref="AK7:AL7"/>
    <mergeCell ref="AK8:A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MCF-7 (R1)</vt:lpstr>
      <vt:lpstr>MCF-7 (R2)</vt:lpstr>
      <vt:lpstr>MCF-7 (R3)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Malcolm</dc:creator>
  <cp:lastModifiedBy>Jodie Malcolm</cp:lastModifiedBy>
  <dcterms:created xsi:type="dcterms:W3CDTF">2023-07-11T07:42:53Z</dcterms:created>
  <dcterms:modified xsi:type="dcterms:W3CDTF">2024-08-02T03:48:27Z</dcterms:modified>
</cp:coreProperties>
</file>