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ke\Desktop\malcolm_data\"/>
    </mc:Choice>
  </mc:AlternateContent>
  <xr:revisionPtr revIDLastSave="0" documentId="13_ncr:1_{B7E77C7C-B2A4-4C97-B0CB-94FB922C847C}" xr6:coauthVersionLast="47" xr6:coauthVersionMax="47" xr10:uidLastSave="{00000000-0000-0000-0000-000000000000}"/>
  <bookViews>
    <workbookView xWindow="-120" yWindow="-120" windowWidth="29040" windowHeight="15840" firstSheet="2" activeTab="2" xr2:uid="{A55148EB-0761-401F-A6F4-B90678A96BA9}"/>
  </bookViews>
  <sheets>
    <sheet name="M231 (R1)" sheetId="1" r:id="rId1"/>
    <sheet name="M231 (R2)" sheetId="2" r:id="rId2"/>
    <sheet name="M231 (R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3" i="1" l="1"/>
  <c r="AD64" i="3" l="1"/>
  <c r="T64" i="3"/>
  <c r="O64" i="3"/>
  <c r="J64" i="3"/>
  <c r="E64" i="3"/>
  <c r="AD36" i="3"/>
  <c r="Y36" i="3"/>
  <c r="T36" i="3"/>
  <c r="O36" i="3"/>
  <c r="J36" i="3"/>
  <c r="E36" i="3"/>
  <c r="AD64" i="2" l="1"/>
  <c r="T64" i="2"/>
  <c r="O64" i="2"/>
  <c r="J64" i="2"/>
  <c r="E64" i="2"/>
  <c r="AD36" i="2"/>
  <c r="Y36" i="2"/>
  <c r="T36" i="2"/>
  <c r="O36" i="2"/>
  <c r="J36" i="2"/>
  <c r="E36" i="2"/>
  <c r="AN78" i="3" l="1"/>
  <c r="AO78" i="3" s="1"/>
  <c r="Z78" i="3"/>
  <c r="AA78" i="3" s="1"/>
  <c r="S78" i="3"/>
  <c r="T78" i="3" s="1"/>
  <c r="L78" i="3"/>
  <c r="M78" i="3" s="1"/>
  <c r="E78" i="3"/>
  <c r="F78" i="3" s="1"/>
  <c r="AN77" i="3"/>
  <c r="AO77" i="3" s="1"/>
  <c r="Z77" i="3"/>
  <c r="AA77" i="3" s="1"/>
  <c r="S77" i="3"/>
  <c r="T77" i="3" s="1"/>
  <c r="L77" i="3"/>
  <c r="E77" i="3"/>
  <c r="F77" i="3" s="1"/>
  <c r="AN76" i="3"/>
  <c r="AO76" i="3" s="1"/>
  <c r="Z76" i="3"/>
  <c r="AA76" i="3" s="1"/>
  <c r="S76" i="3"/>
  <c r="L76" i="3"/>
  <c r="M76" i="3" s="1"/>
  <c r="E76" i="3"/>
  <c r="F76" i="3" s="1"/>
  <c r="AN75" i="3"/>
  <c r="AO75" i="3" s="1"/>
  <c r="Z75" i="3"/>
  <c r="AA75" i="3" s="1"/>
  <c r="S75" i="3"/>
  <c r="T75" i="3" s="1"/>
  <c r="L75" i="3"/>
  <c r="M75" i="3" s="1"/>
  <c r="E75" i="3"/>
  <c r="F75" i="3" s="1"/>
  <c r="AN74" i="3"/>
  <c r="AO74" i="3" s="1"/>
  <c r="Z74" i="3"/>
  <c r="AA74" i="3" s="1"/>
  <c r="S74" i="3"/>
  <c r="T74" i="3" s="1"/>
  <c r="L74" i="3"/>
  <c r="M74" i="3" s="1"/>
  <c r="E74" i="3"/>
  <c r="F74" i="3" s="1"/>
  <c r="AN73" i="3"/>
  <c r="AO73" i="3" s="1"/>
  <c r="Z73" i="3"/>
  <c r="AA73" i="3" s="1"/>
  <c r="S73" i="3"/>
  <c r="T73" i="3" s="1"/>
  <c r="L73" i="3"/>
  <c r="M73" i="3" s="1"/>
  <c r="E73" i="3"/>
  <c r="F73" i="3" s="1"/>
  <c r="AN72" i="3"/>
  <c r="AO72" i="3" s="1"/>
  <c r="Z72" i="3"/>
  <c r="AA72" i="3" s="1"/>
  <c r="S72" i="3"/>
  <c r="L72" i="3"/>
  <c r="M72" i="3" s="1"/>
  <c r="E72" i="3"/>
  <c r="F72" i="3" s="1"/>
  <c r="AN71" i="3"/>
  <c r="AO71" i="3" s="1"/>
  <c r="Z71" i="3"/>
  <c r="AA71" i="3" s="1"/>
  <c r="S71" i="3"/>
  <c r="T71" i="3" s="1"/>
  <c r="L71" i="3"/>
  <c r="E71" i="3"/>
  <c r="F71" i="3" s="1"/>
  <c r="AN70" i="3"/>
  <c r="AO70" i="3" s="1"/>
  <c r="Z70" i="3"/>
  <c r="AA70" i="3" s="1"/>
  <c r="S70" i="3"/>
  <c r="L70" i="3"/>
  <c r="M70" i="3" s="1"/>
  <c r="E70" i="3"/>
  <c r="F70" i="3" s="1"/>
  <c r="AN69" i="3"/>
  <c r="AO69" i="3" s="1"/>
  <c r="Z69" i="3"/>
  <c r="AA69" i="3" s="1"/>
  <c r="S69" i="3"/>
  <c r="T69" i="3" s="1"/>
  <c r="L69" i="3"/>
  <c r="M69" i="3" s="1"/>
  <c r="E69" i="3"/>
  <c r="F69" i="3" s="1"/>
  <c r="T65" i="3"/>
  <c r="O65" i="3"/>
  <c r="AD65" i="3"/>
  <c r="J65" i="3"/>
  <c r="E65" i="3"/>
  <c r="AD63" i="3"/>
  <c r="AC63" i="3"/>
  <c r="T63" i="3"/>
  <c r="S63" i="3"/>
  <c r="O63" i="3"/>
  <c r="N63" i="3"/>
  <c r="J63" i="3"/>
  <c r="I63" i="3"/>
  <c r="E63" i="3"/>
  <c r="D63" i="3"/>
  <c r="AD62" i="3"/>
  <c r="AC62" i="3"/>
  <c r="T62" i="3"/>
  <c r="S62" i="3"/>
  <c r="O62" i="3"/>
  <c r="N62" i="3"/>
  <c r="J62" i="3"/>
  <c r="I62" i="3"/>
  <c r="E62" i="3"/>
  <c r="D62" i="3"/>
  <c r="AD61" i="3"/>
  <c r="AC61" i="3"/>
  <c r="T61" i="3"/>
  <c r="S61" i="3"/>
  <c r="O61" i="3"/>
  <c r="N61" i="3"/>
  <c r="J61" i="3"/>
  <c r="I61" i="3"/>
  <c r="E61" i="3"/>
  <c r="D61" i="3"/>
  <c r="AD60" i="3"/>
  <c r="AC60" i="3"/>
  <c r="T60" i="3"/>
  <c r="S60" i="3"/>
  <c r="O60" i="3"/>
  <c r="N60" i="3"/>
  <c r="J60" i="3"/>
  <c r="I60" i="3"/>
  <c r="E60" i="3"/>
  <c r="D60" i="3"/>
  <c r="AD59" i="3"/>
  <c r="AC59" i="3"/>
  <c r="T59" i="3"/>
  <c r="S59" i="3"/>
  <c r="O59" i="3"/>
  <c r="N59" i="3"/>
  <c r="J59" i="3"/>
  <c r="I59" i="3"/>
  <c r="E59" i="3"/>
  <c r="D59" i="3"/>
  <c r="AN50" i="3"/>
  <c r="AO50" i="3" s="1"/>
  <c r="AG50" i="3"/>
  <c r="AH50" i="3" s="1"/>
  <c r="Z50" i="3"/>
  <c r="AA50" i="3" s="1"/>
  <c r="S50" i="3"/>
  <c r="T50" i="3" s="1"/>
  <c r="L50" i="3"/>
  <c r="M50" i="3" s="1"/>
  <c r="E50" i="3"/>
  <c r="F50" i="3" s="1"/>
  <c r="AN49" i="3"/>
  <c r="AO49" i="3" s="1"/>
  <c r="AG49" i="3"/>
  <c r="AH49" i="3" s="1"/>
  <c r="Z49" i="3"/>
  <c r="AA49" i="3" s="1"/>
  <c r="S49" i="3"/>
  <c r="T49" i="3" s="1"/>
  <c r="L49" i="3"/>
  <c r="M49" i="3" s="1"/>
  <c r="E49" i="3"/>
  <c r="F49" i="3" s="1"/>
  <c r="AN48" i="3"/>
  <c r="AO48" i="3" s="1"/>
  <c r="AG48" i="3"/>
  <c r="AH48" i="3" s="1"/>
  <c r="Z48" i="3"/>
  <c r="AA48" i="3" s="1"/>
  <c r="S48" i="3"/>
  <c r="T48" i="3" s="1"/>
  <c r="L48" i="3"/>
  <c r="M48" i="3" s="1"/>
  <c r="E48" i="3"/>
  <c r="F48" i="3" s="1"/>
  <c r="AN47" i="3"/>
  <c r="AO47" i="3" s="1"/>
  <c r="AG47" i="3"/>
  <c r="AH47" i="3" s="1"/>
  <c r="Z47" i="3"/>
  <c r="AA47" i="3" s="1"/>
  <c r="S47" i="3"/>
  <c r="T47" i="3" s="1"/>
  <c r="L47" i="3"/>
  <c r="M47" i="3" s="1"/>
  <c r="E47" i="3"/>
  <c r="F47" i="3" s="1"/>
  <c r="AN46" i="3"/>
  <c r="AO46" i="3" s="1"/>
  <c r="AG46" i="3"/>
  <c r="AH46" i="3" s="1"/>
  <c r="Z46" i="3"/>
  <c r="AA46" i="3" s="1"/>
  <c r="S46" i="3"/>
  <c r="T46" i="3" s="1"/>
  <c r="L46" i="3"/>
  <c r="M46" i="3" s="1"/>
  <c r="E46" i="3"/>
  <c r="F46" i="3" s="1"/>
  <c r="AN45" i="3"/>
  <c r="AO45" i="3" s="1"/>
  <c r="AG45" i="3"/>
  <c r="AH45" i="3" s="1"/>
  <c r="Z45" i="3"/>
  <c r="AA45" i="3" s="1"/>
  <c r="S45" i="3"/>
  <c r="T45" i="3" s="1"/>
  <c r="L45" i="3"/>
  <c r="M45" i="3" s="1"/>
  <c r="E45" i="3"/>
  <c r="F45" i="3" s="1"/>
  <c r="AN44" i="3"/>
  <c r="AO44" i="3" s="1"/>
  <c r="AG44" i="3"/>
  <c r="AH44" i="3" s="1"/>
  <c r="Z44" i="3"/>
  <c r="AA44" i="3" s="1"/>
  <c r="S44" i="3"/>
  <c r="T44" i="3" s="1"/>
  <c r="L44" i="3"/>
  <c r="M44" i="3" s="1"/>
  <c r="E44" i="3"/>
  <c r="F44" i="3" s="1"/>
  <c r="AN43" i="3"/>
  <c r="AO43" i="3" s="1"/>
  <c r="AG43" i="3"/>
  <c r="AH43" i="3" s="1"/>
  <c r="Z43" i="3"/>
  <c r="AA43" i="3" s="1"/>
  <c r="S43" i="3"/>
  <c r="T43" i="3" s="1"/>
  <c r="L43" i="3"/>
  <c r="M43" i="3" s="1"/>
  <c r="E43" i="3"/>
  <c r="F43" i="3" s="1"/>
  <c r="AN42" i="3"/>
  <c r="AO42" i="3" s="1"/>
  <c r="AG42" i="3"/>
  <c r="AH42" i="3" s="1"/>
  <c r="Z42" i="3"/>
  <c r="AA42" i="3" s="1"/>
  <c r="S42" i="3"/>
  <c r="T42" i="3" s="1"/>
  <c r="L42" i="3"/>
  <c r="M42" i="3" s="1"/>
  <c r="E42" i="3"/>
  <c r="F42" i="3" s="1"/>
  <c r="AN41" i="3"/>
  <c r="AO41" i="3" s="1"/>
  <c r="AG41" i="3"/>
  <c r="AH41" i="3" s="1"/>
  <c r="Z41" i="3"/>
  <c r="AA41" i="3" s="1"/>
  <c r="S41" i="3"/>
  <c r="T41" i="3" s="1"/>
  <c r="L41" i="3"/>
  <c r="M41" i="3" s="1"/>
  <c r="E41" i="3"/>
  <c r="F41" i="3" s="1"/>
  <c r="T37" i="3"/>
  <c r="O37" i="3"/>
  <c r="AD37" i="3"/>
  <c r="Y37" i="3"/>
  <c r="J37" i="3"/>
  <c r="E37" i="3"/>
  <c r="AD35" i="3"/>
  <c r="AC35" i="3"/>
  <c r="Y35" i="3"/>
  <c r="X35" i="3"/>
  <c r="T35" i="3"/>
  <c r="S35" i="3"/>
  <c r="O35" i="3"/>
  <c r="N35" i="3"/>
  <c r="J35" i="3"/>
  <c r="I35" i="3"/>
  <c r="E35" i="3"/>
  <c r="D35" i="3"/>
  <c r="AD34" i="3"/>
  <c r="AC34" i="3"/>
  <c r="Y34" i="3"/>
  <c r="X34" i="3"/>
  <c r="T34" i="3"/>
  <c r="S34" i="3"/>
  <c r="O34" i="3"/>
  <c r="N34" i="3"/>
  <c r="J34" i="3"/>
  <c r="I34" i="3"/>
  <c r="E34" i="3"/>
  <c r="D34" i="3"/>
  <c r="AD33" i="3"/>
  <c r="AC33" i="3"/>
  <c r="Y33" i="3"/>
  <c r="X33" i="3"/>
  <c r="T33" i="3"/>
  <c r="S33" i="3"/>
  <c r="O33" i="3"/>
  <c r="N33" i="3"/>
  <c r="J33" i="3"/>
  <c r="I33" i="3"/>
  <c r="E33" i="3"/>
  <c r="D33" i="3"/>
  <c r="AD32" i="3"/>
  <c r="AC32" i="3"/>
  <c r="Y32" i="3"/>
  <c r="X32" i="3"/>
  <c r="T32" i="3"/>
  <c r="S32" i="3"/>
  <c r="O32" i="3"/>
  <c r="N32" i="3"/>
  <c r="J32" i="3"/>
  <c r="I32" i="3"/>
  <c r="E32" i="3"/>
  <c r="D32" i="3"/>
  <c r="AD31" i="3"/>
  <c r="AC31" i="3"/>
  <c r="Y31" i="3"/>
  <c r="X31" i="3"/>
  <c r="T31" i="3"/>
  <c r="S31" i="3"/>
  <c r="O31" i="3"/>
  <c r="N31" i="3"/>
  <c r="J31" i="3"/>
  <c r="I31" i="3"/>
  <c r="E31" i="3"/>
  <c r="D31" i="3"/>
  <c r="E34" i="2"/>
  <c r="E31" i="2"/>
  <c r="E33" i="2"/>
  <c r="E32" i="2"/>
  <c r="AN78" i="2"/>
  <c r="AO78" i="2" s="1"/>
  <c r="Z78" i="2"/>
  <c r="AA78" i="2" s="1"/>
  <c r="S78" i="2"/>
  <c r="T78" i="2" s="1"/>
  <c r="L78" i="2"/>
  <c r="M78" i="2" s="1"/>
  <c r="E78" i="2"/>
  <c r="F78" i="2" s="1"/>
  <c r="AN77" i="2"/>
  <c r="AO77" i="2" s="1"/>
  <c r="Z77" i="2"/>
  <c r="AA77" i="2" s="1"/>
  <c r="S77" i="2"/>
  <c r="T77" i="2" s="1"/>
  <c r="L77" i="2"/>
  <c r="M77" i="2" s="1"/>
  <c r="E77" i="2"/>
  <c r="F77" i="2" s="1"/>
  <c r="AN76" i="2"/>
  <c r="AO76" i="2" s="1"/>
  <c r="Z76" i="2"/>
  <c r="AA76" i="2" s="1"/>
  <c r="S76" i="2"/>
  <c r="T76" i="2" s="1"/>
  <c r="L76" i="2"/>
  <c r="M76" i="2" s="1"/>
  <c r="E76" i="2"/>
  <c r="F76" i="2" s="1"/>
  <c r="AN75" i="2"/>
  <c r="AO75" i="2" s="1"/>
  <c r="Z75" i="2"/>
  <c r="AA75" i="2" s="1"/>
  <c r="S75" i="2"/>
  <c r="T75" i="2" s="1"/>
  <c r="L75" i="2"/>
  <c r="M75" i="2" s="1"/>
  <c r="E75" i="2"/>
  <c r="F75" i="2" s="1"/>
  <c r="AN74" i="2"/>
  <c r="AO74" i="2" s="1"/>
  <c r="Z74" i="2"/>
  <c r="AA74" i="2" s="1"/>
  <c r="S74" i="2"/>
  <c r="T74" i="2" s="1"/>
  <c r="L74" i="2"/>
  <c r="M74" i="2" s="1"/>
  <c r="E74" i="2"/>
  <c r="F74" i="2" s="1"/>
  <c r="AN73" i="2"/>
  <c r="AO73" i="2" s="1"/>
  <c r="Z73" i="2"/>
  <c r="AA73" i="2" s="1"/>
  <c r="S73" i="2"/>
  <c r="T73" i="2" s="1"/>
  <c r="L73" i="2"/>
  <c r="M73" i="2" s="1"/>
  <c r="E73" i="2"/>
  <c r="F73" i="2" s="1"/>
  <c r="AN72" i="2"/>
  <c r="AO72" i="2" s="1"/>
  <c r="Z72" i="2"/>
  <c r="AA72" i="2" s="1"/>
  <c r="S72" i="2"/>
  <c r="T72" i="2" s="1"/>
  <c r="L72" i="2"/>
  <c r="M72" i="2" s="1"/>
  <c r="E72" i="2"/>
  <c r="F72" i="2" s="1"/>
  <c r="AN71" i="2"/>
  <c r="AO71" i="2" s="1"/>
  <c r="Z71" i="2"/>
  <c r="AA71" i="2" s="1"/>
  <c r="S71" i="2"/>
  <c r="T71" i="2" s="1"/>
  <c r="L71" i="2"/>
  <c r="M71" i="2" s="1"/>
  <c r="E71" i="2"/>
  <c r="F71" i="2" s="1"/>
  <c r="AN70" i="2"/>
  <c r="AO70" i="2" s="1"/>
  <c r="Z70" i="2"/>
  <c r="AA70" i="2" s="1"/>
  <c r="S70" i="2"/>
  <c r="T70" i="2" s="1"/>
  <c r="L70" i="2"/>
  <c r="M70" i="2" s="1"/>
  <c r="E70" i="2"/>
  <c r="F70" i="2" s="1"/>
  <c r="AN69" i="2"/>
  <c r="AO69" i="2" s="1"/>
  <c r="Z69" i="2"/>
  <c r="AA69" i="2" s="1"/>
  <c r="S69" i="2"/>
  <c r="T69" i="2" s="1"/>
  <c r="L69" i="2"/>
  <c r="M69" i="2" s="1"/>
  <c r="E69" i="2"/>
  <c r="F69" i="2" s="1"/>
  <c r="E65" i="2"/>
  <c r="AD65" i="2"/>
  <c r="T65" i="2"/>
  <c r="O65" i="2"/>
  <c r="U71" i="2" s="1"/>
  <c r="V71" i="2" s="1"/>
  <c r="J65" i="2"/>
  <c r="AD63" i="2"/>
  <c r="AC63" i="2"/>
  <c r="T63" i="2"/>
  <c r="S63" i="2"/>
  <c r="O63" i="2"/>
  <c r="N63" i="2"/>
  <c r="J63" i="2"/>
  <c r="I63" i="2"/>
  <c r="E63" i="2"/>
  <c r="D63" i="2"/>
  <c r="AD62" i="2"/>
  <c r="AC62" i="2"/>
  <c r="T62" i="2"/>
  <c r="S62" i="2"/>
  <c r="O62" i="2"/>
  <c r="N62" i="2"/>
  <c r="J62" i="2"/>
  <c r="I62" i="2"/>
  <c r="E62" i="2"/>
  <c r="D62" i="2"/>
  <c r="AD61" i="2"/>
  <c r="AC61" i="2"/>
  <c r="T61" i="2"/>
  <c r="S61" i="2"/>
  <c r="O61" i="2"/>
  <c r="N61" i="2"/>
  <c r="J61" i="2"/>
  <c r="I61" i="2"/>
  <c r="E61" i="2"/>
  <c r="D61" i="2"/>
  <c r="AD60" i="2"/>
  <c r="AC60" i="2"/>
  <c r="T60" i="2"/>
  <c r="S60" i="2"/>
  <c r="O60" i="2"/>
  <c r="N60" i="2"/>
  <c r="J60" i="2"/>
  <c r="I60" i="2"/>
  <c r="E60" i="2"/>
  <c r="D60" i="2"/>
  <c r="AD59" i="2"/>
  <c r="AC59" i="2"/>
  <c r="T59" i="2"/>
  <c r="S59" i="2"/>
  <c r="O59" i="2"/>
  <c r="N59" i="2"/>
  <c r="J59" i="2"/>
  <c r="I59" i="2"/>
  <c r="E59" i="2"/>
  <c r="D59" i="2"/>
  <c r="AN50" i="2"/>
  <c r="AO50" i="2" s="1"/>
  <c r="AG50" i="2"/>
  <c r="AH50" i="2" s="1"/>
  <c r="Z50" i="2"/>
  <c r="AA50" i="2" s="1"/>
  <c r="S50" i="2"/>
  <c r="T50" i="2" s="1"/>
  <c r="L50" i="2"/>
  <c r="M50" i="2" s="1"/>
  <c r="E50" i="2"/>
  <c r="F50" i="2" s="1"/>
  <c r="AN49" i="2"/>
  <c r="AO49" i="2" s="1"/>
  <c r="AG49" i="2"/>
  <c r="AH49" i="2" s="1"/>
  <c r="Z49" i="2"/>
  <c r="AA49" i="2" s="1"/>
  <c r="S49" i="2"/>
  <c r="T49" i="2" s="1"/>
  <c r="L49" i="2"/>
  <c r="M49" i="2" s="1"/>
  <c r="E49" i="2"/>
  <c r="F49" i="2" s="1"/>
  <c r="AN48" i="2"/>
  <c r="AO48" i="2" s="1"/>
  <c r="AG48" i="2"/>
  <c r="AH48" i="2" s="1"/>
  <c r="Z48" i="2"/>
  <c r="AA48" i="2" s="1"/>
  <c r="S48" i="2"/>
  <c r="T48" i="2" s="1"/>
  <c r="L48" i="2"/>
  <c r="M48" i="2" s="1"/>
  <c r="E48" i="2"/>
  <c r="F48" i="2" s="1"/>
  <c r="AN47" i="2"/>
  <c r="AO47" i="2" s="1"/>
  <c r="AG47" i="2"/>
  <c r="AH47" i="2" s="1"/>
  <c r="Z47" i="2"/>
  <c r="AA47" i="2" s="1"/>
  <c r="S47" i="2"/>
  <c r="T47" i="2" s="1"/>
  <c r="L47" i="2"/>
  <c r="M47" i="2" s="1"/>
  <c r="E47" i="2"/>
  <c r="F47" i="2" s="1"/>
  <c r="AN46" i="2"/>
  <c r="AO46" i="2" s="1"/>
  <c r="AG46" i="2"/>
  <c r="AH46" i="2" s="1"/>
  <c r="Z46" i="2"/>
  <c r="AA46" i="2" s="1"/>
  <c r="S46" i="2"/>
  <c r="T46" i="2" s="1"/>
  <c r="L46" i="2"/>
  <c r="M46" i="2" s="1"/>
  <c r="E46" i="2"/>
  <c r="F46" i="2" s="1"/>
  <c r="AN45" i="2"/>
  <c r="AO45" i="2" s="1"/>
  <c r="AG45" i="2"/>
  <c r="AH45" i="2" s="1"/>
  <c r="Z45" i="2"/>
  <c r="AA45" i="2" s="1"/>
  <c r="S45" i="2"/>
  <c r="T45" i="2" s="1"/>
  <c r="L45" i="2"/>
  <c r="M45" i="2" s="1"/>
  <c r="E45" i="2"/>
  <c r="F45" i="2" s="1"/>
  <c r="AN44" i="2"/>
  <c r="AO44" i="2" s="1"/>
  <c r="AG44" i="2"/>
  <c r="AH44" i="2" s="1"/>
  <c r="Z44" i="2"/>
  <c r="AA44" i="2" s="1"/>
  <c r="S44" i="2"/>
  <c r="T44" i="2" s="1"/>
  <c r="L44" i="2"/>
  <c r="M44" i="2" s="1"/>
  <c r="E44" i="2"/>
  <c r="F44" i="2" s="1"/>
  <c r="AN43" i="2"/>
  <c r="AG43" i="2"/>
  <c r="AH43" i="2" s="1"/>
  <c r="Z43" i="2"/>
  <c r="S43" i="2"/>
  <c r="T43" i="2" s="1"/>
  <c r="L43" i="2"/>
  <c r="M43" i="2" s="1"/>
  <c r="E43" i="2"/>
  <c r="F43" i="2" s="1"/>
  <c r="AN42" i="2"/>
  <c r="AO42" i="2" s="1"/>
  <c r="AG42" i="2"/>
  <c r="AH42" i="2" s="1"/>
  <c r="Z42" i="2"/>
  <c r="S42" i="2"/>
  <c r="T42" i="2" s="1"/>
  <c r="L42" i="2"/>
  <c r="E42" i="2"/>
  <c r="F42" i="2" s="1"/>
  <c r="AN41" i="2"/>
  <c r="AO41" i="2" s="1"/>
  <c r="AG41" i="2"/>
  <c r="AH41" i="2" s="1"/>
  <c r="Z41" i="2"/>
  <c r="AA41" i="2" s="1"/>
  <c r="S41" i="2"/>
  <c r="T41" i="2" s="1"/>
  <c r="L41" i="2"/>
  <c r="M41" i="2" s="1"/>
  <c r="E41" i="2"/>
  <c r="F41" i="2" s="1"/>
  <c r="AD37" i="2"/>
  <c r="AP50" i="2" s="1"/>
  <c r="AQ50" i="2" s="1"/>
  <c r="O37" i="2"/>
  <c r="J37" i="2"/>
  <c r="Y37" i="2"/>
  <c r="T37" i="2"/>
  <c r="E37" i="2"/>
  <c r="AD35" i="2"/>
  <c r="AC35" i="2"/>
  <c r="Y35" i="2"/>
  <c r="X35" i="2"/>
  <c r="T35" i="2"/>
  <c r="S35" i="2"/>
  <c r="O35" i="2"/>
  <c r="N35" i="2"/>
  <c r="J35" i="2"/>
  <c r="I35" i="2"/>
  <c r="E35" i="2"/>
  <c r="D35" i="2"/>
  <c r="AD34" i="2"/>
  <c r="AC34" i="2"/>
  <c r="Y34" i="2"/>
  <c r="X34" i="2"/>
  <c r="T34" i="2"/>
  <c r="S34" i="2"/>
  <c r="O34" i="2"/>
  <c r="N34" i="2"/>
  <c r="J34" i="2"/>
  <c r="I34" i="2"/>
  <c r="D34" i="2"/>
  <c r="AD33" i="2"/>
  <c r="AC33" i="2"/>
  <c r="Y33" i="2"/>
  <c r="X33" i="2"/>
  <c r="T33" i="2"/>
  <c r="S33" i="2"/>
  <c r="O33" i="2"/>
  <c r="N33" i="2"/>
  <c r="J33" i="2"/>
  <c r="I33" i="2"/>
  <c r="D33" i="2"/>
  <c r="AD32" i="2"/>
  <c r="AC32" i="2"/>
  <c r="Y32" i="2"/>
  <c r="X32" i="2"/>
  <c r="T32" i="2"/>
  <c r="S32" i="2"/>
  <c r="O32" i="2"/>
  <c r="N32" i="2"/>
  <c r="J32" i="2"/>
  <c r="I32" i="2"/>
  <c r="D32" i="2"/>
  <c r="AD31" i="2"/>
  <c r="AC31" i="2"/>
  <c r="Y31" i="2"/>
  <c r="X31" i="2"/>
  <c r="T31" i="2"/>
  <c r="S31" i="2"/>
  <c r="O31" i="2"/>
  <c r="N31" i="2"/>
  <c r="J31" i="2"/>
  <c r="I31" i="2"/>
  <c r="D31" i="2"/>
  <c r="AN78" i="1"/>
  <c r="Z78" i="1"/>
  <c r="S78" i="1"/>
  <c r="L78" i="1"/>
  <c r="E78" i="1"/>
  <c r="AN77" i="1"/>
  <c r="Z77" i="1"/>
  <c r="S77" i="1"/>
  <c r="L77" i="1"/>
  <c r="E77" i="1"/>
  <c r="AN76" i="1"/>
  <c r="Z76" i="1"/>
  <c r="S76" i="1"/>
  <c r="L76" i="1"/>
  <c r="E76" i="1"/>
  <c r="AN75" i="1"/>
  <c r="Z75" i="1"/>
  <c r="S75" i="1"/>
  <c r="L75" i="1"/>
  <c r="E75" i="1"/>
  <c r="AN74" i="1"/>
  <c r="Z74" i="1"/>
  <c r="S74" i="1"/>
  <c r="L74" i="1"/>
  <c r="E74" i="1"/>
  <c r="AN73" i="1"/>
  <c r="Z73" i="1"/>
  <c r="S73" i="1"/>
  <c r="L73" i="1"/>
  <c r="E73" i="1"/>
  <c r="AN72" i="1"/>
  <c r="Z72" i="1"/>
  <c r="S72" i="1"/>
  <c r="L72" i="1"/>
  <c r="M72" i="1" s="1"/>
  <c r="E72" i="1"/>
  <c r="AN71" i="1"/>
  <c r="Z71" i="1"/>
  <c r="S71" i="1"/>
  <c r="L71" i="1"/>
  <c r="E71" i="1"/>
  <c r="AN70" i="1"/>
  <c r="Z70" i="1"/>
  <c r="S70" i="1"/>
  <c r="L70" i="1"/>
  <c r="E70" i="1"/>
  <c r="AN69" i="1"/>
  <c r="AO69" i="1" s="1"/>
  <c r="Z69" i="1"/>
  <c r="S69" i="1"/>
  <c r="T69" i="1" s="1"/>
  <c r="L69" i="1"/>
  <c r="E69" i="1"/>
  <c r="AD64" i="1"/>
  <c r="AD65" i="1" s="1"/>
  <c r="T64" i="1"/>
  <c r="T65" i="1" s="1"/>
  <c r="O64" i="1"/>
  <c r="O65" i="1" s="1"/>
  <c r="J64" i="1"/>
  <c r="J65" i="1" s="1"/>
  <c r="E64" i="1"/>
  <c r="E65" i="1" s="1"/>
  <c r="AD63" i="1"/>
  <c r="AC63" i="1"/>
  <c r="T63" i="1"/>
  <c r="S63" i="1"/>
  <c r="O63" i="1"/>
  <c r="N63" i="1"/>
  <c r="I63" i="1"/>
  <c r="E63" i="1"/>
  <c r="D63" i="1"/>
  <c r="AD62" i="1"/>
  <c r="AC62" i="1"/>
  <c r="T62" i="1"/>
  <c r="S62" i="1"/>
  <c r="O62" i="1"/>
  <c r="N62" i="1"/>
  <c r="J62" i="1"/>
  <c r="I62" i="1"/>
  <c r="E62" i="1"/>
  <c r="D62" i="1"/>
  <c r="AD61" i="1"/>
  <c r="AC61" i="1"/>
  <c r="T61" i="1"/>
  <c r="S61" i="1"/>
  <c r="O61" i="1"/>
  <c r="N61" i="1"/>
  <c r="J61" i="1"/>
  <c r="I61" i="1"/>
  <c r="E61" i="1"/>
  <c r="D61" i="1"/>
  <c r="AD60" i="1"/>
  <c r="AC60" i="1"/>
  <c r="T60" i="1"/>
  <c r="S60" i="1"/>
  <c r="O60" i="1"/>
  <c r="N60" i="1"/>
  <c r="J60" i="1"/>
  <c r="I60" i="1"/>
  <c r="E60" i="1"/>
  <c r="D60" i="1"/>
  <c r="AD59" i="1"/>
  <c r="AC59" i="1"/>
  <c r="T59" i="1"/>
  <c r="S59" i="1"/>
  <c r="O59" i="1"/>
  <c r="N59" i="1"/>
  <c r="J59" i="1"/>
  <c r="I59" i="1"/>
  <c r="E59" i="1"/>
  <c r="D59" i="1"/>
  <c r="AN50" i="1"/>
  <c r="AG50" i="1"/>
  <c r="Z50" i="1"/>
  <c r="S50" i="1"/>
  <c r="L50" i="1"/>
  <c r="E50" i="1"/>
  <c r="AN49" i="1"/>
  <c r="AG49" i="1"/>
  <c r="Z49" i="1"/>
  <c r="S49" i="1"/>
  <c r="L49" i="1"/>
  <c r="E49" i="1"/>
  <c r="AN48" i="1"/>
  <c r="AG48" i="1"/>
  <c r="Z48" i="1"/>
  <c r="S48" i="1"/>
  <c r="L48" i="1"/>
  <c r="E48" i="1"/>
  <c r="AN47" i="1"/>
  <c r="AG47" i="1"/>
  <c r="Z47" i="1"/>
  <c r="S47" i="1"/>
  <c r="L47" i="1"/>
  <c r="E47" i="1"/>
  <c r="AN46" i="1"/>
  <c r="AG46" i="1"/>
  <c r="Z46" i="1"/>
  <c r="S46" i="1"/>
  <c r="L46" i="1"/>
  <c r="E46" i="1"/>
  <c r="AN45" i="1"/>
  <c r="AG45" i="1"/>
  <c r="Z45" i="1"/>
  <c r="S45" i="1"/>
  <c r="L45" i="1"/>
  <c r="E45" i="1"/>
  <c r="AN44" i="1"/>
  <c r="AG44" i="1"/>
  <c r="Z44" i="1"/>
  <c r="S44" i="1"/>
  <c r="L44" i="1"/>
  <c r="E44" i="1"/>
  <c r="AN43" i="1"/>
  <c r="AG43" i="1"/>
  <c r="Z43" i="1"/>
  <c r="S43" i="1"/>
  <c r="L43" i="1"/>
  <c r="E43" i="1"/>
  <c r="AN42" i="1"/>
  <c r="AG42" i="1"/>
  <c r="Z42" i="1"/>
  <c r="S42" i="1"/>
  <c r="L42" i="1"/>
  <c r="E42" i="1"/>
  <c r="AN41" i="1"/>
  <c r="AG41" i="1"/>
  <c r="Z41" i="1"/>
  <c r="S41" i="1"/>
  <c r="L41" i="1"/>
  <c r="E41" i="1"/>
  <c r="G41" i="1" s="1"/>
  <c r="AD36" i="1"/>
  <c r="AD37" i="1" s="1"/>
  <c r="Y36" i="1"/>
  <c r="Y37" i="1" s="1"/>
  <c r="T36" i="1"/>
  <c r="T37" i="1" s="1"/>
  <c r="O36" i="1"/>
  <c r="O37" i="1" s="1"/>
  <c r="J36" i="1"/>
  <c r="J37" i="1" s="1"/>
  <c r="E36" i="1"/>
  <c r="E37" i="1" s="1"/>
  <c r="AD35" i="1"/>
  <c r="AC35" i="1"/>
  <c r="Y35" i="1"/>
  <c r="X35" i="1"/>
  <c r="T35" i="1"/>
  <c r="S35" i="1"/>
  <c r="O35" i="1"/>
  <c r="N35" i="1"/>
  <c r="J35" i="1"/>
  <c r="I35" i="1"/>
  <c r="E35" i="1"/>
  <c r="D35" i="1"/>
  <c r="AD34" i="1"/>
  <c r="AC34" i="1"/>
  <c r="Y34" i="1"/>
  <c r="X34" i="1"/>
  <c r="T34" i="1"/>
  <c r="S34" i="1"/>
  <c r="O34" i="1"/>
  <c r="N34" i="1"/>
  <c r="J34" i="1"/>
  <c r="I34" i="1"/>
  <c r="E34" i="1"/>
  <c r="D34" i="1"/>
  <c r="AD33" i="1"/>
  <c r="AC33" i="1"/>
  <c r="Y33" i="1"/>
  <c r="X33" i="1"/>
  <c r="T33" i="1"/>
  <c r="S33" i="1"/>
  <c r="O33" i="1"/>
  <c r="N33" i="1"/>
  <c r="J33" i="1"/>
  <c r="I33" i="1"/>
  <c r="E33" i="1"/>
  <c r="D33" i="1"/>
  <c r="AD32" i="1"/>
  <c r="AC32" i="1"/>
  <c r="Y32" i="1"/>
  <c r="X32" i="1"/>
  <c r="T32" i="1"/>
  <c r="S32" i="1"/>
  <c r="O32" i="1"/>
  <c r="N32" i="1"/>
  <c r="J32" i="1"/>
  <c r="I32" i="1"/>
  <c r="E32" i="1"/>
  <c r="D32" i="1"/>
  <c r="AD31" i="1"/>
  <c r="AC31" i="1"/>
  <c r="Y31" i="1"/>
  <c r="X31" i="1"/>
  <c r="T31" i="1"/>
  <c r="S31" i="1"/>
  <c r="O31" i="1"/>
  <c r="N31" i="1"/>
  <c r="J31" i="1"/>
  <c r="I31" i="1"/>
  <c r="E31" i="1"/>
  <c r="D31" i="1"/>
  <c r="AP78" i="2" l="1"/>
  <c r="AQ78" i="2" s="1"/>
  <c r="G70" i="1"/>
  <c r="H70" i="1" s="1"/>
  <c r="U46" i="2"/>
  <c r="V46" i="2" s="1"/>
  <c r="U71" i="1"/>
  <c r="V71" i="1" s="1"/>
  <c r="N42" i="2"/>
  <c r="O42" i="2" s="1"/>
  <c r="M42" i="2"/>
  <c r="AB43" i="2"/>
  <c r="AC43" i="2" s="1"/>
  <c r="AA43" i="2"/>
  <c r="U70" i="1"/>
  <c r="V70" i="1" s="1"/>
  <c r="N78" i="2"/>
  <c r="O78" i="2" s="1"/>
  <c r="U70" i="3"/>
  <c r="V70" i="3" s="1"/>
  <c r="T70" i="3"/>
  <c r="U72" i="3"/>
  <c r="V72" i="3" s="1"/>
  <c r="T72" i="3"/>
  <c r="U76" i="3"/>
  <c r="V76" i="3" s="1"/>
  <c r="T76" i="3"/>
  <c r="G69" i="2"/>
  <c r="H69" i="2" s="1"/>
  <c r="AB42" i="2"/>
  <c r="AC42" i="2" s="1"/>
  <c r="AA42" i="2"/>
  <c r="AP43" i="2"/>
  <c r="AQ43" i="2" s="1"/>
  <c r="AO43" i="2"/>
  <c r="M71" i="3"/>
  <c r="M77" i="3"/>
  <c r="AB71" i="3"/>
  <c r="AC71" i="3" s="1"/>
  <c r="AB75" i="3"/>
  <c r="AC75" i="3" s="1"/>
  <c r="U69" i="3"/>
  <c r="V69" i="3" s="1"/>
  <c r="G71" i="3"/>
  <c r="H71" i="3" s="1"/>
  <c r="G75" i="3"/>
  <c r="H75" i="3" s="1"/>
  <c r="AP42" i="2"/>
  <c r="AQ42" i="2" s="1"/>
  <c r="U42" i="2"/>
  <c r="V42" i="2" s="1"/>
  <c r="U44" i="2"/>
  <c r="V44" i="2" s="1"/>
  <c r="U49" i="2"/>
  <c r="V49" i="2" s="1"/>
  <c r="U43" i="2"/>
  <c r="V43" i="2" s="1"/>
  <c r="N44" i="2"/>
  <c r="O44" i="2" s="1"/>
  <c r="N43" i="2"/>
  <c r="O43" i="2" s="1"/>
  <c r="U73" i="2"/>
  <c r="V73" i="2" s="1"/>
  <c r="U74" i="2"/>
  <c r="V74" i="2" s="1"/>
  <c r="U75" i="2"/>
  <c r="V75" i="2" s="1"/>
  <c r="U76" i="2"/>
  <c r="V76" i="2" s="1"/>
  <c r="U72" i="2"/>
  <c r="V72" i="2" s="1"/>
  <c r="G71" i="2"/>
  <c r="H71" i="2" s="1"/>
  <c r="G75" i="2"/>
  <c r="H75" i="2" s="1"/>
  <c r="G73" i="2"/>
  <c r="H73" i="2" s="1"/>
  <c r="G77" i="2"/>
  <c r="H77" i="2" s="1"/>
  <c r="U45" i="2"/>
  <c r="V45" i="2" s="1"/>
  <c r="U47" i="2"/>
  <c r="V47" i="2" s="1"/>
  <c r="U50" i="2"/>
  <c r="V50" i="2" s="1"/>
  <c r="N50" i="2"/>
  <c r="O50" i="2" s="1"/>
  <c r="S79" i="3"/>
  <c r="AB41" i="3"/>
  <c r="AC41" i="3" s="1"/>
  <c r="AP42" i="3"/>
  <c r="AQ42" i="3" s="1"/>
  <c r="N44" i="3"/>
  <c r="O44" i="3" s="1"/>
  <c r="AB45" i="3"/>
  <c r="AC45" i="3" s="1"/>
  <c r="AP46" i="3"/>
  <c r="AQ46" i="3" s="1"/>
  <c r="N48" i="3"/>
  <c r="O48" i="3" s="1"/>
  <c r="AP50" i="3"/>
  <c r="AQ50" i="3" s="1"/>
  <c r="Z53" i="3"/>
  <c r="AG53" i="3"/>
  <c r="AG51" i="3"/>
  <c r="AI41" i="3"/>
  <c r="AJ41" i="3" s="1"/>
  <c r="G43" i="3"/>
  <c r="H43" i="3" s="1"/>
  <c r="U44" i="3"/>
  <c r="V44" i="3" s="1"/>
  <c r="AI45" i="3"/>
  <c r="AJ45" i="3" s="1"/>
  <c r="G47" i="3"/>
  <c r="H47" i="3" s="1"/>
  <c r="AP69" i="3"/>
  <c r="AQ69" i="3" s="1"/>
  <c r="AN81" i="3"/>
  <c r="AN79" i="3"/>
  <c r="L53" i="3"/>
  <c r="L51" i="3"/>
  <c r="N41" i="3"/>
  <c r="O41" i="3" s="1"/>
  <c r="AN53" i="3"/>
  <c r="AN51" i="3"/>
  <c r="AP41" i="3"/>
  <c r="AQ41" i="3" s="1"/>
  <c r="AB42" i="3"/>
  <c r="AC42" i="3" s="1"/>
  <c r="N43" i="3"/>
  <c r="O43" i="3" s="1"/>
  <c r="AP43" i="3"/>
  <c r="AQ43" i="3" s="1"/>
  <c r="AB44" i="3"/>
  <c r="AC44" i="3" s="1"/>
  <c r="N45" i="3"/>
  <c r="O45" i="3" s="1"/>
  <c r="AP45" i="3"/>
  <c r="AQ45" i="3" s="1"/>
  <c r="AB46" i="3"/>
  <c r="AC46" i="3" s="1"/>
  <c r="N47" i="3"/>
  <c r="O47" i="3" s="1"/>
  <c r="AP47" i="3"/>
  <c r="AQ47" i="3" s="1"/>
  <c r="AB49" i="3"/>
  <c r="AC49" i="3" s="1"/>
  <c r="N42" i="3"/>
  <c r="O42" i="3" s="1"/>
  <c r="AB43" i="3"/>
  <c r="AC43" i="3" s="1"/>
  <c r="AP44" i="3"/>
  <c r="AQ44" i="3" s="1"/>
  <c r="N46" i="3"/>
  <c r="O46" i="3" s="1"/>
  <c r="AB47" i="3"/>
  <c r="AC47" i="3" s="1"/>
  <c r="E53" i="3"/>
  <c r="E51" i="3"/>
  <c r="G41" i="3"/>
  <c r="H41" i="3" s="1"/>
  <c r="U42" i="3"/>
  <c r="V42" i="3" s="1"/>
  <c r="AI43" i="3"/>
  <c r="AJ43" i="3" s="1"/>
  <c r="G45" i="3"/>
  <c r="H45" i="3" s="1"/>
  <c r="U46" i="3"/>
  <c r="V46" i="3" s="1"/>
  <c r="AI47" i="3"/>
  <c r="AJ47" i="3" s="1"/>
  <c r="N50" i="3"/>
  <c r="O50" i="3" s="1"/>
  <c r="N69" i="3"/>
  <c r="O69" i="3" s="1"/>
  <c r="L81" i="3"/>
  <c r="L79" i="3"/>
  <c r="S51" i="3"/>
  <c r="U41" i="3"/>
  <c r="V41" i="3" s="1"/>
  <c r="S53" i="3"/>
  <c r="G42" i="3"/>
  <c r="H42" i="3" s="1"/>
  <c r="AI42" i="3"/>
  <c r="AJ42" i="3" s="1"/>
  <c r="U43" i="3"/>
  <c r="V43" i="3" s="1"/>
  <c r="G44" i="3"/>
  <c r="H44" i="3" s="1"/>
  <c r="AI44" i="3"/>
  <c r="AJ44" i="3" s="1"/>
  <c r="U45" i="3"/>
  <c r="V45" i="3" s="1"/>
  <c r="G46" i="3"/>
  <c r="H46" i="3" s="1"/>
  <c r="AI46" i="3"/>
  <c r="AJ46" i="3" s="1"/>
  <c r="U47" i="3"/>
  <c r="V47" i="3" s="1"/>
  <c r="G48" i="3"/>
  <c r="H48" i="3" s="1"/>
  <c r="AP48" i="3"/>
  <c r="AQ48" i="3" s="1"/>
  <c r="Z51" i="3"/>
  <c r="U49" i="3"/>
  <c r="V49" i="3" s="1"/>
  <c r="AI50" i="3"/>
  <c r="AJ50" i="3" s="1"/>
  <c r="G69" i="3"/>
  <c r="H69" i="3" s="1"/>
  <c r="E81" i="3"/>
  <c r="E79" i="3"/>
  <c r="G72" i="3"/>
  <c r="H72" i="3" s="1"/>
  <c r="AP76" i="3"/>
  <c r="AQ76" i="3" s="1"/>
  <c r="U77" i="3"/>
  <c r="V77" i="3" s="1"/>
  <c r="AB48" i="3"/>
  <c r="AC48" i="3" s="1"/>
  <c r="N49" i="3"/>
  <c r="O49" i="3" s="1"/>
  <c r="AP49" i="3"/>
  <c r="AQ49" i="3" s="1"/>
  <c r="AB50" i="3"/>
  <c r="AC50" i="3" s="1"/>
  <c r="AB69" i="3"/>
  <c r="AC69" i="3" s="1"/>
  <c r="Z81" i="3"/>
  <c r="Z79" i="3"/>
  <c r="AA81" i="3"/>
  <c r="AB77" i="3"/>
  <c r="AC77" i="3" s="1"/>
  <c r="N78" i="3"/>
  <c r="O78" i="3" s="1"/>
  <c r="AP78" i="3"/>
  <c r="AQ78" i="3" s="1"/>
  <c r="AA79" i="3"/>
  <c r="S81" i="3"/>
  <c r="AI48" i="3"/>
  <c r="AJ48" i="3" s="1"/>
  <c r="G50" i="3"/>
  <c r="H50" i="3" s="1"/>
  <c r="N70" i="3"/>
  <c r="O70" i="3" s="1"/>
  <c r="AP72" i="3"/>
  <c r="AQ72" i="3" s="1"/>
  <c r="U73" i="3"/>
  <c r="V73" i="3" s="1"/>
  <c r="N74" i="3"/>
  <c r="O74" i="3" s="1"/>
  <c r="G76" i="3"/>
  <c r="H76" i="3" s="1"/>
  <c r="G78" i="3"/>
  <c r="H78" i="3" s="1"/>
  <c r="U48" i="3"/>
  <c r="V48" i="3" s="1"/>
  <c r="G49" i="3"/>
  <c r="H49" i="3" s="1"/>
  <c r="AI49" i="3"/>
  <c r="AJ49" i="3" s="1"/>
  <c r="U50" i="3"/>
  <c r="V50" i="3" s="1"/>
  <c r="G70" i="3"/>
  <c r="H70" i="3" s="1"/>
  <c r="AP70" i="3"/>
  <c r="AQ70" i="3" s="1"/>
  <c r="U71" i="3"/>
  <c r="V71" i="3" s="1"/>
  <c r="T81" i="3"/>
  <c r="N72" i="3"/>
  <c r="O72" i="3" s="1"/>
  <c r="G73" i="3"/>
  <c r="H73" i="3" s="1"/>
  <c r="AB73" i="3"/>
  <c r="AC73" i="3" s="1"/>
  <c r="G74" i="3"/>
  <c r="H74" i="3" s="1"/>
  <c r="U74" i="3"/>
  <c r="V74" i="3" s="1"/>
  <c r="AP74" i="3"/>
  <c r="AQ74" i="3" s="1"/>
  <c r="U75" i="3"/>
  <c r="V75" i="3" s="1"/>
  <c r="N76" i="3"/>
  <c r="O76" i="3" s="1"/>
  <c r="G77" i="3"/>
  <c r="H77" i="3" s="1"/>
  <c r="AB70" i="3"/>
  <c r="AC70" i="3" s="1"/>
  <c r="N71" i="3"/>
  <c r="O71" i="3" s="1"/>
  <c r="AP71" i="3"/>
  <c r="AQ71" i="3" s="1"/>
  <c r="AB72" i="3"/>
  <c r="AC72" i="3" s="1"/>
  <c r="N73" i="3"/>
  <c r="O73" i="3" s="1"/>
  <c r="AP73" i="3"/>
  <c r="AQ73" i="3" s="1"/>
  <c r="AB74" i="3"/>
  <c r="AC74" i="3" s="1"/>
  <c r="N75" i="3"/>
  <c r="O75" i="3" s="1"/>
  <c r="AP75" i="3"/>
  <c r="AQ75" i="3" s="1"/>
  <c r="AB76" i="3"/>
  <c r="AC76" i="3" s="1"/>
  <c r="N77" i="3"/>
  <c r="O77" i="3" s="1"/>
  <c r="AP77" i="3"/>
  <c r="AQ77" i="3" s="1"/>
  <c r="AB78" i="3"/>
  <c r="AC78" i="3" s="1"/>
  <c r="U78" i="3"/>
  <c r="V78" i="3" s="1"/>
  <c r="AB78" i="2"/>
  <c r="AC78" i="2" s="1"/>
  <c r="U69" i="2"/>
  <c r="V69" i="2" s="1"/>
  <c r="U70" i="2"/>
  <c r="U77" i="2"/>
  <c r="V77" i="2" s="1"/>
  <c r="U78" i="2"/>
  <c r="V78" i="2" s="1"/>
  <c r="G70" i="2"/>
  <c r="H70" i="2" s="1"/>
  <c r="G74" i="2"/>
  <c r="H74" i="2" s="1"/>
  <c r="G78" i="2"/>
  <c r="H78" i="2" s="1"/>
  <c r="G72" i="2"/>
  <c r="H72" i="2" s="1"/>
  <c r="G76" i="2"/>
  <c r="H76" i="2" s="1"/>
  <c r="U48" i="2"/>
  <c r="V48" i="2" s="1"/>
  <c r="G50" i="2"/>
  <c r="H50" i="2" s="1"/>
  <c r="G49" i="2"/>
  <c r="H49" i="2" s="1"/>
  <c r="G46" i="2"/>
  <c r="H46" i="2" s="1"/>
  <c r="G45" i="2"/>
  <c r="H45" i="2" s="1"/>
  <c r="G48" i="2"/>
  <c r="H48" i="2" s="1"/>
  <c r="G47" i="2"/>
  <c r="H47" i="2" s="1"/>
  <c r="AI48" i="2"/>
  <c r="AJ48" i="2" s="1"/>
  <c r="AI46" i="2"/>
  <c r="AJ46" i="2" s="1"/>
  <c r="AI50" i="2"/>
  <c r="AJ50" i="2" s="1"/>
  <c r="AI49" i="2"/>
  <c r="AJ49" i="2" s="1"/>
  <c r="AI47" i="2"/>
  <c r="AJ47" i="2" s="1"/>
  <c r="AI45" i="2"/>
  <c r="AJ45" i="2" s="1"/>
  <c r="AI44" i="2"/>
  <c r="AJ44" i="2" s="1"/>
  <c r="G43" i="2"/>
  <c r="H43" i="2" s="1"/>
  <c r="AI43" i="2"/>
  <c r="AJ43" i="2" s="1"/>
  <c r="AB50" i="2"/>
  <c r="AC50" i="2" s="1"/>
  <c r="AB49" i="2"/>
  <c r="AC49" i="2" s="1"/>
  <c r="G42" i="2"/>
  <c r="H42" i="2" s="1"/>
  <c r="AI42" i="2"/>
  <c r="AJ42" i="2" s="1"/>
  <c r="G44" i="2"/>
  <c r="H44" i="2" s="1"/>
  <c r="E53" i="2"/>
  <c r="E51" i="2"/>
  <c r="L53" i="2"/>
  <c r="L51" i="2"/>
  <c r="S53" i="2"/>
  <c r="S51" i="2"/>
  <c r="Z53" i="2"/>
  <c r="Z51" i="2"/>
  <c r="AG53" i="2"/>
  <c r="AG51" i="2"/>
  <c r="AN53" i="2"/>
  <c r="AN51" i="2"/>
  <c r="M81" i="2"/>
  <c r="M79" i="2"/>
  <c r="AA81" i="2"/>
  <c r="AA79" i="2"/>
  <c r="AO81" i="2"/>
  <c r="AO79" i="2"/>
  <c r="AB44" i="2"/>
  <c r="AC44" i="2" s="1"/>
  <c r="AP44" i="2"/>
  <c r="AQ44" i="2" s="1"/>
  <c r="N45" i="2"/>
  <c r="O45" i="2" s="1"/>
  <c r="AB45" i="2"/>
  <c r="AC45" i="2" s="1"/>
  <c r="AP45" i="2"/>
  <c r="AQ45" i="2" s="1"/>
  <c r="N46" i="2"/>
  <c r="O46" i="2" s="1"/>
  <c r="AB46" i="2"/>
  <c r="AC46" i="2" s="1"/>
  <c r="AP46" i="2"/>
  <c r="AQ46" i="2" s="1"/>
  <c r="N47" i="2"/>
  <c r="O47" i="2" s="1"/>
  <c r="AB47" i="2"/>
  <c r="AC47" i="2" s="1"/>
  <c r="AP47" i="2"/>
  <c r="AQ47" i="2" s="1"/>
  <c r="N48" i="2"/>
  <c r="O48" i="2" s="1"/>
  <c r="AB48" i="2"/>
  <c r="AC48" i="2" s="1"/>
  <c r="AP48" i="2"/>
  <c r="AQ48" i="2" s="1"/>
  <c r="N49" i="2"/>
  <c r="O49" i="2" s="1"/>
  <c r="AP49" i="2"/>
  <c r="AQ49" i="2" s="1"/>
  <c r="N69" i="2"/>
  <c r="O69" i="2" s="1"/>
  <c r="AB69" i="2"/>
  <c r="AC69" i="2" s="1"/>
  <c r="AP69" i="2"/>
  <c r="AQ69" i="2" s="1"/>
  <c r="N70" i="2"/>
  <c r="O70" i="2" s="1"/>
  <c r="AB70" i="2"/>
  <c r="AC70" i="2" s="1"/>
  <c r="AP70" i="2"/>
  <c r="AQ70" i="2" s="1"/>
  <c r="N71" i="2"/>
  <c r="O71" i="2" s="1"/>
  <c r="AB71" i="2"/>
  <c r="AC71" i="2" s="1"/>
  <c r="AP71" i="2"/>
  <c r="AQ71" i="2" s="1"/>
  <c r="N72" i="2"/>
  <c r="O72" i="2" s="1"/>
  <c r="AB72" i="2"/>
  <c r="AC72" i="2" s="1"/>
  <c r="AP72" i="2"/>
  <c r="AQ72" i="2" s="1"/>
  <c r="N73" i="2"/>
  <c r="O73" i="2" s="1"/>
  <c r="AB73" i="2"/>
  <c r="AC73" i="2" s="1"/>
  <c r="AP73" i="2"/>
  <c r="AQ73" i="2" s="1"/>
  <c r="N74" i="2"/>
  <c r="O74" i="2" s="1"/>
  <c r="AB74" i="2"/>
  <c r="AC74" i="2" s="1"/>
  <c r="AP74" i="2"/>
  <c r="AQ74" i="2" s="1"/>
  <c r="N75" i="2"/>
  <c r="O75" i="2" s="1"/>
  <c r="AB75" i="2"/>
  <c r="AC75" i="2" s="1"/>
  <c r="AP75" i="2"/>
  <c r="AQ75" i="2" s="1"/>
  <c r="N76" i="2"/>
  <c r="O76" i="2" s="1"/>
  <c r="AB76" i="2"/>
  <c r="AC76" i="2" s="1"/>
  <c r="AP76" i="2"/>
  <c r="AQ76" i="2" s="1"/>
  <c r="N77" i="2"/>
  <c r="O77" i="2" s="1"/>
  <c r="AB77" i="2"/>
  <c r="AC77" i="2" s="1"/>
  <c r="AP77" i="2"/>
  <c r="AQ77" i="2" s="1"/>
  <c r="G41" i="2"/>
  <c r="H41" i="2" s="1"/>
  <c r="N41" i="2"/>
  <c r="O41" i="2" s="1"/>
  <c r="U41" i="2"/>
  <c r="V41" i="2" s="1"/>
  <c r="AB41" i="2"/>
  <c r="AC41" i="2" s="1"/>
  <c r="AI41" i="2"/>
  <c r="AJ41" i="2" s="1"/>
  <c r="AP41" i="2"/>
  <c r="AQ41" i="2" s="1"/>
  <c r="F81" i="2"/>
  <c r="F79" i="2"/>
  <c r="T81" i="2"/>
  <c r="T79" i="2"/>
  <c r="E79" i="2"/>
  <c r="L79" i="2"/>
  <c r="S79" i="2"/>
  <c r="Z79" i="2"/>
  <c r="AN79" i="2"/>
  <c r="E81" i="2"/>
  <c r="L81" i="2"/>
  <c r="S81" i="2"/>
  <c r="Z81" i="2"/>
  <c r="AN81" i="2"/>
  <c r="U41" i="1"/>
  <c r="S53" i="1"/>
  <c r="T41" i="1"/>
  <c r="U43" i="1"/>
  <c r="V43" i="1" s="1"/>
  <c r="T43" i="1"/>
  <c r="AI44" i="1"/>
  <c r="AJ44" i="1" s="1"/>
  <c r="AH44" i="1"/>
  <c r="AI46" i="1"/>
  <c r="AJ46" i="1" s="1"/>
  <c r="AH46" i="1"/>
  <c r="G48" i="1"/>
  <c r="H48" i="1" s="1"/>
  <c r="F48" i="1"/>
  <c r="G50" i="1"/>
  <c r="H50" i="1" s="1"/>
  <c r="F50" i="1"/>
  <c r="S51" i="1"/>
  <c r="AB41" i="1"/>
  <c r="Z53" i="1"/>
  <c r="AA41" i="1"/>
  <c r="N42" i="1"/>
  <c r="O42" i="1" s="1"/>
  <c r="M42" i="1"/>
  <c r="AP42" i="1"/>
  <c r="AQ42" i="1" s="1"/>
  <c r="AO42" i="1"/>
  <c r="AB43" i="1"/>
  <c r="AC43" i="1" s="1"/>
  <c r="AA43" i="1"/>
  <c r="N44" i="1"/>
  <c r="O44" i="1" s="1"/>
  <c r="M44" i="1"/>
  <c r="AP44" i="1"/>
  <c r="AQ44" i="1" s="1"/>
  <c r="AO44" i="1"/>
  <c r="AB45" i="1"/>
  <c r="AC45" i="1" s="1"/>
  <c r="AA45" i="1"/>
  <c r="N46" i="1"/>
  <c r="O46" i="1" s="1"/>
  <c r="M46" i="1"/>
  <c r="AP46" i="1"/>
  <c r="AQ46" i="1" s="1"/>
  <c r="AO46" i="1"/>
  <c r="AB47" i="1"/>
  <c r="AC47" i="1" s="1"/>
  <c r="AA47" i="1"/>
  <c r="N48" i="1"/>
  <c r="O48" i="1" s="1"/>
  <c r="M48" i="1"/>
  <c r="AP48" i="1"/>
  <c r="AQ48" i="1" s="1"/>
  <c r="AO48" i="1"/>
  <c r="AB49" i="1"/>
  <c r="AC49" i="1" s="1"/>
  <c r="AA49" i="1"/>
  <c r="N50" i="1"/>
  <c r="O50" i="1" s="1"/>
  <c r="M50" i="1"/>
  <c r="AP50" i="1"/>
  <c r="AQ50" i="1" s="1"/>
  <c r="AO50" i="1"/>
  <c r="Z51" i="1"/>
  <c r="N70" i="1"/>
  <c r="O70" i="1" s="1"/>
  <c r="AP70" i="1"/>
  <c r="AQ70" i="1" s="1"/>
  <c r="AB71" i="1"/>
  <c r="AC71" i="1" s="1"/>
  <c r="G42" i="1"/>
  <c r="H42" i="1" s="1"/>
  <c r="F42" i="1"/>
  <c r="G44" i="1"/>
  <c r="H44" i="1" s="1"/>
  <c r="F44" i="1"/>
  <c r="U45" i="1"/>
  <c r="V45" i="1" s="1"/>
  <c r="T45" i="1"/>
  <c r="U47" i="1"/>
  <c r="V47" i="1" s="1"/>
  <c r="T47" i="1"/>
  <c r="AI48" i="1"/>
  <c r="AJ48" i="1" s="1"/>
  <c r="AH48" i="1"/>
  <c r="U49" i="1"/>
  <c r="V49" i="1" s="1"/>
  <c r="T49" i="1"/>
  <c r="AI50" i="1"/>
  <c r="AJ50" i="1" s="1"/>
  <c r="AH50" i="1"/>
  <c r="E53" i="1"/>
  <c r="F41" i="1"/>
  <c r="AI41" i="1"/>
  <c r="AH41" i="1"/>
  <c r="AG53" i="1"/>
  <c r="U42" i="1"/>
  <c r="V42" i="1" s="1"/>
  <c r="T42" i="1"/>
  <c r="G43" i="1"/>
  <c r="H43" i="1" s="1"/>
  <c r="F43" i="1"/>
  <c r="AI43" i="1"/>
  <c r="AJ43" i="1" s="1"/>
  <c r="AH43" i="1"/>
  <c r="U44" i="1"/>
  <c r="V44" i="1" s="1"/>
  <c r="T44" i="1"/>
  <c r="G45" i="1"/>
  <c r="H45" i="1" s="1"/>
  <c r="F45" i="1"/>
  <c r="AI45" i="1"/>
  <c r="AJ45" i="1" s="1"/>
  <c r="AH45" i="1"/>
  <c r="U46" i="1"/>
  <c r="V46" i="1" s="1"/>
  <c r="T46" i="1"/>
  <c r="G47" i="1"/>
  <c r="H47" i="1" s="1"/>
  <c r="F47" i="1"/>
  <c r="AI47" i="1"/>
  <c r="AJ47" i="1" s="1"/>
  <c r="AH47" i="1"/>
  <c r="U48" i="1"/>
  <c r="V48" i="1" s="1"/>
  <c r="T48" i="1"/>
  <c r="G49" i="1"/>
  <c r="H49" i="1" s="1"/>
  <c r="F49" i="1"/>
  <c r="AI49" i="1"/>
  <c r="AJ49" i="1" s="1"/>
  <c r="AH49" i="1"/>
  <c r="U50" i="1"/>
  <c r="V50" i="1" s="1"/>
  <c r="T50" i="1"/>
  <c r="E51" i="1"/>
  <c r="AG51" i="1"/>
  <c r="G71" i="1"/>
  <c r="H71" i="1" s="1"/>
  <c r="AI42" i="1"/>
  <c r="AJ42" i="1" s="1"/>
  <c r="AH42" i="1"/>
  <c r="G46" i="1"/>
  <c r="H46" i="1" s="1"/>
  <c r="F46" i="1"/>
  <c r="N41" i="1"/>
  <c r="M41" i="1"/>
  <c r="L53" i="1"/>
  <c r="AP41" i="1"/>
  <c r="AN53" i="1"/>
  <c r="AN51" i="1"/>
  <c r="AO41" i="1"/>
  <c r="AB42" i="1"/>
  <c r="AC42" i="1" s="1"/>
  <c r="AA42" i="1"/>
  <c r="N43" i="1"/>
  <c r="O43" i="1" s="1"/>
  <c r="M43" i="1"/>
  <c r="AP43" i="1"/>
  <c r="AQ43" i="1" s="1"/>
  <c r="AO43" i="1"/>
  <c r="AB44" i="1"/>
  <c r="AC44" i="1" s="1"/>
  <c r="AA44" i="1"/>
  <c r="N45" i="1"/>
  <c r="O45" i="1" s="1"/>
  <c r="M45" i="1"/>
  <c r="AP45" i="1"/>
  <c r="AQ45" i="1" s="1"/>
  <c r="AO45" i="1"/>
  <c r="AB46" i="1"/>
  <c r="AC46" i="1" s="1"/>
  <c r="AA46" i="1"/>
  <c r="N47" i="1"/>
  <c r="O47" i="1" s="1"/>
  <c r="M47" i="1"/>
  <c r="AP47" i="1"/>
  <c r="AQ47" i="1" s="1"/>
  <c r="AO47" i="1"/>
  <c r="AB48" i="1"/>
  <c r="AC48" i="1" s="1"/>
  <c r="AA48" i="1"/>
  <c r="N49" i="1"/>
  <c r="O49" i="1" s="1"/>
  <c r="M49" i="1"/>
  <c r="AP49" i="1"/>
  <c r="AQ49" i="1" s="1"/>
  <c r="AO49" i="1"/>
  <c r="AB50" i="1"/>
  <c r="AC50" i="1" s="1"/>
  <c r="AA50" i="1"/>
  <c r="L51" i="1"/>
  <c r="N69" i="1"/>
  <c r="AB70" i="1"/>
  <c r="AC70" i="1" s="1"/>
  <c r="N71" i="1"/>
  <c r="O71" i="1" s="1"/>
  <c r="AP71" i="1"/>
  <c r="AQ71" i="1" s="1"/>
  <c r="E81" i="1"/>
  <c r="E79" i="1"/>
  <c r="Z81" i="1"/>
  <c r="Z79" i="1"/>
  <c r="G72" i="1"/>
  <c r="H72" i="1" s="1"/>
  <c r="F69" i="1"/>
  <c r="M69" i="1"/>
  <c r="AA69" i="1"/>
  <c r="F70" i="1"/>
  <c r="M70" i="1"/>
  <c r="T70" i="1"/>
  <c r="AA70" i="1"/>
  <c r="AO70" i="1"/>
  <c r="F71" i="1"/>
  <c r="M71" i="1"/>
  <c r="T71" i="1"/>
  <c r="AA71" i="1"/>
  <c r="AO71" i="1"/>
  <c r="F72" i="1"/>
  <c r="AB72" i="1"/>
  <c r="AC72" i="1" s="1"/>
  <c r="AA72" i="1"/>
  <c r="AP72" i="1"/>
  <c r="AQ72" i="1" s="1"/>
  <c r="AO72" i="1"/>
  <c r="N73" i="1"/>
  <c r="O73" i="1" s="1"/>
  <c r="M73" i="1"/>
  <c r="AB73" i="1"/>
  <c r="AC73" i="1" s="1"/>
  <c r="AA73" i="1"/>
  <c r="AP73" i="1"/>
  <c r="AQ73" i="1" s="1"/>
  <c r="AO73" i="1"/>
  <c r="N74" i="1"/>
  <c r="O74" i="1" s="1"/>
  <c r="M74" i="1"/>
  <c r="AB74" i="1"/>
  <c r="AC74" i="1" s="1"/>
  <c r="AA74" i="1"/>
  <c r="AP74" i="1"/>
  <c r="AQ74" i="1" s="1"/>
  <c r="N75" i="1"/>
  <c r="O75" i="1" s="1"/>
  <c r="AB75" i="1"/>
  <c r="AC75" i="1" s="1"/>
  <c r="AP75" i="1"/>
  <c r="AQ75" i="1" s="1"/>
  <c r="N76" i="1"/>
  <c r="O76" i="1" s="1"/>
  <c r="AB76" i="1"/>
  <c r="AC76" i="1" s="1"/>
  <c r="AP76" i="1"/>
  <c r="AQ76" i="1" s="1"/>
  <c r="N77" i="1"/>
  <c r="O77" i="1" s="1"/>
  <c r="AB77" i="1"/>
  <c r="AC77" i="1" s="1"/>
  <c r="AP77" i="1"/>
  <c r="AQ77" i="1" s="1"/>
  <c r="N78" i="1"/>
  <c r="O78" i="1" s="1"/>
  <c r="AB78" i="1"/>
  <c r="AC78" i="1" s="1"/>
  <c r="AP78" i="1"/>
  <c r="AQ78" i="1" s="1"/>
  <c r="S81" i="1"/>
  <c r="S79" i="1"/>
  <c r="AN81" i="1"/>
  <c r="AN79" i="1"/>
  <c r="G69" i="1"/>
  <c r="U69" i="1"/>
  <c r="AB69" i="1"/>
  <c r="AP69" i="1"/>
  <c r="U72" i="1"/>
  <c r="V72" i="1" s="1"/>
  <c r="L81" i="1"/>
  <c r="L79" i="1"/>
  <c r="N72" i="1"/>
  <c r="O72" i="1" s="1"/>
  <c r="T72" i="1"/>
  <c r="G73" i="1"/>
  <c r="H73" i="1" s="1"/>
  <c r="F73" i="1"/>
  <c r="U73" i="1"/>
  <c r="V73" i="1" s="1"/>
  <c r="T73" i="1"/>
  <c r="G74" i="1"/>
  <c r="H74" i="1" s="1"/>
  <c r="F74" i="1"/>
  <c r="U74" i="1"/>
  <c r="V74" i="1" s="1"/>
  <c r="T74" i="1"/>
  <c r="G75" i="1"/>
  <c r="H75" i="1" s="1"/>
  <c r="U75" i="1"/>
  <c r="V75" i="1" s="1"/>
  <c r="G76" i="1"/>
  <c r="H76" i="1" s="1"/>
  <c r="U76" i="1"/>
  <c r="V76" i="1" s="1"/>
  <c r="G77" i="1"/>
  <c r="H77" i="1" s="1"/>
  <c r="U77" i="1"/>
  <c r="V77" i="1" s="1"/>
  <c r="G78" i="1"/>
  <c r="H78" i="1" s="1"/>
  <c r="U78" i="1"/>
  <c r="V78" i="1" s="1"/>
  <c r="AO74" i="1"/>
  <c r="F75" i="1"/>
  <c r="M75" i="1"/>
  <c r="T75" i="1"/>
  <c r="AA75" i="1"/>
  <c r="AO75" i="1"/>
  <c r="F76" i="1"/>
  <c r="M76" i="1"/>
  <c r="T76" i="1"/>
  <c r="AA76" i="1"/>
  <c r="AO76" i="1"/>
  <c r="F77" i="1"/>
  <c r="M77" i="1"/>
  <c r="T77" i="1"/>
  <c r="AA77" i="1"/>
  <c r="AO77" i="1"/>
  <c r="F78" i="1"/>
  <c r="M78" i="1"/>
  <c r="T78" i="1"/>
  <c r="AA78" i="1"/>
  <c r="AO78" i="1"/>
  <c r="AO81" i="1" l="1"/>
  <c r="AO79" i="1"/>
  <c r="G81" i="2"/>
  <c r="G80" i="2" s="1"/>
  <c r="T79" i="1"/>
  <c r="T81" i="1"/>
  <c r="V70" i="2"/>
  <c r="V79" i="2" s="1"/>
  <c r="V79" i="3"/>
  <c r="V81" i="3"/>
  <c r="H81" i="2"/>
  <c r="U81" i="2"/>
  <c r="U79" i="2"/>
  <c r="G79" i="2"/>
  <c r="H79" i="2"/>
  <c r="AA82" i="3"/>
  <c r="AA80" i="3"/>
  <c r="U81" i="3"/>
  <c r="U80" i="3" s="1"/>
  <c r="T79" i="3"/>
  <c r="U79" i="3"/>
  <c r="AB81" i="3"/>
  <c r="AB79" i="3"/>
  <c r="G81" i="3"/>
  <c r="G79" i="3"/>
  <c r="N81" i="3"/>
  <c r="N79" i="3"/>
  <c r="L54" i="3"/>
  <c r="L52" i="3"/>
  <c r="Z54" i="3"/>
  <c r="Z52" i="3"/>
  <c r="S82" i="3"/>
  <c r="S80" i="3"/>
  <c r="F81" i="3"/>
  <c r="F79" i="3"/>
  <c r="T82" i="3"/>
  <c r="T80" i="3"/>
  <c r="T53" i="3"/>
  <c r="T51" i="3"/>
  <c r="M81" i="3"/>
  <c r="M79" i="3"/>
  <c r="F53" i="3"/>
  <c r="F51" i="3"/>
  <c r="AO53" i="3"/>
  <c r="AO51" i="3"/>
  <c r="M53" i="3"/>
  <c r="M51" i="3"/>
  <c r="AP81" i="3"/>
  <c r="AP79" i="3"/>
  <c r="AG52" i="3"/>
  <c r="AG54" i="3"/>
  <c r="S54" i="3"/>
  <c r="S52" i="3"/>
  <c r="G53" i="3"/>
  <c r="G51" i="3"/>
  <c r="AP53" i="3"/>
  <c r="AP51" i="3"/>
  <c r="N53" i="3"/>
  <c r="N51" i="3"/>
  <c r="AO81" i="3"/>
  <c r="AO79" i="3"/>
  <c r="AH53" i="3"/>
  <c r="AH51" i="3"/>
  <c r="AB53" i="3"/>
  <c r="AB51" i="3"/>
  <c r="E54" i="3"/>
  <c r="E52" i="3"/>
  <c r="AN54" i="3"/>
  <c r="AN52" i="3"/>
  <c r="AN82" i="3"/>
  <c r="AN80" i="3"/>
  <c r="U82" i="3"/>
  <c r="Z82" i="3"/>
  <c r="Z80" i="3"/>
  <c r="E82" i="3"/>
  <c r="E80" i="3"/>
  <c r="U53" i="3"/>
  <c r="U51" i="3"/>
  <c r="L82" i="3"/>
  <c r="L80" i="3"/>
  <c r="AI53" i="3"/>
  <c r="AI51" i="3"/>
  <c r="AA53" i="3"/>
  <c r="AA51" i="3"/>
  <c r="F82" i="2"/>
  <c r="F80" i="2"/>
  <c r="AN82" i="2"/>
  <c r="AN80" i="2"/>
  <c r="L82" i="2"/>
  <c r="L80" i="2"/>
  <c r="AP53" i="2"/>
  <c r="AP51" i="2"/>
  <c r="N51" i="2"/>
  <c r="N53" i="2"/>
  <c r="AH53" i="2"/>
  <c r="AH51" i="2"/>
  <c r="F53" i="2"/>
  <c r="F51" i="2"/>
  <c r="AO82" i="2"/>
  <c r="AO80" i="2"/>
  <c r="M82" i="2"/>
  <c r="M80" i="2"/>
  <c r="AG54" i="2"/>
  <c r="AG52" i="2"/>
  <c r="S54" i="2"/>
  <c r="S52" i="2"/>
  <c r="E54" i="2"/>
  <c r="E52" i="2"/>
  <c r="U53" i="2"/>
  <c r="U51" i="2"/>
  <c r="N79" i="2"/>
  <c r="N81" i="2"/>
  <c r="AO53" i="2"/>
  <c r="AO51" i="2"/>
  <c r="E82" i="2"/>
  <c r="E80" i="2"/>
  <c r="T82" i="2"/>
  <c r="T80" i="2"/>
  <c r="AI53" i="2"/>
  <c r="AI51" i="2"/>
  <c r="G53" i="2"/>
  <c r="G51" i="2"/>
  <c r="AP81" i="2"/>
  <c r="AP79" i="2"/>
  <c r="AA53" i="2"/>
  <c r="AA51" i="2"/>
  <c r="U80" i="2"/>
  <c r="S82" i="2"/>
  <c r="S80" i="2"/>
  <c r="M53" i="2"/>
  <c r="M51" i="2"/>
  <c r="Z82" i="2"/>
  <c r="Z80" i="2"/>
  <c r="AB53" i="2"/>
  <c r="AB51" i="2"/>
  <c r="AB81" i="2"/>
  <c r="AB79" i="2"/>
  <c r="T53" i="2"/>
  <c r="T51" i="2"/>
  <c r="AA82" i="2"/>
  <c r="AA80" i="2"/>
  <c r="AN54" i="2"/>
  <c r="AN52" i="2"/>
  <c r="Z54" i="2"/>
  <c r="Z52" i="2"/>
  <c r="L54" i="2"/>
  <c r="L52" i="2"/>
  <c r="T80" i="1"/>
  <c r="AO82" i="1"/>
  <c r="AO80" i="1"/>
  <c r="AP81" i="1"/>
  <c r="AP79" i="1"/>
  <c r="AQ69" i="1"/>
  <c r="AB81" i="1"/>
  <c r="AB79" i="1"/>
  <c r="AC69" i="1"/>
  <c r="AN82" i="1"/>
  <c r="AN80" i="1"/>
  <c r="Z82" i="1"/>
  <c r="Z80" i="1"/>
  <c r="AQ41" i="1"/>
  <c r="AP53" i="1"/>
  <c r="AP51" i="1"/>
  <c r="AG54" i="1"/>
  <c r="AG52" i="1"/>
  <c r="E52" i="1"/>
  <c r="E54" i="1"/>
  <c r="AA53" i="1"/>
  <c r="AA51" i="1"/>
  <c r="T53" i="1"/>
  <c r="T51" i="1"/>
  <c r="L82" i="1"/>
  <c r="L80" i="1"/>
  <c r="F81" i="1"/>
  <c r="F79" i="1"/>
  <c r="AN52" i="1"/>
  <c r="AN54" i="1"/>
  <c r="F53" i="1"/>
  <c r="F51" i="1"/>
  <c r="U81" i="1"/>
  <c r="U79" i="1"/>
  <c r="V69" i="1"/>
  <c r="AA81" i="1"/>
  <c r="AA79" i="1"/>
  <c r="N81" i="1"/>
  <c r="N79" i="1"/>
  <c r="O69" i="1"/>
  <c r="AO53" i="1"/>
  <c r="AO51" i="1"/>
  <c r="L54" i="1"/>
  <c r="L52" i="1"/>
  <c r="AH53" i="1"/>
  <c r="AH51" i="1"/>
  <c r="H41" i="1"/>
  <c r="G53" i="1"/>
  <c r="G51" i="1"/>
  <c r="Z54" i="1"/>
  <c r="Z52" i="1"/>
  <c r="S52" i="1"/>
  <c r="S54" i="1"/>
  <c r="O41" i="1"/>
  <c r="N53" i="1"/>
  <c r="N51" i="1"/>
  <c r="G81" i="1"/>
  <c r="G79" i="1"/>
  <c r="H69" i="1"/>
  <c r="S82" i="1"/>
  <c r="S80" i="1"/>
  <c r="M81" i="1"/>
  <c r="M79" i="1"/>
  <c r="E82" i="1"/>
  <c r="E80" i="1"/>
  <c r="M53" i="1"/>
  <c r="M51" i="1"/>
  <c r="AJ41" i="1"/>
  <c r="AI53" i="1"/>
  <c r="AI51" i="1"/>
  <c r="AC41" i="1"/>
  <c r="AB53" i="1"/>
  <c r="AB51" i="1"/>
  <c r="V41" i="1"/>
  <c r="U53" i="1"/>
  <c r="U51" i="1"/>
  <c r="T82" i="1" l="1"/>
  <c r="G82" i="2"/>
  <c r="V82" i="3"/>
  <c r="H82" i="2"/>
  <c r="U82" i="2"/>
  <c r="V81" i="2"/>
  <c r="V80" i="2" s="1"/>
  <c r="H80" i="2"/>
  <c r="V80" i="3"/>
  <c r="AI54" i="3"/>
  <c r="AI52" i="3"/>
  <c r="AB54" i="3"/>
  <c r="AB52" i="3"/>
  <c r="AO82" i="3"/>
  <c r="AO80" i="3"/>
  <c r="H53" i="3"/>
  <c r="H51" i="3"/>
  <c r="AO54" i="3"/>
  <c r="AO52" i="3"/>
  <c r="O81" i="3"/>
  <c r="O79" i="3"/>
  <c r="AA54" i="3"/>
  <c r="AA52" i="3"/>
  <c r="O53" i="3"/>
  <c r="O51" i="3"/>
  <c r="G82" i="3"/>
  <c r="G80" i="3"/>
  <c r="AB82" i="3"/>
  <c r="AB80" i="3"/>
  <c r="AJ51" i="3"/>
  <c r="AJ53" i="3"/>
  <c r="AC53" i="3"/>
  <c r="AC51" i="3"/>
  <c r="AH54" i="3"/>
  <c r="AH52" i="3"/>
  <c r="AP54" i="3"/>
  <c r="AP52" i="3"/>
  <c r="G54" i="3"/>
  <c r="G52" i="3"/>
  <c r="AQ81" i="3"/>
  <c r="AQ79" i="3"/>
  <c r="M52" i="3"/>
  <c r="M54" i="3"/>
  <c r="F54" i="3"/>
  <c r="F52" i="3"/>
  <c r="T52" i="3"/>
  <c r="T54" i="3"/>
  <c r="N82" i="3"/>
  <c r="N80" i="3"/>
  <c r="AQ51" i="3"/>
  <c r="AQ53" i="3"/>
  <c r="AP82" i="3"/>
  <c r="AP80" i="3"/>
  <c r="M80" i="3"/>
  <c r="M82" i="3"/>
  <c r="U54" i="3"/>
  <c r="U52" i="3"/>
  <c r="V53" i="3"/>
  <c r="V51" i="3"/>
  <c r="N54" i="3"/>
  <c r="N52" i="3"/>
  <c r="F82" i="3"/>
  <c r="F80" i="3"/>
  <c r="H81" i="3"/>
  <c r="H79" i="3"/>
  <c r="AC81" i="3"/>
  <c r="AC79" i="3"/>
  <c r="O53" i="2"/>
  <c r="O51" i="2"/>
  <c r="AB82" i="2"/>
  <c r="AB80" i="2"/>
  <c r="AB54" i="2"/>
  <c r="AB52" i="2"/>
  <c r="M54" i="2"/>
  <c r="M52" i="2"/>
  <c r="AP82" i="2"/>
  <c r="AP80" i="2"/>
  <c r="G54" i="2"/>
  <c r="G52" i="2"/>
  <c r="AO54" i="2"/>
  <c r="AO52" i="2"/>
  <c r="F54" i="2"/>
  <c r="F52" i="2"/>
  <c r="N54" i="2"/>
  <c r="N52" i="2"/>
  <c r="AP54" i="2"/>
  <c r="AP52" i="2"/>
  <c r="O81" i="2"/>
  <c r="O79" i="2"/>
  <c r="AC81" i="2"/>
  <c r="AC79" i="2"/>
  <c r="AQ81" i="2"/>
  <c r="AQ79" i="2"/>
  <c r="AJ53" i="2"/>
  <c r="AJ51" i="2"/>
  <c r="N82" i="2"/>
  <c r="N80" i="2"/>
  <c r="U54" i="2"/>
  <c r="U52" i="2"/>
  <c r="AI54" i="2"/>
  <c r="AI52" i="2"/>
  <c r="AQ53" i="2"/>
  <c r="AQ51" i="2"/>
  <c r="T54" i="2"/>
  <c r="T52" i="2"/>
  <c r="AC53" i="2"/>
  <c r="AC51" i="2"/>
  <c r="AA54" i="2"/>
  <c r="AA52" i="2"/>
  <c r="H53" i="2"/>
  <c r="H51" i="2"/>
  <c r="V53" i="2"/>
  <c r="V51" i="2"/>
  <c r="AH54" i="2"/>
  <c r="AH52" i="2"/>
  <c r="AC53" i="1"/>
  <c r="AC51" i="1"/>
  <c r="H53" i="1"/>
  <c r="H51" i="1"/>
  <c r="V53" i="1"/>
  <c r="V51" i="1"/>
  <c r="M82" i="1"/>
  <c r="M80" i="1"/>
  <c r="O53" i="1"/>
  <c r="O51" i="1"/>
  <c r="O81" i="1"/>
  <c r="O79" i="1"/>
  <c r="V81" i="1"/>
  <c r="V79" i="1"/>
  <c r="F54" i="1"/>
  <c r="F52" i="1"/>
  <c r="T54" i="1"/>
  <c r="T52" i="1"/>
  <c r="AP54" i="1"/>
  <c r="AP52" i="1"/>
  <c r="AB82" i="1"/>
  <c r="AB80" i="1"/>
  <c r="H81" i="1"/>
  <c r="H79" i="1"/>
  <c r="N54" i="1"/>
  <c r="N52" i="1"/>
  <c r="AO54" i="1"/>
  <c r="AO52" i="1"/>
  <c r="AI54" i="1"/>
  <c r="AI52" i="1"/>
  <c r="M54" i="1"/>
  <c r="M52" i="1"/>
  <c r="G82" i="1"/>
  <c r="G80" i="1"/>
  <c r="AH54" i="1"/>
  <c r="AH52" i="1"/>
  <c r="F82" i="1"/>
  <c r="F80" i="1"/>
  <c r="AQ53" i="1"/>
  <c r="AQ51" i="1"/>
  <c r="AQ81" i="1"/>
  <c r="AQ79" i="1"/>
  <c r="U54" i="1"/>
  <c r="U52" i="1"/>
  <c r="AA82" i="1"/>
  <c r="AA80" i="1"/>
  <c r="AP82" i="1"/>
  <c r="AP80" i="1"/>
  <c r="AB54" i="1"/>
  <c r="AB52" i="1"/>
  <c r="AJ53" i="1"/>
  <c r="AJ51" i="1"/>
  <c r="G54" i="1"/>
  <c r="G52" i="1"/>
  <c r="N82" i="1"/>
  <c r="N80" i="1"/>
  <c r="U82" i="1"/>
  <c r="U80" i="1"/>
  <c r="AA54" i="1"/>
  <c r="AA52" i="1"/>
  <c r="AC81" i="1"/>
  <c r="AC79" i="1"/>
  <c r="V82" i="2" l="1"/>
  <c r="AC82" i="3"/>
  <c r="AC80" i="3"/>
  <c r="AQ82" i="3"/>
  <c r="AQ80" i="3"/>
  <c r="H82" i="3"/>
  <c r="H80" i="3"/>
  <c r="O54" i="3"/>
  <c r="O52" i="3"/>
  <c r="O82" i="3"/>
  <c r="O80" i="3"/>
  <c r="AC52" i="3"/>
  <c r="AC54" i="3"/>
  <c r="H54" i="3"/>
  <c r="H52" i="3"/>
  <c r="V54" i="3"/>
  <c r="V52" i="3"/>
  <c r="AQ54" i="3"/>
  <c r="AQ52" i="3"/>
  <c r="AJ54" i="3"/>
  <c r="AJ52" i="3"/>
  <c r="O54" i="2"/>
  <c r="O52" i="2"/>
  <c r="AQ54" i="2"/>
  <c r="AQ52" i="2"/>
  <c r="AC82" i="2"/>
  <c r="AC80" i="2"/>
  <c r="AQ82" i="2"/>
  <c r="AQ80" i="2"/>
  <c r="V54" i="2"/>
  <c r="V52" i="2"/>
  <c r="AJ54" i="2"/>
  <c r="AJ52" i="2"/>
  <c r="H54" i="2"/>
  <c r="H52" i="2"/>
  <c r="AC54" i="2"/>
  <c r="AC52" i="2"/>
  <c r="O82" i="2"/>
  <c r="O80" i="2"/>
  <c r="H54" i="1"/>
  <c r="H52" i="1"/>
  <c r="AQ82" i="1"/>
  <c r="AQ80" i="1"/>
  <c r="AQ54" i="1"/>
  <c r="AQ52" i="1"/>
  <c r="H82" i="1"/>
  <c r="H80" i="1"/>
  <c r="V54" i="1"/>
  <c r="V52" i="1"/>
  <c r="O82" i="1"/>
  <c r="O80" i="1"/>
  <c r="AC54" i="1"/>
  <c r="AC52" i="1"/>
  <c r="AC82" i="1"/>
  <c r="AC80" i="1"/>
  <c r="AJ54" i="1"/>
  <c r="AJ52" i="1"/>
  <c r="V82" i="1"/>
  <c r="V80" i="1"/>
  <c r="O54" i="1"/>
  <c r="O52" i="1"/>
</calcChain>
</file>

<file path=xl/sharedStrings.xml><?xml version="1.0" encoding="utf-8"?>
<sst xmlns="http://schemas.openxmlformats.org/spreadsheetml/2006/main" count="1162" uniqueCount="116">
  <si>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</si>
  <si>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</si>
  <si>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</si>
  <si>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</si>
  <si>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</si>
  <si>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</si>
  <si>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</si>
  <si>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</si>
  <si>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</si>
  <si>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</si>
  <si>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</si>
  <si>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</si>
  <si>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</si>
  <si>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</si>
  <si>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</si>
  <si>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</si>
  <si>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Empty</t>
  </si>
  <si>
    <t>OAZ1</t>
  </si>
  <si>
    <t>ACTB</t>
  </si>
  <si>
    <t>RPL27</t>
  </si>
  <si>
    <t>RPL30</t>
  </si>
  <si>
    <t>RPLP1</t>
  </si>
  <si>
    <t>CCSSER2</t>
  </si>
  <si>
    <t>GUSB</t>
  </si>
  <si>
    <t>PGK1</t>
  </si>
  <si>
    <t>EPAS1</t>
  </si>
  <si>
    <t>TBP</t>
  </si>
  <si>
    <t>TFRC</t>
  </si>
  <si>
    <t>Standard</t>
  </si>
  <si>
    <t xml:space="preserve">Normoxia </t>
  </si>
  <si>
    <t>Hypoxia 8 hours</t>
  </si>
  <si>
    <t>Hypoxia 48 hours</t>
  </si>
  <si>
    <r>
      <t>dH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</si>
  <si>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ng / ul</t>
  </si>
  <si>
    <t>Water</t>
  </si>
  <si>
    <t>0hr T1</t>
  </si>
  <si>
    <t>0hr T2</t>
  </si>
  <si>
    <t>0hr T3</t>
  </si>
  <si>
    <t>8hr T1</t>
  </si>
  <si>
    <t>8hr T2</t>
  </si>
  <si>
    <t>8hr T3</t>
  </si>
  <si>
    <t>48hr T1</t>
  </si>
  <si>
    <t>48hr T2</t>
  </si>
  <si>
    <t>48hr T3</t>
  </si>
  <si>
    <t>Avg Ct</t>
  </si>
  <si>
    <t>Log</t>
  </si>
  <si>
    <t>P. efficiency (%)</t>
  </si>
  <si>
    <t>cDNA Pool Standard</t>
  </si>
  <si>
    <t>CCSER2</t>
  </si>
  <si>
    <t>Undetermined</t>
  </si>
  <si>
    <t>P. efficiency</t>
  </si>
  <si>
    <t>10^((Average Ct - 22.583)/-3.2918)</t>
  </si>
  <si>
    <t>10^((Average Ct - 20.135)/-3.6608)</t>
  </si>
  <si>
    <t>10^((Average Ct - 23.399)/-1.2469)</t>
  </si>
  <si>
    <t>10^((Average Ct - 21.316)/-3.2948)</t>
  </si>
  <si>
    <t>10^((Average Ct - 21.845)/-3.3063)</t>
  </si>
  <si>
    <t>10^((Average Ct - 22.168)/-3.2941)</t>
  </si>
  <si>
    <t>10^((Average Ct - 25.06)/-3.2137)</t>
  </si>
  <si>
    <t>10^((Average Ct - 25.623)/-3.1742)</t>
  </si>
  <si>
    <t>10^((Average Ct - 23.843)/-3.2356)</t>
  </si>
  <si>
    <t>10^((Average Ct - 21.128)/-3.3345)</t>
  </si>
  <si>
    <t>10^((Average Ct - 27.043)/-4.5322)</t>
  </si>
  <si>
    <t>TP</t>
  </si>
  <si>
    <t>Time point</t>
  </si>
  <si>
    <t>Ct</t>
  </si>
  <si>
    <t>Cycle threshold</t>
  </si>
  <si>
    <t>RE</t>
  </si>
  <si>
    <t>Relative expression</t>
  </si>
  <si>
    <t>ECCt</t>
  </si>
  <si>
    <t>Efficiency corrected cycle threshold</t>
  </si>
  <si>
    <t>ECRE</t>
  </si>
  <si>
    <t>Efficiency corrected relative expression</t>
  </si>
  <si>
    <t>Ct Mean</t>
  </si>
  <si>
    <t>Mean Ct for this gene</t>
  </si>
  <si>
    <t>Ct SD</t>
  </si>
  <si>
    <t>Standard deviation of Ct in this gene</t>
  </si>
  <si>
    <t>Ct CV</t>
  </si>
  <si>
    <t>Coefficient of variation for this gene</t>
  </si>
  <si>
    <t>Formulas</t>
  </si>
  <si>
    <r>
      <rPr>
        <sz val="11"/>
        <color theme="0"/>
        <rFont val="Calibri"/>
        <family val="2"/>
        <scheme val="minor"/>
      </rPr>
      <t xml:space="preserve"> *</t>
    </r>
    <r>
      <rPr>
        <sz val="11"/>
        <color theme="1"/>
        <rFont val="Calibri"/>
        <family val="2"/>
        <scheme val="minor"/>
      </rPr>
      <t>=SUM(Ct*(log(p.efficiency)/log(2)))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</si>
  <si>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=AVERAGE(0hrT1:48hrT3)</t>
    </r>
  </si>
  <si>
    <t>** Water samples not included in calculations **</t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</si>
  <si>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=STDEV(0hrT1:48hrT3)</t>
    </r>
  </si>
  <si>
    <r>
      <rPr>
        <sz val="11"/>
        <color theme="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 =SUM(Ct SD / Ct Mean)</t>
    </r>
  </si>
  <si>
    <t>Mean</t>
  </si>
  <si>
    <t>SE</t>
  </si>
  <si>
    <t>SD</t>
  </si>
  <si>
    <t>CV</t>
  </si>
  <si>
    <t>Experiment  information</t>
  </si>
  <si>
    <t>Seeded</t>
  </si>
  <si>
    <t>RNA extraction</t>
  </si>
  <si>
    <t>RNA integrity check</t>
  </si>
  <si>
    <t>cDNA synthesis</t>
  </si>
  <si>
    <t>RT-qPCR</t>
  </si>
  <si>
    <t>10^((Average Ct - 21.917)/-3.3472)</t>
  </si>
  <si>
    <t>10^((Average Ct - 20.154)/-4.6789)</t>
  </si>
  <si>
    <t>10^((Average Ct - 23.789)/-1.5688)</t>
  </si>
  <si>
    <t>10^((Average Ct - 21.248)/-3.3958)</t>
  </si>
  <si>
    <t>10^((Average Ct - 20.683)/-3.2055)</t>
  </si>
  <si>
    <t>10^((Average Ct - 21.317)/-3.4241)</t>
  </si>
  <si>
    <t>10^((Average Ct - 23.73)/-2.9452)</t>
  </si>
  <si>
    <t>10^((Average Ct - 23.786)/-2.8642)</t>
  </si>
  <si>
    <t>10^((Average Ct - 21.556)/-2.9564)</t>
  </si>
  <si>
    <t>10^((Average Ct - 20.359)/-3.4645)</t>
  </si>
  <si>
    <t>10^((Average Ct - 25.063)/-2.5589)</t>
  </si>
  <si>
    <t>10^((Average Ct - 24.283)/-3.2169)</t>
  </si>
  <si>
    <t>10^((Average Ct - 25.825)/-4.1731)</t>
  </si>
  <si>
    <t>10^((Average Ct - 25.155)/-1.0383)</t>
  </si>
  <si>
    <t>10^((Average Ct - 20.491)/-3.2366)</t>
  </si>
  <si>
    <t>10^((Average Ct - 21.817)/-3.1155)</t>
  </si>
  <si>
    <t>10^((Average Ct - 21.263)/-3.3501)</t>
  </si>
  <si>
    <t>10^((Average Ct - 27.061)/-2.5247)</t>
  </si>
  <si>
    <t>10^((Average Ct - 25.623)/-2.7776)</t>
  </si>
  <si>
    <t>10^((Average Ct - 24.054)/-3.0682)</t>
  </si>
  <si>
    <t>10^((Average Ct - 22.587)/-3.164)</t>
  </si>
  <si>
    <t>10^((Average Ct - 30.057)/-1.9213)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</si>
</sst>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4" tint="0.79998168889431442"/>
        <bgColor theme="0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/>
    <xf numFmtId="0" fontId="1" fillId="9" borderId="0" xfId="0" applyFont="1" applyFill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 wrapText="1"/>
    </xf>
    <xf numFmtId="0" fontId="5" fillId="12" borderId="38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vertical="center"/>
    </xf>
    <xf numFmtId="0" fontId="5" fillId="12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2" fontId="7" fillId="9" borderId="0" xfId="0" applyNumberFormat="1" applyFont="1" applyFill="1" applyAlignment="1">
      <alignment vertical="center"/>
    </xf>
    <xf numFmtId="2" fontId="5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6" fillId="9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vertical="center" textRotation="90" wrapText="1"/>
    </xf>
    <xf numFmtId="0" fontId="5" fillId="12" borderId="0" xfId="0" applyFont="1" applyFill="1" applyAlignment="1">
      <alignment vertical="center"/>
    </xf>
    <xf numFmtId="2" fontId="5" fillId="13" borderId="7" xfId="0" applyNumberFormat="1" applyFont="1" applyFill="1" applyBorder="1" applyAlignment="1">
      <alignment horizontal="center" vertical="center"/>
    </xf>
    <xf numFmtId="2" fontId="5" fillId="13" borderId="8" xfId="0" applyNumberFormat="1" applyFont="1" applyFill="1" applyBorder="1" applyAlignment="1">
      <alignment horizontal="center" vertical="center"/>
    </xf>
    <xf numFmtId="2" fontId="5" fillId="13" borderId="9" xfId="0" applyNumberFormat="1" applyFont="1" applyFill="1" applyBorder="1" applyAlignment="1">
      <alignment horizontal="center" vertical="center"/>
    </xf>
    <xf numFmtId="2" fontId="5" fillId="14" borderId="8" xfId="0" applyNumberFormat="1" applyFont="1" applyFill="1" applyBorder="1" applyAlignment="1">
      <alignment horizontal="center" vertical="center"/>
    </xf>
    <xf numFmtId="2" fontId="5" fillId="15" borderId="47" xfId="0" applyNumberFormat="1" applyFont="1" applyFill="1" applyBorder="1" applyAlignment="1">
      <alignment horizontal="center" vertical="center"/>
    </xf>
    <xf numFmtId="2" fontId="5" fillId="15" borderId="8" xfId="0" applyNumberFormat="1" applyFont="1" applyFill="1" applyBorder="1" applyAlignment="1">
      <alignment horizontal="center" vertical="center"/>
    </xf>
    <xf numFmtId="2" fontId="5" fillId="15" borderId="9" xfId="0" applyNumberFormat="1" applyFont="1" applyFill="1" applyBorder="1" applyAlignment="1">
      <alignment horizontal="center" vertical="center"/>
    </xf>
    <xf numFmtId="2" fontId="5" fillId="13" borderId="48" xfId="0" applyNumberFormat="1" applyFont="1" applyFill="1" applyBorder="1" applyAlignment="1">
      <alignment horizontal="center" vertical="center"/>
    </xf>
    <xf numFmtId="2" fontId="5" fillId="13" borderId="10" xfId="0" applyNumberFormat="1" applyFont="1" applyFill="1" applyBorder="1" applyAlignment="1">
      <alignment horizontal="center" vertical="center"/>
    </xf>
    <xf numFmtId="2" fontId="5" fillId="13" borderId="5" xfId="0" applyNumberFormat="1" applyFont="1" applyFill="1" applyBorder="1" applyAlignment="1">
      <alignment horizontal="center" vertical="center"/>
    </xf>
    <xf numFmtId="2" fontId="5" fillId="14" borderId="10" xfId="0" applyNumberFormat="1" applyFont="1" applyFill="1" applyBorder="1" applyAlignment="1">
      <alignment horizontal="center" vertical="center"/>
    </xf>
    <xf numFmtId="2" fontId="5" fillId="15" borderId="48" xfId="0" applyNumberFormat="1" applyFont="1" applyFill="1" applyBorder="1" applyAlignment="1">
      <alignment horizontal="center" vertical="center"/>
    </xf>
    <xf numFmtId="2" fontId="5" fillId="15" borderId="10" xfId="0" applyNumberFormat="1" applyFont="1" applyFill="1" applyBorder="1" applyAlignment="1">
      <alignment horizontal="center" vertical="center"/>
    </xf>
    <xf numFmtId="2" fontId="5" fillId="15" borderId="5" xfId="0" applyNumberFormat="1" applyFont="1" applyFill="1" applyBorder="1" applyAlignment="1">
      <alignment horizontal="center" vertical="center"/>
    </xf>
    <xf numFmtId="2" fontId="5" fillId="16" borderId="1" xfId="0" applyNumberFormat="1" applyFont="1" applyFill="1" applyBorder="1" applyAlignment="1">
      <alignment horizontal="center" vertical="center"/>
    </xf>
    <xf numFmtId="2" fontId="5" fillId="16" borderId="45" xfId="0" applyNumberFormat="1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/>
    </xf>
    <xf numFmtId="2" fontId="5" fillId="17" borderId="40" xfId="0" applyNumberFormat="1" applyFont="1" applyFill="1" applyBorder="1" applyAlignment="1">
      <alignment horizontal="center"/>
    </xf>
    <xf numFmtId="2" fontId="5" fillId="17" borderId="41" xfId="0" applyNumberFormat="1" applyFont="1" applyFill="1" applyBorder="1" applyAlignment="1">
      <alignment horizontal="center"/>
    </xf>
    <xf numFmtId="0" fontId="5" fillId="17" borderId="42" xfId="0" applyFont="1" applyFill="1" applyBorder="1" applyAlignment="1">
      <alignment horizontal="center"/>
    </xf>
    <xf numFmtId="2" fontId="5" fillId="17" borderId="43" xfId="0" applyNumberFormat="1" applyFont="1" applyFill="1" applyBorder="1" applyAlignment="1">
      <alignment horizontal="center"/>
    </xf>
    <xf numFmtId="2" fontId="5" fillId="17" borderId="44" xfId="0" applyNumberFormat="1" applyFont="1" applyFill="1" applyBorder="1" applyAlignment="1">
      <alignment horizontal="center"/>
    </xf>
    <xf numFmtId="0" fontId="5" fillId="12" borderId="37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1" fillId="9" borderId="0" xfId="0" applyFont="1" applyFill="1"/>
    <xf numFmtId="0" fontId="0" fillId="9" borderId="2" xfId="0" applyFill="1" applyBorder="1"/>
    <xf numFmtId="0" fontId="0" fillId="9" borderId="3" xfId="0" applyFill="1" applyBorder="1"/>
    <xf numFmtId="0" fontId="1" fillId="9" borderId="4" xfId="0" applyFont="1" applyFill="1" applyBorder="1" applyAlignment="1">
      <alignment horizontal="center" vertical="center"/>
    </xf>
    <xf numFmtId="0" fontId="0" fillId="9" borderId="6" xfId="0" applyFill="1" applyBorder="1"/>
    <xf numFmtId="0" fontId="1" fillId="9" borderId="10" xfId="0" applyFont="1" applyFill="1" applyBorder="1" applyAlignment="1">
      <alignment horizontal="center" vertical="center"/>
    </xf>
    <xf numFmtId="0" fontId="0" fillId="9" borderId="52" xfId="0" applyFill="1" applyBorder="1"/>
    <xf numFmtId="0" fontId="0" fillId="9" borderId="53" xfId="0" applyFill="1" applyBorder="1"/>
    <xf numFmtId="0" fontId="2" fillId="9" borderId="53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/>
    </xf>
    <xf numFmtId="0" fontId="5" fillId="12" borderId="9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2" fontId="5" fillId="18" borderId="20" xfId="0" applyNumberFormat="1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7" borderId="23" xfId="0" applyFont="1" applyFill="1" applyBorder="1" applyAlignment="1">
      <alignment horizontal="center" vertical="center"/>
    </xf>
    <xf numFmtId="0" fontId="5" fillId="12" borderId="46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 wrapText="1"/>
    </xf>
    <xf numFmtId="0" fontId="5" fillId="18" borderId="20" xfId="0" applyFont="1" applyFill="1" applyBorder="1" applyAlignment="1">
      <alignment horizontal="center" vertical="center" wrapText="1"/>
    </xf>
    <xf numFmtId="0" fontId="9" fillId="12" borderId="7" xfId="0" applyFont="1" applyFill="1" applyBorder="1" applyAlignment="1">
      <alignment horizontal="center" vertical="center" textRotation="90" wrapText="1"/>
    </xf>
    <xf numFmtId="0" fontId="9" fillId="12" borderId="8" xfId="0" applyFont="1" applyFill="1" applyBorder="1" applyAlignment="1">
      <alignment horizontal="center" vertical="center" textRotation="90" wrapText="1"/>
    </xf>
    <xf numFmtId="0" fontId="9" fillId="12" borderId="56" xfId="0" applyFont="1" applyFill="1" applyBorder="1" applyAlignment="1">
      <alignment horizontal="center" vertical="center" textRotation="90" wrapText="1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4" fillId="10" borderId="28" xfId="0" applyFont="1" applyFill="1" applyBorder="1" applyAlignment="1">
      <alignment horizontal="center" vertical="center"/>
    </xf>
    <xf numFmtId="0" fontId="4" fillId="10" borderId="33" xfId="0" applyFont="1" applyFill="1" applyBorder="1" applyAlignment="1">
      <alignment horizontal="center" vertical="center"/>
    </xf>
    <xf numFmtId="0" fontId="4" fillId="10" borderId="3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5" fillId="12" borderId="35" xfId="0" applyFont="1" applyFill="1" applyBorder="1" applyAlignment="1">
      <alignment horizontal="center" vertical="center" wrapText="1"/>
    </xf>
    <xf numFmtId="0" fontId="6" fillId="9" borderId="36" xfId="0" applyFont="1" applyFill="1" applyBorder="1"/>
    <xf numFmtId="0" fontId="6" fillId="9" borderId="37" xfId="0" applyFont="1" applyFill="1" applyBorder="1"/>
    <xf numFmtId="0" fontId="5" fillId="12" borderId="46" xfId="0" applyFont="1" applyFill="1" applyBorder="1" applyAlignment="1">
      <alignment horizontal="center"/>
    </xf>
    <xf numFmtId="0" fontId="5" fillId="12" borderId="54" xfId="0" applyFont="1" applyFill="1" applyBorder="1" applyAlignment="1">
      <alignment horizontal="center"/>
    </xf>
    <xf numFmtId="0" fontId="5" fillId="12" borderId="20" xfId="0" applyFont="1" applyFill="1" applyBorder="1" applyAlignment="1">
      <alignment horizontal="center"/>
    </xf>
    <xf numFmtId="0" fontId="5" fillId="16" borderId="49" xfId="0" applyFont="1" applyFill="1" applyBorder="1" applyAlignment="1">
      <alignment horizontal="center" vertical="center" wrapText="1"/>
    </xf>
    <xf numFmtId="0" fontId="8" fillId="7" borderId="50" xfId="0" applyFont="1" applyFill="1" applyBorder="1"/>
    <xf numFmtId="0" fontId="0" fillId="9" borderId="46" xfId="0" applyFill="1" applyBorder="1" applyAlignment="1">
      <alignment horizontal="center"/>
    </xf>
    <xf numFmtId="0" fontId="0" fillId="9" borderId="54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57" xfId="0" applyFill="1" applyBorder="1" applyAlignment="1">
      <alignment horizontal="center"/>
    </xf>
    <xf numFmtId="0" fontId="0" fillId="9" borderId="58" xfId="0" applyFill="1" applyBorder="1" applyAlignment="1">
      <alignment horizontal="center"/>
    </xf>
    <xf numFmtId="0" fontId="0" fillId="9" borderId="59" xfId="0" applyFill="1" applyBorder="1" applyAlignment="1">
      <alignment horizontal="center"/>
    </xf>
    <xf numFmtId="0" fontId="5" fillId="12" borderId="60" xfId="0" applyFont="1" applyFill="1" applyBorder="1" applyAlignment="1">
      <alignment horizontal="center" vertical="center" wrapText="1"/>
    </xf>
    <xf numFmtId="0" fontId="5" fillId="12" borderId="58" xfId="0" applyFont="1" applyFill="1" applyBorder="1" applyAlignment="1">
      <alignment horizontal="center" vertical="center" wrapText="1"/>
    </xf>
    <xf numFmtId="0" fontId="5" fillId="12" borderId="61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7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 textRotation="90" wrapText="1"/>
    </xf>
    <xf numFmtId="0" fontId="9" fillId="12" borderId="55" xfId="0" applyFont="1" applyFill="1" applyBorder="1" applyAlignment="1">
      <alignment horizontal="center" vertical="center" textRotation="90" wrapText="1"/>
    </xf>
    <xf numFmtId="0" fontId="6" fillId="9" borderId="36" xfId="0" applyFont="1" applyFill="1" applyBorder="1" applyAlignment="1">
      <alignment wrapText="1"/>
    </xf>
    <xf numFmtId="0" fontId="6" fillId="9" borderId="37" xfId="0" applyFont="1" applyFill="1" applyBorder="1" applyAlignment="1">
      <alignment wrapText="1"/>
    </xf>
    <xf numFmtId="0" fontId="5" fillId="12" borderId="42" xfId="0" applyFont="1" applyFill="1" applyBorder="1" applyAlignment="1">
      <alignment horizontal="center" vertical="center" wrapText="1"/>
    </xf>
    <xf numFmtId="0" fontId="6" fillId="9" borderId="51" xfId="0" applyFont="1" applyFill="1" applyBorder="1"/>
    <xf numFmtId="0" fontId="6" fillId="9" borderId="44" xfId="0" applyFont="1" applyFill="1" applyBorder="1"/>
    <xf numFmtId="0" fontId="5" fillId="16" borderId="52" xfId="0" applyFont="1" applyFill="1" applyBorder="1" applyAlignment="1">
      <alignment horizontal="center" vertical="center" wrapText="1"/>
    </xf>
    <xf numFmtId="0" fontId="5" fillId="16" borderId="50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62" xfId="0" applyFont="1" applyFill="1" applyBorder="1" applyAlignment="1">
      <alignment horizontal="center" vertical="center"/>
    </xf>
    <xf numFmtId="0" fontId="2" fillId="9" borderId="53" xfId="0" applyFont="1" applyFill="1" applyBorder="1" applyAlignment="1">
      <alignment horizontal="center" vertical="center"/>
    </xf>
    <xf numFmtId="0" fontId="2" fillId="9" borderId="63" xfId="0" applyFont="1" applyFill="1" applyBorder="1" applyAlignment="1">
      <alignment horizontal="center" vertical="center"/>
    </xf>
    <xf numFmtId="14" fontId="0" fillId="9" borderId="0" xfId="0" applyNumberFormat="1" applyFill="1" applyAlignment="1">
      <alignment horizontal="right" vertical="center"/>
    </xf>
    <xf numFmtId="14" fontId="0" fillId="9" borderId="16" xfId="0" applyNumberFormat="1" applyFill="1" applyBorder="1" applyAlignment="1">
      <alignment horizontal="right" vertical="center"/>
    </xf>
    <xf numFmtId="14" fontId="0" fillId="9" borderId="18" xfId="0" applyNumberFormat="1" applyFill="1" applyBorder="1" applyAlignment="1">
      <alignment horizontal="right" vertical="center"/>
    </xf>
    <xf numFmtId="14" fontId="0" fillId="9" borderId="19" xfId="0" applyNumberFormat="1" applyFill="1" applyBorder="1" applyAlignment="1">
      <alignment horizontal="right" vertical="center"/>
    </xf>
    <xf numFmtId="2" fontId="13" fillId="17" borderId="41" xfId="0" applyNumberFormat="1" applyFont="1" applyFill="1" applyBorder="1" applyAlignment="1">
      <alignment horizontal="center"/>
    </xf>
    <xf numFmtId="0" fontId="4" fillId="11" borderId="12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765288713910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(R1)'!$E$31:$E$35</c:f>
              <c:numCache>
                <c:formatCode>0.00</c:formatCode>
                <c:ptCount val="5"/>
                <c:pt idx="0">
                  <c:v>27.533462988766651</c:v>
                </c:pt>
                <c:pt idx="1">
                  <c:v>25.116064116330847</c:v>
                </c:pt>
                <c:pt idx="2">
                  <c:v>22.982529821863849</c:v>
                </c:pt>
                <c:pt idx="3">
                  <c:v>20.583087550052248</c:v>
                </c:pt>
                <c:pt idx="4">
                  <c:v>18.295692482150599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E-4190-9D34-EA489EFDD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86856"/>
        <c:axId val="633192256"/>
      </c:scatterChart>
      <c:valAx>
        <c:axId val="6331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92256"/>
        <c:crosses val="autoZero"/>
        <c:crossBetween val="midCat"/>
      </c:valAx>
      <c:valAx>
        <c:axId val="6331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42481121302400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(R1)'!$AD$59:$AD$63</c:f>
              <c:numCache>
                <c:formatCode>0.00</c:formatCode>
                <c:ptCount val="5"/>
                <c:pt idx="0">
                  <c:v>32.867859010132399</c:v>
                </c:pt>
                <c:pt idx="1">
                  <c:v>30.504104768279397</c:v>
                </c:pt>
                <c:pt idx="2">
                  <c:v>28.53005110759285</c:v>
                </c:pt>
                <c:pt idx="3">
                  <c:v>26.455255943466</c:v>
                </c:pt>
                <c:pt idx="4">
                  <c:v>19.052952430362851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0-44C1-BAFE-BE0F3014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85440"/>
        <c:axId val="767384720"/>
      </c:scatterChart>
      <c:valAx>
        <c:axId val="7673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84720"/>
        <c:crosses val="autoZero"/>
        <c:crossBetween val="midCat"/>
      </c:valAx>
      <c:valAx>
        <c:axId val="7673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55071813939924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('M231 (R1)'!$I$59:$I$61,'M231 (R1)'!$I$63)</c:f>
              <c:numCache>
                <c:formatCode>0.00</c:formatCode>
                <c:ptCount val="4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1.3010299956639813</c:v>
                </c:pt>
              </c:numCache>
            </c:numRef>
          </c:xVal>
          <c:yVal>
            <c:numRef>
              <c:f>('M231 (R1)'!$J$59:$J$61,'M231 (R1)'!$J$63)</c:f>
              <c:numCache>
                <c:formatCode>0.00</c:formatCode>
                <c:ptCount val="4"/>
                <c:pt idx="0">
                  <c:v>30.2934537400347</c:v>
                </c:pt>
                <c:pt idx="1">
                  <c:v>28.143620758962101</c:v>
                </c:pt>
                <c:pt idx="2">
                  <c:v>26.087890620744098</c:v>
                </c:pt>
                <c:pt idx="3">
                  <c:v>21.415931250388248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5-49D7-A6C8-FF4B7C35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73407"/>
        <c:axId val="600478687"/>
      </c:scatterChart>
      <c:valAx>
        <c:axId val="6004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8687"/>
        <c:crosses val="autoZero"/>
        <c:crossBetween val="midCat"/>
      </c:valAx>
      <c:valAx>
        <c:axId val="6004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7179849629818E-2"/>
                  <c:y val="-0.37154485307042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(R2)'!$E$31:$E$35</c:f>
              <c:numCache>
                <c:formatCode>0.00</c:formatCode>
                <c:ptCount val="5"/>
                <c:pt idx="0">
                  <c:v>26.985263108323899</c:v>
                </c:pt>
                <c:pt idx="1">
                  <c:v>24.512818697667548</c:v>
                </c:pt>
                <c:pt idx="2">
                  <c:v>22.184799128878801</c:v>
                </c:pt>
                <c:pt idx="3">
                  <c:v>19.96382636490555</c:v>
                </c:pt>
                <c:pt idx="4">
                  <c:v>17.561688875834548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D-4421-A825-41754D6F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0208"/>
        <c:axId val="351840928"/>
      </c:scatterChart>
      <c:valAx>
        <c:axId val="3518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0928"/>
        <c:crosses val="autoZero"/>
        <c:crossBetween val="midCat"/>
      </c:valAx>
      <c:valAx>
        <c:axId val="3518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347179849629818E-2"/>
                  <c:y val="-0.469187041251514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(R2)'!$J$31:$J$35</c:f>
              <c:numCache>
                <c:formatCode>0.00</c:formatCode>
                <c:ptCount val="5"/>
                <c:pt idx="0">
                  <c:v>28.409220055272101</c:v>
                </c:pt>
                <c:pt idx="1">
                  <c:v>22.978284448611049</c:v>
                </c:pt>
                <c:pt idx="2">
                  <c:v>19.651996114484852</c:v>
                </c:pt>
                <c:pt idx="3">
                  <c:v>16.902823143667902</c:v>
                </c:pt>
                <c:pt idx="4">
                  <c:v>15.094762689668251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6-4F1D-9F70-23D340DC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51368"/>
        <c:axId val="351858208"/>
      </c:scatterChart>
      <c:valAx>
        <c:axId val="35185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8208"/>
        <c:crosses val="autoZero"/>
        <c:crossBetween val="midCat"/>
      </c:valAx>
      <c:valAx>
        <c:axId val="3518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1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59826976839544E-2"/>
                  <c:y val="-0.28460545839267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(R2)'!$O$31:$O$35</c:f>
              <c:numCache>
                <c:formatCode>0.00</c:formatCode>
                <c:ptCount val="5"/>
                <c:pt idx="0">
                  <c:v>25.741833008197247</c:v>
                </c:pt>
                <c:pt idx="1">
                  <c:v>24.917134932313999</c:v>
                </c:pt>
                <c:pt idx="2">
                  <c:v>24.69812428434005</c:v>
                </c:pt>
                <c:pt idx="3">
                  <c:v>23.26560637158595</c:v>
                </c:pt>
                <c:pt idx="4">
                  <c:v>21.084839773036798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4-4446-A39E-18E6CD21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1808"/>
        <c:axId val="351862168"/>
      </c:scatterChart>
      <c:valAx>
        <c:axId val="35186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2168"/>
        <c:crosses val="autoZero"/>
        <c:crossBetween val="midCat"/>
      </c:valAx>
      <c:valAx>
        <c:axId val="3518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53503413234681E-2"/>
                  <c:y val="-0.396991280236010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(R2)'!$T$31:$T$35</c:f>
              <c:numCache>
                <c:formatCode>0.00</c:formatCode>
                <c:ptCount val="5"/>
                <c:pt idx="0">
                  <c:v>26.34395574513815</c:v>
                </c:pt>
                <c:pt idx="1">
                  <c:v>23.86868319645275</c:v>
                </c:pt>
                <c:pt idx="2">
                  <c:v>21.725017563640698</c:v>
                </c:pt>
                <c:pt idx="3">
                  <c:v>19.07786104638755</c:v>
                </c:pt>
                <c:pt idx="4">
                  <c:v>16.87168222701365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FCA-BBE4-189F1AD1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86712"/>
        <c:axId val="357583832"/>
      </c:scatterChart>
      <c:valAx>
        <c:axId val="35758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83832"/>
        <c:crosses val="autoZero"/>
        <c:crossBetween val="midCat"/>
      </c:valAx>
      <c:valAx>
        <c:axId val="35758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8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59826976839544E-2"/>
                  <c:y val="-0.3952764338600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(R2)'!$Y$31:$Y$35</c:f>
              <c:numCache>
                <c:formatCode>0.00</c:formatCode>
                <c:ptCount val="5"/>
                <c:pt idx="0">
                  <c:v>25.479579537223202</c:v>
                </c:pt>
                <c:pt idx="1">
                  <c:v>23.193689235489099</c:v>
                </c:pt>
                <c:pt idx="2">
                  <c:v>20.988633665122549</c:v>
                </c:pt>
                <c:pt idx="3">
                  <c:v>18.864049628363802</c:v>
                </c:pt>
                <c:pt idx="4">
                  <c:v>16.441546907610551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2-45DD-8BA3-6FFBBD42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13664"/>
        <c:axId val="494808624"/>
      </c:scatterChart>
      <c:valAx>
        <c:axId val="4948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24"/>
        <c:crosses val="autoZero"/>
        <c:crossBetween val="midCat"/>
      </c:valAx>
      <c:valAx>
        <c:axId val="4948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53503413234681E-2"/>
                  <c:y val="-0.396205469699561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(R2)'!$AD$31:$AD$35</c:f>
              <c:numCache>
                <c:formatCode>0.00</c:formatCode>
                <c:ptCount val="5"/>
                <c:pt idx="0">
                  <c:v>26.445376827565653</c:v>
                </c:pt>
                <c:pt idx="1">
                  <c:v>23.979927638726949</c:v>
                </c:pt>
                <c:pt idx="2">
                  <c:v>21.652274019424603</c:v>
                </c:pt>
                <c:pt idx="3">
                  <c:v>19.3938362657948</c:v>
                </c:pt>
                <c:pt idx="4">
                  <c:v>16.771551657220499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9-4CAE-A084-6F01130C5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7512"/>
        <c:axId val="357595712"/>
      </c:scatterChart>
      <c:valAx>
        <c:axId val="3575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5712"/>
        <c:crosses val="autoZero"/>
        <c:crossBetween val="midCat"/>
      </c:valAx>
      <c:valAx>
        <c:axId val="3575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608648596525558E-2"/>
                  <c:y val="-0.328942728558625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(R2)'!$E$59:$E$63</c:f>
              <c:numCache>
                <c:formatCode>0.00</c:formatCode>
                <c:ptCount val="5"/>
                <c:pt idx="0">
                  <c:v>27.897703064234801</c:v>
                </c:pt>
                <c:pt idx="1">
                  <c:v>26.181596829605951</c:v>
                </c:pt>
                <c:pt idx="2">
                  <c:v>24.304530789563451</c:v>
                </c:pt>
                <c:pt idx="3">
                  <c:v>21.999622451614499</c:v>
                </c:pt>
                <c:pt idx="4">
                  <c:v>19.695759359003851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1-4D4F-A924-BB55F058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51008"/>
        <c:axId val="351851368"/>
      </c:scatterChart>
      <c:valAx>
        <c:axId val="3518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1368"/>
        <c:crosses val="autoZero"/>
        <c:crossBetween val="midCat"/>
      </c:valAx>
      <c:valAx>
        <c:axId val="35185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78424807194122E-2"/>
                  <c:y val="-0.33424387853726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(R2)'!$J$59:$J$63</c:f>
              <c:numCache>
                <c:formatCode>0.00</c:formatCode>
                <c:ptCount val="5"/>
                <c:pt idx="0">
                  <c:v>27.83284870466365</c:v>
                </c:pt>
                <c:pt idx="1">
                  <c:v>26.12730981495735</c:v>
                </c:pt>
                <c:pt idx="2">
                  <c:v>24.428732004957549</c:v>
                </c:pt>
                <c:pt idx="3">
                  <c:v>22.087130607571453</c:v>
                </c:pt>
                <c:pt idx="4">
                  <c:v>19.842987413196347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2-42F8-97BF-83DF42A06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92472"/>
        <c:axId val="357591752"/>
      </c:scatterChart>
      <c:valAx>
        <c:axId val="35759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1752"/>
        <c:crosses val="autoZero"/>
        <c:crossBetween val="midCat"/>
      </c:valAx>
      <c:valAx>
        <c:axId val="35759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9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428608412594382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(R1)'!$J$31:$J$35</c:f>
              <c:numCache>
                <c:formatCode>0.00</c:formatCode>
                <c:ptCount val="5"/>
                <c:pt idx="0">
                  <c:v>25.519003743485101</c:v>
                </c:pt>
                <c:pt idx="1">
                  <c:v>22.9205933900971</c:v>
                </c:pt>
                <c:pt idx="2">
                  <c:v>20.782379030862351</c:v>
                </c:pt>
                <c:pt idx="3">
                  <c:v>18.083930250647452</c:v>
                </c:pt>
                <c:pt idx="4">
                  <c:v>15.143301290694399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7-4499-9F00-157334187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85776"/>
        <c:axId val="633186496"/>
      </c:scatterChart>
      <c:valAx>
        <c:axId val="63318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6496"/>
        <c:crosses val="autoZero"/>
        <c:crossBetween val="midCat"/>
      </c:valAx>
      <c:valAx>
        <c:axId val="6331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8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174387964765576E-2"/>
                  <c:y val="-0.3714518402272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(R2)'!$O$59:$O$63</c:f>
              <c:numCache>
                <c:formatCode>0.00</c:formatCode>
                <c:ptCount val="5"/>
                <c:pt idx="0">
                  <c:v>25.637327499029698</c:v>
                </c:pt>
                <c:pt idx="1">
                  <c:v>24.137286765213702</c:v>
                </c:pt>
                <c:pt idx="2">
                  <c:v>22.114400057867051</c:v>
                </c:pt>
                <c:pt idx="3">
                  <c:v>19.89970795246845</c:v>
                </c:pt>
                <c:pt idx="4">
                  <c:v>17.42400140665255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0-473B-A91C-D87E16E52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4168"/>
        <c:axId val="351844888"/>
      </c:scatterChart>
      <c:valAx>
        <c:axId val="35184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4888"/>
        <c:crosses val="autoZero"/>
        <c:crossBetween val="midCat"/>
      </c:valAx>
      <c:valAx>
        <c:axId val="35184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378424807194122E-2"/>
                  <c:y val="-0.42028627994678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(R2)'!$T$59:$T$63</c:f>
              <c:numCache>
                <c:formatCode>0.00</c:formatCode>
                <c:ptCount val="5"/>
                <c:pt idx="0">
                  <c:v>25.455970526820551</c:v>
                </c:pt>
                <c:pt idx="1">
                  <c:v>23.146776115256451</c:v>
                </c:pt>
                <c:pt idx="2">
                  <c:v>20.72002898374485</c:v>
                </c:pt>
                <c:pt idx="3">
                  <c:v>18.463483330731499</c:v>
                </c:pt>
                <c:pt idx="4">
                  <c:v>15.6895530983836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3-484B-B001-350A89E9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11600"/>
        <c:axId val="330110176"/>
      </c:scatterChart>
      <c:valAx>
        <c:axId val="350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10176"/>
        <c:crosses val="autoZero"/>
        <c:crossBetween val="midCat"/>
      </c:valAx>
      <c:valAx>
        <c:axId val="3301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582461649622667E-2"/>
                  <c:y val="-0.35413835684900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(R2)'!$AC$59:$AC$63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(R2)'!$AD$59:$AD$63</c:f>
              <c:numCache>
                <c:formatCode>0.00</c:formatCode>
                <c:ptCount val="5"/>
                <c:pt idx="0">
                  <c:v>28.96547405892635</c:v>
                </c:pt>
                <c:pt idx="1">
                  <c:v>27.070491109310552</c:v>
                </c:pt>
                <c:pt idx="2">
                  <c:v>25.202283115062997</c:v>
                </c:pt>
                <c:pt idx="3">
                  <c:v>23.522195928557302</c:v>
                </c:pt>
                <c:pt idx="4">
                  <c:v>21.7966827433312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B-426D-9F51-CD452303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04856"/>
        <c:axId val="633198376"/>
      </c:scatterChart>
      <c:valAx>
        <c:axId val="6332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98376"/>
        <c:crosses val="autoZero"/>
        <c:crossBetween val="midCat"/>
      </c:valAx>
      <c:valAx>
        <c:axId val="6331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0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OAZ1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8863719839290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(R3)'!$D$31:$D$35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(R3)'!$E$31:$E$35</c:f>
              <c:numCache>
                <c:formatCode>0.00</c:formatCode>
                <c:ptCount val="5"/>
                <c:pt idx="0">
                  <c:v>29.232363665229151</c:v>
                </c:pt>
                <c:pt idx="1">
                  <c:v>26.638454246431149</c:v>
                </c:pt>
                <c:pt idx="2">
                  <c:v>24.63066995267835</c:v>
                </c:pt>
                <c:pt idx="3">
                  <c:v>22.32967839154955</c:v>
                </c:pt>
                <c:pt idx="4">
                  <c:v>20.1442225161008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0-4166-994B-137525FE0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28408"/>
        <c:axId val="495128768"/>
      </c:scatterChart>
      <c:valAx>
        <c:axId val="49512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8768"/>
        <c:crosses val="autoZero"/>
        <c:crossBetween val="midCat"/>
      </c:valAx>
      <c:valAx>
        <c:axId val="4951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2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8247033636924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(R3)'!$I$31:$I$35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(R3)'!$J$31:$J$35</c:f>
              <c:numCache>
                <c:formatCode>0.00</c:formatCode>
                <c:ptCount val="5"/>
                <c:pt idx="0">
                  <c:v>32.842157343193101</c:v>
                </c:pt>
                <c:pt idx="1">
                  <c:v>27.776380066029802</c:v>
                </c:pt>
                <c:pt idx="2">
                  <c:v>26.85816528408975</c:v>
                </c:pt>
                <c:pt idx="3">
                  <c:v>23.047202862693851</c:v>
                </c:pt>
                <c:pt idx="4">
                  <c:v>20.622462559304751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2-4B8E-9C15-C7D2AFDEE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419496"/>
        <c:axId val="347416256"/>
      </c:scatterChart>
      <c:valAx>
        <c:axId val="34741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6256"/>
        <c:crosses val="autoZero"/>
        <c:crossBetween val="midCat"/>
      </c:valAx>
      <c:valAx>
        <c:axId val="3474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1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040901137357831E-2"/>
                  <c:y val="-0.74099404827917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(R3)'!$O$31:$O$35</c:f>
              <c:numCache>
                <c:formatCode>0.00</c:formatCode>
                <c:ptCount val="5"/>
                <c:pt idx="0">
                  <c:v>26.013038242213351</c:v>
                </c:pt>
                <c:pt idx="1">
                  <c:v>27.883898720660149</c:v>
                </c:pt>
                <c:pt idx="2">
                  <c:v>23.72362279316885</c:v>
                </c:pt>
                <c:pt idx="3">
                  <c:v>24.660281195845499</c:v>
                </c:pt>
                <c:pt idx="4">
                  <c:v>23.9961071032861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8-41F7-837D-EEAFAF4A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18280"/>
        <c:axId val="399817560"/>
      </c:scatterChart>
      <c:valAx>
        <c:axId val="3998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7560"/>
        <c:crosses val="autoZero"/>
        <c:crossBetween val="midCat"/>
      </c:valAx>
      <c:valAx>
        <c:axId val="399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1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41024215022435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(R3)'!$T$31:$T$35</c:f>
              <c:numCache>
                <c:formatCode>0.00</c:formatCode>
                <c:ptCount val="5"/>
                <c:pt idx="0">
                  <c:v>25.258950849537651</c:v>
                </c:pt>
                <c:pt idx="1">
                  <c:v>23.1325424992785</c:v>
                </c:pt>
                <c:pt idx="2">
                  <c:v>20.847474245812901</c:v>
                </c:pt>
                <c:pt idx="3">
                  <c:v>18.540919061930349</c:v>
                </c:pt>
                <c:pt idx="4">
                  <c:v>16.243500980354348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8-4ACE-A34C-0E9058E2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32680"/>
        <c:axId val="399826200"/>
      </c:scatterChart>
      <c:valAx>
        <c:axId val="39983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6200"/>
        <c:crosses val="autoZero"/>
        <c:crossBetween val="midCat"/>
      </c:valAx>
      <c:valAx>
        <c:axId val="3998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3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8440811767559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(R3)'!$Y$31:$Y$35</c:f>
              <c:numCache>
                <c:formatCode>0.00</c:formatCode>
                <c:ptCount val="5"/>
                <c:pt idx="0">
                  <c:v>26.529959669564199</c:v>
                </c:pt>
                <c:pt idx="1">
                  <c:v>24.252851190567299</c:v>
                </c:pt>
                <c:pt idx="2">
                  <c:v>22.112783212255401</c:v>
                </c:pt>
                <c:pt idx="3">
                  <c:v>19.859369527636552</c:v>
                </c:pt>
                <c:pt idx="4">
                  <c:v>17.838335245347299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2-45EA-AB96-067419CFE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08560"/>
        <c:axId val="399801720"/>
      </c:scatterChart>
      <c:valAx>
        <c:axId val="3998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1720"/>
        <c:crosses val="autoZero"/>
        <c:crossBetween val="midCat"/>
      </c:valAx>
      <c:valAx>
        <c:axId val="3998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90555949049398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(R3)'!$AD$31:$AD$35</c:f>
              <c:numCache>
                <c:formatCode>0.00</c:formatCode>
                <c:ptCount val="5"/>
                <c:pt idx="0">
                  <c:v>26.4685562672122</c:v>
                </c:pt>
                <c:pt idx="1">
                  <c:v>23.700514556652799</c:v>
                </c:pt>
                <c:pt idx="2">
                  <c:v>21.576224906479098</c:v>
                </c:pt>
                <c:pt idx="3">
                  <c:v>19.167980714774302</c:v>
                </c:pt>
                <c:pt idx="4">
                  <c:v>17.0267058886363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C-46DD-B52F-C02289B00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20080"/>
        <c:axId val="399820800"/>
      </c:scatterChart>
      <c:valAx>
        <c:axId val="39982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0800"/>
        <c:crosses val="autoZero"/>
        <c:crossBetween val="midCat"/>
      </c:valAx>
      <c:valAx>
        <c:axId val="3998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2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2192296131604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(R3)'!$E$59:$E$63</c:f>
              <c:numCache>
                <c:formatCode>0.00</c:formatCode>
                <c:ptCount val="5"/>
                <c:pt idx="0">
                  <c:v>30.3574905674128</c:v>
                </c:pt>
                <c:pt idx="1">
                  <c:v>29.4784867442464</c:v>
                </c:pt>
                <c:pt idx="2">
                  <c:v>27.591389940278802</c:v>
                </c:pt>
                <c:pt idx="3">
                  <c:v>25.657590934185802</c:v>
                </c:pt>
                <c:pt idx="4">
                  <c:v>23.444653139638049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4-4649-964F-9250C73F1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70672"/>
        <c:axId val="399471032"/>
      </c:scatterChart>
      <c:valAx>
        <c:axId val="3994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1032"/>
        <c:crosses val="autoZero"/>
        <c:crossBetween val="midCat"/>
      </c:valAx>
      <c:valAx>
        <c:axId val="39947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TBP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929790026246719E-2"/>
                  <c:y val="-0.265042926659456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(R1)'!$N$31:$N$35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(R1)'!$O$31:$O$35</c:f>
              <c:numCache>
                <c:formatCode>0.00</c:formatCode>
                <c:ptCount val="5"/>
                <c:pt idx="0">
                  <c:v>26.140255131365201</c:v>
                </c:pt>
                <c:pt idx="1">
                  <c:v>23.76329945691305</c:v>
                </c:pt>
                <c:pt idx="2">
                  <c:v>22.3133724179776</c:v>
                </c:pt>
                <c:pt idx="3">
                  <c:v>23.434278276188401</c:v>
                </c:pt>
                <c:pt idx="4">
                  <c:v>21.946969635924699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1-4887-8A92-E76843EB4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99264"/>
        <c:axId val="494792784"/>
      </c:scatterChart>
      <c:valAx>
        <c:axId val="4947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2784"/>
        <c:crosses val="autoZero"/>
        <c:crossBetween val="midCat"/>
      </c:valAx>
      <c:valAx>
        <c:axId val="494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9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GUSB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2265575674008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(R3)'!$I$59:$I$63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(R3)'!$J$59:$J$63</c:f>
              <c:numCache>
                <c:formatCode>0.00</c:formatCode>
                <c:ptCount val="5"/>
                <c:pt idx="0">
                  <c:v>31.053455004663949</c:v>
                </c:pt>
                <c:pt idx="1">
                  <c:v>29.6768439053265</c:v>
                </c:pt>
                <c:pt idx="2">
                  <c:v>27.327698413546798</c:v>
                </c:pt>
                <c:pt idx="3">
                  <c:v>25.522256421829951</c:v>
                </c:pt>
                <c:pt idx="4">
                  <c:v>23.423441750927751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3-4282-BC3B-1295EEA5F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469592"/>
        <c:axId val="399470672"/>
      </c:scatterChart>
      <c:valAx>
        <c:axId val="39946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70672"/>
        <c:crosses val="autoZero"/>
        <c:crossBetween val="midCat"/>
      </c:valAx>
      <c:valAx>
        <c:axId val="3994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6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18678915135605E-2"/>
                  <c:y val="-0.38394661934863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(R3)'!$O$59:$O$63</c:f>
              <c:numCache>
                <c:formatCode>0.00</c:formatCode>
                <c:ptCount val="5"/>
                <c:pt idx="0">
                  <c:v>28.561791211267451</c:v>
                </c:pt>
                <c:pt idx="1">
                  <c:v>26.582994319862848</c:v>
                </c:pt>
                <c:pt idx="2">
                  <c:v>24.324928741325451</c:v>
                </c:pt>
                <c:pt idx="3">
                  <c:v>22.314541341072953</c:v>
                </c:pt>
                <c:pt idx="4">
                  <c:v>19.973279904278549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B-4F36-8190-A551E79C6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62824"/>
        <c:axId val="713066424"/>
      </c:scatterChart>
      <c:valAx>
        <c:axId val="71306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66424"/>
        <c:crosses val="autoZero"/>
        <c:crossBetween val="midCat"/>
      </c:valAx>
      <c:valAx>
        <c:axId val="71306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6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818678915135609E-2"/>
                  <c:y val="-0.35806529490417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(R3)'!$T$59:$T$63</c:f>
              <c:numCache>
                <c:formatCode>0.00</c:formatCode>
                <c:ptCount val="5"/>
                <c:pt idx="0">
                  <c:v>27.396749982247748</c:v>
                </c:pt>
                <c:pt idx="1">
                  <c:v>24.904349904580751</c:v>
                </c:pt>
                <c:pt idx="2">
                  <c:v>22.998762958551751</c:v>
                </c:pt>
                <c:pt idx="3">
                  <c:v>20.75477393509405</c:v>
                </c:pt>
                <c:pt idx="4">
                  <c:v>18.41383607725955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0-45F7-A87C-2BE5F4EC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81544"/>
        <c:axId val="713081904"/>
      </c:scatterChart>
      <c:valAx>
        <c:axId val="7130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81904"/>
        <c:crosses val="autoZero"/>
        <c:crossBetween val="midCat"/>
      </c:valAx>
      <c:valAx>
        <c:axId val="71308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8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EPAS1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7346381381811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(R3)'!$AC$59:$AC$63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(R3)'!$AD$59:$AD$63</c:f>
              <c:numCache>
                <c:formatCode>0.00</c:formatCode>
                <c:ptCount val="5"/>
                <c:pt idx="0">
                  <c:v>32.7279924186887</c:v>
                </c:pt>
                <c:pt idx="1">
                  <c:v>32.464776134709453</c:v>
                </c:pt>
                <c:pt idx="2">
                  <c:v>29.231182867829048</c:v>
                </c:pt>
                <c:pt idx="3">
                  <c:v>29.09004844594125</c:v>
                </c:pt>
                <c:pt idx="4">
                  <c:v>27.700563980470747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B-4127-A9C1-1EF564CC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077944"/>
        <c:axId val="713072904"/>
      </c:scatterChart>
      <c:valAx>
        <c:axId val="71307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2904"/>
        <c:crosses val="autoZero"/>
        <c:crossBetween val="midCat"/>
      </c:valAx>
      <c:valAx>
        <c:axId val="7130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07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922280485427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(R1)'!$S$31:$S$35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(R1)'!$T$31:$T$35</c:f>
              <c:numCache>
                <c:formatCode>0.00</c:formatCode>
                <c:ptCount val="5"/>
                <c:pt idx="0">
                  <c:v>26.277637406074199</c:v>
                </c:pt>
                <c:pt idx="1">
                  <c:v>23.902635928208749</c:v>
                </c:pt>
                <c:pt idx="2">
                  <c:v>21.710637753393851</c:v>
                </c:pt>
                <c:pt idx="3">
                  <c:v>19.143171611045499</c:v>
                </c:pt>
                <c:pt idx="4">
                  <c:v>17.14251031076935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935-B985-54AADCEC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46328"/>
        <c:axId val="351847408"/>
      </c:scatterChart>
      <c:valAx>
        <c:axId val="35184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7408"/>
        <c:crosses val="autoZero"/>
        <c:crossBetween val="midCat"/>
      </c:valAx>
      <c:valAx>
        <c:axId val="3518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075678040245E-2"/>
                  <c:y val="-0.38485092259623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(R1)'!$X$31:$X$35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(R1)'!$Y$31:$Y$35</c:f>
              <c:numCache>
                <c:formatCode>0.00</c:formatCode>
                <c:ptCount val="5"/>
                <c:pt idx="0">
                  <c:v>26.64780407594505</c:v>
                </c:pt>
                <c:pt idx="1">
                  <c:v>24.633557106484702</c:v>
                </c:pt>
                <c:pt idx="2">
                  <c:v>22.216365018902149</c:v>
                </c:pt>
                <c:pt idx="3">
                  <c:v>19.8436296852562</c:v>
                </c:pt>
                <c:pt idx="4">
                  <c:v>17.487637048082448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5-4328-AD51-61F8A0F82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4664"/>
        <c:axId val="494806104"/>
      </c:scatterChart>
      <c:valAx>
        <c:axId val="49480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6104"/>
        <c:crosses val="autoZero"/>
        <c:crossBetween val="midCat"/>
      </c:valAx>
      <c:valAx>
        <c:axId val="49480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RPLP1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4234470691169E-2"/>
                  <c:y val="-0.37666801350020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(R1)'!$AC$31:$AC$35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(R1)'!$AD$31:$AD$35</c:f>
              <c:numCache>
                <c:formatCode>0.00</c:formatCode>
                <c:ptCount val="5"/>
                <c:pt idx="0">
                  <c:v>27.020711916012502</c:v>
                </c:pt>
                <c:pt idx="1">
                  <c:v>24.856905031713801</c:v>
                </c:pt>
                <c:pt idx="2">
                  <c:v>22.548159205350302</c:v>
                </c:pt>
                <c:pt idx="3">
                  <c:v>20.14734345076565</c:v>
                </c:pt>
                <c:pt idx="4">
                  <c:v>17.863178551060898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9-42D5-9198-5A058AD93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91176"/>
        <c:axId val="633192616"/>
      </c:scatterChart>
      <c:valAx>
        <c:axId val="63319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92616"/>
        <c:crosses val="autoZero"/>
        <c:crossBetween val="midCat"/>
      </c:valAx>
      <c:valAx>
        <c:axId val="63319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9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CCSER2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596456692913391E-2"/>
                  <c:y val="-0.37722175111184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(R1)'!$D$59:$D$63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(R1)'!$E$59:$E$63</c:f>
              <c:numCache>
                <c:formatCode>0.00</c:formatCode>
                <c:ptCount val="5"/>
                <c:pt idx="0">
                  <c:v>29.73953340424865</c:v>
                </c:pt>
                <c:pt idx="1">
                  <c:v>27.710615029654548</c:v>
                </c:pt>
                <c:pt idx="2">
                  <c:v>25.503463676194002</c:v>
                </c:pt>
                <c:pt idx="3">
                  <c:v>23.079099211871899</c:v>
                </c:pt>
                <c:pt idx="4">
                  <c:v>20.823838519621798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E-4BFC-AD3C-ECB1E0454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56048"/>
        <c:axId val="351847768"/>
      </c:scatterChart>
      <c:valAx>
        <c:axId val="35185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47768"/>
        <c:crosses val="autoZero"/>
        <c:crossBetween val="midCat"/>
      </c:valAx>
      <c:valAx>
        <c:axId val="3518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TFRC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596456692913387E-2"/>
                  <c:y val="-0.383006815006999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(R1)'!$N$59:$N$63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(R1)'!$O$59:$O$63</c:f>
              <c:numCache>
                <c:formatCode>0.00</c:formatCode>
                <c:ptCount val="5"/>
                <c:pt idx="0">
                  <c:v>28.639905160863851</c:v>
                </c:pt>
                <c:pt idx="1">
                  <c:v>26.421140655529449</c:v>
                </c:pt>
                <c:pt idx="2">
                  <c:v>24.313636173201001</c:v>
                </c:pt>
                <c:pt idx="3">
                  <c:v>21.732039272218699</c:v>
                </c:pt>
                <c:pt idx="4">
                  <c:v>19.6763988376103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B-49A1-B116-4C0416F5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42624"/>
        <c:axId val="362436864"/>
      </c:scatterChart>
      <c:valAx>
        <c:axId val="36244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36864"/>
        <c:crosses val="autoZero"/>
        <c:crossBetween val="midCat"/>
      </c:valAx>
      <c:valAx>
        <c:axId val="3624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4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PGK1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7152012248468937E-2"/>
                  <c:y val="-0.383710135532281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'M231 (R1)'!$S$59:$S$63</c:f>
              <c:numCache>
                <c:formatCode>0.00</c:formatCode>
                <c:ptCount val="5"/>
                <c:pt idx="0">
                  <c:v>-1.494850021680094</c:v>
                </c:pt>
                <c:pt idx="1">
                  <c:v>-0.79588001734407521</c:v>
                </c:pt>
                <c:pt idx="2">
                  <c:v>-9.6910013008056392E-2</c:v>
                </c:pt>
                <c:pt idx="3">
                  <c:v>0.6020599913279624</c:v>
                </c:pt>
                <c:pt idx="4">
                  <c:v>1.3010299956639813</c:v>
                </c:pt>
              </c:numCache>
            </c:numRef>
          </c:xVal>
          <c:yVal>
            <c:numRef>
              <c:f>'M231 (R1)'!$T$59:$T$63</c:f>
              <c:numCache>
                <c:formatCode>0.00</c:formatCode>
                <c:ptCount val="5"/>
                <c:pt idx="0">
                  <c:v>26.005755859242949</c:v>
                </c:pt>
                <c:pt idx="1">
                  <c:v>23.87298960012405</c:v>
                </c:pt>
                <c:pt idx="2">
                  <c:v>21.63545290279535</c:v>
                </c:pt>
                <c:pt idx="3">
                  <c:v>18.904494345587199</c:v>
                </c:pt>
                <c:pt idx="4">
                  <c:v>16.836283757931099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66-4939-A0A4-5EF4CC33B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18080"/>
        <c:axId val="350911600"/>
      </c:scatterChart>
      <c:valAx>
        <c:axId val="3509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1600"/>
        <c:crosses val="autoZero"/>
        <c:crossBetween val="midCat"/>
      </c:valAx>
      <c:valAx>
        <c:axId val="3509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9525</xdr:colOff>
      <xdr:row>0</xdr:row>
      <xdr:rowOff>0</xdr:rowOff>
    </xdr:from>
    <xdr:to>
      <xdr:col>51</xdr:col>
      <xdr:colOff>314325</xdr:colOff>
      <xdr:row>14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B3BE4-0B95-79A9-8695-670C7242C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9525</xdr:colOff>
      <xdr:row>15</xdr:row>
      <xdr:rowOff>19050</xdr:rowOff>
    </xdr:from>
    <xdr:to>
      <xdr:col>51</xdr:col>
      <xdr:colOff>314325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66B32-489C-0E90-5190-0B86F2661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28575</xdr:colOff>
      <xdr:row>30</xdr:row>
      <xdr:rowOff>38100</xdr:rowOff>
    </xdr:from>
    <xdr:to>
      <xdr:col>51</xdr:col>
      <xdr:colOff>333375</xdr:colOff>
      <xdr:row>44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EBF22-0A1F-CE22-D386-8479BC917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47625</xdr:colOff>
      <xdr:row>45</xdr:row>
      <xdr:rowOff>57150</xdr:rowOff>
    </xdr:from>
    <xdr:to>
      <xdr:col>51</xdr:col>
      <xdr:colOff>352425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80C071-9718-3064-0CCB-DC254F8E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66675</xdr:colOff>
      <xdr:row>60</xdr:row>
      <xdr:rowOff>57150</xdr:rowOff>
    </xdr:from>
    <xdr:to>
      <xdr:col>51</xdr:col>
      <xdr:colOff>371475</xdr:colOff>
      <xdr:row>74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3B677D-D02B-8AF8-8738-738651315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85725</xdr:colOff>
      <xdr:row>75</xdr:row>
      <xdr:rowOff>76200</xdr:rowOff>
    </xdr:from>
    <xdr:to>
      <xdr:col>51</xdr:col>
      <xdr:colOff>390525</xdr:colOff>
      <xdr:row>90</xdr:row>
      <xdr:rowOff>163286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3EDE32-2163-34A7-351D-2BE045526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542925</xdr:colOff>
      <xdr:row>0</xdr:row>
      <xdr:rowOff>0</xdr:rowOff>
    </xdr:from>
    <xdr:to>
      <xdr:col>59</xdr:col>
      <xdr:colOff>238125</xdr:colOff>
      <xdr:row>14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A43A1-E0E6-343B-7AF4-5FB1BA67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600075</xdr:colOff>
      <xdr:row>30</xdr:row>
      <xdr:rowOff>57150</xdr:rowOff>
    </xdr:from>
    <xdr:to>
      <xdr:col>59</xdr:col>
      <xdr:colOff>295275</xdr:colOff>
      <xdr:row>44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B4CF8D-BE4B-4415-4239-79857C123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600075</xdr:colOff>
      <xdr:row>45</xdr:row>
      <xdr:rowOff>95250</xdr:rowOff>
    </xdr:from>
    <xdr:to>
      <xdr:col>59</xdr:col>
      <xdr:colOff>295275</xdr:colOff>
      <xdr:row>59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A581CF-50E4-0106-0121-376C112B8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</xdr:colOff>
      <xdr:row>75</xdr:row>
      <xdr:rowOff>57149</xdr:rowOff>
    </xdr:from>
    <xdr:to>
      <xdr:col>59</xdr:col>
      <xdr:colOff>314325</xdr:colOff>
      <xdr:row>90</xdr:row>
      <xdr:rowOff>122464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406388-4BE4-393D-772A-ECC835790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591910</xdr:colOff>
      <xdr:row>15</xdr:row>
      <xdr:rowOff>84365</xdr:rowOff>
    </xdr:from>
    <xdr:to>
      <xdr:col>59</xdr:col>
      <xdr:colOff>265338</xdr:colOff>
      <xdr:row>29</xdr:row>
      <xdr:rowOff>65315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45E3A1A-DD4E-538E-E2BE-34AAACB90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18585</xdr:colOff>
      <xdr:row>0</xdr:row>
      <xdr:rowOff>0</xdr:rowOff>
    </xdr:from>
    <xdr:to>
      <xdr:col>51</xdr:col>
      <xdr:colOff>297366</xdr:colOff>
      <xdr:row>14</xdr:row>
      <xdr:rowOff>122663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8CA3A8-F4F3-AE3B-CD39-073CE7BB4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18585</xdr:colOff>
      <xdr:row>15</xdr:row>
      <xdr:rowOff>22303</xdr:rowOff>
    </xdr:from>
    <xdr:to>
      <xdr:col>51</xdr:col>
      <xdr:colOff>297366</xdr:colOff>
      <xdr:row>29</xdr:row>
      <xdr:rowOff>163552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162B4B-B5C5-3A35-831D-B410CAEFF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18584</xdr:colOff>
      <xdr:row>30</xdr:row>
      <xdr:rowOff>59474</xdr:rowOff>
    </xdr:from>
    <xdr:to>
      <xdr:col>51</xdr:col>
      <xdr:colOff>297365</xdr:colOff>
      <xdr:row>45</xdr:row>
      <xdr:rowOff>14869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B2E638A-6783-F560-2F70-89D7EF819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18585</xdr:colOff>
      <xdr:row>45</xdr:row>
      <xdr:rowOff>96644</xdr:rowOff>
    </xdr:from>
    <xdr:to>
      <xdr:col>51</xdr:col>
      <xdr:colOff>297366</xdr:colOff>
      <xdr:row>60</xdr:row>
      <xdr:rowOff>52039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17CB16D-B9E2-0A1D-81C6-AB7CB912E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18585</xdr:colOff>
      <xdr:row>60</xdr:row>
      <xdr:rowOff>115229</xdr:rowOff>
    </xdr:from>
    <xdr:to>
      <xdr:col>51</xdr:col>
      <xdr:colOff>297366</xdr:colOff>
      <xdr:row>75</xdr:row>
      <xdr:rowOff>70624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A371C70-BE48-8628-E01C-DBF15049C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18585</xdr:colOff>
      <xdr:row>75</xdr:row>
      <xdr:rowOff>133815</xdr:rowOff>
    </xdr:from>
    <xdr:to>
      <xdr:col>51</xdr:col>
      <xdr:colOff>297366</xdr:colOff>
      <xdr:row>90</xdr:row>
      <xdr:rowOff>23812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313863B-3D50-58DA-F56F-71640CC95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446049</xdr:colOff>
      <xdr:row>0</xdr:row>
      <xdr:rowOff>0</xdr:rowOff>
    </xdr:from>
    <xdr:to>
      <xdr:col>59</xdr:col>
      <xdr:colOff>111512</xdr:colOff>
      <xdr:row>14</xdr:row>
      <xdr:rowOff>122663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07768A9-9B4E-B09F-9C9F-EB2CEA2D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464634</xdr:colOff>
      <xdr:row>15</xdr:row>
      <xdr:rowOff>40888</xdr:rowOff>
    </xdr:from>
    <xdr:to>
      <xdr:col>59</xdr:col>
      <xdr:colOff>130097</xdr:colOff>
      <xdr:row>29</xdr:row>
      <xdr:rowOff>182137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DD4748C-40AF-BDF6-A5ED-7DD731B9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464634</xdr:colOff>
      <xdr:row>30</xdr:row>
      <xdr:rowOff>59473</xdr:rowOff>
    </xdr:from>
    <xdr:to>
      <xdr:col>59</xdr:col>
      <xdr:colOff>130097</xdr:colOff>
      <xdr:row>45</xdr:row>
      <xdr:rowOff>14868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E7075BB-1503-888A-BED5-22FB3294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501805</xdr:colOff>
      <xdr:row>45</xdr:row>
      <xdr:rowOff>96644</xdr:rowOff>
    </xdr:from>
    <xdr:to>
      <xdr:col>59</xdr:col>
      <xdr:colOff>167268</xdr:colOff>
      <xdr:row>60</xdr:row>
      <xdr:rowOff>52039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2388D89-4223-AF97-CB9F-D041D050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557562</xdr:colOff>
      <xdr:row>76</xdr:row>
      <xdr:rowOff>22303</xdr:rowOff>
    </xdr:from>
    <xdr:to>
      <xdr:col>59</xdr:col>
      <xdr:colOff>223025</xdr:colOff>
      <xdr:row>90</xdr:row>
      <xdr:rowOff>23813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877BDB2-516E-1DB9-C562-C2525A634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600075</xdr:colOff>
      <xdr:row>0</xdr:row>
      <xdr:rowOff>0</xdr:rowOff>
    </xdr:from>
    <xdr:to>
      <xdr:col>51</xdr:col>
      <xdr:colOff>295275</xdr:colOff>
      <xdr:row>14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DCEFE7D-6C3C-65CF-4A3D-D14F38ED8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9525</xdr:colOff>
      <xdr:row>14</xdr:row>
      <xdr:rowOff>171450</xdr:rowOff>
    </xdr:from>
    <xdr:to>
      <xdr:col>51</xdr:col>
      <xdr:colOff>314325</xdr:colOff>
      <xdr:row>29</xdr:row>
      <xdr:rowOff>57150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C4E7AAD-0E56-3004-EC58-14B60DBAB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9525</xdr:colOff>
      <xdr:row>29</xdr:row>
      <xdr:rowOff>171450</xdr:rowOff>
    </xdr:from>
    <xdr:to>
      <xdr:col>51</xdr:col>
      <xdr:colOff>314325</xdr:colOff>
      <xdr:row>44</xdr:row>
      <xdr:rowOff>57150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0B4A829-E3F5-C8D9-4C49-EC5971BA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9525</xdr:colOff>
      <xdr:row>44</xdr:row>
      <xdr:rowOff>152400</xdr:rowOff>
    </xdr:from>
    <xdr:to>
      <xdr:col>51</xdr:col>
      <xdr:colOff>314325</xdr:colOff>
      <xdr:row>59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34E195C-C4E4-FE42-17FB-7151BC0CB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9525</xdr:colOff>
      <xdr:row>59</xdr:row>
      <xdr:rowOff>152400</xdr:rowOff>
    </xdr:from>
    <xdr:to>
      <xdr:col>51</xdr:col>
      <xdr:colOff>314325</xdr:colOff>
      <xdr:row>74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C844360-A646-D1AB-D22D-A1694C4E1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9525</xdr:colOff>
      <xdr:row>74</xdr:row>
      <xdr:rowOff>171450</xdr:rowOff>
    </xdr:from>
    <xdr:to>
      <xdr:col>51</xdr:col>
      <xdr:colOff>314325</xdr:colOff>
      <xdr:row>89</xdr:row>
      <xdr:rowOff>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3648E20-FF44-5C25-5D77-0BDCF177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542925</xdr:colOff>
      <xdr:row>0</xdr:row>
      <xdr:rowOff>0</xdr:rowOff>
    </xdr:from>
    <xdr:to>
      <xdr:col>59</xdr:col>
      <xdr:colOff>238125</xdr:colOff>
      <xdr:row>14</xdr:row>
      <xdr:rowOff>57150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002907D-B7DC-FE5C-AC68-74ACF6C7F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581025</xdr:colOff>
      <xdr:row>14</xdr:row>
      <xdr:rowOff>171450</xdr:rowOff>
    </xdr:from>
    <xdr:to>
      <xdr:col>59</xdr:col>
      <xdr:colOff>276225</xdr:colOff>
      <xdr:row>29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A2A30809-091F-36C7-9546-417BB8A84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581025</xdr:colOff>
      <xdr:row>29</xdr:row>
      <xdr:rowOff>171450</xdr:rowOff>
    </xdr:from>
    <xdr:to>
      <xdr:col>59</xdr:col>
      <xdr:colOff>276225</xdr:colOff>
      <xdr:row>44</xdr:row>
      <xdr:rowOff>57150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3DF9899-661D-B39F-5CFB-B90AB8C13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9525</xdr:colOff>
      <xdr:row>45</xdr:row>
      <xdr:rowOff>0</xdr:rowOff>
    </xdr:from>
    <xdr:to>
      <xdr:col>59</xdr:col>
      <xdr:colOff>314325</xdr:colOff>
      <xdr:row>59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518FB6E-471A-0E8F-6620-803E22B59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66675</xdr:colOff>
      <xdr:row>75</xdr:row>
      <xdr:rowOff>38100</xdr:rowOff>
    </xdr:from>
    <xdr:to>
      <xdr:col>59</xdr:col>
      <xdr:colOff>371475</xdr:colOff>
      <xdr:row>88</xdr:row>
      <xdr:rowOff>166688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B143BDC-1680-F72B-DBDD-FE5B85049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319C-BB0B-4499-B701-146F5E739266}">
  <dimension ref="A1:CJ112"/>
  <sheetViews>
    <sheetView topLeftCell="A29" zoomScale="70" zoomScaleNormal="70" workbookViewId="0">
      <selection activeCell="BD93" sqref="BD93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60" t="s">
        <v>88</v>
      </c>
      <c r="AI2" s="161"/>
      <c r="AJ2" s="161"/>
      <c r="AK2" s="161"/>
      <c r="AL2" s="162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13" t="s">
        <v>17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  <c r="R3" s="113" t="s">
        <v>18</v>
      </c>
      <c r="S3" s="114"/>
      <c r="T3" s="114"/>
      <c r="U3" s="114"/>
      <c r="V3" s="114"/>
      <c r="W3" s="114"/>
      <c r="X3" s="114"/>
      <c r="Y3" s="114"/>
      <c r="Z3" s="115"/>
      <c r="AA3" s="6"/>
      <c r="AB3" s="6"/>
      <c r="AC3" s="6"/>
      <c r="AD3" s="6"/>
      <c r="AE3" s="6"/>
      <c r="AF3" s="6"/>
      <c r="AG3" s="6"/>
      <c r="AH3" s="163"/>
      <c r="AI3" s="164"/>
      <c r="AJ3" s="164"/>
      <c r="AK3" s="164"/>
      <c r="AL3" s="165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68">
        <v>27.471568550853</v>
      </c>
      <c r="D4" s="69">
        <v>24.996487725656898</v>
      </c>
      <c r="E4" s="69">
        <v>23.001453446161801</v>
      </c>
      <c r="F4" s="69">
        <v>20.5002413348621</v>
      </c>
      <c r="G4" s="69">
        <v>18.413201718828802</v>
      </c>
      <c r="H4" s="24">
        <v>18.884230430467401</v>
      </c>
      <c r="I4" s="24">
        <v>17.724078111113101</v>
      </c>
      <c r="J4" s="24">
        <v>19.2719978963434</v>
      </c>
      <c r="K4" s="25">
        <v>18.909339029083199</v>
      </c>
      <c r="L4" s="25">
        <v>20.012122706576999</v>
      </c>
      <c r="M4" s="25">
        <v>19.127468350280999</v>
      </c>
      <c r="N4" s="26">
        <v>18.2969791770707</v>
      </c>
      <c r="O4" s="26">
        <v>18.909445523332302</v>
      </c>
      <c r="P4" s="26">
        <v>18.974242223342799</v>
      </c>
      <c r="Q4" s="27">
        <v>34.019424242831299</v>
      </c>
      <c r="R4" s="68">
        <v>25.5103583486564</v>
      </c>
      <c r="S4" s="69">
        <v>22.9175894516721</v>
      </c>
      <c r="T4" s="69">
        <v>20.7562778369191</v>
      </c>
      <c r="U4" s="69">
        <v>18.053506290924702</v>
      </c>
      <c r="V4" s="69">
        <v>15.164305977462501</v>
      </c>
      <c r="W4" s="24">
        <v>15.3250702928895</v>
      </c>
      <c r="X4" s="24">
        <v>15.615627600353299</v>
      </c>
      <c r="Y4" s="24">
        <v>16.412361539297201</v>
      </c>
      <c r="Z4" s="27">
        <v>33.984828989433602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66">
        <v>45112</v>
      </c>
      <c r="AL4" s="167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70">
        <v>27.595357426680302</v>
      </c>
      <c r="D5" s="72">
        <v>25.235640507004799</v>
      </c>
      <c r="E5" s="71">
        <v>22.963606197565898</v>
      </c>
      <c r="F5" s="71">
        <v>20.6659337652424</v>
      </c>
      <c r="G5" s="71">
        <v>18.1781832454724</v>
      </c>
      <c r="H5" s="10">
        <v>18.231524372684301</v>
      </c>
      <c r="I5" s="10">
        <v>18.614652083594699</v>
      </c>
      <c r="J5" s="10">
        <v>19.0577839754474</v>
      </c>
      <c r="K5" s="11">
        <v>18.927683171452099</v>
      </c>
      <c r="L5" s="11">
        <v>20.022041632835499</v>
      </c>
      <c r="M5" s="11">
        <v>18.946287362497401</v>
      </c>
      <c r="N5" s="12">
        <v>18.942967915905701</v>
      </c>
      <c r="O5" s="12">
        <v>18.638624061083402</v>
      </c>
      <c r="P5" s="12">
        <v>18.9742239387258</v>
      </c>
      <c r="Q5" s="13">
        <v>35.4507028358978</v>
      </c>
      <c r="R5" s="70">
        <v>25.527649138313802</v>
      </c>
      <c r="S5" s="71">
        <v>22.923597328522099</v>
      </c>
      <c r="T5" s="71">
        <v>20.808480224805599</v>
      </c>
      <c r="U5" s="71">
        <v>18.114354210370202</v>
      </c>
      <c r="V5" s="71">
        <v>15.1222966039263</v>
      </c>
      <c r="W5" s="10">
        <v>15.385096534830801</v>
      </c>
      <c r="X5" s="10">
        <v>15.692677321477399</v>
      </c>
      <c r="Y5" s="10">
        <v>16.106400993256798</v>
      </c>
      <c r="Z5" s="13">
        <v>33.445189819652697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66">
        <v>45140</v>
      </c>
      <c r="AL5" s="167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25" t="s">
        <v>18</v>
      </c>
      <c r="D6" s="126"/>
      <c r="E6" s="126"/>
      <c r="F6" s="126"/>
      <c r="G6" s="126"/>
      <c r="H6" s="127"/>
      <c r="I6" s="125" t="s">
        <v>26</v>
      </c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7"/>
      <c r="X6" s="116"/>
      <c r="Y6" s="117"/>
      <c r="Z6" s="11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66">
        <v>45157</v>
      </c>
      <c r="AL6" s="167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16.913907868498701</v>
      </c>
      <c r="D7" s="25">
        <v>18.3487866889804</v>
      </c>
      <c r="E7" s="25">
        <v>15.508153592770199</v>
      </c>
      <c r="F7" s="26">
        <v>16.496228597489399</v>
      </c>
      <c r="G7" s="26">
        <v>16.198102012722298</v>
      </c>
      <c r="H7" s="29">
        <v>15.850596918207399</v>
      </c>
      <c r="I7" s="68">
        <v>26.213312308863099</v>
      </c>
      <c r="J7" s="69">
        <v>23.779850336075398</v>
      </c>
      <c r="K7" s="69">
        <v>22.3788364952898</v>
      </c>
      <c r="L7" s="69">
        <v>23.4818172793806</v>
      </c>
      <c r="M7" s="69">
        <v>21.952176505540098</v>
      </c>
      <c r="N7" s="24">
        <v>22.188101135977199</v>
      </c>
      <c r="O7" s="24">
        <v>22.176112754180402</v>
      </c>
      <c r="P7" s="24">
        <v>22.879499647598699</v>
      </c>
      <c r="Q7" s="25">
        <v>23.055384431606999</v>
      </c>
      <c r="R7" s="25">
        <v>23.860612043201801</v>
      </c>
      <c r="S7" s="25">
        <v>22.398081420735199</v>
      </c>
      <c r="T7" s="26">
        <v>22.672598134912501</v>
      </c>
      <c r="U7" s="26">
        <v>22.785647719464201</v>
      </c>
      <c r="V7" s="26">
        <v>22.597748449424301</v>
      </c>
      <c r="W7" s="27">
        <v>24.447537820456699</v>
      </c>
      <c r="X7" s="119"/>
      <c r="Y7" s="120"/>
      <c r="Z7" s="12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66">
        <v>45141</v>
      </c>
      <c r="AL7" s="167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16.8670403931172</v>
      </c>
      <c r="D8" s="11">
        <v>18.525878703759101</v>
      </c>
      <c r="E8" s="11">
        <v>15.5860082571962</v>
      </c>
      <c r="F8" s="12">
        <v>16.4807560938489</v>
      </c>
      <c r="G8" s="12">
        <v>16.1945519358753</v>
      </c>
      <c r="H8" s="15">
        <v>15.7059510335732</v>
      </c>
      <c r="I8" s="70">
        <v>26.0671979538673</v>
      </c>
      <c r="J8" s="71">
        <v>23.746748577750701</v>
      </c>
      <c r="K8" s="71">
        <v>22.247908340665401</v>
      </c>
      <c r="L8" s="71">
        <v>23.386739272996198</v>
      </c>
      <c r="M8" s="71">
        <v>21.941762766309299</v>
      </c>
      <c r="N8" s="10">
        <v>22.034822813698799</v>
      </c>
      <c r="O8" s="10">
        <v>22.100585276684399</v>
      </c>
      <c r="P8" s="10">
        <v>22.705906791502599</v>
      </c>
      <c r="Q8" s="11">
        <v>23.0796465287712</v>
      </c>
      <c r="R8" s="16">
        <v>23.9921828412823</v>
      </c>
      <c r="S8" s="16">
        <v>22.4510461652137</v>
      </c>
      <c r="T8" s="17">
        <v>22.757874322830801</v>
      </c>
      <c r="U8" s="17">
        <v>22.794415195486501</v>
      </c>
      <c r="V8" s="17">
        <v>22.6249335458151</v>
      </c>
      <c r="W8" s="18">
        <v>27.159515547122499</v>
      </c>
      <c r="X8" s="122"/>
      <c r="Y8" s="123"/>
      <c r="Z8" s="124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68">
        <v>45142</v>
      </c>
      <c r="AL8" s="169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13" t="s">
        <v>19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  <c r="R9" s="113" t="s">
        <v>20</v>
      </c>
      <c r="S9" s="114"/>
      <c r="T9" s="114"/>
      <c r="U9" s="114"/>
      <c r="V9" s="114"/>
      <c r="W9" s="114"/>
      <c r="X9" s="114"/>
      <c r="Y9" s="114"/>
      <c r="Z9" s="115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26.2330946857142</v>
      </c>
      <c r="D10" s="69">
        <v>23.945375590565899</v>
      </c>
      <c r="E10" s="69">
        <v>21.7849479525972</v>
      </c>
      <c r="F10" s="69">
        <v>19.163797322163699</v>
      </c>
      <c r="G10" s="69">
        <v>17.1892499085588</v>
      </c>
      <c r="H10" s="24">
        <v>20.074571459369</v>
      </c>
      <c r="I10" s="24">
        <v>18.102318608496098</v>
      </c>
      <c r="J10" s="24">
        <v>19.640535050525799</v>
      </c>
      <c r="K10" s="25">
        <v>17.946051492581802</v>
      </c>
      <c r="L10" s="25">
        <v>18.436977815939201</v>
      </c>
      <c r="M10" s="25">
        <v>19.086294603055599</v>
      </c>
      <c r="N10" s="26">
        <v>18.819027030668899</v>
      </c>
      <c r="O10" s="26">
        <v>19.478838783939501</v>
      </c>
      <c r="P10" s="26">
        <v>19.597777797516098</v>
      </c>
      <c r="Q10" s="27" t="s">
        <v>49</v>
      </c>
      <c r="R10" s="68">
        <v>26.681816100691901</v>
      </c>
      <c r="S10" s="69">
        <v>24.628771647337398</v>
      </c>
      <c r="T10" s="69">
        <v>22.145092278099298</v>
      </c>
      <c r="U10" s="69">
        <v>19.8960802836108</v>
      </c>
      <c r="V10" s="69">
        <v>17.694565931766</v>
      </c>
      <c r="W10" s="24">
        <v>19.146106071547699</v>
      </c>
      <c r="X10" s="24">
        <v>18.909652332640899</v>
      </c>
      <c r="Y10" s="24">
        <v>19.4787452008167</v>
      </c>
      <c r="Z10" s="27" t="s">
        <v>49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26.322180126434201</v>
      </c>
      <c r="D11" s="71">
        <v>23.859896265851599</v>
      </c>
      <c r="E11" s="71">
        <v>21.636327554190501</v>
      </c>
      <c r="F11" s="71">
        <v>19.122545899927299</v>
      </c>
      <c r="G11" s="71">
        <v>17.095770712979899</v>
      </c>
      <c r="H11" s="10">
        <v>19.9807231677127</v>
      </c>
      <c r="I11" s="10">
        <v>18.2521130184826</v>
      </c>
      <c r="J11" s="10">
        <v>19.5865824567625</v>
      </c>
      <c r="K11" s="11">
        <v>17.849728436299301</v>
      </c>
      <c r="L11" s="11">
        <v>18.4262420961361</v>
      </c>
      <c r="M11" s="11">
        <v>19.178615146376799</v>
      </c>
      <c r="N11" s="12">
        <v>18.792750502642601</v>
      </c>
      <c r="O11" s="12">
        <v>19.505637006148401</v>
      </c>
      <c r="P11" s="12">
        <v>19.4579159190585</v>
      </c>
      <c r="Q11" s="13" t="s">
        <v>49</v>
      </c>
      <c r="R11" s="70">
        <v>26.6137920511982</v>
      </c>
      <c r="S11" s="71">
        <v>24.638342565632001</v>
      </c>
      <c r="T11" s="71">
        <v>22.287637759704999</v>
      </c>
      <c r="U11" s="71">
        <v>19.7911790869016</v>
      </c>
      <c r="V11" s="71">
        <v>17.280708164398899</v>
      </c>
      <c r="W11" s="10">
        <v>19.042297741062601</v>
      </c>
      <c r="X11" s="10">
        <v>18.727443581050402</v>
      </c>
      <c r="Y11" s="10">
        <v>19.386967980431901</v>
      </c>
      <c r="Z11" s="13">
        <v>36.630085227876499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13" t="s">
        <v>20</v>
      </c>
      <c r="D12" s="114"/>
      <c r="E12" s="114"/>
      <c r="F12" s="114"/>
      <c r="G12" s="114"/>
      <c r="H12" s="115"/>
      <c r="I12" s="113" t="s">
        <v>21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  <c r="X12" s="116"/>
      <c r="Y12" s="117"/>
      <c r="Z12" s="118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18.796442741845201</v>
      </c>
      <c r="D13" s="25">
        <v>19.3091959159858</v>
      </c>
      <c r="E13" s="25">
        <v>18.927416451261099</v>
      </c>
      <c r="F13" s="26">
        <v>18.7683862815909</v>
      </c>
      <c r="G13" s="26">
        <v>18.960542533782402</v>
      </c>
      <c r="H13" s="29">
        <v>18.8886965871835</v>
      </c>
      <c r="I13" s="68">
        <v>27.056181238076</v>
      </c>
      <c r="J13" s="69">
        <v>24.776949089764798</v>
      </c>
      <c r="K13" s="69">
        <v>22.5291262909316</v>
      </c>
      <c r="L13" s="69">
        <v>20.225016554032401</v>
      </c>
      <c r="M13" s="69">
        <v>17.8800891937973</v>
      </c>
      <c r="N13" s="24">
        <v>19.8833265005463</v>
      </c>
      <c r="O13" s="24">
        <v>18.6204920849353</v>
      </c>
      <c r="P13" s="24">
        <v>19.619326028019</v>
      </c>
      <c r="Q13" s="25">
        <v>18.372542680176799</v>
      </c>
      <c r="R13" s="25">
        <v>18.955765789066501</v>
      </c>
      <c r="S13" s="25">
        <v>19.2782956601921</v>
      </c>
      <c r="T13" s="26">
        <v>18.9222302028153</v>
      </c>
      <c r="U13" s="26">
        <v>19.425526668687802</v>
      </c>
      <c r="V13" s="26">
        <v>19.379093774880701</v>
      </c>
      <c r="W13" s="27">
        <v>35.4009970058082</v>
      </c>
      <c r="X13" s="119"/>
      <c r="Y13" s="120"/>
      <c r="Z13" s="121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18.839392397889601</v>
      </c>
      <c r="D14" s="11">
        <v>19.364233786313498</v>
      </c>
      <c r="E14" s="11">
        <v>18.874383121568599</v>
      </c>
      <c r="F14" s="12">
        <v>18.668551239390698</v>
      </c>
      <c r="G14" s="12">
        <v>18.985528340136099</v>
      </c>
      <c r="H14" s="15">
        <v>18.768836463947199</v>
      </c>
      <c r="I14" s="70">
        <v>26.985242593949</v>
      </c>
      <c r="J14" s="71">
        <v>24.9368609736628</v>
      </c>
      <c r="K14" s="71">
        <v>22.567192119769</v>
      </c>
      <c r="L14" s="71">
        <v>20.069670347498899</v>
      </c>
      <c r="M14" s="71">
        <v>17.846267908324499</v>
      </c>
      <c r="N14" s="10">
        <v>19.612530305300801</v>
      </c>
      <c r="O14" s="10">
        <v>18.4393721864075</v>
      </c>
      <c r="P14" s="10">
        <v>19.7343960279428</v>
      </c>
      <c r="Q14" s="11">
        <v>18.374423091261502</v>
      </c>
      <c r="R14" s="16">
        <v>19.235872750415801</v>
      </c>
      <c r="S14" s="16">
        <v>19.170282573445899</v>
      </c>
      <c r="T14" s="17">
        <v>18.840671318749099</v>
      </c>
      <c r="U14" s="17">
        <v>19.377007493793599</v>
      </c>
      <c r="V14" s="17">
        <v>19.352817391060999</v>
      </c>
      <c r="W14" s="18">
        <v>37.859847541370499</v>
      </c>
      <c r="X14" s="122"/>
      <c r="Y14" s="123"/>
      <c r="Z14" s="124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13" t="s">
        <v>22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5"/>
      <c r="R15" s="113" t="s">
        <v>23</v>
      </c>
      <c r="S15" s="114"/>
      <c r="T15" s="114"/>
      <c r="U15" s="114"/>
      <c r="V15" s="114"/>
      <c r="W15" s="114"/>
      <c r="X15" s="114"/>
      <c r="Y15" s="114"/>
      <c r="Z15" s="115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68">
        <v>29.867808766784901</v>
      </c>
      <c r="D16" s="69">
        <v>27.6782803788767</v>
      </c>
      <c r="E16" s="69">
        <v>25.5531036024136</v>
      </c>
      <c r="F16" s="69">
        <v>23.033638917621701</v>
      </c>
      <c r="G16" s="69">
        <v>20.824724310115698</v>
      </c>
      <c r="H16" s="24">
        <v>21.575646965561099</v>
      </c>
      <c r="I16" s="24">
        <v>21.961801541040401</v>
      </c>
      <c r="J16" s="24">
        <v>22.021116552971801</v>
      </c>
      <c r="K16" s="25">
        <v>22.451844388217701</v>
      </c>
      <c r="L16" s="25">
        <v>23.2790082717211</v>
      </c>
      <c r="M16" s="25">
        <v>21.8999956116288</v>
      </c>
      <c r="N16" s="26">
        <v>21.4143048451967</v>
      </c>
      <c r="O16" s="26">
        <v>21.136311646108702</v>
      </c>
      <c r="P16" s="26">
        <v>20.925949023552601</v>
      </c>
      <c r="Q16" s="27">
        <v>31.1414606631586</v>
      </c>
      <c r="R16" s="68">
        <v>30.002447756873501</v>
      </c>
      <c r="S16" s="69">
        <v>28.206698068679302</v>
      </c>
      <c r="T16" s="69">
        <v>26.136846439811499</v>
      </c>
      <c r="U16" s="73">
        <v>37.664832240588403</v>
      </c>
      <c r="V16" s="69">
        <v>21.407354588805699</v>
      </c>
      <c r="W16" s="24">
        <v>22.041913100623798</v>
      </c>
      <c r="X16" s="24">
        <v>22.053164605730299</v>
      </c>
      <c r="Y16" s="24">
        <v>22.558591222419999</v>
      </c>
      <c r="Z16" s="27">
        <v>33.4482642784766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70">
        <v>29.6112580417124</v>
      </c>
      <c r="D17" s="71">
        <v>27.7429496804324</v>
      </c>
      <c r="E17" s="71">
        <v>25.453823749974401</v>
      </c>
      <c r="F17" s="71">
        <v>23.1245595061221</v>
      </c>
      <c r="G17" s="71">
        <v>20.822952729127898</v>
      </c>
      <c r="H17" s="10">
        <v>21.354855494670499</v>
      </c>
      <c r="I17" s="10">
        <v>21.8033649956933</v>
      </c>
      <c r="J17" s="10">
        <v>22.073332671457401</v>
      </c>
      <c r="K17" s="11">
        <v>22.435065574127599</v>
      </c>
      <c r="L17" s="11">
        <v>23.2638909377714</v>
      </c>
      <c r="M17" s="11">
        <v>21.9215875551306</v>
      </c>
      <c r="N17" s="12">
        <v>21.4882209544235</v>
      </c>
      <c r="O17" s="12">
        <v>21.1265353332332</v>
      </c>
      <c r="P17" s="12">
        <v>20.891739789624101</v>
      </c>
      <c r="Q17" s="13">
        <v>31.132147495582501</v>
      </c>
      <c r="R17" s="70">
        <v>30.584459723195899</v>
      </c>
      <c r="S17" s="71">
        <v>28.0805434492449</v>
      </c>
      <c r="T17" s="71">
        <v>26.038934801676699</v>
      </c>
      <c r="U17" s="72">
        <v>37.725246835730601</v>
      </c>
      <c r="V17" s="71">
        <v>21.4245079119708</v>
      </c>
      <c r="W17" s="10">
        <v>22.1343835997951</v>
      </c>
      <c r="X17" s="10">
        <v>22.0009519909534</v>
      </c>
      <c r="Y17" s="10">
        <v>22.580905229453599</v>
      </c>
      <c r="Z17" s="13">
        <v>35.260099582514997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13" t="s">
        <v>23</v>
      </c>
      <c r="D18" s="114"/>
      <c r="E18" s="114"/>
      <c r="F18" s="114"/>
      <c r="G18" s="114"/>
      <c r="H18" s="115"/>
      <c r="I18" s="113" t="s">
        <v>27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6"/>
      <c r="Y18" s="117"/>
      <c r="Z18" s="118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22.541682458431598</v>
      </c>
      <c r="D19" s="25">
        <v>23.679777311272598</v>
      </c>
      <c r="E19" s="25">
        <v>22.233726407741901</v>
      </c>
      <c r="F19" s="26">
        <v>22.948845202089402</v>
      </c>
      <c r="G19" s="26">
        <v>22.801201442927798</v>
      </c>
      <c r="H19" s="29">
        <v>22.557541431123699</v>
      </c>
      <c r="I19" s="68">
        <v>28.524863034122902</v>
      </c>
      <c r="J19" s="69">
        <v>26.447677928983801</v>
      </c>
      <c r="K19" s="69">
        <v>24.333704407990801</v>
      </c>
      <c r="L19" s="69">
        <v>21.744111768448199</v>
      </c>
      <c r="M19" s="69">
        <v>19.673780419112799</v>
      </c>
      <c r="N19" s="24">
        <v>20.045324350922598</v>
      </c>
      <c r="O19" s="24">
        <v>20.186154526987998</v>
      </c>
      <c r="P19" s="24">
        <v>20.541117160083399</v>
      </c>
      <c r="Q19" s="25">
        <v>21.2049973944249</v>
      </c>
      <c r="R19" s="25">
        <v>22.041334519631299</v>
      </c>
      <c r="S19" s="25">
        <v>20.5833664097023</v>
      </c>
      <c r="T19" s="26">
        <v>19.9755414353946</v>
      </c>
      <c r="U19" s="26">
        <v>19.794818576297999</v>
      </c>
      <c r="V19" s="26">
        <v>19.426171914497701</v>
      </c>
      <c r="W19" s="27">
        <v>32.124754697639702</v>
      </c>
      <c r="X19" s="119"/>
      <c r="Y19" s="120"/>
      <c r="Z19" s="121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22.599207910952899</v>
      </c>
      <c r="D20" s="11">
        <v>23.6026765786435</v>
      </c>
      <c r="E20" s="11">
        <v>22.1434334387455</v>
      </c>
      <c r="F20" s="12">
        <v>22.752201825760501</v>
      </c>
      <c r="G20" s="12">
        <v>22.741905702861001</v>
      </c>
      <c r="H20" s="15">
        <v>22.586262858940799</v>
      </c>
      <c r="I20" s="70">
        <v>28.7549472876048</v>
      </c>
      <c r="J20" s="71">
        <v>26.3946033820751</v>
      </c>
      <c r="K20" s="71">
        <v>24.293567938411201</v>
      </c>
      <c r="L20" s="71">
        <v>21.719966775989199</v>
      </c>
      <c r="M20" s="71">
        <v>19.679017256107802</v>
      </c>
      <c r="N20" s="10">
        <v>20.091249275795601</v>
      </c>
      <c r="O20" s="10">
        <v>20.021277494523702</v>
      </c>
      <c r="P20" s="10">
        <v>20.431965609266101</v>
      </c>
      <c r="Q20" s="11">
        <v>21.240551155388701</v>
      </c>
      <c r="R20" s="16">
        <v>21.937409550386601</v>
      </c>
      <c r="S20" s="16">
        <v>20.484472531761099</v>
      </c>
      <c r="T20" s="17">
        <v>19.9766023568992</v>
      </c>
      <c r="U20" s="17">
        <v>19.716413416192701</v>
      </c>
      <c r="V20" s="17">
        <v>19.4032746971573</v>
      </c>
      <c r="W20" s="18">
        <v>33.1981909174349</v>
      </c>
      <c r="X20" s="122"/>
      <c r="Y20" s="123"/>
      <c r="Z20" s="12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13" t="s">
        <v>24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  <c r="R21" s="171"/>
      <c r="S21" s="172"/>
      <c r="T21" s="172"/>
      <c r="U21" s="172"/>
      <c r="V21" s="172"/>
      <c r="W21" s="172"/>
      <c r="X21" s="172"/>
      <c r="Y21" s="172"/>
      <c r="Z21" s="173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25.96671548926</v>
      </c>
      <c r="D22" s="69">
        <v>23.867624411194399</v>
      </c>
      <c r="E22" s="69">
        <v>21.5776957529282</v>
      </c>
      <c r="F22" s="69">
        <v>18.9436626010373</v>
      </c>
      <c r="G22" s="69">
        <v>16.901918669352401</v>
      </c>
      <c r="H22" s="24">
        <v>18.598142840539499</v>
      </c>
      <c r="I22" s="24">
        <v>18.011830465901301</v>
      </c>
      <c r="J22" s="24">
        <v>18.819371604555201</v>
      </c>
      <c r="K22" s="25">
        <v>17.046047443899099</v>
      </c>
      <c r="L22" s="25">
        <v>18.0065854168678</v>
      </c>
      <c r="M22" s="25">
        <v>17.0899891900348</v>
      </c>
      <c r="N22" s="26">
        <v>17.653109243819902</v>
      </c>
      <c r="O22" s="26">
        <v>17.738579139784999</v>
      </c>
      <c r="P22" s="26">
        <v>17.364310985789299</v>
      </c>
      <c r="Q22" s="27">
        <v>35.406230432359898</v>
      </c>
      <c r="R22" s="174"/>
      <c r="S22" s="175"/>
      <c r="T22" s="175"/>
      <c r="U22" s="175"/>
      <c r="V22" s="175"/>
      <c r="W22" s="175"/>
      <c r="X22" s="175"/>
      <c r="Y22" s="175"/>
      <c r="Z22" s="176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26.044796229225899</v>
      </c>
      <c r="D23" s="71">
        <v>23.878354789053699</v>
      </c>
      <c r="E23" s="71">
        <v>21.693210052662501</v>
      </c>
      <c r="F23" s="71">
        <v>18.865326090137099</v>
      </c>
      <c r="G23" s="71">
        <v>16.7706488465098</v>
      </c>
      <c r="H23" s="10">
        <v>18.629079536594901</v>
      </c>
      <c r="I23" s="10">
        <v>18.019131679881902</v>
      </c>
      <c r="J23" s="10">
        <v>18.848304432430201</v>
      </c>
      <c r="K23" s="11">
        <v>17.002910052036398</v>
      </c>
      <c r="L23" s="11">
        <v>17.940051866343001</v>
      </c>
      <c r="M23" s="11">
        <v>17.066515315624802</v>
      </c>
      <c r="N23" s="12">
        <v>17.592516128339</v>
      </c>
      <c r="O23" s="12">
        <v>17.681127521026902</v>
      </c>
      <c r="P23" s="12">
        <v>17.632994884967601</v>
      </c>
      <c r="Q23" s="13">
        <v>34.712542106973899</v>
      </c>
      <c r="R23" s="177"/>
      <c r="S23" s="178"/>
      <c r="T23" s="178"/>
      <c r="U23" s="178"/>
      <c r="V23" s="178"/>
      <c r="W23" s="178"/>
      <c r="X23" s="178"/>
      <c r="Y23" s="178"/>
      <c r="Z23" s="179"/>
      <c r="AA23" s="6"/>
      <c r="AB23" s="75" t="s">
        <v>72</v>
      </c>
      <c r="AC23" s="76" t="s">
        <v>80</v>
      </c>
      <c r="AD23" s="76"/>
      <c r="AE23" s="76"/>
      <c r="AF23" s="76"/>
      <c r="AG23" s="148" t="s">
        <v>81</v>
      </c>
      <c r="AH23" s="148"/>
      <c r="AI23" s="148"/>
      <c r="AJ23" s="148"/>
      <c r="AK23" s="148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71"/>
      <c r="D24" s="172"/>
      <c r="E24" s="172"/>
      <c r="F24" s="172"/>
      <c r="G24" s="172"/>
      <c r="H24" s="173"/>
      <c r="I24" s="113" t="s">
        <v>25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6"/>
      <c r="Y24" s="117"/>
      <c r="Z24" s="118"/>
      <c r="AA24" s="6"/>
      <c r="AB24" s="78" t="s">
        <v>74</v>
      </c>
      <c r="AC24" s="6" t="s">
        <v>82</v>
      </c>
      <c r="AD24" s="6"/>
      <c r="AE24" s="6"/>
      <c r="AF24" s="7"/>
      <c r="AG24" s="149"/>
      <c r="AH24" s="149"/>
      <c r="AI24" s="149"/>
      <c r="AJ24" s="149"/>
      <c r="AK24" s="149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174"/>
      <c r="D25" s="175"/>
      <c r="E25" s="175"/>
      <c r="F25" s="175"/>
      <c r="G25" s="175"/>
      <c r="H25" s="176"/>
      <c r="I25" s="68">
        <v>32.797192871263398</v>
      </c>
      <c r="J25" s="69">
        <v>30.409083626805899</v>
      </c>
      <c r="K25" s="69">
        <v>28.585512989651502</v>
      </c>
      <c r="L25" s="69">
        <v>26.548928821069602</v>
      </c>
      <c r="M25" s="69">
        <v>13.5743674150219</v>
      </c>
      <c r="N25" s="24">
        <v>23.861593859992201</v>
      </c>
      <c r="O25" s="24">
        <v>24.616138911952799</v>
      </c>
      <c r="P25" s="24">
        <v>24.868810147096699</v>
      </c>
      <c r="Q25" s="25">
        <v>24.9686414177052</v>
      </c>
      <c r="R25" s="25">
        <v>26.516173689984701</v>
      </c>
      <c r="S25" s="25">
        <v>24.505187129173599</v>
      </c>
      <c r="T25" s="26">
        <v>24.768533778423699</v>
      </c>
      <c r="U25" s="26">
        <v>24.283871690000201</v>
      </c>
      <c r="V25" s="26">
        <v>24.0067143175743</v>
      </c>
      <c r="W25" s="27">
        <v>33.266790286624698</v>
      </c>
      <c r="X25" s="119"/>
      <c r="Y25" s="120"/>
      <c r="Z25" s="121"/>
      <c r="AA25" s="6"/>
      <c r="AB25" s="80" t="s">
        <v>76</v>
      </c>
      <c r="AC25" s="81" t="s">
        <v>83</v>
      </c>
      <c r="AD25" s="81"/>
      <c r="AE25" s="81"/>
      <c r="AF25" s="82"/>
      <c r="AG25" s="150"/>
      <c r="AH25" s="150"/>
      <c r="AI25" s="150"/>
      <c r="AJ25" s="150"/>
      <c r="AK25" s="150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77"/>
      <c r="D26" s="178"/>
      <c r="E26" s="178"/>
      <c r="F26" s="178"/>
      <c r="G26" s="178"/>
      <c r="H26" s="179"/>
      <c r="I26" s="70">
        <v>32.9385251490014</v>
      </c>
      <c r="J26" s="71">
        <v>30.5991259097529</v>
      </c>
      <c r="K26" s="71">
        <v>28.474589225534199</v>
      </c>
      <c r="L26" s="71">
        <v>26.361583065862401</v>
      </c>
      <c r="M26" s="71">
        <v>24.531537445703801</v>
      </c>
      <c r="N26" s="10">
        <v>23.877975946529201</v>
      </c>
      <c r="O26" s="10">
        <v>24.6929313443826</v>
      </c>
      <c r="P26" s="10">
        <v>24.8874425033157</v>
      </c>
      <c r="Q26" s="11">
        <v>25.006508952129899</v>
      </c>
      <c r="R26" s="11">
        <v>26.610923258123702</v>
      </c>
      <c r="S26" s="11">
        <v>24.5128273539896</v>
      </c>
      <c r="T26" s="12">
        <v>24.733464465268899</v>
      </c>
      <c r="U26" s="12">
        <v>24.210762314392699</v>
      </c>
      <c r="V26" s="12">
        <v>24.0339494501542</v>
      </c>
      <c r="W26" s="13">
        <v>35.212432664085398</v>
      </c>
      <c r="X26" s="122"/>
      <c r="Y26" s="123"/>
      <c r="Z26" s="12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8" t="s">
        <v>17</v>
      </c>
      <c r="D28" s="128"/>
      <c r="E28" s="128"/>
      <c r="F28" s="6"/>
      <c r="G28" s="6"/>
      <c r="H28" s="128" t="s">
        <v>18</v>
      </c>
      <c r="I28" s="128"/>
      <c r="J28" s="128"/>
      <c r="K28" s="6"/>
      <c r="L28" s="6"/>
      <c r="M28" s="128" t="s">
        <v>26</v>
      </c>
      <c r="N28" s="128"/>
      <c r="O28" s="128"/>
      <c r="P28" s="6"/>
      <c r="Q28" s="6"/>
      <c r="R28" s="128" t="s">
        <v>19</v>
      </c>
      <c r="S28" s="128"/>
      <c r="T28" s="128"/>
      <c r="U28" s="6"/>
      <c r="V28" s="6"/>
      <c r="W28" s="128" t="s">
        <v>20</v>
      </c>
      <c r="X28" s="128"/>
      <c r="Y28" s="128"/>
      <c r="Z28" s="6"/>
      <c r="AA28" s="6"/>
      <c r="AB28" s="128" t="s">
        <v>21</v>
      </c>
      <c r="AC28" s="128"/>
      <c r="AD28" s="128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55" t="s">
        <v>47</v>
      </c>
      <c r="D29" s="156"/>
      <c r="E29" s="157"/>
      <c r="F29" s="6"/>
      <c r="G29" s="6"/>
      <c r="H29" s="129" t="s">
        <v>47</v>
      </c>
      <c r="I29" s="130"/>
      <c r="J29" s="131"/>
      <c r="K29" s="6"/>
      <c r="L29" s="6"/>
      <c r="M29" s="129" t="s">
        <v>47</v>
      </c>
      <c r="N29" s="130"/>
      <c r="O29" s="131"/>
      <c r="P29" s="6"/>
      <c r="Q29" s="6"/>
      <c r="R29" s="129" t="s">
        <v>47</v>
      </c>
      <c r="S29" s="153"/>
      <c r="T29" s="154"/>
      <c r="U29" s="6"/>
      <c r="V29" s="6"/>
      <c r="W29" s="129" t="s">
        <v>47</v>
      </c>
      <c r="X29" s="130"/>
      <c r="Y29" s="131"/>
      <c r="Z29" s="6"/>
      <c r="AA29" s="6"/>
      <c r="AB29" s="129" t="s">
        <v>47</v>
      </c>
      <c r="AC29" s="130"/>
      <c r="AD29" s="131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27.533462988766651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25.519003743485101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26.140255131365201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26.277637406074199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26.64780407594505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27.020711916012502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25.116064116330847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22.9205933900971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23.76329945691305</v>
      </c>
      <c r="P32" s="6"/>
      <c r="Q32" s="6"/>
      <c r="R32" s="61">
        <v>0.16</v>
      </c>
      <c r="S32" s="62">
        <f>LOG(R32)</f>
        <v>-0.79588001734407521</v>
      </c>
      <c r="T32" s="63">
        <f>AVERAGE(D10:D11)</f>
        <v>23.902635928208749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24.633557106484702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24.856905031713801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22.982529821863849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20.782379030862351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22.3133724179776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21.710637753393851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22.216365018902149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22.548159205350302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20.583087550052248</v>
      </c>
      <c r="F34" s="6"/>
      <c r="G34" s="6"/>
      <c r="H34" s="61">
        <v>4</v>
      </c>
      <c r="I34" s="62">
        <f>LOG(H34)</f>
        <v>0.6020599913279624</v>
      </c>
      <c r="J34" s="63">
        <f>AVERAGE(U4:U5)</f>
        <v>18.083930250647452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23.434278276188401</v>
      </c>
      <c r="P34" s="6"/>
      <c r="Q34" s="6"/>
      <c r="R34" s="61">
        <v>4</v>
      </c>
      <c r="S34" s="62">
        <f>LOG(R34)</f>
        <v>0.6020599913279624</v>
      </c>
      <c r="T34" s="63">
        <f>AVERAGE(F10:F11)</f>
        <v>19.143171611045499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19.8436296852562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20.14734345076565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18.295692482150599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15.143301290694399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21.946969635924699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17.14251031076935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17.487637048082448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17.863178551060898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06" t="s">
        <v>46</v>
      </c>
      <c r="D36" s="107"/>
      <c r="E36" s="33">
        <f>(10^(-1/-3.2918)-1)*100</f>
        <v>101.27283467587725</v>
      </c>
      <c r="F36" s="6"/>
      <c r="G36" s="6"/>
      <c r="H36" s="106" t="s">
        <v>46</v>
      </c>
      <c r="I36" s="107"/>
      <c r="J36" s="33">
        <f>(10^(-1/-3.6608)-1)*100</f>
        <v>87.570413433651908</v>
      </c>
      <c r="K36" s="6"/>
      <c r="L36" s="6"/>
      <c r="M36" s="106" t="s">
        <v>46</v>
      </c>
      <c r="N36" s="107"/>
      <c r="O36" s="33">
        <f>(10^(-1/-1.2469)-1)*100</f>
        <v>533.8535580924048</v>
      </c>
      <c r="P36" s="6"/>
      <c r="Q36" s="6"/>
      <c r="R36" s="106" t="s">
        <v>46</v>
      </c>
      <c r="S36" s="107"/>
      <c r="T36" s="33">
        <f>(10^(-1/-3.2948)-1)*100</f>
        <v>101.14468387826383</v>
      </c>
      <c r="U36" s="6"/>
      <c r="V36" s="6"/>
      <c r="W36" s="106" t="s">
        <v>46</v>
      </c>
      <c r="X36" s="107"/>
      <c r="Y36" s="33">
        <f>(10^(-1/-3.3063)-1)*100</f>
        <v>100.65634303646158</v>
      </c>
      <c r="Z36" s="6"/>
      <c r="AA36" s="6"/>
      <c r="AB36" s="106" t="s">
        <v>46</v>
      </c>
      <c r="AC36" s="107"/>
      <c r="AD36" s="33">
        <f>(10^(-1/-3.2941)-1)*100</f>
        <v>101.17455755654655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06" t="s">
        <v>50</v>
      </c>
      <c r="D37" s="107"/>
      <c r="E37" s="33">
        <f>SUM(E36/100)+1</f>
        <v>2.0127283467587724</v>
      </c>
      <c r="F37" s="6"/>
      <c r="G37" s="6"/>
      <c r="H37" s="106" t="s">
        <v>50</v>
      </c>
      <c r="I37" s="107"/>
      <c r="J37" s="33">
        <f>SUM(J36/100)+1</f>
        <v>1.8757041343365191</v>
      </c>
      <c r="K37" s="6"/>
      <c r="L37" s="6"/>
      <c r="M37" s="106" t="s">
        <v>50</v>
      </c>
      <c r="N37" s="107"/>
      <c r="O37" s="33">
        <f>SUM(O36/100)+1</f>
        <v>6.3385355809240478</v>
      </c>
      <c r="P37" s="6"/>
      <c r="Q37" s="6"/>
      <c r="R37" s="106" t="s">
        <v>50</v>
      </c>
      <c r="S37" s="107"/>
      <c r="T37" s="33">
        <f>SUM(T36/100)+1</f>
        <v>2.0114468387826383</v>
      </c>
      <c r="U37" s="6"/>
      <c r="V37" s="6"/>
      <c r="W37" s="106" t="s">
        <v>50</v>
      </c>
      <c r="X37" s="107"/>
      <c r="Y37" s="33">
        <f>SUM(Y36/100)+1</f>
        <v>2.0065634303646158</v>
      </c>
      <c r="Z37" s="6"/>
      <c r="AA37" s="6"/>
      <c r="AB37" s="106" t="s">
        <v>50</v>
      </c>
      <c r="AC37" s="107"/>
      <c r="AD37" s="33">
        <f>SUM(AD36/100)+1</f>
        <v>2.0117455755654654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32" t="s">
        <v>51</v>
      </c>
      <c r="D39" s="133"/>
      <c r="E39" s="133"/>
      <c r="F39" s="133"/>
      <c r="G39" s="133"/>
      <c r="H39" s="134"/>
      <c r="J39" s="132" t="s">
        <v>52</v>
      </c>
      <c r="K39" s="133"/>
      <c r="L39" s="133"/>
      <c r="M39" s="133"/>
      <c r="N39" s="133"/>
      <c r="O39" s="134"/>
      <c r="Q39" s="132" t="s">
        <v>53</v>
      </c>
      <c r="R39" s="133"/>
      <c r="S39" s="133"/>
      <c r="T39" s="133"/>
      <c r="U39" s="133"/>
      <c r="V39" s="134"/>
      <c r="X39" s="132" t="s">
        <v>54</v>
      </c>
      <c r="Y39" s="133"/>
      <c r="Z39" s="133"/>
      <c r="AA39" s="133"/>
      <c r="AB39" s="133"/>
      <c r="AC39" s="134"/>
      <c r="AE39" s="132" t="s">
        <v>55</v>
      </c>
      <c r="AF39" s="133"/>
      <c r="AG39" s="133"/>
      <c r="AH39" s="133"/>
      <c r="AI39" s="133"/>
      <c r="AJ39" s="134"/>
      <c r="AL39" s="132" t="s">
        <v>56</v>
      </c>
      <c r="AM39" s="133"/>
      <c r="AN39" s="133"/>
      <c r="AO39" s="133"/>
      <c r="AP39" s="133"/>
      <c r="AQ39" s="134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51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1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1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1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0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0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51"/>
      <c r="D41" s="45" t="s">
        <v>35</v>
      </c>
      <c r="E41" s="45">
        <f>AVERAGE(H4:H5)</f>
        <v>18.557877401575851</v>
      </c>
      <c r="F41" s="52">
        <f>10^((E41-22.583)/-3.2918)</f>
        <v>16.702155594832014</v>
      </c>
      <c r="G41" s="53">
        <f>SUM(E41*(LOG(E37)/LOG(2)))</f>
        <v>18.727727784728753</v>
      </c>
      <c r="H41" s="52">
        <f>10^((G41-22.583)/-3.2918)</f>
        <v>14.831138782573488</v>
      </c>
      <c r="I41" s="6"/>
      <c r="J41" s="111"/>
      <c r="K41" s="45" t="s">
        <v>35</v>
      </c>
      <c r="L41" s="45">
        <f>AVERAGE(W4:W5)</f>
        <v>15.35508341386015</v>
      </c>
      <c r="M41" s="52">
        <f>10^((L41 -20.135)/-3.6608)</f>
        <v>20.21634958050538</v>
      </c>
      <c r="N41" s="52">
        <f>SUM(L41*(LOG($J$37)/LOG(2)))</f>
        <v>13.933698369711809</v>
      </c>
      <c r="O41" s="52">
        <f>10^((N41 -20.135)/-3.6608)</f>
        <v>49.428159574920279</v>
      </c>
      <c r="P41" s="6"/>
      <c r="Q41" s="111"/>
      <c r="R41" s="45" t="s">
        <v>35</v>
      </c>
      <c r="S41" s="45">
        <f>AVERAGE(N7:N8)</f>
        <v>22.111461974838001</v>
      </c>
      <c r="T41" s="52">
        <f t="shared" ref="T41:T50" si="0">10^((S41-23.399)/-1.2469)</f>
        <v>10.779317062103495</v>
      </c>
      <c r="U41" s="52">
        <f>SUM(S41*(LOG($O$37)/LOG(2)))</f>
        <v>58.908241842367453</v>
      </c>
      <c r="V41" s="52">
        <f t="shared" ref="V41:V50" si="1">10^((U41-23.399)/-1.2469)</f>
        <v>3.3264502998604766E-29</v>
      </c>
      <c r="W41" s="6"/>
      <c r="X41" s="111" t="s">
        <v>19</v>
      </c>
      <c r="Y41" s="45" t="s">
        <v>35</v>
      </c>
      <c r="Z41" s="45">
        <f>AVERAGE(H10:H11)</f>
        <v>20.02764731354085</v>
      </c>
      <c r="AA41" s="52">
        <f t="shared" ref="AA41:AA50" si="2">10^((Z41-21.316)/-3.2948)</f>
        <v>2.4605152850588881</v>
      </c>
      <c r="AB41" s="52">
        <f>SUM(Z41*(LOG($T$37)/LOG(2)))</f>
        <v>20.192547130431819</v>
      </c>
      <c r="AC41" s="52">
        <f t="shared" ref="AC41:AC50" si="3">10^((AB41-21.316)/-3.2948)</f>
        <v>2.1926916435040007</v>
      </c>
      <c r="AD41" s="6"/>
      <c r="AE41" s="111"/>
      <c r="AF41" s="45" t="s">
        <v>35</v>
      </c>
      <c r="AG41" s="45">
        <f>AVERAGE(W10:W11)</f>
        <v>19.094201906305152</v>
      </c>
      <c r="AH41" s="52">
        <f t="shared" ref="AH41:AH46" si="4">10^((AG41 - 21.845)/-3.3063)</f>
        <v>6.7918305386421061</v>
      </c>
      <c r="AI41" s="52">
        <f>SUM(AG41*(LOG($Y$37)/LOG(2)))</f>
        <v>19.184455664037419</v>
      </c>
      <c r="AJ41" s="52">
        <f t="shared" ref="AJ41:AJ46" si="5">10^((AI41 - 21.845)/-3.3063)</f>
        <v>6.3780707328908495</v>
      </c>
      <c r="AK41" s="6"/>
      <c r="AL41" s="111" t="s">
        <v>21</v>
      </c>
      <c r="AM41" s="45" t="s">
        <v>35</v>
      </c>
      <c r="AN41" s="45">
        <f>AVERAGE(N13:N14)</f>
        <v>19.747928402923549</v>
      </c>
      <c r="AO41" s="52">
        <f t="shared" ref="AO41:AO50" si="6">10^((AN41- 22.168)/-3.2941)</f>
        <v>5.4283585756835144</v>
      </c>
      <c r="AP41" s="45">
        <f>SUM(AN41*(LOG($AD$37)/LOG(2)))</f>
        <v>19.914756132933384</v>
      </c>
      <c r="AQ41" s="52">
        <f t="shared" ref="AQ41:AQ50" si="7">10^((AP41- 22.168)/-3.2941)</f>
        <v>4.8308563559110063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51"/>
      <c r="D42" s="46" t="s">
        <v>36</v>
      </c>
      <c r="E42" s="46">
        <f>AVERAGE(I4:I5)</f>
        <v>18.1693650973539</v>
      </c>
      <c r="F42" s="53">
        <f>10^((E42- 22.583)/-3.2918)</f>
        <v>21.917791886487962</v>
      </c>
      <c r="G42" s="53">
        <f>SUM(E42*(LOG(E37)/LOG(2)))</f>
        <v>18.335659633989241</v>
      </c>
      <c r="H42" s="53">
        <f>10^((G42- 22.583)/-3.2918)</f>
        <v>19.510975607490547</v>
      </c>
      <c r="I42" s="6"/>
      <c r="J42" s="111"/>
      <c r="K42" s="46" t="s">
        <v>36</v>
      </c>
      <c r="L42" s="46">
        <f>AVERAGE(X4:X5)</f>
        <v>15.654152460915348</v>
      </c>
      <c r="M42" s="53">
        <f>10^((L42-20.135)/-3.6608)</f>
        <v>16.749727318719653</v>
      </c>
      <c r="N42" s="53">
        <f t="shared" ref="N42:N48" si="8">SUM(L42*(LOG($J$37)/LOG(2)))</f>
        <v>14.20508327730683</v>
      </c>
      <c r="O42" s="53">
        <f>10^((N42-20.135)/-3.6608)</f>
        <v>41.671752218032857</v>
      </c>
      <c r="P42" s="6"/>
      <c r="Q42" s="111"/>
      <c r="R42" s="46" t="s">
        <v>36</v>
      </c>
      <c r="S42" s="46">
        <f>AVERAGE(O7:O8)</f>
        <v>22.1383490154324</v>
      </c>
      <c r="T42" s="53">
        <f t="shared" si="0"/>
        <v>10.25718379200789</v>
      </c>
      <c r="U42" s="53">
        <f>SUM(S42*(LOG($O$37)/LOG(2)))</f>
        <v>58.979872939920511</v>
      </c>
      <c r="V42" s="53">
        <f t="shared" si="1"/>
        <v>2.9142962107460309E-29</v>
      </c>
      <c r="W42" s="6"/>
      <c r="X42" s="111"/>
      <c r="Y42" s="46" t="s">
        <v>36</v>
      </c>
      <c r="Z42" s="46">
        <f>AVERAGE(I10:I11)</f>
        <v>18.177215813489347</v>
      </c>
      <c r="AA42" s="53">
        <f t="shared" si="2"/>
        <v>8.9670143605428194</v>
      </c>
      <c r="AB42" s="53">
        <f t="shared" ref="AB42:AB50" si="9">SUM(Z42*(LOG($T$37)/LOG(2)))</f>
        <v>18.326879900953355</v>
      </c>
      <c r="AC42" s="53">
        <f t="shared" si="3"/>
        <v>8.0765062551499263</v>
      </c>
      <c r="AD42" s="6"/>
      <c r="AE42" s="111"/>
      <c r="AF42" s="46" t="s">
        <v>36</v>
      </c>
      <c r="AG42" s="46">
        <f>AVERAGE(X10:X11)</f>
        <v>18.818547956845649</v>
      </c>
      <c r="AH42" s="53">
        <f t="shared" si="4"/>
        <v>8.2292295301955516</v>
      </c>
      <c r="AI42" s="53">
        <f t="shared" ref="AI42:AI50" si="10">SUM(AG42*(LOG($Y$37)/LOG(2)))</f>
        <v>18.907498763823831</v>
      </c>
      <c r="AJ42" s="53">
        <f t="shared" si="5"/>
        <v>7.7349185873224577</v>
      </c>
      <c r="AK42" s="6"/>
      <c r="AL42" s="111"/>
      <c r="AM42" s="46" t="s">
        <v>36</v>
      </c>
      <c r="AN42" s="46">
        <f>AVERAGE(O13:O14)</f>
        <v>18.529932135671402</v>
      </c>
      <c r="AO42" s="53">
        <f t="shared" si="6"/>
        <v>12.718016243964151</v>
      </c>
      <c r="AP42" s="46">
        <f t="shared" ref="AP42:AP50" si="11">SUM(AN42*(LOG($AD$37)/LOG(2)))</f>
        <v>18.68647040400808</v>
      </c>
      <c r="AQ42" s="53">
        <f t="shared" si="7"/>
        <v>11.399835251356842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51"/>
      <c r="D43" s="47" t="s">
        <v>37</v>
      </c>
      <c r="E43" s="47">
        <f>AVERAGE(J4:J5)</f>
        <v>19.1648909358954</v>
      </c>
      <c r="F43" s="54">
        <f t="shared" ref="F43:F50" si="12">10^((E43-22.583)/-3.2918)</f>
        <v>10.923726539666296</v>
      </c>
      <c r="G43" s="54">
        <f>SUM(E43*(LOG(E37)/LOG(2)))</f>
        <v>19.340296991130412</v>
      </c>
      <c r="H43" s="54">
        <f t="shared" ref="H43:H50" si="13">10^((G43-22.583)/-3.2918)</f>
        <v>9.6624011185629879</v>
      </c>
      <c r="I43" s="6"/>
      <c r="J43" s="111"/>
      <c r="K43" s="47" t="s">
        <v>37</v>
      </c>
      <c r="L43" s="47">
        <f>AVERAGE(Y4:Y5)</f>
        <v>16.259381266277</v>
      </c>
      <c r="M43" s="54">
        <f t="shared" ref="M43:M50" si="14">10^((L43 -20.135)/-3.6608)</f>
        <v>11.446713597386852</v>
      </c>
      <c r="N43" s="54">
        <f t="shared" si="8"/>
        <v>14.754287432782679</v>
      </c>
      <c r="O43" s="54">
        <f t="shared" ref="O43:O50" si="15">10^((N43 -20.135)/-3.6608)</f>
        <v>29.499779773459583</v>
      </c>
      <c r="P43" s="6"/>
      <c r="Q43" s="111"/>
      <c r="R43" s="47" t="s">
        <v>37</v>
      </c>
      <c r="S43" s="47">
        <f>AVERAGE(P7:P8)</f>
        <v>22.792703219550649</v>
      </c>
      <c r="T43" s="54">
        <f t="shared" si="0"/>
        <v>3.0636793389824128</v>
      </c>
      <c r="U43" s="54">
        <f t="shared" ref="U43:U50" si="16">SUM(S43*(LOG($O$37)/LOG(2)))</f>
        <v>60.723170409379229</v>
      </c>
      <c r="V43" s="54">
        <f t="shared" si="1"/>
        <v>1.165274961997197E-30</v>
      </c>
      <c r="W43" s="6"/>
      <c r="X43" s="111"/>
      <c r="Y43" s="47" t="s">
        <v>37</v>
      </c>
      <c r="Z43" s="47">
        <f>AVERAGE(J10:J11)</f>
        <v>19.613558753644149</v>
      </c>
      <c r="AA43" s="54">
        <f t="shared" si="2"/>
        <v>3.2862870040909535</v>
      </c>
      <c r="AB43" s="54">
        <f t="shared" si="9"/>
        <v>19.775049127247318</v>
      </c>
      <c r="AC43" s="54">
        <f t="shared" si="3"/>
        <v>2.9355655252961088</v>
      </c>
      <c r="AD43" s="6"/>
      <c r="AE43" s="111"/>
      <c r="AF43" s="47" t="s">
        <v>37</v>
      </c>
      <c r="AG43" s="47">
        <f>AVERAGE(Y10:Y11)</f>
        <v>19.432856590624301</v>
      </c>
      <c r="AH43" s="54">
        <f t="shared" si="4"/>
        <v>5.3648767901813716</v>
      </c>
      <c r="AI43" s="54">
        <f t="shared" si="10"/>
        <v>19.524711088622297</v>
      </c>
      <c r="AJ43" s="54">
        <f t="shared" si="5"/>
        <v>5.0324340683164328</v>
      </c>
      <c r="AK43" s="6"/>
      <c r="AL43" s="111"/>
      <c r="AM43" s="47" t="s">
        <v>37</v>
      </c>
      <c r="AN43" s="47">
        <f>AVERAGE(P13:P14)</f>
        <v>19.676861027980898</v>
      </c>
      <c r="AO43" s="54">
        <f t="shared" si="6"/>
        <v>5.7048294815911307</v>
      </c>
      <c r="AP43" s="47">
        <f t="shared" si="11"/>
        <v>19.843088390772586</v>
      </c>
      <c r="AQ43" s="54">
        <f t="shared" si="7"/>
        <v>5.0790269759965661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51"/>
      <c r="D44" s="48" t="s">
        <v>38</v>
      </c>
      <c r="E44" s="48">
        <f>AVERAGE(K4:K5)</f>
        <v>18.918511100267651</v>
      </c>
      <c r="F44" s="55">
        <f t="shared" si="12"/>
        <v>12.978286532242093</v>
      </c>
      <c r="G44" s="55">
        <f>SUM(E44*(LOG(E37)/LOG(2)))</f>
        <v>19.091662171886973</v>
      </c>
      <c r="H44" s="55">
        <f t="shared" si="13"/>
        <v>11.497849816990966</v>
      </c>
      <c r="I44" s="6"/>
      <c r="J44" s="111"/>
      <c r="K44" s="48" t="s">
        <v>38</v>
      </c>
      <c r="L44" s="48">
        <f>AVERAGE(C7:C8)</f>
        <v>16.890474130807952</v>
      </c>
      <c r="M44" s="55">
        <f t="shared" si="14"/>
        <v>7.6964198957676393</v>
      </c>
      <c r="N44" s="55">
        <f t="shared" si="8"/>
        <v>15.326961470470701</v>
      </c>
      <c r="O44" s="55">
        <f t="shared" si="15"/>
        <v>20.577122866434543</v>
      </c>
      <c r="P44" s="6"/>
      <c r="Q44" s="111"/>
      <c r="R44" s="48" t="s">
        <v>38</v>
      </c>
      <c r="S44" s="48">
        <f>AVERAGE(Q7:Q8)</f>
        <v>23.067515480189101</v>
      </c>
      <c r="T44" s="55">
        <f t="shared" si="0"/>
        <v>1.8443651871166327</v>
      </c>
      <c r="U44" s="55">
        <f t="shared" si="16"/>
        <v>61.455311374520285</v>
      </c>
      <c r="V44" s="55">
        <f t="shared" si="1"/>
        <v>3.0148066451078197E-31</v>
      </c>
      <c r="W44" s="6"/>
      <c r="X44" s="111"/>
      <c r="Y44" s="48" t="s">
        <v>38</v>
      </c>
      <c r="Z44" s="48">
        <f>AVERAGE(K10:K11)</f>
        <v>17.897889964440552</v>
      </c>
      <c r="AA44" s="55">
        <f t="shared" si="2"/>
        <v>10.899978748265216</v>
      </c>
      <c r="AB44" s="55">
        <f t="shared" si="9"/>
        <v>18.045254192083782</v>
      </c>
      <c r="AC44" s="55">
        <f t="shared" si="3"/>
        <v>9.8333013076402747</v>
      </c>
      <c r="AD44" s="6"/>
      <c r="AE44" s="111"/>
      <c r="AF44" s="48" t="s">
        <v>38</v>
      </c>
      <c r="AG44" s="48">
        <f>AVERAGE(C13:C14)</f>
        <v>18.817917569867401</v>
      </c>
      <c r="AH44" s="55">
        <f t="shared" si="4"/>
        <v>8.2328430894083162</v>
      </c>
      <c r="AI44" s="55">
        <f t="shared" si="10"/>
        <v>18.906865397156047</v>
      </c>
      <c r="AJ44" s="55">
        <f t="shared" si="5"/>
        <v>7.738331146316165</v>
      </c>
      <c r="AK44" s="6"/>
      <c r="AL44" s="111"/>
      <c r="AM44" s="48" t="s">
        <v>38</v>
      </c>
      <c r="AN44" s="48">
        <f>AVERAGE(Q13:Q14)</f>
        <v>18.373482885719149</v>
      </c>
      <c r="AO44" s="55">
        <f t="shared" si="6"/>
        <v>14.187737744361788</v>
      </c>
      <c r="AP44" s="48">
        <f t="shared" si="11"/>
        <v>18.528699492730205</v>
      </c>
      <c r="AQ44" s="55">
        <f t="shared" si="7"/>
        <v>12.728979074228869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51"/>
      <c r="D45" s="48" t="s">
        <v>39</v>
      </c>
      <c r="E45" s="48">
        <f>AVERAGE(L4:L5)</f>
        <v>20.017082169706249</v>
      </c>
      <c r="F45" s="55">
        <f t="shared" si="12"/>
        <v>6.0184930958608396</v>
      </c>
      <c r="G45" s="55">
        <f>SUM(E45*(LOG(E37)/LOG(2)))</f>
        <v>20.200287878126275</v>
      </c>
      <c r="H45" s="55">
        <f t="shared" si="13"/>
        <v>5.2945931159634814</v>
      </c>
      <c r="I45" s="6"/>
      <c r="J45" s="111"/>
      <c r="K45" s="48" t="s">
        <v>39</v>
      </c>
      <c r="L45" s="48">
        <f>AVERAGE(D7:D8)</f>
        <v>18.437332696369751</v>
      </c>
      <c r="M45" s="55">
        <f t="shared" si="14"/>
        <v>2.9089895503143288</v>
      </c>
      <c r="N45" s="55">
        <f t="shared" si="8"/>
        <v>16.730630867257442</v>
      </c>
      <c r="O45" s="55">
        <f t="shared" si="15"/>
        <v>8.5104442775923363</v>
      </c>
      <c r="P45" s="6"/>
      <c r="Q45" s="111"/>
      <c r="R45" s="48" t="s">
        <v>39</v>
      </c>
      <c r="S45" s="48">
        <f>AVERAGE(R7:R8)</f>
        <v>23.926397442242049</v>
      </c>
      <c r="T45" s="55">
        <f t="shared" si="0"/>
        <v>0.3776009586976542</v>
      </c>
      <c r="U45" s="55">
        <f t="shared" si="16"/>
        <v>63.743501381686592</v>
      </c>
      <c r="V45" s="55">
        <f t="shared" si="1"/>
        <v>4.4071354915962581E-33</v>
      </c>
      <c r="W45" s="6"/>
      <c r="X45" s="111"/>
      <c r="Y45" s="48" t="s">
        <v>39</v>
      </c>
      <c r="Z45" s="48">
        <f>AVERAGE(L10:L11)</f>
        <v>18.431609956037651</v>
      </c>
      <c r="AA45" s="55">
        <f t="shared" si="2"/>
        <v>7.5064926841008059</v>
      </c>
      <c r="AB45" s="55">
        <f t="shared" si="9"/>
        <v>18.58336862539975</v>
      </c>
      <c r="AC45" s="55">
        <f t="shared" si="3"/>
        <v>6.7511383906566351</v>
      </c>
      <c r="AD45" s="6"/>
      <c r="AE45" s="111"/>
      <c r="AF45" s="48" t="s">
        <v>39</v>
      </c>
      <c r="AG45" s="48">
        <f>AVERAGE(D13:D14)</f>
        <v>19.336714851149651</v>
      </c>
      <c r="AH45" s="55">
        <f t="shared" si="4"/>
        <v>5.7363824658188296</v>
      </c>
      <c r="AI45" s="55">
        <f t="shared" si="10"/>
        <v>19.428114909977836</v>
      </c>
      <c r="AJ45" s="55">
        <f t="shared" si="5"/>
        <v>5.3826220658176442</v>
      </c>
      <c r="AK45" s="6"/>
      <c r="AL45" s="111"/>
      <c r="AM45" s="48" t="s">
        <v>39</v>
      </c>
      <c r="AN45" s="48">
        <f>AVERAGE(R13:R14)</f>
        <v>19.095819269741149</v>
      </c>
      <c r="AO45" s="55">
        <f t="shared" si="6"/>
        <v>8.5631053947442481</v>
      </c>
      <c r="AP45" s="48">
        <f t="shared" si="11"/>
        <v>19.25713807323536</v>
      </c>
      <c r="AQ45" s="55">
        <f t="shared" si="7"/>
        <v>7.6499614627954884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51"/>
      <c r="D46" s="48" t="s">
        <v>40</v>
      </c>
      <c r="E46" s="48">
        <f>AVERAGE(M4:M5)</f>
        <v>19.0368778563892</v>
      </c>
      <c r="F46" s="55">
        <f t="shared" si="12"/>
        <v>11.947011834153484</v>
      </c>
      <c r="G46" s="55">
        <f>SUM(E46*(LOG(E37)/LOG(2)))</f>
        <v>19.211112275982256</v>
      </c>
      <c r="H46" s="55">
        <f t="shared" si="13"/>
        <v>10.576195309961602</v>
      </c>
      <c r="I46" s="6"/>
      <c r="J46" s="111"/>
      <c r="K46" s="48" t="s">
        <v>40</v>
      </c>
      <c r="L46" s="48">
        <f>AVERAGE(E7:E8)</f>
        <v>15.547080924983199</v>
      </c>
      <c r="M46" s="55">
        <f t="shared" si="14"/>
        <v>17.916611069541492</v>
      </c>
      <c r="N46" s="55">
        <f t="shared" si="8"/>
        <v>14.107923109208121</v>
      </c>
      <c r="O46" s="55">
        <f t="shared" si="15"/>
        <v>44.297830279089865</v>
      </c>
      <c r="P46" s="6"/>
      <c r="Q46" s="111"/>
      <c r="R46" s="48" t="s">
        <v>40</v>
      </c>
      <c r="S46" s="48">
        <f>AVERAGE(S7:S8)</f>
        <v>22.42456379297445</v>
      </c>
      <c r="T46" s="55">
        <f t="shared" si="0"/>
        <v>6.0462632693093292</v>
      </c>
      <c r="U46" s="55">
        <f t="shared" si="16"/>
        <v>59.742391915531122</v>
      </c>
      <c r="V46" s="55">
        <f t="shared" si="1"/>
        <v>7.1285616902071791E-30</v>
      </c>
      <c r="W46" s="6"/>
      <c r="X46" s="111"/>
      <c r="Y46" s="48" t="s">
        <v>40</v>
      </c>
      <c r="Z46" s="48">
        <f>AVERAGE(M10:M11)</f>
        <v>19.132454874716199</v>
      </c>
      <c r="AA46" s="55">
        <f t="shared" si="2"/>
        <v>4.5996483909950321</v>
      </c>
      <c r="AB46" s="55">
        <f t="shared" si="9"/>
        <v>19.289984027098583</v>
      </c>
      <c r="AC46" s="55">
        <f t="shared" si="3"/>
        <v>4.1201515263619344</v>
      </c>
      <c r="AD46" s="6"/>
      <c r="AE46" s="111"/>
      <c r="AF46" s="48" t="s">
        <v>40</v>
      </c>
      <c r="AG46" s="48">
        <f>AVERAGE(E13:E14)</f>
        <v>18.900899786414847</v>
      </c>
      <c r="AH46" s="55">
        <f t="shared" si="4"/>
        <v>7.7705476290856623</v>
      </c>
      <c r="AI46" s="55">
        <f t="shared" si="10"/>
        <v>18.99023985093368</v>
      </c>
      <c r="AJ46" s="55">
        <f t="shared" si="5"/>
        <v>7.3018089540579076</v>
      </c>
      <c r="AK46" s="6"/>
      <c r="AL46" s="111"/>
      <c r="AM46" s="48" t="s">
        <v>40</v>
      </c>
      <c r="AN46" s="48">
        <f>AVERAGE(S13:S14)</f>
        <v>19.224289116819001</v>
      </c>
      <c r="AO46" s="55">
        <f t="shared" si="6"/>
        <v>7.8276483190071167</v>
      </c>
      <c r="AP46" s="48">
        <f t="shared" si="11"/>
        <v>19.386693215566741</v>
      </c>
      <c r="AQ46" s="55">
        <f t="shared" si="7"/>
        <v>6.9876283319014876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51"/>
      <c r="D47" s="49" t="s">
        <v>41</v>
      </c>
      <c r="E47" s="49">
        <f>AVERAGE(N4:N5)</f>
        <v>18.6199735464882</v>
      </c>
      <c r="F47" s="56">
        <f t="shared" si="12"/>
        <v>15.992215657546229</v>
      </c>
      <c r="G47" s="56">
        <f>SUM(E47*(LOG(E37)/LOG(2)))</f>
        <v>18.790392262634011</v>
      </c>
      <c r="H47" s="56">
        <f t="shared" si="13"/>
        <v>14.195083783252421</v>
      </c>
      <c r="I47" s="6"/>
      <c r="J47" s="111"/>
      <c r="K47" s="49" t="s">
        <v>41</v>
      </c>
      <c r="L47" s="49">
        <f>AVERAGE(F7:F8)</f>
        <v>16.488492345669151</v>
      </c>
      <c r="M47" s="56">
        <f t="shared" si="14"/>
        <v>9.9105062760365552</v>
      </c>
      <c r="N47" s="56">
        <f t="shared" si="8"/>
        <v>14.962190222195581</v>
      </c>
      <c r="O47" s="56">
        <f t="shared" si="15"/>
        <v>25.883747017935139</v>
      </c>
      <c r="P47" s="6"/>
      <c r="Q47" s="111"/>
      <c r="R47" s="49" t="s">
        <v>41</v>
      </c>
      <c r="S47" s="49">
        <f>AVERAGE(T7:T8)</f>
        <v>22.715236228871653</v>
      </c>
      <c r="T47" s="56">
        <f t="shared" si="0"/>
        <v>3.5348498984282153</v>
      </c>
      <c r="U47" s="56">
        <f t="shared" si="16"/>
        <v>60.516786759717718</v>
      </c>
      <c r="V47" s="56">
        <f t="shared" si="1"/>
        <v>1.705869553144739E-30</v>
      </c>
      <c r="W47" s="6"/>
      <c r="X47" s="111"/>
      <c r="Y47" s="49" t="s">
        <v>41</v>
      </c>
      <c r="Z47" s="49">
        <f>AVERAGE(N10:N11)</f>
        <v>18.805888766655748</v>
      </c>
      <c r="AA47" s="56">
        <f t="shared" si="2"/>
        <v>5.7788343180625272</v>
      </c>
      <c r="AB47" s="56">
        <f t="shared" si="9"/>
        <v>18.960729101396254</v>
      </c>
      <c r="AC47" s="56">
        <f t="shared" si="3"/>
        <v>5.186147642202001</v>
      </c>
      <c r="AD47" s="6"/>
      <c r="AE47" s="111"/>
      <c r="AF47" s="49" t="s">
        <v>41</v>
      </c>
      <c r="AG47" s="49">
        <f>AVERAGE(F13:F14)</f>
        <v>18.718468760490801</v>
      </c>
      <c r="AH47" s="56">
        <f>10^((AG47 -21.845)/-3.3063)</f>
        <v>8.8232466178334636</v>
      </c>
      <c r="AI47" s="56">
        <f t="shared" si="10"/>
        <v>18.806946516875605</v>
      </c>
      <c r="AJ47" s="56">
        <f>10^((AI47 -21.845)/-3.3063)</f>
        <v>8.2959870403402665</v>
      </c>
      <c r="AK47" s="6"/>
      <c r="AL47" s="111"/>
      <c r="AM47" s="49" t="s">
        <v>41</v>
      </c>
      <c r="AN47" s="49">
        <f>AVERAGE(T13:T14)</f>
        <v>18.881450760782201</v>
      </c>
      <c r="AO47" s="56">
        <f t="shared" si="6"/>
        <v>9.9473590132521785</v>
      </c>
      <c r="AP47" s="49">
        <f t="shared" si="11"/>
        <v>19.040958609172385</v>
      </c>
      <c r="AQ47" s="56">
        <f t="shared" si="7"/>
        <v>8.8978587594358078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51"/>
      <c r="D48" s="50" t="s">
        <v>42</v>
      </c>
      <c r="E48" s="50">
        <f>AVERAGE(O4:O5)</f>
        <v>18.77403479220785</v>
      </c>
      <c r="F48" s="57">
        <f t="shared" si="12"/>
        <v>14.35843534809894</v>
      </c>
      <c r="G48" s="57">
        <f>SUM(E48*(LOG(E37)/LOG(2)))</f>
        <v>18.945863549009079</v>
      </c>
      <c r="H48" s="57">
        <f t="shared" si="13"/>
        <v>12.732335976101943</v>
      </c>
      <c r="I48" s="6"/>
      <c r="J48" s="111"/>
      <c r="K48" s="50" t="s">
        <v>42</v>
      </c>
      <c r="L48" s="50">
        <f>AVERAGE(G7:G8)</f>
        <v>16.196326974298799</v>
      </c>
      <c r="M48" s="57">
        <f t="shared" si="14"/>
        <v>11.909814588713935</v>
      </c>
      <c r="N48" s="57">
        <f t="shared" si="8"/>
        <v>14.69706993277568</v>
      </c>
      <c r="O48" s="57">
        <f t="shared" si="15"/>
        <v>30.5807797025487</v>
      </c>
      <c r="P48" s="6"/>
      <c r="Q48" s="111"/>
      <c r="R48" s="50" t="s">
        <v>42</v>
      </c>
      <c r="S48" s="50">
        <f>AVERAGE(U7:U8)</f>
        <v>22.790031457475351</v>
      </c>
      <c r="T48" s="57">
        <f t="shared" si="0"/>
        <v>3.07883228076658</v>
      </c>
      <c r="U48" s="57">
        <f t="shared" si="16"/>
        <v>60.716052435603636</v>
      </c>
      <c r="V48" s="57">
        <f t="shared" si="1"/>
        <v>1.1806928986478481E-30</v>
      </c>
      <c r="W48" s="6"/>
      <c r="X48" s="111"/>
      <c r="Y48" s="50" t="s">
        <v>42</v>
      </c>
      <c r="Z48" s="50">
        <f>AVERAGE(O10:O11)</f>
        <v>19.492237895043949</v>
      </c>
      <c r="AA48" s="57">
        <f t="shared" si="2"/>
        <v>3.5770697475322963</v>
      </c>
      <c r="AB48" s="57">
        <f t="shared" si="9"/>
        <v>19.652729360135549</v>
      </c>
      <c r="AC48" s="57">
        <f t="shared" si="3"/>
        <v>3.1975465453101597</v>
      </c>
      <c r="AD48" s="6"/>
      <c r="AE48" s="111"/>
      <c r="AF48" s="50" t="s">
        <v>42</v>
      </c>
      <c r="AG48" s="50">
        <f>AVERAGE(G13:G14)</f>
        <v>18.97303543695925</v>
      </c>
      <c r="AH48" s="57">
        <f>10^((AG48 -21.845)/-3.3063)</f>
        <v>7.3898222209649136</v>
      </c>
      <c r="AI48" s="57">
        <f t="shared" si="10"/>
        <v>19.062716469566723</v>
      </c>
      <c r="AJ48" s="57">
        <f>10^((AI48 -21.845)/-3.3063)</f>
        <v>6.9424011195377</v>
      </c>
      <c r="AK48" s="6"/>
      <c r="AL48" s="111"/>
      <c r="AM48" s="50" t="s">
        <v>42</v>
      </c>
      <c r="AN48" s="50">
        <f>AVERAGE(U13:U14)</f>
        <v>19.4012670812407</v>
      </c>
      <c r="AO48" s="57">
        <f t="shared" si="6"/>
        <v>6.916805509429623</v>
      </c>
      <c r="AP48" s="50">
        <f t="shared" si="11"/>
        <v>19.565166265015275</v>
      </c>
      <c r="AQ48" s="57">
        <f t="shared" si="7"/>
        <v>6.1680827031910699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52"/>
      <c r="D49" s="51" t="s">
        <v>43</v>
      </c>
      <c r="E49" s="51">
        <f>AVERAGE(P4:P5)</f>
        <v>18.974233081034299</v>
      </c>
      <c r="F49" s="58">
        <f t="shared" si="12"/>
        <v>12.482162931337088</v>
      </c>
      <c r="G49" s="58">
        <f>SUM(E49*(LOG(E37)/LOG(2)))</f>
        <v>19.147894146311756</v>
      </c>
      <c r="H49" s="58">
        <f t="shared" si="13"/>
        <v>11.054374973972251</v>
      </c>
      <c r="I49" s="6"/>
      <c r="J49" s="112"/>
      <c r="K49" s="51" t="s">
        <v>43</v>
      </c>
      <c r="L49" s="51">
        <f>AVERAGE(H7:H8)</f>
        <v>15.778273975890301</v>
      </c>
      <c r="M49" s="58">
        <f t="shared" si="14"/>
        <v>15.491810289826203</v>
      </c>
      <c r="N49" s="58">
        <f>SUM(L49*(LOG($J$37)/LOG(2)))</f>
        <v>14.317715146782156</v>
      </c>
      <c r="O49" s="58">
        <f t="shared" si="15"/>
        <v>38.821718155206618</v>
      </c>
      <c r="P49" s="6"/>
      <c r="Q49" s="112"/>
      <c r="R49" s="51" t="s">
        <v>43</v>
      </c>
      <c r="S49" s="51">
        <f>AVERAGE(V7:V8)</f>
        <v>22.611340997619699</v>
      </c>
      <c r="T49" s="58">
        <f t="shared" si="0"/>
        <v>4.2824648058598065</v>
      </c>
      <c r="U49" s="58">
        <f t="shared" si="16"/>
        <v>60.239994324381534</v>
      </c>
      <c r="V49" s="58">
        <f t="shared" si="1"/>
        <v>2.8440045548509974E-30</v>
      </c>
      <c r="W49" s="6"/>
      <c r="X49" s="112"/>
      <c r="Y49" s="51" t="s">
        <v>43</v>
      </c>
      <c r="Z49" s="51">
        <f>AVERAGE(P10:P11)</f>
        <v>19.527846858287297</v>
      </c>
      <c r="AA49" s="58">
        <f t="shared" si="2"/>
        <v>3.4891511477389883</v>
      </c>
      <c r="AB49" s="58">
        <f t="shared" si="9"/>
        <v>19.688631513658642</v>
      </c>
      <c r="AC49" s="58">
        <f t="shared" si="3"/>
        <v>3.1183170130030886</v>
      </c>
      <c r="AD49" s="6"/>
      <c r="AE49" s="112"/>
      <c r="AF49" s="51" t="s">
        <v>43</v>
      </c>
      <c r="AG49" s="51">
        <f>AVERAGE(H13:H14)</f>
        <v>18.828766525565349</v>
      </c>
      <c r="AH49" s="58">
        <f>10^((AG49 -21.845)/-3.3063)</f>
        <v>8.1708745029789256</v>
      </c>
      <c r="AI49" s="58">
        <f t="shared" si="10"/>
        <v>18.917765633291062</v>
      </c>
      <c r="AJ49" s="58">
        <f>10^((AI49 -21.845)/-3.3063)</f>
        <v>7.6798104766493545</v>
      </c>
      <c r="AK49" s="6"/>
      <c r="AL49" s="112"/>
      <c r="AM49" s="51" t="s">
        <v>43</v>
      </c>
      <c r="AN49" s="51">
        <f>AVERAGE(V13:V14)</f>
        <v>19.365955582970848</v>
      </c>
      <c r="AO49" s="58">
        <f t="shared" si="6"/>
        <v>7.089656332998155</v>
      </c>
      <c r="AP49" s="51">
        <f t="shared" si="11"/>
        <v>19.529556460159569</v>
      </c>
      <c r="AQ49" s="58">
        <f t="shared" si="7"/>
        <v>6.3235413889254168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35" t="s">
        <v>34</v>
      </c>
      <c r="D50" s="136"/>
      <c r="E50" s="60">
        <f>AVERAGE(Q4:Q5)</f>
        <v>34.735063539364546</v>
      </c>
      <c r="F50" s="59">
        <f t="shared" si="12"/>
        <v>2.0341519684796157E-4</v>
      </c>
      <c r="G50" s="59">
        <f>SUM(E50*(LOG(E37)/LOG(2)))</f>
        <v>35.052975104536351</v>
      </c>
      <c r="H50" s="59">
        <f t="shared" si="13"/>
        <v>1.6285705559130576E-4</v>
      </c>
      <c r="I50" s="6"/>
      <c r="J50" s="135" t="s">
        <v>34</v>
      </c>
      <c r="K50" s="136"/>
      <c r="L50" s="60">
        <f>AVERAGE(Z4:Z5)</f>
        <v>33.715009404543153</v>
      </c>
      <c r="M50" s="59">
        <f t="shared" si="14"/>
        <v>1.95175703168613E-4</v>
      </c>
      <c r="N50" s="59">
        <f>SUM(L50*(LOG($J$37)/LOG(2)))</f>
        <v>30.594087893450489</v>
      </c>
      <c r="O50" s="59">
        <f t="shared" si="15"/>
        <v>1.3897932688163083E-3</v>
      </c>
      <c r="P50" s="6"/>
      <c r="Q50" s="135" t="s">
        <v>34</v>
      </c>
      <c r="R50" s="136"/>
      <c r="S50" s="60">
        <f>AVERAGE(W7:W8)</f>
        <v>25.803526683789599</v>
      </c>
      <c r="T50" s="59">
        <f t="shared" si="0"/>
        <v>1.1792237340325692E-2</v>
      </c>
      <c r="U50" s="59">
        <f t="shared" si="16"/>
        <v>68.744454437450017</v>
      </c>
      <c r="V50" s="59">
        <f t="shared" si="1"/>
        <v>4.2997915272700279E-37</v>
      </c>
      <c r="W50" s="6"/>
      <c r="X50" s="135" t="s">
        <v>34</v>
      </c>
      <c r="Y50" s="136"/>
      <c r="Z50" s="60" t="e">
        <f>AVERAGE(Q10:Q11)</f>
        <v>#DIV/0!</v>
      </c>
      <c r="AA50" s="59" t="e">
        <f t="shared" si="2"/>
        <v>#DIV/0!</v>
      </c>
      <c r="AB50" s="59" t="e">
        <f t="shared" si="9"/>
        <v>#DIV/0!</v>
      </c>
      <c r="AC50" s="59" t="e">
        <f t="shared" si="3"/>
        <v>#DIV/0!</v>
      </c>
      <c r="AD50" s="6"/>
      <c r="AE50" s="158" t="s">
        <v>34</v>
      </c>
      <c r="AF50" s="159"/>
      <c r="AG50" s="60">
        <f>AVERAGE(Z10:Z11)</f>
        <v>36.630085227876499</v>
      </c>
      <c r="AH50" s="59">
        <f>10^((AG50 -21.845)/-3.3063)</f>
        <v>3.3744904246629208E-5</v>
      </c>
      <c r="AI50" s="59">
        <f t="shared" si="10"/>
        <v>36.803226941475813</v>
      </c>
      <c r="AJ50" s="59">
        <f>10^((AI50 -21.845)/-3.3063)</f>
        <v>2.9911692531759077E-5</v>
      </c>
      <c r="AK50" s="6"/>
      <c r="AL50" s="158" t="s">
        <v>34</v>
      </c>
      <c r="AM50" s="159"/>
      <c r="AN50" s="60">
        <f>AVERAGE(W13:W14)</f>
        <v>36.630422273589346</v>
      </c>
      <c r="AO50" s="59">
        <f t="shared" si="6"/>
        <v>4.0700363669962295E-5</v>
      </c>
      <c r="AP50" s="60">
        <f t="shared" si="11"/>
        <v>36.939870944483857</v>
      </c>
      <c r="AQ50" s="59">
        <f t="shared" si="7"/>
        <v>3.2783703363327543E-5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9">
        <f>AVERAGE(E41:E49)</f>
        <v>18.914760664546513</v>
      </c>
      <c r="F51" s="89">
        <f>AVERAGE(F41:F49)</f>
        <v>13.702253268913882</v>
      </c>
      <c r="G51" s="89">
        <f>AVERAGE(G41:G49)</f>
        <v>19.087877410422085</v>
      </c>
      <c r="H51" s="89">
        <f>AVERAGE(H41:H49)</f>
        <v>12.150549831652187</v>
      </c>
      <c r="I51" s="6"/>
      <c r="J51" s="108" t="s">
        <v>84</v>
      </c>
      <c r="K51" s="109"/>
      <c r="L51" s="89">
        <f>AVERAGE(L41:L49)</f>
        <v>16.289622021007961</v>
      </c>
      <c r="M51" s="89">
        <f>AVERAGE(M41:M49)</f>
        <v>12.694104685201339</v>
      </c>
      <c r="N51" s="89">
        <f>AVERAGE(N41:N49)</f>
        <v>14.781728869832332</v>
      </c>
      <c r="O51" s="89">
        <f>AVERAGE(O41:O49)</f>
        <v>32.141259318357775</v>
      </c>
      <c r="P51" s="6"/>
      <c r="Q51" s="108" t="s">
        <v>84</v>
      </c>
      <c r="R51" s="109"/>
      <c r="S51" s="89">
        <f>AVERAGE(S41:S49)</f>
        <v>22.730844401021482</v>
      </c>
      <c r="T51" s="89">
        <f>AVERAGE(T41:T49)</f>
        <v>4.807172954808002</v>
      </c>
      <c r="U51" s="89">
        <f>AVERAGE(U41:U49)</f>
        <v>60.558369264789775</v>
      </c>
      <c r="V51" s="89">
        <f>AVERAGE(V41:V49)</f>
        <v>8.5264173961017114E-30</v>
      </c>
      <c r="W51" s="6"/>
      <c r="X51" s="108" t="s">
        <v>84</v>
      </c>
      <c r="Y51" s="109"/>
      <c r="Z51" s="89">
        <f>AVERAGE(Z41:Z49)</f>
        <v>19.011816688428414</v>
      </c>
      <c r="AA51" s="89">
        <f>AVERAGE(AA41:AA49)</f>
        <v>5.6183324095986134</v>
      </c>
      <c r="AB51" s="89">
        <f>AVERAGE(AB41:AB49)</f>
        <v>19.168352553156115</v>
      </c>
      <c r="AC51" s="89">
        <f>AVERAGE(AC41:AC49)</f>
        <v>5.0457073165693478</v>
      </c>
      <c r="AD51" s="6"/>
      <c r="AE51" s="108" t="s">
        <v>84</v>
      </c>
      <c r="AF51" s="109"/>
      <c r="AG51" s="89">
        <f>AVERAGE(AG41:AG49)</f>
        <v>18.991267709358041</v>
      </c>
      <c r="AH51" s="89">
        <f>AVERAGE(AH41:AH49)</f>
        <v>7.3899614872343493</v>
      </c>
      <c r="AI51" s="89">
        <f>AVERAGE(AI41:AI49)</f>
        <v>19.081034921587165</v>
      </c>
      <c r="AJ51" s="89">
        <f>AVERAGE(AJ41:AJ49)</f>
        <v>6.9429315768054192</v>
      </c>
      <c r="AK51" s="6"/>
      <c r="AL51" s="108" t="s">
        <v>84</v>
      </c>
      <c r="AM51" s="109"/>
      <c r="AN51" s="89">
        <f>AVERAGE(AN41:AN49)</f>
        <v>19.144109584872098</v>
      </c>
      <c r="AO51" s="89">
        <f>AVERAGE(AO41:AO49)</f>
        <v>8.709279623892435</v>
      </c>
      <c r="AP51" s="89">
        <f>AVERAGE(AP41:AP49)</f>
        <v>19.305836338177063</v>
      </c>
      <c r="AQ51" s="89">
        <f>AVERAGE(AQ41:AQ49)</f>
        <v>7.7850855893047282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9">
        <f>(E53/SQRT(9))</f>
        <v>0.16047094760768657</v>
      </c>
      <c r="F52" s="89">
        <f>(F53/SQRT(9))</f>
        <v>1.3789555599800398</v>
      </c>
      <c r="G52" s="89">
        <f>(G53/SQRT(9))</f>
        <v>0.16193965285593639</v>
      </c>
      <c r="H52" s="89">
        <f>(H53/SQRT(9))</f>
        <v>1.2331894521484585</v>
      </c>
      <c r="I52" s="6"/>
      <c r="J52" s="108" t="s">
        <v>85</v>
      </c>
      <c r="K52" s="109"/>
      <c r="L52" s="89">
        <f>(L53/SQRT(9))</f>
        <v>0.29633315315824804</v>
      </c>
      <c r="M52" s="89">
        <f>(M53/SQRT(9))</f>
        <v>1.7169410778068348</v>
      </c>
      <c r="N52" s="89">
        <f>(N53/SQRT(9))</f>
        <v>0.2689022691550873</v>
      </c>
      <c r="O52" s="89">
        <f>(O53/SQRT(9))</f>
        <v>4.0411335739488408</v>
      </c>
      <c r="P52" s="6"/>
      <c r="Q52" s="108" t="s">
        <v>85</v>
      </c>
      <c r="R52" s="109"/>
      <c r="S52" s="89">
        <f>(S53/SQRT(9))</f>
        <v>0.17188289051296887</v>
      </c>
      <c r="T52" s="89">
        <f>(T53/SQRT(9))</f>
        <v>1.1288848544533532</v>
      </c>
      <c r="U52" s="89">
        <f>(U53/SQRT(9))</f>
        <v>0.4579217283065844</v>
      </c>
      <c r="V52" s="89">
        <f>(V53/SQRT(9))</f>
        <v>4.1069029719643227E-30</v>
      </c>
      <c r="W52" s="6"/>
      <c r="X52" s="108" t="s">
        <v>85</v>
      </c>
      <c r="Y52" s="109"/>
      <c r="Z52" s="89">
        <f>(Z53/SQRT(9))</f>
        <v>0.22830800465270065</v>
      </c>
      <c r="AA52" s="89">
        <f>(AA53/SQRT(9))</f>
        <v>0.91522443403279674</v>
      </c>
      <c r="AB52" s="89">
        <f>(AB53/SQRT(9))</f>
        <v>0.23018780349140497</v>
      </c>
      <c r="AC52" s="89">
        <f>(AC53/SQRT(9))</f>
        <v>0.82861329207810142</v>
      </c>
      <c r="AD52" s="6"/>
      <c r="AE52" s="108" t="s">
        <v>85</v>
      </c>
      <c r="AF52" s="109"/>
      <c r="AG52" s="89">
        <f>(AG53/SQRT(9))</f>
        <v>7.8105419343084126E-2</v>
      </c>
      <c r="AH52" s="89">
        <f>(AH53/SQRT(9))</f>
        <v>0.37543143444800769</v>
      </c>
      <c r="AI52" s="89">
        <f>(AI53/SQRT(9))</f>
        <v>7.847460511107561E-2</v>
      </c>
      <c r="AJ52" s="89">
        <f>(AJ53/SQRT(9))</f>
        <v>0.35426991569936161</v>
      </c>
      <c r="AK52" s="6"/>
      <c r="AL52" s="108" t="s">
        <v>85</v>
      </c>
      <c r="AM52" s="109"/>
      <c r="AN52" s="89">
        <f>(AN53/SQRT(9))</f>
        <v>0.14959190198437619</v>
      </c>
      <c r="AO52" s="89">
        <f>(AO53/SQRT(9))</f>
        <v>0.95608680672705049</v>
      </c>
      <c r="AP52" s="89">
        <f>(AP53/SQRT(9))</f>
        <v>0.150855633395931</v>
      </c>
      <c r="AQ52" s="89">
        <f>(AQ53/SQRT(9))</f>
        <v>0.86211047393078699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9">
        <f>_xlfn.STDEV.P(E41:E49)</f>
        <v>0.48141284282305968</v>
      </c>
      <c r="F53" s="89">
        <f>_xlfn.STDEV.P(F41:F49)</f>
        <v>4.1368666799401197</v>
      </c>
      <c r="G53" s="89">
        <f>_xlfn.STDEV.P(G41:G49)</f>
        <v>0.48581895856780921</v>
      </c>
      <c r="H53" s="89">
        <f>_xlfn.STDEV.P(H41:H49)</f>
        <v>3.6995683564453756</v>
      </c>
      <c r="I53" s="6"/>
      <c r="J53" s="108" t="s">
        <v>86</v>
      </c>
      <c r="K53" s="109"/>
      <c r="L53" s="89">
        <f>_xlfn.STDEV.P(L41:L49)</f>
        <v>0.88899945947474412</v>
      </c>
      <c r="M53" s="89">
        <f>_xlfn.STDEV.P(M41:M49)</f>
        <v>5.1508232334205042</v>
      </c>
      <c r="N53" s="89">
        <f>_xlfn.STDEV.P(N41:N49)</f>
        <v>0.80670680746526191</v>
      </c>
      <c r="O53" s="89">
        <f>_xlfn.STDEV.P(O41:O49)</f>
        <v>12.123400721846522</v>
      </c>
      <c r="P53" s="6"/>
      <c r="Q53" s="108" t="s">
        <v>86</v>
      </c>
      <c r="R53" s="109"/>
      <c r="S53" s="89">
        <f>_xlfn.STDEV.P(S41:S49)</f>
        <v>0.51564867153890659</v>
      </c>
      <c r="T53" s="89">
        <f>_xlfn.STDEV.P(T41:T49)</f>
        <v>3.3866545633600595</v>
      </c>
      <c r="U53" s="89">
        <f>_xlfn.STDEV.P(U41:U49)</f>
        <v>1.3737651849197532</v>
      </c>
      <c r="V53" s="89">
        <f>_xlfn.STDEV.P(V41:V49)</f>
        <v>1.2320708915892969E-29</v>
      </c>
      <c r="W53" s="6"/>
      <c r="X53" s="108" t="s">
        <v>86</v>
      </c>
      <c r="Y53" s="109"/>
      <c r="Z53" s="89">
        <f>_xlfn.STDEV.P(Z41:Z49)</f>
        <v>0.68492401395810198</v>
      </c>
      <c r="AA53" s="89">
        <f>_xlfn.STDEV.P(AA41:AA49)</f>
        <v>2.7456733020983903</v>
      </c>
      <c r="AB53" s="89">
        <f>_xlfn.STDEV.P(AB41:AB49)</f>
        <v>0.69056341047421488</v>
      </c>
      <c r="AC53" s="89">
        <f>_xlfn.STDEV.P(AC41:AC49)</f>
        <v>2.4858398762343041</v>
      </c>
      <c r="AD53" s="6"/>
      <c r="AE53" s="108" t="s">
        <v>86</v>
      </c>
      <c r="AF53" s="109"/>
      <c r="AG53" s="89">
        <f>_xlfn.STDEV.P(AG41:AG49)</f>
        <v>0.23431625802925238</v>
      </c>
      <c r="AH53" s="89">
        <f>_xlfn.STDEV.P(AH41:AH49)</f>
        <v>1.1262943033440231</v>
      </c>
      <c r="AI53" s="89">
        <f>_xlfn.STDEV.P(AI41:AI49)</f>
        <v>0.23542381533322682</v>
      </c>
      <c r="AJ53" s="89">
        <f>_xlfn.STDEV.P(AJ41:AJ49)</f>
        <v>1.0628097470980848</v>
      </c>
      <c r="AK53" s="6"/>
      <c r="AL53" s="108" t="s">
        <v>86</v>
      </c>
      <c r="AM53" s="109"/>
      <c r="AN53" s="89">
        <f>_xlfn.STDEV.P(AN41:AN49)</f>
        <v>0.4487757059531286</v>
      </c>
      <c r="AO53" s="89">
        <f>_xlfn.STDEV.P(AO41:AO49)</f>
        <v>2.8682604201811515</v>
      </c>
      <c r="AP53" s="89">
        <f>_xlfn.STDEV.P(AP41:AP49)</f>
        <v>0.452566900187793</v>
      </c>
      <c r="AQ53" s="89">
        <f>_xlfn.STDEV.P(AQ41:AQ49)</f>
        <v>2.586331421792361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9">
        <f>SUM(E53/E51)</f>
        <v>2.545170152353084E-2</v>
      </c>
      <c r="F54" s="89">
        <f>SUM(F53/F51)</f>
        <v>0.30191141549874673</v>
      </c>
      <c r="G54" s="89">
        <f>SUM(G53/G51)</f>
        <v>2.5451701523530816E-2</v>
      </c>
      <c r="H54" s="89">
        <f>SUM(H53/H51)</f>
        <v>0.30447744404191479</v>
      </c>
      <c r="I54" s="6"/>
      <c r="J54" s="108" t="s">
        <v>87</v>
      </c>
      <c r="K54" s="109"/>
      <c r="L54" s="89">
        <f>SUM(L53/L51)</f>
        <v>5.4574591008204075E-2</v>
      </c>
      <c r="M54" s="89">
        <f>SUM(M53/M51)</f>
        <v>0.40576498785497517</v>
      </c>
      <c r="N54" s="89">
        <f>SUM(N53/N51)</f>
        <v>5.4574591008204061E-2</v>
      </c>
      <c r="O54" s="89">
        <f>SUM(O53/O51)</f>
        <v>0.37719121711332981</v>
      </c>
      <c r="P54" s="6"/>
      <c r="Q54" s="108" t="s">
        <v>87</v>
      </c>
      <c r="R54" s="109"/>
      <c r="S54" s="89">
        <f>SUM(S53/S51)</f>
        <v>2.2684976520966123E-2</v>
      </c>
      <c r="T54" s="89">
        <f>SUM(T53/T51)</f>
        <v>0.70450025310048825</v>
      </c>
      <c r="U54" s="89">
        <f>SUM(U53/U51)</f>
        <v>2.2684976520966134E-2</v>
      </c>
      <c r="V54" s="89">
        <f>SUM(V53/V51)</f>
        <v>1.4450041961968707</v>
      </c>
      <c r="W54" s="6"/>
      <c r="X54" s="108" t="s">
        <v>87</v>
      </c>
      <c r="Y54" s="109"/>
      <c r="Z54" s="89">
        <f>SUM(Z53/Z51)</f>
        <v>3.6026226487602446E-2</v>
      </c>
      <c r="AA54" s="89">
        <f>SUM(AA53/AA51)</f>
        <v>0.48869897719251315</v>
      </c>
      <c r="AB54" s="89">
        <f>SUM(AB53/AB51)</f>
        <v>3.6026226487602453E-2</v>
      </c>
      <c r="AC54" s="89">
        <f>SUM(AC53/AC51)</f>
        <v>0.49266430259860255</v>
      </c>
      <c r="AD54" s="6"/>
      <c r="AE54" s="108" t="s">
        <v>87</v>
      </c>
      <c r="AF54" s="109"/>
      <c r="AG54" s="89">
        <f>SUM(AG53/AG51)</f>
        <v>1.2338105155233628E-2</v>
      </c>
      <c r="AH54" s="89">
        <f>SUM(AH53/AH51)</f>
        <v>0.1524086837650804</v>
      </c>
      <c r="AI54" s="89">
        <f>SUM(AI53/AI51)</f>
        <v>1.2338105155233594E-2</v>
      </c>
      <c r="AJ54" s="89">
        <f>SUM(AJ53/AJ51)</f>
        <v>0.15307795206403355</v>
      </c>
      <c r="AK54" s="6"/>
      <c r="AL54" s="108" t="s">
        <v>87</v>
      </c>
      <c r="AM54" s="109"/>
      <c r="AN54" s="89">
        <f>SUM(AN53/AN51)</f>
        <v>2.3441973311088674E-2</v>
      </c>
      <c r="AO54" s="89">
        <f>SUM(AO53/AO51)</f>
        <v>0.32933383058600674</v>
      </c>
      <c r="AP54" s="89">
        <f>SUM(AP53/AP51)</f>
        <v>2.3441973311088694E-2</v>
      </c>
      <c r="AQ54" s="89">
        <f>SUM(AQ53/AQ51)</f>
        <v>0.3322161833834561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37" t="s">
        <v>48</v>
      </c>
      <c r="D56" s="138"/>
      <c r="E56" s="139"/>
      <c r="F56" s="6"/>
      <c r="G56" s="6"/>
      <c r="H56" s="140" t="s">
        <v>23</v>
      </c>
      <c r="I56" s="141"/>
      <c r="J56" s="142"/>
      <c r="K56" s="6"/>
      <c r="L56" s="6"/>
      <c r="M56" s="140" t="s">
        <v>27</v>
      </c>
      <c r="N56" s="141"/>
      <c r="O56" s="142"/>
      <c r="P56" s="6"/>
      <c r="Q56" s="6"/>
      <c r="R56" s="140" t="s">
        <v>24</v>
      </c>
      <c r="S56" s="141"/>
      <c r="T56" s="142"/>
      <c r="U56" s="6"/>
      <c r="V56" s="6"/>
      <c r="W56" s="140"/>
      <c r="X56" s="141"/>
      <c r="Y56" s="142"/>
      <c r="Z56" s="6"/>
      <c r="AA56" s="6"/>
      <c r="AB56" s="140" t="s">
        <v>25</v>
      </c>
      <c r="AC56" s="141"/>
      <c r="AD56" s="14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ht="15" customHeight="1" x14ac:dyDescent="0.25">
      <c r="A57" s="6"/>
      <c r="B57" s="6"/>
      <c r="C57" s="143" t="s">
        <v>47</v>
      </c>
      <c r="D57" s="144"/>
      <c r="E57" s="145"/>
      <c r="F57" s="6"/>
      <c r="G57" s="6"/>
      <c r="H57" s="129" t="s">
        <v>47</v>
      </c>
      <c r="I57" s="146"/>
      <c r="J57" s="147"/>
      <c r="K57" s="6"/>
      <c r="L57" s="6"/>
      <c r="M57" s="129" t="s">
        <v>47</v>
      </c>
      <c r="N57" s="146"/>
      <c r="O57" s="147"/>
      <c r="P57" s="6"/>
      <c r="Q57" s="6"/>
      <c r="R57" s="129" t="s">
        <v>47</v>
      </c>
      <c r="S57" s="146"/>
      <c r="T57" s="147"/>
      <c r="U57" s="6"/>
      <c r="V57" s="6"/>
      <c r="W57" s="129"/>
      <c r="X57" s="146"/>
      <c r="Y57" s="147"/>
      <c r="Z57" s="6"/>
      <c r="AA57" s="6"/>
      <c r="AB57" s="129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29.73953340424865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30.2934537400347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28.639905160863851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26.005755859242949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32.867859010132399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27.710615029654548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28.143620758962101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26.421140655529449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23.87298960012405</v>
      </c>
      <c r="U60" s="6"/>
      <c r="V60" s="6"/>
      <c r="W60" s="61"/>
      <c r="X60" s="62"/>
      <c r="Y60" s="63"/>
      <c r="Z60" s="6"/>
      <c r="AA60" s="6"/>
      <c r="AB60" s="61">
        <v>0.16</v>
      </c>
      <c r="AC60" s="62">
        <f>LOG(AB60)</f>
        <v>-0.79588001734407521</v>
      </c>
      <c r="AD60" s="63">
        <f>AVERAGE(J25:J26)</f>
        <v>30.504104768279397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25.503463676194002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26.087890620744098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24.313636173201001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21.63545290279535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28.53005110759285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23.079099211871899</v>
      </c>
      <c r="F62" s="6"/>
      <c r="G62" s="6"/>
      <c r="H62" s="61">
        <v>4</v>
      </c>
      <c r="I62" s="62">
        <f>LOG(H62)</f>
        <v>0.6020599913279624</v>
      </c>
      <c r="J62" s="170">
        <f>AVERAGE(U16:U17)</f>
        <v>37.695039538159506</v>
      </c>
      <c r="L62" s="6"/>
      <c r="M62" s="61">
        <v>4</v>
      </c>
      <c r="N62" s="62">
        <f>LOG(M62)</f>
        <v>0.6020599913279624</v>
      </c>
      <c r="O62" s="63">
        <f>AVERAGE(L19:L20)</f>
        <v>21.732039272218699</v>
      </c>
      <c r="P62" s="6"/>
      <c r="Q62" s="6"/>
      <c r="R62" s="61">
        <v>4</v>
      </c>
      <c r="S62" s="62">
        <f>LOG(R62)</f>
        <v>0.6020599913279624</v>
      </c>
      <c r="T62" s="63">
        <f>AVERAGE(F22:F23)</f>
        <v>18.904494345587199</v>
      </c>
      <c r="U62" s="6"/>
      <c r="V62" s="6"/>
      <c r="W62" s="61"/>
      <c r="X62" s="62"/>
      <c r="Y62" s="63"/>
      <c r="Z62" s="6"/>
      <c r="AA62" s="6"/>
      <c r="AB62" s="61">
        <v>4</v>
      </c>
      <c r="AC62" s="62">
        <f>LOG(AB62)</f>
        <v>0.6020599913279624</v>
      </c>
      <c r="AD62" s="63">
        <f>AVERAGE(L25:L26)</f>
        <v>26.455255943466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20.823838519621798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21.415931250388248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19.6763988376103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16.836283757931099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19.052952430362851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3">
        <f>(10^(-1/-3.2137)-1)*100</f>
        <v>104.72355423879401</v>
      </c>
      <c r="F64" s="6"/>
      <c r="G64" s="6"/>
      <c r="H64" s="106" t="s">
        <v>46</v>
      </c>
      <c r="I64" s="107"/>
      <c r="J64" s="33">
        <f>(10^(-1/-3.1742)-1)*100</f>
        <v>106.55704410615705</v>
      </c>
      <c r="K64" s="6"/>
      <c r="L64" s="6"/>
      <c r="M64" s="106" t="s">
        <v>46</v>
      </c>
      <c r="N64" s="107"/>
      <c r="O64" s="33">
        <f>(10^(-1/-3.2356)-1)*100</f>
        <v>103.73314468657426</v>
      </c>
      <c r="P64" s="6"/>
      <c r="Q64" s="6"/>
      <c r="R64" s="106" t="s">
        <v>46</v>
      </c>
      <c r="S64" s="107"/>
      <c r="T64" s="33">
        <f>(10^(-1/-3.3345)-1)*100</f>
        <v>99.478014458575316</v>
      </c>
      <c r="U64" s="6"/>
      <c r="V64" s="6"/>
      <c r="W64" s="106"/>
      <c r="X64" s="107"/>
      <c r="Y64" s="33"/>
      <c r="Z64" s="6"/>
      <c r="AA64" s="6"/>
      <c r="AB64" s="106" t="s">
        <v>46</v>
      </c>
      <c r="AC64" s="107"/>
      <c r="AD64" s="33">
        <f>(10^(-1/-4.5322)-1)*100</f>
        <v>66.204736500498811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50</v>
      </c>
      <c r="D65" s="107"/>
      <c r="E65" s="33">
        <f>SUM(E64/100)+1</f>
        <v>2.04723554238794</v>
      </c>
      <c r="F65" s="6"/>
      <c r="G65" s="6"/>
      <c r="H65" s="106" t="s">
        <v>50</v>
      </c>
      <c r="I65" s="107"/>
      <c r="J65" s="33">
        <f>SUM(J64/100)+1</f>
        <v>2.0655704410615705</v>
      </c>
      <c r="K65" s="6"/>
      <c r="L65" s="6"/>
      <c r="M65" s="106" t="s">
        <v>50</v>
      </c>
      <c r="N65" s="107"/>
      <c r="O65" s="33">
        <f>SUM(O64/100)+1</f>
        <v>2.0373314468657426</v>
      </c>
      <c r="P65" s="6"/>
      <c r="Q65" s="6"/>
      <c r="R65" s="106" t="s">
        <v>50</v>
      </c>
      <c r="S65" s="107"/>
      <c r="T65" s="33">
        <f>SUM(T64/100)+1</f>
        <v>1.9947801445857531</v>
      </c>
      <c r="U65" s="6"/>
      <c r="V65" s="6"/>
      <c r="W65" s="106"/>
      <c r="X65" s="107"/>
      <c r="Y65" s="33"/>
      <c r="Z65" s="6"/>
      <c r="AA65" s="6"/>
      <c r="AB65" s="106" t="s">
        <v>50</v>
      </c>
      <c r="AC65" s="107"/>
      <c r="AD65" s="33">
        <f>SUM(AD64/100)+1</f>
        <v>1.6620473650049881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32" t="s">
        <v>57</v>
      </c>
      <c r="D67" s="133"/>
      <c r="E67" s="133"/>
      <c r="F67" s="133"/>
      <c r="G67" s="133"/>
      <c r="H67" s="134"/>
      <c r="I67" s="6"/>
      <c r="J67" s="132" t="s">
        <v>58</v>
      </c>
      <c r="K67" s="133"/>
      <c r="L67" s="133"/>
      <c r="M67" s="133"/>
      <c r="N67" s="133"/>
      <c r="O67" s="134"/>
      <c r="P67" s="6"/>
      <c r="Q67" s="132" t="s">
        <v>59</v>
      </c>
      <c r="R67" s="133"/>
      <c r="S67" s="133"/>
      <c r="T67" s="133"/>
      <c r="U67" s="133"/>
      <c r="V67" s="134"/>
      <c r="W67" s="6"/>
      <c r="X67" s="132" t="s">
        <v>60</v>
      </c>
      <c r="Y67" s="133"/>
      <c r="Z67" s="133"/>
      <c r="AA67" s="133"/>
      <c r="AB67" s="133"/>
      <c r="AC67" s="134"/>
      <c r="AD67" s="6"/>
      <c r="AE67" s="132"/>
      <c r="AF67" s="133"/>
      <c r="AG67" s="133"/>
      <c r="AH67" s="133"/>
      <c r="AI67" s="133"/>
      <c r="AJ67" s="134"/>
      <c r="AK67" s="6"/>
      <c r="AL67" s="132" t="s">
        <v>61</v>
      </c>
      <c r="AM67" s="133"/>
      <c r="AN67" s="133"/>
      <c r="AO67" s="133"/>
      <c r="AP67" s="133"/>
      <c r="AQ67" s="134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0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0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0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0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0"/>
      <c r="AF68" s="85"/>
      <c r="AG68" s="85"/>
      <c r="AH68" s="85"/>
      <c r="AI68" s="86"/>
      <c r="AJ68" s="84"/>
      <c r="AK68" s="6"/>
      <c r="AL68" s="110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1"/>
      <c r="D69" s="45" t="s">
        <v>35</v>
      </c>
      <c r="E69" s="45">
        <f>AVERAGE(H16:H17)</f>
        <v>21.465251230115797</v>
      </c>
      <c r="F69" s="52">
        <f t="shared" ref="F69:F75" si="17">10^((E69- 25.06)/-3.2137)</f>
        <v>13.139235970422204</v>
      </c>
      <c r="G69" s="53">
        <f>SUM(E69*(LOG(E65)/LOG(2)))</f>
        <v>22.188138633082492</v>
      </c>
      <c r="H69" s="52">
        <f t="shared" ref="H69:H75" si="18">10^((G69- 25.06)/-3.2137)</f>
        <v>7.8276395737361764</v>
      </c>
      <c r="I69" s="6"/>
      <c r="J69" s="111"/>
      <c r="K69" s="45" t="s">
        <v>35</v>
      </c>
      <c r="L69" s="45">
        <f>AVERAGE(W16:W17)</f>
        <v>22.088148350209451</v>
      </c>
      <c r="M69" s="52">
        <f t="shared" ref="M69:M78" si="19">10^((L69 -25.623)/-3.1742)</f>
        <v>12.99031550998977</v>
      </c>
      <c r="N69" s="53">
        <f>SUM(L69*(LOG($J$65)/LOG(2)))</f>
        <v>23.116136528448351</v>
      </c>
      <c r="O69" s="52">
        <f t="shared" ref="O69:O78" si="20">10^((N69 -25.623)/-3.1742)</f>
        <v>6.1625760722660416</v>
      </c>
      <c r="P69" s="6"/>
      <c r="Q69" s="111"/>
      <c r="R69" s="45" t="s">
        <v>35</v>
      </c>
      <c r="S69" s="45">
        <f>AVERAGE(N19:N20)</f>
        <v>20.068286813359101</v>
      </c>
      <c r="T69" s="52">
        <f t="shared" ref="T69:T78" si="21">10^((S69 -23.843)/-3.2356)</f>
        <v>14.676389594452669</v>
      </c>
      <c r="U69" s="53">
        <f>SUM(S69*(LOG($O$65)/LOG(2)))</f>
        <v>20.603722889589314</v>
      </c>
      <c r="V69" s="52">
        <f t="shared" ref="V69:V78" si="22">10^((U69 -23.843)/-3.2356)</f>
        <v>10.026202086935241</v>
      </c>
      <c r="W69" s="6"/>
      <c r="X69" s="111"/>
      <c r="Y69" s="45" t="s">
        <v>35</v>
      </c>
      <c r="Z69" s="45">
        <f>AVERAGE(H22:H23)</f>
        <v>18.613611188567198</v>
      </c>
      <c r="AA69" s="52">
        <f t="shared" ref="AA69:AA78" si="23">10^((Z69-21.128)/-3.3345)</f>
        <v>5.6761351163117961</v>
      </c>
      <c r="AB69" s="53">
        <f>SUM(Z69*(LOG($T$65)/LOG(2)))</f>
        <v>18.543433184768674</v>
      </c>
      <c r="AC69" s="52">
        <f t="shared" ref="AC69:AC78" si="24">10^((AB69-21.128)/-3.3345)</f>
        <v>5.9579761447573434</v>
      </c>
      <c r="AD69" s="6"/>
      <c r="AE69" s="111"/>
      <c r="AF69" s="45"/>
      <c r="AG69" s="45"/>
      <c r="AH69" s="52"/>
      <c r="AI69" s="53"/>
      <c r="AJ69" s="52"/>
      <c r="AK69" s="6"/>
      <c r="AL69" s="111"/>
      <c r="AM69" s="45" t="s">
        <v>35</v>
      </c>
      <c r="AN69" s="45">
        <f>AVERAGE(N25:N26)</f>
        <v>23.869784903260701</v>
      </c>
      <c r="AO69" s="52">
        <f t="shared" ref="AO69:AO78" si="25">10^((AN69-27.043)/-4.5322)</f>
        <v>5.0135916182576468</v>
      </c>
      <c r="AP69" s="53">
        <f>SUM(AN69*(LOG($AD$65)/LOG(2)))</f>
        <v>17.495633266197427</v>
      </c>
      <c r="AQ69" s="52">
        <f t="shared" ref="AQ69:AQ78" si="26">10^((AP69-27.043)/-4.5322)</f>
        <v>127.80958372960845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1"/>
      <c r="D70" s="46" t="s">
        <v>36</v>
      </c>
      <c r="E70" s="46">
        <f>AVERAGE(I16:I17)</f>
        <v>21.882583268366851</v>
      </c>
      <c r="F70" s="53">
        <f t="shared" si="17"/>
        <v>9.7433839039415275</v>
      </c>
      <c r="G70" s="53">
        <f>SUM(E70*(LOG(E65)/LOG(2)))</f>
        <v>22.619525203939379</v>
      </c>
      <c r="H70" s="53">
        <f t="shared" si="18"/>
        <v>5.7464178767058343</v>
      </c>
      <c r="I70" s="6"/>
      <c r="J70" s="111"/>
      <c r="K70" s="46" t="s">
        <v>36</v>
      </c>
      <c r="L70" s="46">
        <f>AVERAGE(X16:X17)</f>
        <v>22.027058298341849</v>
      </c>
      <c r="M70" s="53">
        <f t="shared" si="19"/>
        <v>13.578928762621979</v>
      </c>
      <c r="N70" s="53">
        <f t="shared" ref="N70:N78" si="27">SUM(L70*(LOG($J$65)/LOG(2)))</f>
        <v>23.052203329652713</v>
      </c>
      <c r="O70" s="53">
        <f t="shared" si="20"/>
        <v>6.4551124014607897</v>
      </c>
      <c r="P70" s="6"/>
      <c r="Q70" s="111"/>
      <c r="R70" s="46" t="s">
        <v>36</v>
      </c>
      <c r="S70" s="46">
        <f>AVERAGE(O19:O20)</f>
        <v>20.10371601075585</v>
      </c>
      <c r="T70" s="53">
        <f t="shared" si="21"/>
        <v>14.31098163153643</v>
      </c>
      <c r="U70" s="53">
        <f t="shared" ref="U70:U78" si="28">SUM(S70*(LOG($O$65)/LOG(2)))</f>
        <v>20.640097363013584</v>
      </c>
      <c r="V70" s="53">
        <f t="shared" si="22"/>
        <v>9.7699985164121479</v>
      </c>
      <c r="W70" s="6"/>
      <c r="X70" s="111"/>
      <c r="Y70" s="46" t="s">
        <v>36</v>
      </c>
      <c r="Z70" s="46">
        <f>AVERAGE(I22:I23)</f>
        <v>18.015481072891603</v>
      </c>
      <c r="AA70" s="53">
        <f t="shared" si="23"/>
        <v>8.5788480972652579</v>
      </c>
      <c r="AB70" s="53">
        <f t="shared" ref="AB70:AB78" si="29">SUM(Z70*(LOG($T$65)/LOG(2)))</f>
        <v>17.947558170325433</v>
      </c>
      <c r="AC70" s="53">
        <f t="shared" si="24"/>
        <v>8.9908079173465829</v>
      </c>
      <c r="AD70" s="6"/>
      <c r="AE70" s="111"/>
      <c r="AF70" s="46"/>
      <c r="AG70" s="46"/>
      <c r="AH70" s="53"/>
      <c r="AI70" s="53"/>
      <c r="AJ70" s="53"/>
      <c r="AK70" s="6"/>
      <c r="AL70" s="111"/>
      <c r="AM70" s="46" t="s">
        <v>36</v>
      </c>
      <c r="AN70" s="46">
        <f>AVERAGE(O25:O26)</f>
        <v>24.654535128167701</v>
      </c>
      <c r="AO70" s="53">
        <f t="shared" si="25"/>
        <v>3.3651079521923895</v>
      </c>
      <c r="AP70" s="53">
        <f t="shared" ref="AP70:AP78" si="30">SUM(AN70*(LOG($AD$65)/LOG(2)))</f>
        <v>18.070824965501899</v>
      </c>
      <c r="AQ70" s="53">
        <f t="shared" si="26"/>
        <v>95.422583455994769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1"/>
      <c r="D71" s="47" t="s">
        <v>37</v>
      </c>
      <c r="E71" s="47">
        <f>AVERAGE(J16:J17)</f>
        <v>22.047224612214599</v>
      </c>
      <c r="F71" s="54">
        <f t="shared" si="17"/>
        <v>8.6592190871440415</v>
      </c>
      <c r="G71" s="54">
        <f>SUM(E71*(LOG(E65)/LOG(2)))</f>
        <v>22.789711190717188</v>
      </c>
      <c r="H71" s="54">
        <f t="shared" si="18"/>
        <v>5.0867547958161401</v>
      </c>
      <c r="I71" s="6"/>
      <c r="J71" s="111"/>
      <c r="K71" s="47" t="s">
        <v>37</v>
      </c>
      <c r="L71" s="47">
        <f>AVERAGE(Y16:Y17)</f>
        <v>22.569748225936799</v>
      </c>
      <c r="M71" s="54">
        <f t="shared" si="19"/>
        <v>9.1600210076259483</v>
      </c>
      <c r="N71" s="54">
        <f t="shared" si="27"/>
        <v>23.620150187850072</v>
      </c>
      <c r="O71" s="54">
        <f t="shared" si="20"/>
        <v>4.2754105543385776</v>
      </c>
      <c r="P71" s="6"/>
      <c r="Q71" s="111"/>
      <c r="R71" s="47" t="s">
        <v>37</v>
      </c>
      <c r="S71" s="47">
        <f>AVERAGE(P19:P20)</f>
        <v>20.486541384674751</v>
      </c>
      <c r="T71" s="54">
        <f t="shared" si="21"/>
        <v>10.898149663606311</v>
      </c>
      <c r="U71" s="54">
        <f t="shared" si="28"/>
        <v>21.03313678848551</v>
      </c>
      <c r="V71" s="54">
        <f t="shared" si="22"/>
        <v>7.3862001039220244</v>
      </c>
      <c r="W71" s="6"/>
      <c r="X71" s="111"/>
      <c r="Y71" s="47" t="s">
        <v>37</v>
      </c>
      <c r="Z71" s="47">
        <f>AVERAGE(J22:J23)</f>
        <v>18.833838018492699</v>
      </c>
      <c r="AA71" s="54">
        <f t="shared" si="23"/>
        <v>4.875372369841358</v>
      </c>
      <c r="AB71" s="54">
        <f t="shared" si="29"/>
        <v>18.76282970406017</v>
      </c>
      <c r="AC71" s="54">
        <f t="shared" si="24"/>
        <v>5.1203875482365193</v>
      </c>
      <c r="AD71" s="6"/>
      <c r="AE71" s="111"/>
      <c r="AF71" s="47"/>
      <c r="AG71" s="47"/>
      <c r="AH71" s="54"/>
      <c r="AI71" s="54"/>
      <c r="AJ71" s="54"/>
      <c r="AK71" s="6"/>
      <c r="AL71" s="111"/>
      <c r="AM71" s="47" t="s">
        <v>37</v>
      </c>
      <c r="AN71" s="47">
        <f>AVERAGE(P25:P26)</f>
        <v>24.8781263252062</v>
      </c>
      <c r="AO71" s="54">
        <f t="shared" si="25"/>
        <v>3.0037589637616811</v>
      </c>
      <c r="AP71" s="54">
        <f>SUM(AN71*(LOG($AD$65)/LOG(2)))</f>
        <v>18.234708703909668</v>
      </c>
      <c r="AQ71" s="54">
        <f t="shared" si="26"/>
        <v>87.799351022453564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1"/>
      <c r="D72" s="48" t="s">
        <v>38</v>
      </c>
      <c r="E72" s="48">
        <f>AVERAGE(K16:K17)</f>
        <v>22.44345498117265</v>
      </c>
      <c r="F72" s="55">
        <f t="shared" si="17"/>
        <v>6.5190541817865686</v>
      </c>
      <c r="G72" s="55">
        <f>SUM(E72*(LOG(E65)/LOG(2)))</f>
        <v>23.199285449263204</v>
      </c>
      <c r="H72" s="55">
        <f t="shared" si="18"/>
        <v>3.7931016118888903</v>
      </c>
      <c r="I72" s="6"/>
      <c r="J72" s="111"/>
      <c r="K72" s="48" t="s">
        <v>38</v>
      </c>
      <c r="L72" s="48">
        <f>AVERAGE(C19:C20)</f>
        <v>22.570445184692247</v>
      </c>
      <c r="M72" s="55">
        <f t="shared" si="19"/>
        <v>9.1553910696941365</v>
      </c>
      <c r="N72" s="55">
        <f t="shared" si="27"/>
        <v>23.620879583247557</v>
      </c>
      <c r="O72" s="55">
        <f t="shared" si="20"/>
        <v>4.2731489982886837</v>
      </c>
      <c r="P72" s="6"/>
      <c r="Q72" s="111"/>
      <c r="R72" s="48" t="s">
        <v>38</v>
      </c>
      <c r="S72" s="48">
        <f>AVERAGE(Q19:Q20)</f>
        <v>21.222774274906801</v>
      </c>
      <c r="T72" s="55">
        <f t="shared" si="21"/>
        <v>6.4537388451405189</v>
      </c>
      <c r="U72" s="55">
        <f t="shared" si="28"/>
        <v>21.789012892590456</v>
      </c>
      <c r="V72" s="55">
        <f t="shared" si="22"/>
        <v>4.3132906505462048</v>
      </c>
      <c r="W72" s="6"/>
      <c r="X72" s="111"/>
      <c r="Y72" s="48" t="s">
        <v>38</v>
      </c>
      <c r="Z72" s="48">
        <f>AVERAGE(K22:K23)</f>
        <v>17.024478747967748</v>
      </c>
      <c r="AA72" s="55">
        <f t="shared" si="23"/>
        <v>17.006919523094261</v>
      </c>
      <c r="AB72" s="55">
        <f t="shared" si="29"/>
        <v>16.960292173845225</v>
      </c>
      <c r="AC72" s="55">
        <f t="shared" si="24"/>
        <v>17.777672101420208</v>
      </c>
      <c r="AD72" s="6"/>
      <c r="AE72" s="111"/>
      <c r="AF72" s="48"/>
      <c r="AG72" s="48"/>
      <c r="AH72" s="55"/>
      <c r="AI72" s="55"/>
      <c r="AJ72" s="55"/>
      <c r="AK72" s="6"/>
      <c r="AL72" s="111"/>
      <c r="AM72" s="48" t="s">
        <v>38</v>
      </c>
      <c r="AN72" s="48">
        <f>AVERAGE(Q25:Q26)</f>
        <v>24.987575184917549</v>
      </c>
      <c r="AO72" s="55">
        <f t="shared" si="25"/>
        <v>2.8412922825750151</v>
      </c>
      <c r="AP72" s="55">
        <f t="shared" si="30"/>
        <v>18.314930503924785</v>
      </c>
      <c r="AQ72" s="55">
        <f t="shared" si="26"/>
        <v>84.292880570076079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1"/>
      <c r="D73" s="48" t="s">
        <v>39</v>
      </c>
      <c r="E73" s="48">
        <f>AVERAGE(L16:L17)</f>
        <v>23.271449604746252</v>
      </c>
      <c r="F73" s="55">
        <f t="shared" si="17"/>
        <v>3.6019635575064735</v>
      </c>
      <c r="G73" s="55">
        <f>SUM(E73*(LOG(E65)/LOG(2)))</f>
        <v>24.055164530218129</v>
      </c>
      <c r="H73" s="55">
        <f t="shared" si="18"/>
        <v>2.0543406290721031</v>
      </c>
      <c r="I73" s="6"/>
      <c r="J73" s="111"/>
      <c r="K73" s="48" t="s">
        <v>39</v>
      </c>
      <c r="L73" s="48">
        <f>AVERAGE(D19:D20)</f>
        <v>23.641226944958049</v>
      </c>
      <c r="M73" s="55">
        <f t="shared" si="19"/>
        <v>4.2105400557017907</v>
      </c>
      <c r="N73" s="55">
        <f t="shared" si="27"/>
        <v>24.741495805577568</v>
      </c>
      <c r="O73" s="55">
        <f t="shared" si="20"/>
        <v>1.8954358488998799</v>
      </c>
      <c r="P73" s="6"/>
      <c r="Q73" s="111"/>
      <c r="R73" s="48" t="s">
        <v>39</v>
      </c>
      <c r="S73" s="48">
        <f>AVERAGE(R19:R20)</f>
        <v>21.989372035008948</v>
      </c>
      <c r="T73" s="55">
        <f t="shared" si="21"/>
        <v>3.7401187301402099</v>
      </c>
      <c r="U73" s="55">
        <f t="shared" si="28"/>
        <v>22.576064022755201</v>
      </c>
      <c r="V73" s="55">
        <f t="shared" si="22"/>
        <v>2.463549951866268</v>
      </c>
      <c r="W73" s="6"/>
      <c r="X73" s="111"/>
      <c r="Y73" s="48" t="s">
        <v>39</v>
      </c>
      <c r="Z73" s="48">
        <f>AVERAGE(L22:L23)</f>
        <v>17.973318641605402</v>
      </c>
      <c r="AA73" s="55">
        <f t="shared" si="23"/>
        <v>8.8322892189833944</v>
      </c>
      <c r="AB73" s="55">
        <f t="shared" si="29"/>
        <v>17.905554702027821</v>
      </c>
      <c r="AC73" s="55">
        <f t="shared" si="24"/>
        <v>9.2554033710206944</v>
      </c>
      <c r="AD73" s="6"/>
      <c r="AE73" s="111"/>
      <c r="AF73" s="48"/>
      <c r="AG73" s="48"/>
      <c r="AH73" s="55"/>
      <c r="AI73" s="55"/>
      <c r="AJ73" s="55"/>
      <c r="AK73" s="6"/>
      <c r="AL73" s="111"/>
      <c r="AM73" s="48" t="s">
        <v>39</v>
      </c>
      <c r="AN73" s="48">
        <f>AVERAGE(R25:R26)</f>
        <v>26.563548474054201</v>
      </c>
      <c r="AO73" s="55">
        <f t="shared" si="25"/>
        <v>1.2758153203335021</v>
      </c>
      <c r="AP73" s="55">
        <f t="shared" si="30"/>
        <v>19.470058244530914</v>
      </c>
      <c r="AQ73" s="55">
        <f t="shared" si="26"/>
        <v>46.872658651641679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1"/>
      <c r="D74" s="48" t="s">
        <v>40</v>
      </c>
      <c r="E74" s="48">
        <f>AVERAGE(M16:M17)</f>
        <v>21.910791583379698</v>
      </c>
      <c r="F74" s="55">
        <f t="shared" si="17"/>
        <v>9.5484371772375614</v>
      </c>
      <c r="G74" s="55">
        <f>SUM(E74*(LOG(E65)/LOG(2)))</f>
        <v>22.648683493185608</v>
      </c>
      <c r="H74" s="55">
        <f t="shared" si="18"/>
        <v>5.6276111754368996</v>
      </c>
      <c r="I74" s="6"/>
      <c r="J74" s="111"/>
      <c r="K74" s="48" t="s">
        <v>40</v>
      </c>
      <c r="L74" s="48">
        <f>AVERAGE(E19:E20)</f>
        <v>22.188579923243701</v>
      </c>
      <c r="M74" s="55">
        <f t="shared" si="19"/>
        <v>12.07757479230612</v>
      </c>
      <c r="N74" s="55">
        <f t="shared" si="27"/>
        <v>23.2212422130543</v>
      </c>
      <c r="O74" s="55">
        <f t="shared" si="20"/>
        <v>5.7101799847220134</v>
      </c>
      <c r="P74" s="6"/>
      <c r="Q74" s="111"/>
      <c r="R74" s="48" t="s">
        <v>40</v>
      </c>
      <c r="S74" s="48">
        <f>AVERAGE(S19:S20)</f>
        <v>20.5339194707317</v>
      </c>
      <c r="T74" s="55">
        <f t="shared" si="21"/>
        <v>10.53683104842483</v>
      </c>
      <c r="U74" s="55">
        <f t="shared" si="28"/>
        <v>21.081778955364779</v>
      </c>
      <c r="V74" s="55">
        <f t="shared" si="22"/>
        <v>7.1348958661301598</v>
      </c>
      <c r="W74" s="6"/>
      <c r="X74" s="111"/>
      <c r="Y74" s="48" t="s">
        <v>40</v>
      </c>
      <c r="Z74" s="48">
        <f>AVERAGE(M22:M23)</f>
        <v>17.078252252829799</v>
      </c>
      <c r="AA74" s="55">
        <f t="shared" si="23"/>
        <v>16.386992291368685</v>
      </c>
      <c r="AB74" s="55">
        <f t="shared" si="29"/>
        <v>17.013862939045946</v>
      </c>
      <c r="AC74" s="55">
        <f t="shared" si="24"/>
        <v>17.132048099347422</v>
      </c>
      <c r="AD74" s="6"/>
      <c r="AE74" s="111"/>
      <c r="AF74" s="48"/>
      <c r="AG74" s="48"/>
      <c r="AH74" s="55"/>
      <c r="AI74" s="55"/>
      <c r="AJ74" s="55"/>
      <c r="AK74" s="6"/>
      <c r="AL74" s="111"/>
      <c r="AM74" s="48" t="s">
        <v>40</v>
      </c>
      <c r="AN74" s="48">
        <f>AVERAGE(S25:S26)</f>
        <v>24.5090072415816</v>
      </c>
      <c r="AO74" s="55">
        <f t="shared" si="25"/>
        <v>3.6233373267531364</v>
      </c>
      <c r="AP74" s="55">
        <f t="shared" si="30"/>
        <v>17.964158627952816</v>
      </c>
      <c r="AQ74" s="55">
        <f t="shared" si="26"/>
        <v>100.7363923186619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1"/>
      <c r="D75" s="49" t="s">
        <v>41</v>
      </c>
      <c r="E75" s="49">
        <f>AVERAGE(N16:N17)</f>
        <v>21.4512628998101</v>
      </c>
      <c r="F75" s="56">
        <f t="shared" si="17"/>
        <v>13.271586146594659</v>
      </c>
      <c r="G75" s="56">
        <f>SUM(E75*(LOG(E65)/LOG(2)))</f>
        <v>22.173679216384272</v>
      </c>
      <c r="H75" s="56">
        <f t="shared" si="18"/>
        <v>7.9091557020907866</v>
      </c>
      <c r="I75" s="6"/>
      <c r="J75" s="111"/>
      <c r="K75" s="49" t="s">
        <v>41</v>
      </c>
      <c r="L75" s="49">
        <f>AVERAGE(F19:F20)</f>
        <v>22.850523513924951</v>
      </c>
      <c r="M75" s="56">
        <f t="shared" si="19"/>
        <v>7.4720715194767777</v>
      </c>
      <c r="N75" s="56">
        <f t="shared" si="27"/>
        <v>23.913992830883885</v>
      </c>
      <c r="O75" s="56">
        <f t="shared" si="20"/>
        <v>3.4546625795086219</v>
      </c>
      <c r="P75" s="6"/>
      <c r="Q75" s="111"/>
      <c r="R75" s="49" t="s">
        <v>41</v>
      </c>
      <c r="S75" s="49">
        <f>AVERAGE(T19:T20)</f>
        <v>19.976071896146898</v>
      </c>
      <c r="T75" s="56">
        <f t="shared" si="21"/>
        <v>15.67181621169294</v>
      </c>
      <c r="U75" s="56">
        <f t="shared" si="28"/>
        <v>20.509047613209376</v>
      </c>
      <c r="V75" s="56">
        <f t="shared" si="22"/>
        <v>10.724991452830643</v>
      </c>
      <c r="W75" s="6"/>
      <c r="X75" s="111"/>
      <c r="Y75" s="49" t="s">
        <v>41</v>
      </c>
      <c r="Z75" s="49">
        <f>AVERAGE(N22:N23)</f>
        <v>17.622812686079449</v>
      </c>
      <c r="AA75" s="56">
        <f t="shared" si="23"/>
        <v>11.250926260128177</v>
      </c>
      <c r="AB75" s="56">
        <f t="shared" si="29"/>
        <v>17.556370242262634</v>
      </c>
      <c r="AC75" s="56">
        <f t="shared" si="24"/>
        <v>11.779152308825338</v>
      </c>
      <c r="AD75" s="6"/>
      <c r="AE75" s="111"/>
      <c r="AF75" s="49"/>
      <c r="AG75" s="49"/>
      <c r="AH75" s="56"/>
      <c r="AI75" s="56"/>
      <c r="AJ75" s="56"/>
      <c r="AK75" s="6"/>
      <c r="AL75" s="111"/>
      <c r="AM75" s="49" t="s">
        <v>41</v>
      </c>
      <c r="AN75" s="49">
        <f>AVERAGE(T25:T26)</f>
        <v>24.750999121846299</v>
      </c>
      <c r="AO75" s="56">
        <f t="shared" si="25"/>
        <v>3.2041648932427527</v>
      </c>
      <c r="AP75" s="56">
        <f t="shared" si="30"/>
        <v>18.141529358676511</v>
      </c>
      <c r="AQ75" s="56">
        <f t="shared" si="26"/>
        <v>92.05570597805432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1"/>
      <c r="D76" s="50" t="s">
        <v>42</v>
      </c>
      <c r="E76" s="50">
        <f>AVERAGE(O16:O17)</f>
        <v>21.131423489670951</v>
      </c>
      <c r="F76" s="57">
        <f>10^((E76-25.06)/-3.2137)</f>
        <v>16.68962429049132</v>
      </c>
      <c r="G76" s="57">
        <f>SUM(E76*(LOG(E65)/LOG(2)))</f>
        <v>21.843068542583534</v>
      </c>
      <c r="H76" s="57">
        <f>10^((G76-25.06)/-3.2137)</f>
        <v>10.023179905064522</v>
      </c>
      <c r="I76" s="6"/>
      <c r="J76" s="111"/>
      <c r="K76" s="50" t="s">
        <v>42</v>
      </c>
      <c r="L76" s="50">
        <f>AVERAGE(G19:G20)</f>
        <v>22.771553572894398</v>
      </c>
      <c r="M76" s="57">
        <f t="shared" si="19"/>
        <v>7.912609099465473</v>
      </c>
      <c r="N76" s="57">
        <f t="shared" si="27"/>
        <v>23.831347608225894</v>
      </c>
      <c r="O76" s="57">
        <f t="shared" si="20"/>
        <v>3.6681086204553504</v>
      </c>
      <c r="P76" s="6"/>
      <c r="Q76" s="111"/>
      <c r="R76" s="50" t="s">
        <v>42</v>
      </c>
      <c r="S76" s="50">
        <f>AVERAGE(U19:U20)</f>
        <v>19.75561599624535</v>
      </c>
      <c r="T76" s="57">
        <f t="shared" si="21"/>
        <v>18.333855437702386</v>
      </c>
      <c r="U76" s="57">
        <f t="shared" si="28"/>
        <v>20.282709794082589</v>
      </c>
      <c r="V76" s="57">
        <f t="shared" si="22"/>
        <v>12.599383736740094</v>
      </c>
      <c r="W76" s="6"/>
      <c r="X76" s="111"/>
      <c r="Y76" s="50" t="s">
        <v>42</v>
      </c>
      <c r="Z76" s="50">
        <f>AVERAGE(O22:O23)</f>
        <v>17.709853330405949</v>
      </c>
      <c r="AA76" s="57">
        <f t="shared" si="23"/>
        <v>10.594616015762966</v>
      </c>
      <c r="AB76" s="57">
        <f t="shared" si="29"/>
        <v>17.643082721430517</v>
      </c>
      <c r="AC76" s="57">
        <f t="shared" si="24"/>
        <v>11.094542426571479</v>
      </c>
      <c r="AD76" s="6"/>
      <c r="AE76" s="111"/>
      <c r="AF76" s="50"/>
      <c r="AG76" s="50"/>
      <c r="AH76" s="57"/>
      <c r="AI76" s="57"/>
      <c r="AJ76" s="57"/>
      <c r="AK76" s="6"/>
      <c r="AL76" s="111"/>
      <c r="AM76" s="50" t="s">
        <v>42</v>
      </c>
      <c r="AN76" s="50">
        <f>AVERAGE(U25:U26)</f>
        <v>24.24731700219645</v>
      </c>
      <c r="AO76" s="57">
        <f t="shared" si="25"/>
        <v>4.1385574773967182</v>
      </c>
      <c r="AP76" s="57">
        <f t="shared" si="30"/>
        <v>17.77234975844765</v>
      </c>
      <c r="AQ76" s="57">
        <f t="shared" si="26"/>
        <v>111.04723611665356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2"/>
      <c r="D77" s="51" t="s">
        <v>43</v>
      </c>
      <c r="E77" s="51">
        <f>AVERAGE(P16:P17)</f>
        <v>20.908844406588351</v>
      </c>
      <c r="F77" s="58">
        <f>10^((E77-25.06)/-3.2137)</f>
        <v>19.575190924754814</v>
      </c>
      <c r="G77" s="58">
        <f>SUM(E77*(LOG(E65)/LOG(2)))</f>
        <v>21.612993641557811</v>
      </c>
      <c r="H77" s="58">
        <f>10^((G77-25.06)/-3.2137)</f>
        <v>11.81945439478392</v>
      </c>
      <c r="I77" s="6"/>
      <c r="J77" s="112"/>
      <c r="K77" s="51" t="s">
        <v>43</v>
      </c>
      <c r="L77" s="51">
        <f>AVERAGE(H19:H20)</f>
        <v>22.571902145032247</v>
      </c>
      <c r="M77" s="58">
        <f t="shared" si="19"/>
        <v>9.1457199546180306</v>
      </c>
      <c r="N77" s="58">
        <f t="shared" si="27"/>
        <v>23.622404350901324</v>
      </c>
      <c r="O77" s="58">
        <f t="shared" si="20"/>
        <v>4.2684251825508532</v>
      </c>
      <c r="P77" s="6"/>
      <c r="Q77" s="112"/>
      <c r="R77" s="51" t="s">
        <v>43</v>
      </c>
      <c r="S77" s="51">
        <f>AVERAGE(V19:V20)</f>
        <v>19.414723305827501</v>
      </c>
      <c r="T77" s="58">
        <f t="shared" si="21"/>
        <v>23.367415085568094</v>
      </c>
      <c r="U77" s="58">
        <f t="shared" si="28"/>
        <v>19.932721845745096</v>
      </c>
      <c r="V77" s="58">
        <f t="shared" si="22"/>
        <v>16.162821240343742</v>
      </c>
      <c r="W77" s="6"/>
      <c r="X77" s="112"/>
      <c r="Y77" s="51" t="s">
        <v>43</v>
      </c>
      <c r="Z77" s="51">
        <f>AVERAGE(P22:P23)</f>
        <v>17.498652935378452</v>
      </c>
      <c r="AA77" s="58">
        <f t="shared" si="23"/>
        <v>12.258100319724072</v>
      </c>
      <c r="AB77" s="58">
        <f t="shared" si="29"/>
        <v>17.432678605103284</v>
      </c>
      <c r="AC77" s="58">
        <f t="shared" si="24"/>
        <v>12.829464976021788</v>
      </c>
      <c r="AD77" s="6"/>
      <c r="AE77" s="112"/>
      <c r="AF77" s="51"/>
      <c r="AG77" s="51"/>
      <c r="AH77" s="58"/>
      <c r="AI77" s="58"/>
      <c r="AJ77" s="58"/>
      <c r="AK77" s="6"/>
      <c r="AL77" s="112"/>
      <c r="AM77" s="51" t="s">
        <v>43</v>
      </c>
      <c r="AN77" s="51">
        <f>AVERAGE(V25:V26)</f>
        <v>24.020331883864252</v>
      </c>
      <c r="AO77" s="58">
        <f t="shared" si="25"/>
        <v>4.6444229086933717</v>
      </c>
      <c r="AP77" s="58">
        <f t="shared" si="30"/>
        <v>17.605978406409111</v>
      </c>
      <c r="AQ77" s="58">
        <f t="shared" si="26"/>
        <v>120.84160750776934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58" t="s">
        <v>34</v>
      </c>
      <c r="D78" s="159"/>
      <c r="E78" s="60">
        <f>AVERAGE(Q16:Q17)</f>
        <v>31.136804079370549</v>
      </c>
      <c r="F78" s="59">
        <f>10^((E78-25.06)/-3.2137)</f>
        <v>1.2855653721375442E-2</v>
      </c>
      <c r="G78" s="59">
        <f>SUM(E78*(LOG(E65)/LOG(2)))</f>
        <v>32.185401330635869</v>
      </c>
      <c r="H78" s="59">
        <f>10^((G78-25.06)/-3.2137)</f>
        <v>6.0646319925528802E-3</v>
      </c>
      <c r="I78" s="6"/>
      <c r="J78" s="158" t="s">
        <v>34</v>
      </c>
      <c r="K78" s="159"/>
      <c r="L78" s="60">
        <f>AVERAGE(Z16:Z17)</f>
        <v>34.354181930495798</v>
      </c>
      <c r="M78" s="59">
        <f t="shared" si="19"/>
        <v>1.7755313977856838E-3</v>
      </c>
      <c r="N78" s="59">
        <f t="shared" si="27"/>
        <v>35.953034506894909</v>
      </c>
      <c r="O78" s="59">
        <f t="shared" si="20"/>
        <v>5.5670590102487906E-4</v>
      </c>
      <c r="P78" s="6"/>
      <c r="Q78" s="158" t="s">
        <v>34</v>
      </c>
      <c r="R78" s="159"/>
      <c r="S78" s="60">
        <f>AVERAGE(W19:W20)</f>
        <v>32.661472807537301</v>
      </c>
      <c r="T78" s="59">
        <f t="shared" si="21"/>
        <v>1.8816892431502976E-3</v>
      </c>
      <c r="U78" s="59">
        <f t="shared" si="28"/>
        <v>33.532903986820926</v>
      </c>
      <c r="V78" s="59">
        <f t="shared" si="22"/>
        <v>1.0120964705626161E-3</v>
      </c>
      <c r="W78" s="6"/>
      <c r="X78" s="158" t="s">
        <v>34</v>
      </c>
      <c r="Y78" s="159"/>
      <c r="Z78" s="60">
        <f>AVERAGE(Q22:Q23)</f>
        <v>35.059386269666902</v>
      </c>
      <c r="AA78" s="59">
        <f t="shared" si="23"/>
        <v>6.6381399283545694E-5</v>
      </c>
      <c r="AB78" s="59">
        <f t="shared" si="29"/>
        <v>34.927203550371793</v>
      </c>
      <c r="AC78" s="59">
        <f t="shared" si="24"/>
        <v>7.2725605253489044E-5</v>
      </c>
      <c r="AD78" s="6"/>
      <c r="AE78" s="158"/>
      <c r="AF78" s="159"/>
      <c r="AG78" s="60"/>
      <c r="AH78" s="59"/>
      <c r="AI78" s="59"/>
      <c r="AJ78" s="59"/>
      <c r="AK78" s="6"/>
      <c r="AL78" s="158" t="s">
        <v>34</v>
      </c>
      <c r="AM78" s="159"/>
      <c r="AN78" s="60">
        <f>AVERAGE(W25:W26)</f>
        <v>34.239611475355048</v>
      </c>
      <c r="AO78" s="59">
        <f t="shared" si="25"/>
        <v>2.5829452661058776E-2</v>
      </c>
      <c r="AP78" s="59">
        <f t="shared" si="30"/>
        <v>25.096316869954922</v>
      </c>
      <c r="AQ78" s="59">
        <f t="shared" si="26"/>
        <v>2.6885788446928207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9">
        <f>AVERAGE(E69:E77)</f>
        <v>21.834698452896141</v>
      </c>
      <c r="F79" s="89">
        <f>AVERAGE(F69:F77)</f>
        <v>11.194188359986574</v>
      </c>
      <c r="G79" s="89">
        <f>AVERAGE(G69:G77)</f>
        <v>22.570027766770178</v>
      </c>
      <c r="H79" s="89">
        <f>AVERAGE(H69:H77)</f>
        <v>6.6541839627328079</v>
      </c>
      <c r="I79" s="6"/>
      <c r="J79" s="108" t="s">
        <v>84</v>
      </c>
      <c r="K79" s="109"/>
      <c r="L79" s="89">
        <f>AVERAGE(L69:L77)</f>
        <v>22.586576239914855</v>
      </c>
      <c r="M79" s="89">
        <f>AVERAGE(M69:M77)</f>
        <v>9.5225746412777781</v>
      </c>
      <c r="N79" s="89">
        <f>AVERAGE(N69:N77)</f>
        <v>23.637761381982404</v>
      </c>
      <c r="O79" s="89">
        <f>AVERAGE(O69:O77)</f>
        <v>4.4625622491656465</v>
      </c>
      <c r="P79" s="6"/>
      <c r="Q79" s="108" t="s">
        <v>84</v>
      </c>
      <c r="R79" s="109"/>
      <c r="S79" s="89">
        <f>AVERAGE(S69:S77)</f>
        <v>20.394557909739657</v>
      </c>
      <c r="T79" s="89">
        <f>AVERAGE(T69:T77)</f>
        <v>13.10992180536271</v>
      </c>
      <c r="U79" s="89">
        <f>AVERAGE(U69:U77)</f>
        <v>20.938699129426212</v>
      </c>
      <c r="V79" s="89">
        <f>AVERAGE(V69:V77)</f>
        <v>8.9534815117473912</v>
      </c>
      <c r="W79" s="6"/>
      <c r="X79" s="108" t="s">
        <v>84</v>
      </c>
      <c r="Y79" s="109"/>
      <c r="Z79" s="89">
        <f>AVERAGE(Z69:Z77)</f>
        <v>17.818922097135367</v>
      </c>
      <c r="AA79" s="89">
        <f>AVERAGE(AA69:AA77)</f>
        <v>10.606688801386664</v>
      </c>
      <c r="AB79" s="89">
        <f>AVERAGE(AB69:AB77)</f>
        <v>17.751740271429966</v>
      </c>
      <c r="AC79" s="89">
        <f>AVERAGE(AC69:AC77)</f>
        <v>11.104161654838595</v>
      </c>
      <c r="AD79" s="6"/>
      <c r="AE79" s="108"/>
      <c r="AF79" s="109"/>
      <c r="AG79" s="89"/>
      <c r="AH79" s="89"/>
      <c r="AI79" s="89"/>
      <c r="AJ79" s="89"/>
      <c r="AK79" s="6"/>
      <c r="AL79" s="108" t="s">
        <v>84</v>
      </c>
      <c r="AM79" s="109"/>
      <c r="AN79" s="89">
        <f>AVERAGE(AN69:AN77)</f>
        <v>24.720136140566105</v>
      </c>
      <c r="AO79" s="89">
        <f>AVERAGE(AO69:AO77)</f>
        <v>3.4566720825784683</v>
      </c>
      <c r="AP79" s="89">
        <f>AVERAGE(AP69:AP77)</f>
        <v>18.118907981727865</v>
      </c>
      <c r="AQ79" s="89">
        <f>AVERAGE(AQ69:AQ77)</f>
        <v>96.319777705657089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9">
        <f>(E81/SQRT(9))</f>
        <v>0.22562408193501263</v>
      </c>
      <c r="F80" s="89">
        <f>(F81/SQRT(9))</f>
        <v>1.5685094308292491</v>
      </c>
      <c r="G80" s="89">
        <f>(G81/SQRT(9))</f>
        <v>0.23322244660767552</v>
      </c>
      <c r="H80" s="89">
        <f>(H81/SQRT(9))</f>
        <v>0.96007446016302478</v>
      </c>
      <c r="I80" s="6"/>
      <c r="J80" s="108" t="s">
        <v>85</v>
      </c>
      <c r="K80" s="109"/>
      <c r="L80" s="89">
        <f>(L81/SQRT(9))</f>
        <v>0.15463311278522263</v>
      </c>
      <c r="M80" s="89">
        <f>(M81/SQRT(9))</f>
        <v>0.93247191177439215</v>
      </c>
      <c r="N80" s="89">
        <f>(N81/SQRT(9))</f>
        <v>0.16182977813657554</v>
      </c>
      <c r="O80" s="89">
        <f>(O81/SQRT(9))</f>
        <v>0.45491284915652058</v>
      </c>
      <c r="P80" s="6"/>
      <c r="Q80" s="108" t="s">
        <v>85</v>
      </c>
      <c r="R80" s="109"/>
      <c r="S80" s="89">
        <f>(S81/SQRT(9))</f>
        <v>0.24824699090555055</v>
      </c>
      <c r="T80" s="89">
        <f>(T81/SQRT(9))</f>
        <v>1.8809507488807828</v>
      </c>
      <c r="U80" s="89">
        <f>(U81/SQRT(9))</f>
        <v>0.25487039608122014</v>
      </c>
      <c r="V80" s="89">
        <f>(V81/SQRT(9))</f>
        <v>1.3129792102069799</v>
      </c>
      <c r="W80" s="6"/>
      <c r="X80" s="108" t="s">
        <v>85</v>
      </c>
      <c r="Y80" s="109"/>
      <c r="Z80" s="89">
        <f>(Z81/SQRT(9))</f>
        <v>0.19426080501634049</v>
      </c>
      <c r="AA80" s="89">
        <f>(AA81/SQRT(9))</f>
        <v>1.3237441701333046</v>
      </c>
      <c r="AB80" s="89">
        <f>(AB81/SQRT(9))</f>
        <v>0.19352839283827195</v>
      </c>
      <c r="AC80" s="89">
        <f>(AC81/SQRT(9))</f>
        <v>1.3809840926927508</v>
      </c>
      <c r="AD80" s="6"/>
      <c r="AE80" s="108"/>
      <c r="AF80" s="109"/>
      <c r="AG80" s="89"/>
      <c r="AH80" s="89"/>
      <c r="AI80" s="89"/>
      <c r="AJ80" s="89"/>
      <c r="AK80" s="6"/>
      <c r="AL80" s="108" t="s">
        <v>85</v>
      </c>
      <c r="AM80" s="109"/>
      <c r="AN80" s="89">
        <f>(AN81/SQRT(9))</f>
        <v>0.24797615782106075</v>
      </c>
      <c r="AO80" s="89">
        <f>(AO81/SQRT(9))</f>
        <v>0.34675921379190783</v>
      </c>
      <c r="AP80" s="89">
        <f>(AP81/SQRT(9))</f>
        <v>0.18175697575746982</v>
      </c>
      <c r="AQ80" s="89">
        <f>(AQ81/SQRT(9))</f>
        <v>7.4623179380506066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9">
        <f>_xlfn.STDEV.P(E69:E77)</f>
        <v>0.67687224580503791</v>
      </c>
      <c r="F81" s="89">
        <f>_xlfn.STDEV.P(F69:F77)</f>
        <v>4.7055282924877471</v>
      </c>
      <c r="G81" s="89">
        <f>_xlfn.STDEV.P(G69:G77)</f>
        <v>0.69966733982302654</v>
      </c>
      <c r="H81" s="89">
        <f>_xlfn.STDEV.P(H69:H77)</f>
        <v>2.8802233804890744</v>
      </c>
      <c r="I81" s="6"/>
      <c r="J81" s="108" t="s">
        <v>86</v>
      </c>
      <c r="K81" s="109"/>
      <c r="L81" s="89">
        <f>_xlfn.STDEV.P(L69:L77)</f>
        <v>0.46389933835566788</v>
      </c>
      <c r="M81" s="89">
        <f>_xlfn.STDEV.P(M69:M77)</f>
        <v>2.7974157353231766</v>
      </c>
      <c r="N81" s="89">
        <f>_xlfn.STDEV.P(N69:N77)</f>
        <v>0.48548933440972658</v>
      </c>
      <c r="O81" s="89">
        <f>_xlfn.STDEV.P(O69:O77)</f>
        <v>1.3647385474695617</v>
      </c>
      <c r="P81" s="6"/>
      <c r="Q81" s="108" t="s">
        <v>86</v>
      </c>
      <c r="R81" s="109"/>
      <c r="S81" s="89">
        <f>_xlfn.STDEV.P(S69:S77)</f>
        <v>0.74474097271665163</v>
      </c>
      <c r="T81" s="89">
        <f>_xlfn.STDEV.P(T69:T77)</f>
        <v>5.6428522466423487</v>
      </c>
      <c r="U81" s="89">
        <f>_xlfn.STDEV.P(U69:U77)</f>
        <v>0.76461118824366048</v>
      </c>
      <c r="V81" s="89">
        <f>_xlfn.STDEV.P(V69:V77)</f>
        <v>3.9389376306209396</v>
      </c>
      <c r="W81" s="6"/>
      <c r="X81" s="108" t="s">
        <v>86</v>
      </c>
      <c r="Y81" s="109"/>
      <c r="Z81" s="89">
        <f>_xlfn.STDEV.P(Z69:Z77)</f>
        <v>0.58278241504902151</v>
      </c>
      <c r="AA81" s="89">
        <f>_xlfn.STDEV.P(AA69:AA77)</f>
        <v>3.9712325103999135</v>
      </c>
      <c r="AB81" s="89">
        <f>_xlfn.STDEV.P(AB69:AB77)</f>
        <v>0.58058517851481584</v>
      </c>
      <c r="AC81" s="89">
        <f>_xlfn.STDEV.P(AC69:AC77)</f>
        <v>4.1429522780782522</v>
      </c>
      <c r="AD81" s="6"/>
      <c r="AE81" s="108"/>
      <c r="AF81" s="109"/>
      <c r="AG81" s="89"/>
      <c r="AH81" s="89"/>
      <c r="AI81" s="89"/>
      <c r="AJ81" s="89"/>
      <c r="AK81" s="6"/>
      <c r="AL81" s="108" t="s">
        <v>86</v>
      </c>
      <c r="AM81" s="109"/>
      <c r="AN81" s="89">
        <f>_xlfn.STDEV.P(AN69:AN77)</f>
        <v>0.74392847346318225</v>
      </c>
      <c r="AO81" s="89">
        <f>_xlfn.STDEV.P(AO69:AO77)</f>
        <v>1.0402776413757235</v>
      </c>
      <c r="AP81" s="89">
        <f>_xlfn.STDEV.P(AP69:AP77)</f>
        <v>0.54527092727240944</v>
      </c>
      <c r="AQ81" s="89">
        <f>_xlfn.STDEV.P(AQ69:AQ77)</f>
        <v>22.38695381415182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9">
        <f>SUM(E81/E79)</f>
        <v>3.0999843999002331E-2</v>
      </c>
      <c r="F82" s="89">
        <f>SUM(F81/F79)</f>
        <v>0.42035457517470171</v>
      </c>
      <c r="G82" s="89">
        <f>SUM(G81/G79)</f>
        <v>3.0999843999002335E-2</v>
      </c>
      <c r="H82" s="89">
        <f>SUM(H81/H79)</f>
        <v>0.43284396653593493</v>
      </c>
      <c r="I82" s="6"/>
      <c r="J82" s="108" t="s">
        <v>87</v>
      </c>
      <c r="K82" s="109"/>
      <c r="L82" s="89">
        <f>SUM(L81/L79)</f>
        <v>2.053871881369377E-2</v>
      </c>
      <c r="M82" s="89">
        <f>SUM(M81/M79)</f>
        <v>0.29376674278793657</v>
      </c>
      <c r="N82" s="89">
        <f>SUM(N81/N79)</f>
        <v>2.0538718813693794E-2</v>
      </c>
      <c r="O82" s="89">
        <f>SUM(O81/O79)</f>
        <v>0.30581949814251291</v>
      </c>
      <c r="P82" s="6"/>
      <c r="Q82" s="108" t="s">
        <v>87</v>
      </c>
      <c r="R82" s="109"/>
      <c r="S82" s="89">
        <f>SUM(S81/S79)</f>
        <v>3.6516651942771067E-2</v>
      </c>
      <c r="T82" s="89">
        <f>SUM(T81/T79)</f>
        <v>0.43042607960743889</v>
      </c>
      <c r="U82" s="89">
        <f>SUM(U81/U79)</f>
        <v>3.6516651942771067E-2</v>
      </c>
      <c r="V82" s="89">
        <f>SUM(V81/V79)</f>
        <v>0.43993363089574344</v>
      </c>
      <c r="W82" s="6"/>
      <c r="X82" s="108" t="s">
        <v>87</v>
      </c>
      <c r="Y82" s="109"/>
      <c r="Z82" s="89">
        <f>SUM(Z81/Z79)</f>
        <v>3.2705817550137427E-2</v>
      </c>
      <c r="AA82" s="89">
        <f>SUM(AA81/AA79)</f>
        <v>0.37440831769107197</v>
      </c>
      <c r="AB82" s="89">
        <f>SUM(AB81/AB79)</f>
        <v>3.2705817550137448E-2</v>
      </c>
      <c r="AC82" s="89">
        <f>SUM(AC81/AC79)</f>
        <v>0.37309906023143824</v>
      </c>
      <c r="AD82" s="6"/>
      <c r="AE82" s="108"/>
      <c r="AF82" s="109"/>
      <c r="AG82" s="89"/>
      <c r="AH82" s="89"/>
      <c r="AI82" s="89"/>
      <c r="AJ82" s="89"/>
      <c r="AK82" s="6"/>
      <c r="AL82" s="108" t="s">
        <v>87</v>
      </c>
      <c r="AM82" s="109"/>
      <c r="AN82" s="89">
        <f>SUM(AN81/AN79)</f>
        <v>3.0094028173347505E-2</v>
      </c>
      <c r="AO82" s="89">
        <f>SUM(AO81/AO79)</f>
        <v>0.30094773716566697</v>
      </c>
      <c r="AP82" s="89">
        <f>SUM(AP81/AP79)</f>
        <v>3.0094028173347508E-2</v>
      </c>
      <c r="AQ82" s="89">
        <f>SUM(AQ81/AQ79)</f>
        <v>0.23242322965657117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pans="1:76" s="6" customFormat="1" x14ac:dyDescent="0.25"/>
    <row r="98" spans="1:76" s="6" customFormat="1" x14ac:dyDescent="0.25"/>
    <row r="99" spans="1:76" s="6" customFormat="1" x14ac:dyDescent="0.25"/>
    <row r="100" spans="1:76" s="6" customFormat="1" x14ac:dyDescent="0.25"/>
    <row r="101" spans="1:76" s="6" customFormat="1" x14ac:dyDescent="0.25"/>
    <row r="102" spans="1:76" s="6" customFormat="1" x14ac:dyDescent="0.25"/>
    <row r="103" spans="1:76" s="6" customFormat="1" x14ac:dyDescent="0.25"/>
    <row r="104" spans="1:76" s="6" customFormat="1" x14ac:dyDescent="0.25"/>
    <row r="105" spans="1:76" s="6" customFormat="1" x14ac:dyDescent="0.25"/>
    <row r="106" spans="1:76" s="6" customFormat="1" x14ac:dyDescent="0.25"/>
    <row r="107" spans="1:76" s="6" customFormat="1" x14ac:dyDescent="0.25"/>
    <row r="108" spans="1:76" s="6" customFormat="1" x14ac:dyDescent="0.25"/>
    <row r="109" spans="1:76" s="6" customFormat="1" x14ac:dyDescent="0.25"/>
    <row r="110" spans="1:76" s="6" customFormat="1" x14ac:dyDescent="0.25"/>
    <row r="111" spans="1:76" s="6" customFormat="1" x14ac:dyDescent="0.25"/>
    <row r="112" spans="1:76" x14ac:dyDescent="0.25">
      <c r="A112" s="6"/>
      <c r="B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</row>
  </sheetData>
  <mergeCells count="159">
    <mergeCell ref="AH2:AL3"/>
    <mergeCell ref="AK4:AL4"/>
    <mergeCell ref="AK5:AL5"/>
    <mergeCell ref="AK6:AL6"/>
    <mergeCell ref="AK7:AL7"/>
    <mergeCell ref="AK8:AL8"/>
    <mergeCell ref="AE82:AF82"/>
    <mergeCell ref="AL82:AM82"/>
    <mergeCell ref="AE79:AF79"/>
    <mergeCell ref="AL79:AM79"/>
    <mergeCell ref="AL67:AQ67"/>
    <mergeCell ref="C80:D80"/>
    <mergeCell ref="J80:K80"/>
    <mergeCell ref="Q80:R80"/>
    <mergeCell ref="X80:Y80"/>
    <mergeCell ref="AE80:AF80"/>
    <mergeCell ref="AL80:AM80"/>
    <mergeCell ref="C81:D81"/>
    <mergeCell ref="J81:K81"/>
    <mergeCell ref="Q81:R81"/>
    <mergeCell ref="X81:Y81"/>
    <mergeCell ref="AE81:AF81"/>
    <mergeCell ref="AL81:AM81"/>
    <mergeCell ref="X68:X77"/>
    <mergeCell ref="AE68:AE77"/>
    <mergeCell ref="AL68:AL77"/>
    <mergeCell ref="C78:D78"/>
    <mergeCell ref="J78:K78"/>
    <mergeCell ref="Q78:R78"/>
    <mergeCell ref="X78:Y78"/>
    <mergeCell ref="AE78:AF78"/>
    <mergeCell ref="AL78:AM78"/>
    <mergeCell ref="AL52:AM52"/>
    <mergeCell ref="C53:D53"/>
    <mergeCell ref="J53:K53"/>
    <mergeCell ref="Q53:R53"/>
    <mergeCell ref="X53:Y53"/>
    <mergeCell ref="AE53:AF53"/>
    <mergeCell ref="AL53:AM53"/>
    <mergeCell ref="C54:D54"/>
    <mergeCell ref="J54:K54"/>
    <mergeCell ref="Q54:R54"/>
    <mergeCell ref="X54:Y54"/>
    <mergeCell ref="AE54:AF54"/>
    <mergeCell ref="AL54:AM54"/>
    <mergeCell ref="AE50:AF50"/>
    <mergeCell ref="AL50:AM50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AG23:AK25"/>
    <mergeCell ref="C39:H39"/>
    <mergeCell ref="J39:O39"/>
    <mergeCell ref="Q39:V39"/>
    <mergeCell ref="X39:AC39"/>
    <mergeCell ref="AE39:AJ39"/>
    <mergeCell ref="AL39:AQ39"/>
    <mergeCell ref="C40:C49"/>
    <mergeCell ref="J40:J49"/>
    <mergeCell ref="Q40:Q49"/>
    <mergeCell ref="X40:X49"/>
    <mergeCell ref="AE40:AE49"/>
    <mergeCell ref="AL40:AL49"/>
    <mergeCell ref="AB28:AD28"/>
    <mergeCell ref="AB29:AD29"/>
    <mergeCell ref="AB36:AC36"/>
    <mergeCell ref="W29:Y29"/>
    <mergeCell ref="M29:O29"/>
    <mergeCell ref="M36:N36"/>
    <mergeCell ref="W36:X36"/>
    <mergeCell ref="R29:T29"/>
    <mergeCell ref="R36:S36"/>
    <mergeCell ref="H28:J28"/>
    <mergeCell ref="C29:E29"/>
    <mergeCell ref="AE67:AJ67"/>
    <mergeCell ref="C52:D52"/>
    <mergeCell ref="J52:K52"/>
    <mergeCell ref="Q52:R52"/>
    <mergeCell ref="X52:Y52"/>
    <mergeCell ref="C56:E56"/>
    <mergeCell ref="H56:J56"/>
    <mergeCell ref="M56:O56"/>
    <mergeCell ref="R56:T56"/>
    <mergeCell ref="W56:Y56"/>
    <mergeCell ref="AB56:AD56"/>
    <mergeCell ref="C57:E57"/>
    <mergeCell ref="H57:J57"/>
    <mergeCell ref="C65:D65"/>
    <mergeCell ref="H65:I65"/>
    <mergeCell ref="M65:N65"/>
    <mergeCell ref="R65:S65"/>
    <mergeCell ref="W65:X65"/>
    <mergeCell ref="AE52:AF52"/>
    <mergeCell ref="M57:O57"/>
    <mergeCell ref="R57:T57"/>
    <mergeCell ref="W57:Y57"/>
    <mergeCell ref="AB57:AD57"/>
    <mergeCell ref="C64:D64"/>
    <mergeCell ref="R28:T28"/>
    <mergeCell ref="W28:Y28"/>
    <mergeCell ref="C18:H18"/>
    <mergeCell ref="I18:W18"/>
    <mergeCell ref="I24:W24"/>
    <mergeCell ref="AB65:AC65"/>
    <mergeCell ref="C67:H67"/>
    <mergeCell ref="J67:O67"/>
    <mergeCell ref="Q67:V67"/>
    <mergeCell ref="X67:AC67"/>
    <mergeCell ref="X50:Y50"/>
    <mergeCell ref="H64:I64"/>
    <mergeCell ref="M64:N64"/>
    <mergeCell ref="R64:S64"/>
    <mergeCell ref="W64:X64"/>
    <mergeCell ref="AB64:AC64"/>
    <mergeCell ref="R21:Z23"/>
    <mergeCell ref="C24:H26"/>
    <mergeCell ref="C3:Q3"/>
    <mergeCell ref="R3:Z3"/>
    <mergeCell ref="C9:Q9"/>
    <mergeCell ref="R9:Z9"/>
    <mergeCell ref="X6:Z8"/>
    <mergeCell ref="C12:H12"/>
    <mergeCell ref="I12:W12"/>
    <mergeCell ref="C15:Q15"/>
    <mergeCell ref="R15:Z15"/>
    <mergeCell ref="C21:Q21"/>
    <mergeCell ref="X12:Z14"/>
    <mergeCell ref="X18:Z20"/>
    <mergeCell ref="X24:Z26"/>
    <mergeCell ref="C6:H6"/>
    <mergeCell ref="I6:W6"/>
    <mergeCell ref="C36:D36"/>
    <mergeCell ref="C28:E28"/>
    <mergeCell ref="H29:J29"/>
    <mergeCell ref="H36:I36"/>
    <mergeCell ref="M28:O28"/>
    <mergeCell ref="AB37:AC37"/>
    <mergeCell ref="C37:D37"/>
    <mergeCell ref="H37:I37"/>
    <mergeCell ref="M37:N37"/>
    <mergeCell ref="R37:S37"/>
    <mergeCell ref="W37:X37"/>
    <mergeCell ref="C79:D79"/>
    <mergeCell ref="J79:K79"/>
    <mergeCell ref="Q79:R79"/>
    <mergeCell ref="X79:Y79"/>
    <mergeCell ref="C82:D82"/>
    <mergeCell ref="J82:K82"/>
    <mergeCell ref="Q82:R82"/>
    <mergeCell ref="X82:Y82"/>
    <mergeCell ref="C68:C77"/>
    <mergeCell ref="J68:J77"/>
    <mergeCell ref="Q68:Q7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D75D4-8F37-41F6-A030-2ECD990CB004}">
  <dimension ref="A1:CJ116"/>
  <sheetViews>
    <sheetView topLeftCell="A20" zoomScale="60" zoomScaleNormal="60" workbookViewId="0">
      <selection activeCell="BD93" sqref="BD93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60" t="s">
        <v>88</v>
      </c>
      <c r="AI2" s="161"/>
      <c r="AJ2" s="161"/>
      <c r="AK2" s="161"/>
      <c r="AL2" s="162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13" t="s">
        <v>17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  <c r="R3" s="113" t="s">
        <v>18</v>
      </c>
      <c r="S3" s="114"/>
      <c r="T3" s="114"/>
      <c r="U3" s="114"/>
      <c r="V3" s="114"/>
      <c r="W3" s="114"/>
      <c r="X3" s="114"/>
      <c r="Y3" s="114"/>
      <c r="Z3" s="115"/>
      <c r="AA3" s="6"/>
      <c r="AB3" s="6"/>
      <c r="AC3" s="6"/>
      <c r="AD3" s="6"/>
      <c r="AE3" s="6"/>
      <c r="AF3" s="6"/>
      <c r="AG3" s="6"/>
      <c r="AH3" s="163"/>
      <c r="AI3" s="164"/>
      <c r="AJ3" s="164"/>
      <c r="AK3" s="164"/>
      <c r="AL3" s="165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94">
        <v>27.0097037967811</v>
      </c>
      <c r="D4" s="95">
        <v>24.5465565896558</v>
      </c>
      <c r="E4" s="95">
        <v>22.1229632419046</v>
      </c>
      <c r="F4" s="95">
        <v>19.9557987378838</v>
      </c>
      <c r="G4" s="95">
        <v>17.6584249400461</v>
      </c>
      <c r="H4" s="24">
        <v>19.168388376522401</v>
      </c>
      <c r="I4" s="24">
        <v>18.717131889199301</v>
      </c>
      <c r="J4" s="24">
        <v>20.453065107125699</v>
      </c>
      <c r="K4" s="25">
        <v>19.281951138710799</v>
      </c>
      <c r="L4" s="25">
        <v>20.024819205642</v>
      </c>
      <c r="M4" s="25">
        <v>19.073104610857499</v>
      </c>
      <c r="N4" s="26">
        <v>19.535299008008799</v>
      </c>
      <c r="O4" s="26">
        <v>21.230218130541399</v>
      </c>
      <c r="P4" s="26">
        <v>20.3008470434008</v>
      </c>
      <c r="Q4" s="27">
        <v>37.459198936124103</v>
      </c>
      <c r="R4" s="68">
        <v>28.444543953795499</v>
      </c>
      <c r="S4" s="69">
        <v>22.955468441041699</v>
      </c>
      <c r="T4" s="69">
        <v>19.6292980515484</v>
      </c>
      <c r="U4" s="69">
        <v>16.960855825583</v>
      </c>
      <c r="V4" s="69">
        <v>15.2131835432646</v>
      </c>
      <c r="W4" s="24">
        <v>15.8724690948297</v>
      </c>
      <c r="X4" s="24">
        <v>15.231015965627799</v>
      </c>
      <c r="Y4" s="24">
        <v>18.097060096559598</v>
      </c>
      <c r="Z4" s="27">
        <v>35.318554544993603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66">
        <v>45150</v>
      </c>
      <c r="AL4" s="167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100">
        <v>26.960822419866702</v>
      </c>
      <c r="D5" s="101">
        <v>24.479080805679299</v>
      </c>
      <c r="E5" s="101">
        <v>22.246635015852998</v>
      </c>
      <c r="F5" s="101">
        <v>19.971853991927301</v>
      </c>
      <c r="G5" s="101">
        <v>17.464952811623</v>
      </c>
      <c r="H5" s="10">
        <v>19.230549116562202</v>
      </c>
      <c r="I5" s="10">
        <v>18.744421660599301</v>
      </c>
      <c r="J5" s="10">
        <v>20.228373135376899</v>
      </c>
      <c r="K5" s="11">
        <v>19.239128020508002</v>
      </c>
      <c r="L5" s="11">
        <v>20.029955811398501</v>
      </c>
      <c r="M5" s="11">
        <v>19.183209497978599</v>
      </c>
      <c r="N5" s="12">
        <v>19.448057010368899</v>
      </c>
      <c r="O5" s="12">
        <v>21.241701208392001</v>
      </c>
      <c r="P5" s="12">
        <v>20.2854488164784</v>
      </c>
      <c r="Q5" s="13">
        <v>37.233654450154503</v>
      </c>
      <c r="R5" s="70">
        <v>28.3738961567487</v>
      </c>
      <c r="S5" s="71">
        <v>23.001100456180399</v>
      </c>
      <c r="T5" s="71">
        <v>19.674694177421301</v>
      </c>
      <c r="U5" s="71">
        <v>16.844790461752801</v>
      </c>
      <c r="V5" s="71">
        <v>14.976341836071899</v>
      </c>
      <c r="W5" s="10">
        <v>15.9962572672561</v>
      </c>
      <c r="X5" s="10">
        <v>15.7928583898179</v>
      </c>
      <c r="Y5" s="10">
        <v>18.064751393371299</v>
      </c>
      <c r="Z5" s="13">
        <v>34.271550556035102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66">
        <v>45157</v>
      </c>
      <c r="AL5" s="167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25" t="s">
        <v>18</v>
      </c>
      <c r="D6" s="126"/>
      <c r="E6" s="126"/>
      <c r="F6" s="126"/>
      <c r="G6" s="126"/>
      <c r="H6" s="127"/>
      <c r="I6" s="125" t="s">
        <v>26</v>
      </c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7"/>
      <c r="X6" s="116"/>
      <c r="Y6" s="117"/>
      <c r="Z6" s="11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66">
        <v>45160</v>
      </c>
      <c r="AL6" s="167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16.452826941585101</v>
      </c>
      <c r="D7" s="25">
        <v>17.371403585868901</v>
      </c>
      <c r="E7" s="25">
        <v>16.680704851538799</v>
      </c>
      <c r="F7" s="26">
        <v>17.263517232324201</v>
      </c>
      <c r="G7" s="26">
        <v>20.245251475683101</v>
      </c>
      <c r="H7" s="29">
        <v>18.428273614755302</v>
      </c>
      <c r="I7" s="68">
        <v>25.739729906153698</v>
      </c>
      <c r="J7" s="69">
        <v>24.909365436835799</v>
      </c>
      <c r="K7" s="69">
        <v>24.6803067203188</v>
      </c>
      <c r="L7" s="69">
        <v>23.189392518074101</v>
      </c>
      <c r="M7" s="69">
        <v>20.997752335095399</v>
      </c>
      <c r="N7" s="24">
        <v>22.1618184439358</v>
      </c>
      <c r="O7" s="24">
        <v>21.594279050989201</v>
      </c>
      <c r="P7" s="24">
        <v>23.808187205292601</v>
      </c>
      <c r="Q7" s="25">
        <v>22.706745724908401</v>
      </c>
      <c r="R7" s="25">
        <v>23.305532219266599</v>
      </c>
      <c r="S7" s="25">
        <v>22.581313661473299</v>
      </c>
      <c r="T7" s="26">
        <v>23.4662344792143</v>
      </c>
      <c r="U7" s="26">
        <v>25.071215869984002</v>
      </c>
      <c r="V7" s="26">
        <v>24.490858091729599</v>
      </c>
      <c r="W7" s="27">
        <v>32.952528721250097</v>
      </c>
      <c r="X7" s="119"/>
      <c r="Y7" s="120"/>
      <c r="Z7" s="12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66">
        <v>45203</v>
      </c>
      <c r="AL7" s="167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16.782612409445601</v>
      </c>
      <c r="D8" s="11">
        <v>17.266765107824501</v>
      </c>
      <c r="E8" s="11">
        <v>16.4551770633744</v>
      </c>
      <c r="F8" s="12">
        <v>17.368958631255399</v>
      </c>
      <c r="G8" s="12">
        <v>20.247411511485002</v>
      </c>
      <c r="H8" s="15">
        <v>18.558580282044701</v>
      </c>
      <c r="I8" s="70">
        <v>25.743936110240799</v>
      </c>
      <c r="J8" s="71">
        <v>24.9249044277922</v>
      </c>
      <c r="K8" s="71">
        <v>24.7159418483613</v>
      </c>
      <c r="L8" s="71">
        <v>23.341820225097798</v>
      </c>
      <c r="M8" s="71">
        <v>21.1719272109782</v>
      </c>
      <c r="N8" s="10">
        <v>22.180728314637001</v>
      </c>
      <c r="O8" s="10">
        <v>22.112676256334002</v>
      </c>
      <c r="P8" s="10">
        <v>23.7401051272203</v>
      </c>
      <c r="Q8" s="11">
        <v>22.811726991346099</v>
      </c>
      <c r="R8" s="16">
        <v>23.2648586190186</v>
      </c>
      <c r="S8" s="16">
        <v>22.9345612817587</v>
      </c>
      <c r="T8" s="17">
        <v>23.500263966076702</v>
      </c>
      <c r="U8" s="17">
        <v>25.159870134934501</v>
      </c>
      <c r="V8" s="17">
        <v>24.459719778085699</v>
      </c>
      <c r="W8" s="18">
        <v>32.562619319486402</v>
      </c>
      <c r="X8" s="122"/>
      <c r="Y8" s="123"/>
      <c r="Z8" s="124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68">
        <v>45205</v>
      </c>
      <c r="AL8" s="169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13" t="s">
        <v>19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  <c r="R9" s="113" t="s">
        <v>20</v>
      </c>
      <c r="S9" s="114"/>
      <c r="T9" s="114"/>
      <c r="U9" s="114"/>
      <c r="V9" s="114"/>
      <c r="W9" s="114"/>
      <c r="X9" s="114"/>
      <c r="Y9" s="114"/>
      <c r="Z9" s="115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26.217161174529799</v>
      </c>
      <c r="D10" s="69">
        <v>23.791474911964599</v>
      </c>
      <c r="E10" s="69">
        <v>21.684623017014001</v>
      </c>
      <c r="F10" s="69">
        <v>19.041157891987499</v>
      </c>
      <c r="G10" s="69">
        <v>16.981555120956799</v>
      </c>
      <c r="H10" s="24">
        <v>18.799704315912901</v>
      </c>
      <c r="I10" s="24">
        <v>18.448377468002501</v>
      </c>
      <c r="J10" s="24">
        <v>19.045683774978599</v>
      </c>
      <c r="K10" s="25">
        <v>19.102726675269</v>
      </c>
      <c r="L10" s="25">
        <v>19.3168446574822</v>
      </c>
      <c r="M10" s="25">
        <v>18.993750262648199</v>
      </c>
      <c r="N10" s="26">
        <v>18.891064836117199</v>
      </c>
      <c r="O10" s="26">
        <v>19.9996374407785</v>
      </c>
      <c r="P10" s="26">
        <v>19.629131828897599</v>
      </c>
      <c r="Q10" s="27">
        <v>36.120662283899598</v>
      </c>
      <c r="R10" s="68">
        <v>25.569504855804102</v>
      </c>
      <c r="S10" s="69">
        <v>23.179273794364398</v>
      </c>
      <c r="T10" s="69">
        <v>21.009143281478799</v>
      </c>
      <c r="U10" s="69">
        <v>18.767033805211899</v>
      </c>
      <c r="V10" s="69">
        <v>16.407184802879801</v>
      </c>
      <c r="W10" s="24">
        <v>18.1005038539464</v>
      </c>
      <c r="X10" s="24">
        <v>18.038132747243299</v>
      </c>
      <c r="Y10" s="24">
        <v>18.952261093609401</v>
      </c>
      <c r="Z10" s="27">
        <v>36.192036564764798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26.4707503157465</v>
      </c>
      <c r="D11" s="71">
        <v>23.945891480940901</v>
      </c>
      <c r="E11" s="71">
        <v>21.765412110267398</v>
      </c>
      <c r="F11" s="71">
        <v>19.114564200787601</v>
      </c>
      <c r="G11" s="71">
        <v>16.761809333070499</v>
      </c>
      <c r="H11" s="10">
        <v>18.8994731280454</v>
      </c>
      <c r="I11" s="10">
        <v>17.897470705617</v>
      </c>
      <c r="J11" s="10">
        <v>19.017349434343799</v>
      </c>
      <c r="K11" s="11">
        <v>19.1682146122495</v>
      </c>
      <c r="L11" s="11">
        <v>19.2043239395264</v>
      </c>
      <c r="M11" s="11">
        <v>18.729519883997199</v>
      </c>
      <c r="N11" s="12">
        <v>18.993949687397201</v>
      </c>
      <c r="O11" s="12">
        <v>19.9642190939629</v>
      </c>
      <c r="P11" s="12">
        <v>19.5882146043412</v>
      </c>
      <c r="Q11" s="13">
        <v>34.912359542167898</v>
      </c>
      <c r="R11" s="70">
        <v>25.389654218642299</v>
      </c>
      <c r="S11" s="71">
        <v>23.2081046766138</v>
      </c>
      <c r="T11" s="71">
        <v>20.968124048766299</v>
      </c>
      <c r="U11" s="71">
        <v>18.961065451515701</v>
      </c>
      <c r="V11" s="71">
        <v>16.475909012341301</v>
      </c>
      <c r="W11" s="10">
        <v>18.198792029052299</v>
      </c>
      <c r="X11" s="10">
        <v>17.899452218867701</v>
      </c>
      <c r="Y11" s="10">
        <v>19.031382301750401</v>
      </c>
      <c r="Z11" s="13">
        <v>37.421454687044701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13" t="s">
        <v>20</v>
      </c>
      <c r="D12" s="114"/>
      <c r="E12" s="114"/>
      <c r="F12" s="114"/>
      <c r="G12" s="114"/>
      <c r="H12" s="115"/>
      <c r="I12" s="113" t="s">
        <v>21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  <c r="X12" s="116"/>
      <c r="Y12" s="117"/>
      <c r="Z12" s="118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18.284093998976498</v>
      </c>
      <c r="D13" s="25">
        <v>18.5821836245225</v>
      </c>
      <c r="E13" s="25">
        <v>18.275744820146699</v>
      </c>
      <c r="F13" s="26">
        <v>17.997662641000701</v>
      </c>
      <c r="G13" s="26">
        <v>18.762946498722599</v>
      </c>
      <c r="H13" s="29">
        <v>17.9818036991757</v>
      </c>
      <c r="I13" s="68">
        <v>26.473256131844501</v>
      </c>
      <c r="J13" s="69">
        <v>23.9823271442724</v>
      </c>
      <c r="K13" s="69">
        <v>21.629173212745901</v>
      </c>
      <c r="L13" s="69">
        <v>19.4365166044627</v>
      </c>
      <c r="M13" s="69">
        <v>16.694153189674299</v>
      </c>
      <c r="N13" s="24">
        <v>18.711448651286801</v>
      </c>
      <c r="O13" s="24">
        <v>18.493520995614901</v>
      </c>
      <c r="P13" s="24">
        <v>19.503109453352799</v>
      </c>
      <c r="Q13" s="25">
        <v>19.091475737121598</v>
      </c>
      <c r="R13" s="25">
        <v>19.3140583026169</v>
      </c>
      <c r="S13" s="25">
        <v>18.969444780410399</v>
      </c>
      <c r="T13" s="26">
        <v>18.9652937996776</v>
      </c>
      <c r="U13" s="26">
        <v>20.3884526533969</v>
      </c>
      <c r="V13" s="26">
        <v>19.582962465006801</v>
      </c>
      <c r="W13" s="27">
        <v>37.220813839465798</v>
      </c>
      <c r="X13" s="119"/>
      <c r="Y13" s="120"/>
      <c r="Z13" s="121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18.401153565456699</v>
      </c>
      <c r="D14" s="11">
        <v>18.560500653162201</v>
      </c>
      <c r="E14" s="11">
        <v>18.287706535227699</v>
      </c>
      <c r="F14" s="12">
        <v>18.049786331757002</v>
      </c>
      <c r="G14" s="12">
        <v>18.7860666018207</v>
      </c>
      <c r="H14" s="15">
        <v>18.183462779147298</v>
      </c>
      <c r="I14" s="70">
        <v>26.417497523286801</v>
      </c>
      <c r="J14" s="71">
        <v>23.977528133181501</v>
      </c>
      <c r="K14" s="71">
        <v>21.675374826103301</v>
      </c>
      <c r="L14" s="71">
        <v>19.3511559271269</v>
      </c>
      <c r="M14" s="71">
        <v>16.848950124766699</v>
      </c>
      <c r="N14" s="10">
        <v>18.5031276813692</v>
      </c>
      <c r="O14" s="10">
        <v>18.3459484600377</v>
      </c>
      <c r="P14" s="10">
        <v>19.3683949448059</v>
      </c>
      <c r="Q14" s="11">
        <v>19.046267532515099</v>
      </c>
      <c r="R14" s="16">
        <v>19.3269052184929</v>
      </c>
      <c r="S14" s="16">
        <v>18.898771810471398</v>
      </c>
      <c r="T14" s="17">
        <v>18.8780017437849</v>
      </c>
      <c r="U14" s="17">
        <v>20.387339797281999</v>
      </c>
      <c r="V14" s="17">
        <v>19.7386088076927</v>
      </c>
      <c r="W14" s="18">
        <v>36.887601780598402</v>
      </c>
      <c r="X14" s="122"/>
      <c r="Y14" s="123"/>
      <c r="Z14" s="124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13" t="s">
        <v>22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5"/>
      <c r="R15" s="113" t="s">
        <v>23</v>
      </c>
      <c r="S15" s="114"/>
      <c r="T15" s="114"/>
      <c r="U15" s="114"/>
      <c r="V15" s="114"/>
      <c r="W15" s="114"/>
      <c r="X15" s="114"/>
      <c r="Y15" s="114"/>
      <c r="Z15" s="115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94">
        <v>27.8955938505106</v>
      </c>
      <c r="D16" s="95">
        <v>26.011118843622501</v>
      </c>
      <c r="E16" s="95">
        <v>24.3257847837783</v>
      </c>
      <c r="F16" s="95">
        <v>22.0068125767508</v>
      </c>
      <c r="G16" s="95">
        <v>19.683097708843601</v>
      </c>
      <c r="H16" s="96">
        <v>20.972113973809599</v>
      </c>
      <c r="I16" s="96">
        <v>20.748581243743399</v>
      </c>
      <c r="J16" s="96">
        <v>22.6927424870671</v>
      </c>
      <c r="K16" s="97">
        <v>21.468979726334801</v>
      </c>
      <c r="L16" s="97">
        <v>21.921791418963199</v>
      </c>
      <c r="M16" s="97">
        <v>21.417678137320799</v>
      </c>
      <c r="N16" s="98">
        <v>21.526506417299899</v>
      </c>
      <c r="O16" s="98">
        <v>23.279633552577899</v>
      </c>
      <c r="P16" s="98">
        <v>22.4283543206069</v>
      </c>
      <c r="Q16" s="99">
        <v>29.6985711738985</v>
      </c>
      <c r="R16" s="94">
        <v>27.942720013514801</v>
      </c>
      <c r="S16" s="95">
        <v>26.098907118391999</v>
      </c>
      <c r="T16" s="95">
        <v>24.4528038305588</v>
      </c>
      <c r="U16" s="95">
        <v>22.071916316313601</v>
      </c>
      <c r="V16" s="95">
        <v>19.967028986570199</v>
      </c>
      <c r="W16" s="96">
        <v>21.279382847330801</v>
      </c>
      <c r="X16" s="96">
        <v>21.350219804600201</v>
      </c>
      <c r="Y16" s="96">
        <v>22.759418875103101</v>
      </c>
      <c r="Z16" s="99">
        <v>36.515139504548102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100">
        <v>27.899812277959001</v>
      </c>
      <c r="D17" s="101">
        <v>26.3520748155894</v>
      </c>
      <c r="E17" s="101">
        <v>24.283276795348598</v>
      </c>
      <c r="F17" s="101">
        <v>21.992432326478198</v>
      </c>
      <c r="G17" s="101">
        <v>19.708421009164098</v>
      </c>
      <c r="H17" s="102">
        <v>21.046940815707298</v>
      </c>
      <c r="I17" s="102">
        <v>20.730149742005501</v>
      </c>
      <c r="J17" s="102">
        <v>22.5413066334504</v>
      </c>
      <c r="K17" s="103">
        <v>21.351927847682799</v>
      </c>
      <c r="L17" s="103">
        <v>21.8390104770262</v>
      </c>
      <c r="M17" s="103">
        <v>21.5361568048009</v>
      </c>
      <c r="N17" s="104">
        <v>21.440001679778899</v>
      </c>
      <c r="O17" s="104">
        <v>23.2639292955717</v>
      </c>
      <c r="P17" s="104">
        <v>22.415865155802699</v>
      </c>
      <c r="Q17" s="105">
        <v>29.543096779738999</v>
      </c>
      <c r="R17" s="100">
        <v>27.722977395812499</v>
      </c>
      <c r="S17" s="101">
        <v>26.155712511522701</v>
      </c>
      <c r="T17" s="101">
        <v>24.404660179356298</v>
      </c>
      <c r="U17" s="101">
        <v>22.102344898829301</v>
      </c>
      <c r="V17" s="101">
        <v>19.718945839822499</v>
      </c>
      <c r="W17" s="102">
        <v>21.119685992940401</v>
      </c>
      <c r="X17" s="102">
        <v>21.1694711512413</v>
      </c>
      <c r="Y17" s="102">
        <v>22.8156097297564</v>
      </c>
      <c r="Z17" s="105">
        <v>34.875024382198902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13" t="s">
        <v>23</v>
      </c>
      <c r="D18" s="114"/>
      <c r="E18" s="114"/>
      <c r="F18" s="114"/>
      <c r="G18" s="114"/>
      <c r="H18" s="115"/>
      <c r="I18" s="113" t="s">
        <v>27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6"/>
      <c r="Y18" s="117"/>
      <c r="Z18" s="118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21.776525736548901</v>
      </c>
      <c r="D19" s="25">
        <v>22.287992879977601</v>
      </c>
      <c r="E19" s="25">
        <v>21.708774979322499</v>
      </c>
      <c r="F19" s="26">
        <v>22.174413307231799</v>
      </c>
      <c r="G19" s="26">
        <v>23.902907961932101</v>
      </c>
      <c r="H19" s="29">
        <v>22.7721699960519</v>
      </c>
      <c r="I19" s="68">
        <v>25.690290564610098</v>
      </c>
      <c r="J19" s="69">
        <v>24.089646020288601</v>
      </c>
      <c r="K19" s="69">
        <v>22.139061963506801</v>
      </c>
      <c r="L19" s="69">
        <v>19.927852774852301</v>
      </c>
      <c r="M19" s="69">
        <v>17.312022525525101</v>
      </c>
      <c r="N19" s="24">
        <v>19.020954501995501</v>
      </c>
      <c r="O19" s="24">
        <v>18.662553191364299</v>
      </c>
      <c r="P19" s="24">
        <v>20.483723967290999</v>
      </c>
      <c r="Q19" s="25">
        <v>19.717139163575901</v>
      </c>
      <c r="R19" s="25">
        <v>19.952531079468599</v>
      </c>
      <c r="S19" s="25">
        <v>19.6699868142403</v>
      </c>
      <c r="T19" s="26">
        <v>19.347687738351599</v>
      </c>
      <c r="U19" s="26">
        <v>20.979800180988299</v>
      </c>
      <c r="V19" s="26">
        <v>20.171950609250199</v>
      </c>
      <c r="W19" s="27">
        <v>31.395587071220898</v>
      </c>
      <c r="X19" s="119"/>
      <c r="Y19" s="120"/>
      <c r="Z19" s="121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21.3660490201089</v>
      </c>
      <c r="D20" s="11">
        <v>22.291740222674299</v>
      </c>
      <c r="E20" s="11">
        <v>21.451857566528901</v>
      </c>
      <c r="F20" s="12">
        <v>22.073038102093498</v>
      </c>
      <c r="G20" s="12">
        <v>23.767652423922499</v>
      </c>
      <c r="H20" s="15">
        <v>22.8409100248271</v>
      </c>
      <c r="I20" s="70">
        <v>25.584364433449299</v>
      </c>
      <c r="J20" s="71">
        <v>24.184927510138799</v>
      </c>
      <c r="K20" s="71">
        <v>22.089738152227302</v>
      </c>
      <c r="L20" s="71">
        <v>19.871563130084599</v>
      </c>
      <c r="M20" s="71">
        <v>17.535980287779999</v>
      </c>
      <c r="N20" s="10">
        <v>18.782361997881999</v>
      </c>
      <c r="O20" s="10">
        <v>18.804383925862499</v>
      </c>
      <c r="P20" s="10">
        <v>20.282052137551901</v>
      </c>
      <c r="Q20" s="11">
        <v>19.6459963995643</v>
      </c>
      <c r="R20" s="16">
        <v>20.143007573105798</v>
      </c>
      <c r="S20" s="16">
        <v>19.850751094579302</v>
      </c>
      <c r="T20" s="17">
        <v>19.238983750305302</v>
      </c>
      <c r="U20" s="17">
        <v>20.971604061668401</v>
      </c>
      <c r="V20" s="17">
        <v>20.267627116193001</v>
      </c>
      <c r="W20" s="18">
        <v>31.425083860434601</v>
      </c>
      <c r="X20" s="122"/>
      <c r="Y20" s="123"/>
      <c r="Z20" s="12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13" t="s">
        <v>24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  <c r="R21" s="113"/>
      <c r="S21" s="114"/>
      <c r="T21" s="114"/>
      <c r="U21" s="114"/>
      <c r="V21" s="114"/>
      <c r="W21" s="114"/>
      <c r="X21" s="114"/>
      <c r="Y21" s="114"/>
      <c r="Z21" s="115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25.528409721658001</v>
      </c>
      <c r="D22" s="69">
        <v>23.245418564313798</v>
      </c>
      <c r="E22" s="69">
        <v>20.676501466210102</v>
      </c>
      <c r="F22" s="69">
        <v>18.587750600362099</v>
      </c>
      <c r="G22" s="69">
        <v>15.7611754483623</v>
      </c>
      <c r="H22" s="24">
        <v>18.037555287188599</v>
      </c>
      <c r="I22" s="24">
        <v>18.097526023853099</v>
      </c>
      <c r="J22" s="24">
        <v>19.615842606615502</v>
      </c>
      <c r="K22" s="25">
        <v>16.9682990355738</v>
      </c>
      <c r="L22" s="25">
        <v>17.579759048844799</v>
      </c>
      <c r="M22" s="25">
        <v>17.0722046319176</v>
      </c>
      <c r="N22" s="26">
        <v>17.909976106379698</v>
      </c>
      <c r="O22" s="26">
        <v>19.154470201385799</v>
      </c>
      <c r="P22" s="26">
        <v>18.648668341930598</v>
      </c>
      <c r="Q22" s="27">
        <v>33.193772600823003</v>
      </c>
      <c r="R22" s="68"/>
      <c r="S22" s="69"/>
      <c r="T22" s="69"/>
      <c r="U22" s="69"/>
      <c r="V22" s="69"/>
      <c r="W22" s="24"/>
      <c r="X22" s="24"/>
      <c r="Y22" s="24"/>
      <c r="Z22" s="27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25.3835313319831</v>
      </c>
      <c r="D23" s="71">
        <v>23.048133666199099</v>
      </c>
      <c r="E23" s="71">
        <v>20.763556501279599</v>
      </c>
      <c r="F23" s="71">
        <v>18.339216061100899</v>
      </c>
      <c r="G23" s="71">
        <v>15.6179307484049</v>
      </c>
      <c r="H23" s="10">
        <v>18.095472067347998</v>
      </c>
      <c r="I23" s="10">
        <v>17.945910767313599</v>
      </c>
      <c r="J23" s="10">
        <v>19.4752398262059</v>
      </c>
      <c r="K23" s="11">
        <v>17.001280560289899</v>
      </c>
      <c r="L23" s="11">
        <v>17.484177669670501</v>
      </c>
      <c r="M23" s="11">
        <v>16.953855158717801</v>
      </c>
      <c r="N23" s="12">
        <v>17.705267028243501</v>
      </c>
      <c r="O23" s="12">
        <v>19.2604031876185</v>
      </c>
      <c r="P23" s="12">
        <v>18.612777847452001</v>
      </c>
      <c r="Q23" s="13">
        <v>34.543705952498101</v>
      </c>
      <c r="R23" s="70"/>
      <c r="S23" s="71"/>
      <c r="T23" s="71"/>
      <c r="U23" s="71"/>
      <c r="V23" s="71"/>
      <c r="W23" s="10"/>
      <c r="X23" s="10"/>
      <c r="Y23" s="10"/>
      <c r="Z23" s="13"/>
      <c r="AA23" s="6"/>
      <c r="AB23" s="75" t="s">
        <v>72</v>
      </c>
      <c r="AC23" s="76" t="s">
        <v>80</v>
      </c>
      <c r="AD23" s="76"/>
      <c r="AE23" s="76"/>
      <c r="AF23" s="76"/>
      <c r="AG23" s="148" t="s">
        <v>81</v>
      </c>
      <c r="AH23" s="148"/>
      <c r="AI23" s="148"/>
      <c r="AJ23" s="148"/>
      <c r="AK23" s="148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13"/>
      <c r="D24" s="114"/>
      <c r="E24" s="114"/>
      <c r="F24" s="114"/>
      <c r="G24" s="114"/>
      <c r="H24" s="115"/>
      <c r="I24" s="113" t="s">
        <v>25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6"/>
      <c r="Y24" s="117"/>
      <c r="Z24" s="118"/>
      <c r="AA24" s="6"/>
      <c r="AB24" s="78" t="s">
        <v>74</v>
      </c>
      <c r="AC24" s="6" t="s">
        <v>82</v>
      </c>
      <c r="AD24" s="6"/>
      <c r="AE24" s="6"/>
      <c r="AF24" s="7"/>
      <c r="AG24" s="149"/>
      <c r="AH24" s="149"/>
      <c r="AI24" s="149"/>
      <c r="AJ24" s="149"/>
      <c r="AK24" s="149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28"/>
      <c r="D25" s="25"/>
      <c r="E25" s="25"/>
      <c r="F25" s="26"/>
      <c r="G25" s="26"/>
      <c r="H25" s="29"/>
      <c r="I25" s="68">
        <v>29.420916136637501</v>
      </c>
      <c r="J25" s="69">
        <v>26.9036259840112</v>
      </c>
      <c r="K25" s="69">
        <v>24.966314576627699</v>
      </c>
      <c r="L25" s="69">
        <v>23.463396013682299</v>
      </c>
      <c r="M25" s="69">
        <v>21.832212973445898</v>
      </c>
      <c r="N25" s="24">
        <v>22.086857440232301</v>
      </c>
      <c r="O25" s="24">
        <v>22.109895903426601</v>
      </c>
      <c r="P25" s="24">
        <v>24.279619249059099</v>
      </c>
      <c r="Q25" s="25">
        <v>23.0354093851507</v>
      </c>
      <c r="R25" s="25">
        <v>23.8926083865076</v>
      </c>
      <c r="S25" s="25">
        <v>23.002123733294201</v>
      </c>
      <c r="T25" s="26">
        <v>23.735399028632099</v>
      </c>
      <c r="U25" s="26">
        <v>26.959882154630002</v>
      </c>
      <c r="V25" s="26">
        <v>26.697614054713899</v>
      </c>
      <c r="W25" s="27">
        <v>35.155417402877099</v>
      </c>
      <c r="X25" s="119"/>
      <c r="Y25" s="120"/>
      <c r="Z25" s="121"/>
      <c r="AA25" s="6"/>
      <c r="AB25" s="80" t="s">
        <v>76</v>
      </c>
      <c r="AC25" s="81" t="s">
        <v>83</v>
      </c>
      <c r="AD25" s="81"/>
      <c r="AE25" s="81"/>
      <c r="AF25" s="82"/>
      <c r="AG25" s="150"/>
      <c r="AH25" s="150"/>
      <c r="AI25" s="150"/>
      <c r="AJ25" s="150"/>
      <c r="AK25" s="150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4"/>
      <c r="D26" s="11"/>
      <c r="E26" s="11"/>
      <c r="F26" s="12"/>
      <c r="G26" s="12"/>
      <c r="H26" s="15"/>
      <c r="I26" s="70">
        <v>28.510031981215199</v>
      </c>
      <c r="J26" s="71">
        <v>27.237356234609901</v>
      </c>
      <c r="K26" s="71">
        <v>25.438251653498298</v>
      </c>
      <c r="L26" s="71">
        <v>23.580995843432301</v>
      </c>
      <c r="M26" s="71">
        <v>21.761152513216501</v>
      </c>
      <c r="N26" s="10">
        <v>22.236029940609001</v>
      </c>
      <c r="O26" s="10">
        <v>22.025881738643101</v>
      </c>
      <c r="P26" s="10">
        <v>24.386539328821399</v>
      </c>
      <c r="Q26" s="11">
        <v>23.056324273404599</v>
      </c>
      <c r="R26" s="11">
        <v>23.8724734852699</v>
      </c>
      <c r="S26" s="11">
        <v>22.918375516162801</v>
      </c>
      <c r="T26" s="12">
        <v>23.777718214281698</v>
      </c>
      <c r="U26" s="12">
        <v>26.821260837732599</v>
      </c>
      <c r="V26" s="12">
        <v>26.682644851259401</v>
      </c>
      <c r="W26" s="13">
        <v>35.0978846511724</v>
      </c>
      <c r="X26" s="122"/>
      <c r="Y26" s="123"/>
      <c r="Z26" s="12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8" t="s">
        <v>17</v>
      </c>
      <c r="D28" s="128"/>
      <c r="E28" s="128"/>
      <c r="F28" s="6"/>
      <c r="G28" s="6"/>
      <c r="H28" s="128" t="s">
        <v>18</v>
      </c>
      <c r="I28" s="128"/>
      <c r="J28" s="128"/>
      <c r="K28" s="6"/>
      <c r="L28" s="6"/>
      <c r="M28" s="128" t="s">
        <v>26</v>
      </c>
      <c r="N28" s="128"/>
      <c r="O28" s="128"/>
      <c r="P28" s="6"/>
      <c r="Q28" s="6"/>
      <c r="R28" s="128" t="s">
        <v>19</v>
      </c>
      <c r="S28" s="128"/>
      <c r="T28" s="128"/>
      <c r="U28" s="6"/>
      <c r="V28" s="6"/>
      <c r="W28" s="128" t="s">
        <v>20</v>
      </c>
      <c r="X28" s="128"/>
      <c r="Y28" s="128"/>
      <c r="Z28" s="6"/>
      <c r="AA28" s="6"/>
      <c r="AB28" s="128" t="s">
        <v>21</v>
      </c>
      <c r="AC28" s="128"/>
      <c r="AD28" s="128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55" t="s">
        <v>47</v>
      </c>
      <c r="D29" s="156"/>
      <c r="E29" s="157"/>
      <c r="F29" s="6"/>
      <c r="G29" s="6"/>
      <c r="H29" s="129" t="s">
        <v>47</v>
      </c>
      <c r="I29" s="130"/>
      <c r="J29" s="131"/>
      <c r="K29" s="6"/>
      <c r="L29" s="6"/>
      <c r="M29" s="129" t="s">
        <v>47</v>
      </c>
      <c r="N29" s="130"/>
      <c r="O29" s="131"/>
      <c r="P29" s="6"/>
      <c r="Q29" s="6"/>
      <c r="R29" s="129" t="s">
        <v>47</v>
      </c>
      <c r="S29" s="153"/>
      <c r="T29" s="154"/>
      <c r="U29" s="6"/>
      <c r="V29" s="6"/>
      <c r="W29" s="129" t="s">
        <v>47</v>
      </c>
      <c r="X29" s="130"/>
      <c r="Y29" s="131"/>
      <c r="Z29" s="6"/>
      <c r="AA29" s="6"/>
      <c r="AB29" s="129" t="s">
        <v>47</v>
      </c>
      <c r="AC29" s="130"/>
      <c r="AD29" s="131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26.985263108323899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28.409220055272101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25.741833008197247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26.34395574513815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25.479579537223202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26.445376827565653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24.512818697667548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22.978284448611049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24.917134932313999</v>
      </c>
      <c r="P32" s="6"/>
      <c r="Q32" s="6"/>
      <c r="R32" s="61">
        <v>0.16</v>
      </c>
      <c r="S32" s="62">
        <f>LOG(R32)</f>
        <v>-0.79588001734407521</v>
      </c>
      <c r="T32" s="63">
        <f>AVERAGE(D10:D11)</f>
        <v>23.86868319645275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23.193689235489099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23.979927638726949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22.184799128878801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19.651996114484852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24.69812428434005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21.725017563640698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20.988633665122549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21.652274019424603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19.96382636490555</v>
      </c>
      <c r="F34" s="6"/>
      <c r="G34" s="6"/>
      <c r="H34" s="61">
        <v>4</v>
      </c>
      <c r="I34" s="62">
        <f>LOG(H34)</f>
        <v>0.6020599913279624</v>
      </c>
      <c r="J34" s="63">
        <f>AVERAGE(U4:U5)</f>
        <v>16.902823143667902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23.26560637158595</v>
      </c>
      <c r="P34" s="6"/>
      <c r="Q34" s="6"/>
      <c r="R34" s="61">
        <v>4</v>
      </c>
      <c r="S34" s="62">
        <f>LOG(R34)</f>
        <v>0.6020599913279624</v>
      </c>
      <c r="T34" s="63">
        <f>AVERAGE(F10:F11)</f>
        <v>19.07786104638755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18.864049628363802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19.3938362657948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17.561688875834548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15.094762689668251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21.084839773036798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16.87168222701365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16.441546907610551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16.771551657220499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06" t="s">
        <v>46</v>
      </c>
      <c r="D36" s="107"/>
      <c r="E36" s="33">
        <f>(10^(-1/-3.3472)-1)*100</f>
        <v>98.956059229606822</v>
      </c>
      <c r="F36" s="6"/>
      <c r="G36" s="6"/>
      <c r="H36" s="106" t="s">
        <v>46</v>
      </c>
      <c r="I36" s="107"/>
      <c r="J36" s="33">
        <f>(10^(-1/-4.6789)-1)*100</f>
        <v>63.578208793312463</v>
      </c>
      <c r="K36" s="6"/>
      <c r="L36" s="6"/>
      <c r="M36" s="106" t="s">
        <v>46</v>
      </c>
      <c r="N36" s="107"/>
      <c r="O36" s="33">
        <f>(10^(-1/-1.5688)-1)*100</f>
        <v>333.94019790121831</v>
      </c>
      <c r="P36" s="6"/>
      <c r="Q36" s="6"/>
      <c r="R36" s="106" t="s">
        <v>46</v>
      </c>
      <c r="S36" s="107"/>
      <c r="T36" s="33">
        <f>(10^(-1/-3.3958)-1)*100</f>
        <v>97.006891380094018</v>
      </c>
      <c r="U36" s="6"/>
      <c r="V36" s="6"/>
      <c r="W36" s="106" t="s">
        <v>46</v>
      </c>
      <c r="X36" s="107"/>
      <c r="Y36" s="33">
        <f>(10^(-1/-3.2055)-1)*100</f>
        <v>105.0991271844441</v>
      </c>
      <c r="Z36" s="6"/>
      <c r="AA36" s="6"/>
      <c r="AB36" s="106" t="s">
        <v>46</v>
      </c>
      <c r="AC36" s="107"/>
      <c r="AD36" s="33">
        <f>(10^(-1/-3.4241)-1)*100</f>
        <v>95.905913405947203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06" t="s">
        <v>50</v>
      </c>
      <c r="D37" s="107"/>
      <c r="E37" s="33">
        <f>SUM(E36/100)+1</f>
        <v>1.9895605922960682</v>
      </c>
      <c r="F37" s="6"/>
      <c r="G37" s="6"/>
      <c r="H37" s="106" t="s">
        <v>50</v>
      </c>
      <c r="I37" s="107"/>
      <c r="J37" s="33">
        <f>SUM(J36/100)+1</f>
        <v>1.6357820879331246</v>
      </c>
      <c r="K37" s="6"/>
      <c r="L37" s="6"/>
      <c r="M37" s="106" t="s">
        <v>50</v>
      </c>
      <c r="N37" s="107"/>
      <c r="O37" s="33">
        <f>SUM(O36/100)+1</f>
        <v>4.3394019790121829</v>
      </c>
      <c r="P37" s="6"/>
      <c r="Q37" s="6"/>
      <c r="R37" s="106" t="s">
        <v>50</v>
      </c>
      <c r="S37" s="107"/>
      <c r="T37" s="33">
        <f>SUM(T36/100)+1</f>
        <v>1.9700689138009402</v>
      </c>
      <c r="U37" s="6"/>
      <c r="V37" s="6"/>
      <c r="W37" s="106" t="s">
        <v>50</v>
      </c>
      <c r="X37" s="107"/>
      <c r="Y37" s="33">
        <f>SUM(Y36/100)+1</f>
        <v>2.050991271844441</v>
      </c>
      <c r="Z37" s="6"/>
      <c r="AA37" s="6"/>
      <c r="AB37" s="106" t="s">
        <v>50</v>
      </c>
      <c r="AC37" s="107"/>
      <c r="AD37" s="33">
        <f>SUM(AD36/100)+1</f>
        <v>1.9590591340594721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32" t="s">
        <v>94</v>
      </c>
      <c r="D39" s="133"/>
      <c r="E39" s="133"/>
      <c r="F39" s="133"/>
      <c r="G39" s="133"/>
      <c r="H39" s="134"/>
      <c r="J39" s="132" t="s">
        <v>95</v>
      </c>
      <c r="K39" s="133"/>
      <c r="L39" s="133"/>
      <c r="M39" s="133"/>
      <c r="N39" s="133"/>
      <c r="O39" s="134"/>
      <c r="Q39" s="132" t="s">
        <v>96</v>
      </c>
      <c r="R39" s="133"/>
      <c r="S39" s="133"/>
      <c r="T39" s="133"/>
      <c r="U39" s="133"/>
      <c r="V39" s="134"/>
      <c r="X39" s="132" t="s">
        <v>97</v>
      </c>
      <c r="Y39" s="133"/>
      <c r="Z39" s="133"/>
      <c r="AA39" s="133"/>
      <c r="AB39" s="133"/>
      <c r="AC39" s="134"/>
      <c r="AE39" s="132" t="s">
        <v>98</v>
      </c>
      <c r="AF39" s="133"/>
      <c r="AG39" s="133"/>
      <c r="AH39" s="133"/>
      <c r="AI39" s="133"/>
      <c r="AJ39" s="134"/>
      <c r="AL39" s="132" t="s">
        <v>99</v>
      </c>
      <c r="AM39" s="133"/>
      <c r="AN39" s="133"/>
      <c r="AO39" s="133"/>
      <c r="AP39" s="133"/>
      <c r="AQ39" s="134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51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1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1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1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0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0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51"/>
      <c r="D41" s="45" t="s">
        <v>35</v>
      </c>
      <c r="E41" s="45">
        <f>AVERAGE(H4:H5)</f>
        <v>19.199468746542301</v>
      </c>
      <c r="F41" s="52">
        <f>10^((E41- 21.917)/-3.3472)</f>
        <v>6.4845814131198907</v>
      </c>
      <c r="G41" s="53">
        <f>SUM(E41*(LOG(E37)/LOG(2)))</f>
        <v>19.054509630751294</v>
      </c>
      <c r="H41" s="52">
        <f>10^((G41- 21.917)/-3.3472)</f>
        <v>7.1645599721309399</v>
      </c>
      <c r="I41" s="6"/>
      <c r="J41" s="111"/>
      <c r="K41" s="45" t="s">
        <v>35</v>
      </c>
      <c r="L41" s="45">
        <f>AVERAGE(W4:W5)</f>
        <v>15.934363181042901</v>
      </c>
      <c r="M41" s="52">
        <f>10^((L41 -20.154)/-4.6789)</f>
        <v>7.9770767535236873</v>
      </c>
      <c r="N41" s="52">
        <f>SUM(L41*(LOG($J$37)/LOG(2)))</f>
        <v>11.313088274005681</v>
      </c>
      <c r="O41" s="52">
        <f>10^((N41 -20.154)/-4.6789)</f>
        <v>77.540361594213124</v>
      </c>
      <c r="P41" s="6"/>
      <c r="Q41" s="111"/>
      <c r="R41" s="45" t="s">
        <v>35</v>
      </c>
      <c r="S41" s="45">
        <f>AVERAGE(N7:N8)</f>
        <v>22.171273379286401</v>
      </c>
      <c r="T41" s="52">
        <f t="shared" ref="T41:T50" si="0">10^((S41-23.789)/-1.5688)</f>
        <v>10.744526716615372</v>
      </c>
      <c r="U41" s="52">
        <f>SUM(S41*(LOG($O$37)/LOG(2)))</f>
        <v>46.947587925854009</v>
      </c>
      <c r="V41" s="52">
        <f t="shared" ref="V41:V50" si="1">10^((U41-23.789)/-1.5688)</f>
        <v>1.72991201330232E-15</v>
      </c>
      <c r="W41" s="6"/>
      <c r="X41" s="111" t="s">
        <v>19</v>
      </c>
      <c r="Y41" s="45" t="s">
        <v>35</v>
      </c>
      <c r="Z41" s="45">
        <f>AVERAGE(H10:H11)</f>
        <v>18.849588721979153</v>
      </c>
      <c r="AA41" s="52">
        <f t="shared" ref="AA41:AA50" si="2">10^((Z41-21.248)/-3.3958)</f>
        <v>5.0849601600117387</v>
      </c>
      <c r="AB41" s="52">
        <f>SUM(Z41*(LOG($T$37)/LOG(2)))</f>
        <v>18.439536590086142</v>
      </c>
      <c r="AC41" s="52">
        <f t="shared" ref="AC41:AC50" si="3">10^((AB41-21.248)/-3.3958)</f>
        <v>6.7149114191729193</v>
      </c>
      <c r="AD41" s="6"/>
      <c r="AE41" s="111"/>
      <c r="AF41" s="45" t="s">
        <v>35</v>
      </c>
      <c r="AG41" s="45">
        <f>AVERAGE(W10:W11)</f>
        <v>18.149647941499349</v>
      </c>
      <c r="AH41" s="52">
        <f>10^((AG41 -  20.683)/-3.2055)</f>
        <v>6.1704120405360463</v>
      </c>
      <c r="AI41" s="52">
        <f>SUM(AG41*(LOG($Y$37)/LOG(2)))</f>
        <v>18.808867699011472</v>
      </c>
      <c r="AJ41" s="52">
        <f>10^((AI41 -  20.683)/-3.2055)</f>
        <v>3.8429210047446469</v>
      </c>
      <c r="AK41" s="6"/>
      <c r="AL41" s="111" t="s">
        <v>21</v>
      </c>
      <c r="AM41" s="45" t="s">
        <v>35</v>
      </c>
      <c r="AN41" s="45">
        <f>AVERAGE(N13:N14)</f>
        <v>18.607288166328001</v>
      </c>
      <c r="AO41" s="52">
        <f>10^((AN41-21.317)/-3.4241)</f>
        <v>6.1853558429276037</v>
      </c>
      <c r="AP41" s="45">
        <f>SUM(AN41*(LOG($AD$37)/LOG(2)))</f>
        <v>18.052064288248051</v>
      </c>
      <c r="AQ41" s="52">
        <f>10^((AP41-21.317)/-3.4241)</f>
        <v>8.9849664608702664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51"/>
      <c r="D42" s="46" t="s">
        <v>36</v>
      </c>
      <c r="E42" s="46">
        <f>AVERAGE(I4:I5)</f>
        <v>18.730776774899301</v>
      </c>
      <c r="F42" s="53">
        <f>10^((E42-  21.917)/-3.3472)</f>
        <v>8.9517312292875584</v>
      </c>
      <c r="G42" s="53">
        <f>SUM(E42*(LOG(E37)/LOG(2)))</f>
        <v>18.589356359823643</v>
      </c>
      <c r="H42" s="53">
        <f>10^((G42-  21.917)/-3.3472)</f>
        <v>9.866369984459471</v>
      </c>
      <c r="I42" s="6"/>
      <c r="J42" s="111"/>
      <c r="K42" s="46" t="s">
        <v>36</v>
      </c>
      <c r="L42" s="46">
        <f>AVERAGE(X4:X5)</f>
        <v>15.511937177722849</v>
      </c>
      <c r="M42" s="53">
        <f>10^((L42-20.154)/-4.6789)</f>
        <v>9.8203498018901936</v>
      </c>
      <c r="N42" s="53">
        <f t="shared" ref="N42:N48" si="4">SUM(L42*(LOG($J$37)/LOG(2)))</f>
        <v>11.013174018851721</v>
      </c>
      <c r="O42" s="53">
        <f>10^((N42-20.154)/-4.6789)</f>
        <v>89.87256370518439</v>
      </c>
      <c r="P42" s="6"/>
      <c r="Q42" s="111"/>
      <c r="R42" s="46" t="s">
        <v>36</v>
      </c>
      <c r="S42" s="46">
        <f>AVERAGE(O7:O8)</f>
        <v>21.853477653661599</v>
      </c>
      <c r="T42" s="53">
        <f t="shared" si="0"/>
        <v>17.13009542339487</v>
      </c>
      <c r="U42" s="53">
        <f>SUM(S42*(LOG($O$37)/LOG(2)))</f>
        <v>46.274656673056882</v>
      </c>
      <c r="V42" s="53">
        <f t="shared" si="1"/>
        <v>4.6448372796958725E-15</v>
      </c>
      <c r="W42" s="6"/>
      <c r="X42" s="111"/>
      <c r="Y42" s="46" t="s">
        <v>36</v>
      </c>
      <c r="Z42" s="46">
        <f>AVERAGE(I10:I11)</f>
        <v>18.172924086809751</v>
      </c>
      <c r="AA42" s="53">
        <f t="shared" si="2"/>
        <v>8.045494014139674</v>
      </c>
      <c r="AB42" s="53">
        <f t="shared" ref="AB42:AB50" si="5">SUM(Z42*(LOG($T$37)/LOG(2)))</f>
        <v>17.777592052013834</v>
      </c>
      <c r="AC42" s="53">
        <f t="shared" si="3"/>
        <v>10.518907942205336</v>
      </c>
      <c r="AD42" s="6"/>
      <c r="AE42" s="111"/>
      <c r="AF42" s="46" t="s">
        <v>36</v>
      </c>
      <c r="AG42" s="46">
        <f>AVERAGE(X10:X11)</f>
        <v>17.968792483055502</v>
      </c>
      <c r="AH42" s="53">
        <f>10^((AG42 -  20.683)/-3.2055)</f>
        <v>7.0264267653904522</v>
      </c>
      <c r="AI42" s="53">
        <f t="shared" ref="AI42:AI50" si="6">SUM(AG42*(LOG($Y$37)/LOG(2)))</f>
        <v>18.621443325741048</v>
      </c>
      <c r="AJ42" s="53">
        <f>10^((AI42 -  20.683)/-3.2055)</f>
        <v>4.396742983183759</v>
      </c>
      <c r="AK42" s="6"/>
      <c r="AL42" s="111"/>
      <c r="AM42" s="46" t="s">
        <v>36</v>
      </c>
      <c r="AN42" s="46">
        <f>AVERAGE(O13:O14)</f>
        <v>18.419734727826302</v>
      </c>
      <c r="AO42" s="53">
        <f>10^((AN42- 21.317)/-3.4241)</f>
        <v>7.0168018247131005</v>
      </c>
      <c r="AP42" s="46">
        <f t="shared" ref="AP42:AP50" si="7">SUM(AN42*(LOG($AD$37)/LOG(2)))</f>
        <v>17.870107266942735</v>
      </c>
      <c r="AQ42" s="53">
        <f>10^((AP42- 21.317)/-3.4241)</f>
        <v>10.154453653326561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51"/>
      <c r="D43" s="47" t="s">
        <v>37</v>
      </c>
      <c r="E43" s="47">
        <f>AVERAGE(J4:J5)</f>
        <v>20.340719121251297</v>
      </c>
      <c r="F43" s="54">
        <f t="shared" ref="F43:F50" si="8">10^((E43- 21.917)/-3.3472)</f>
        <v>2.9575031423009785</v>
      </c>
      <c r="G43" s="54">
        <f>SUM(E43*(LOG(E37)/LOG(2)))</f>
        <v>20.187143379271415</v>
      </c>
      <c r="H43" s="54">
        <f t="shared" ref="H43:H50" si="9">10^((G43- 21.917)/-3.3472)</f>
        <v>3.2870557411527277</v>
      </c>
      <c r="I43" s="6"/>
      <c r="J43" s="111"/>
      <c r="K43" s="47" t="s">
        <v>37</v>
      </c>
      <c r="L43" s="47">
        <f>AVERAGE(Y4:Y5)</f>
        <v>18.080905744965449</v>
      </c>
      <c r="M43" s="54">
        <f t="shared" ref="M43:M50" si="10">10^((L43 -20.154)/-4.6789)</f>
        <v>2.7737863012677235</v>
      </c>
      <c r="N43" s="54">
        <f t="shared" si="4"/>
        <v>12.83709178978201</v>
      </c>
      <c r="O43" s="54">
        <f t="shared" ref="O43:O50" si="11">10^((N43 -20.154)/-4.6789)</f>
        <v>36.627686412129009</v>
      </c>
      <c r="P43" s="6"/>
      <c r="Q43" s="111"/>
      <c r="R43" s="47" t="s">
        <v>37</v>
      </c>
      <c r="S43" s="47">
        <f>AVERAGE(P7:P8)</f>
        <v>23.77414616625645</v>
      </c>
      <c r="T43" s="54">
        <f t="shared" si="0"/>
        <v>1.0220409041698091</v>
      </c>
      <c r="U43" s="54">
        <f t="shared" ref="U43:U50" si="12">SUM(S43*(LOG($O$37)/LOG(2)))</f>
        <v>50.341665018897238</v>
      </c>
      <c r="V43" s="54">
        <f t="shared" si="1"/>
        <v>1.1872381712445214E-17</v>
      </c>
      <c r="W43" s="6"/>
      <c r="X43" s="111"/>
      <c r="Y43" s="47" t="s">
        <v>37</v>
      </c>
      <c r="Z43" s="47">
        <f>AVERAGE(J10:J11)</f>
        <v>19.031516604661199</v>
      </c>
      <c r="AA43" s="54">
        <f t="shared" si="2"/>
        <v>4.4948289950178637</v>
      </c>
      <c r="AB43" s="54">
        <f t="shared" si="5"/>
        <v>18.617506831185398</v>
      </c>
      <c r="AC43" s="54">
        <f t="shared" si="3"/>
        <v>5.9515674375469496</v>
      </c>
      <c r="AD43" s="6"/>
      <c r="AE43" s="111"/>
      <c r="AF43" s="47" t="s">
        <v>37</v>
      </c>
      <c r="AG43" s="47">
        <f>AVERAGE(Y10:Y11)</f>
        <v>18.991821697679903</v>
      </c>
      <c r="AH43" s="54">
        <f>10^((AG43 - 20.683)/-3.2055)</f>
        <v>3.3696626977617239</v>
      </c>
      <c r="AI43" s="54">
        <f t="shared" si="6"/>
        <v>19.681630344911643</v>
      </c>
      <c r="AJ43" s="54">
        <f>10^((AI43 - 20.683)/-3.2055)</f>
        <v>2.0530101429569547</v>
      </c>
      <c r="AK43" s="6"/>
      <c r="AL43" s="111"/>
      <c r="AM43" s="47" t="s">
        <v>37</v>
      </c>
      <c r="AN43" s="47">
        <f>AVERAGE(P13:P14)</f>
        <v>19.435752199079349</v>
      </c>
      <c r="AO43" s="54">
        <f>10^((AN43- 21.317)/-3.4241)</f>
        <v>3.5433479591389037</v>
      </c>
      <c r="AP43" s="47">
        <f t="shared" si="7"/>
        <v>18.855807737913768</v>
      </c>
      <c r="AQ43" s="54">
        <f>10^((AP43- 21.317)/-3.4241)</f>
        <v>5.2334148061026999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51"/>
      <c r="D44" s="48" t="s">
        <v>38</v>
      </c>
      <c r="E44" s="48">
        <f>AVERAGE(K4:K5)</f>
        <v>19.2605395796094</v>
      </c>
      <c r="F44" s="55">
        <f t="shared" si="8"/>
        <v>6.2177978428837477</v>
      </c>
      <c r="G44" s="55">
        <f>SUM(E44*(LOG(E37)/LOG(2)))</f>
        <v>19.115119369082969</v>
      </c>
      <c r="H44" s="55">
        <f t="shared" si="9"/>
        <v>6.8719806580138885</v>
      </c>
      <c r="I44" s="6"/>
      <c r="J44" s="111"/>
      <c r="K44" s="48" t="s">
        <v>38</v>
      </c>
      <c r="L44" s="48">
        <f>AVERAGE(C7:C8)</f>
        <v>16.617719675515353</v>
      </c>
      <c r="M44" s="55">
        <f t="shared" si="10"/>
        <v>5.698927048307187</v>
      </c>
      <c r="N44" s="55">
        <f t="shared" si="4"/>
        <v>11.798258108328231</v>
      </c>
      <c r="O44" s="55">
        <f t="shared" si="11"/>
        <v>61.070950814547786</v>
      </c>
      <c r="P44" s="6"/>
      <c r="Q44" s="111"/>
      <c r="R44" s="48" t="s">
        <v>38</v>
      </c>
      <c r="S44" s="48">
        <f>AVERAGE(Q7:Q8)</f>
        <v>22.75923635812725</v>
      </c>
      <c r="T44" s="55">
        <f t="shared" si="0"/>
        <v>4.5331711634938623</v>
      </c>
      <c r="U44" s="55">
        <f t="shared" si="12"/>
        <v>48.19259732040085</v>
      </c>
      <c r="V44" s="55">
        <f t="shared" si="1"/>
        <v>2.7823888371286079E-16</v>
      </c>
      <c r="W44" s="6"/>
      <c r="X44" s="111"/>
      <c r="Y44" s="48" t="s">
        <v>38</v>
      </c>
      <c r="Z44" s="48">
        <f>AVERAGE(K10:K11)</f>
        <v>19.135470643759248</v>
      </c>
      <c r="AA44" s="55">
        <f t="shared" si="2"/>
        <v>4.1889062513423738</v>
      </c>
      <c r="AB44" s="55">
        <f t="shared" si="5"/>
        <v>18.719199464160496</v>
      </c>
      <c r="AC44" s="55">
        <f t="shared" si="3"/>
        <v>5.5550090165273689</v>
      </c>
      <c r="AD44" s="6"/>
      <c r="AE44" s="111"/>
      <c r="AF44" s="48" t="s">
        <v>38</v>
      </c>
      <c r="AG44" s="48">
        <f>AVERAGE(C13:C14)</f>
        <v>18.342623782216599</v>
      </c>
      <c r="AH44" s="55">
        <f>10^((AG44 -  20.683)/-3.2055)</f>
        <v>5.3717115869277769</v>
      </c>
      <c r="AI44" s="55">
        <f t="shared" si="6"/>
        <v>19.008852683230202</v>
      </c>
      <c r="AJ44" s="55">
        <f>10^((AI44 -  20.683)/-3.2055)</f>
        <v>3.3286902131370901</v>
      </c>
      <c r="AK44" s="6"/>
      <c r="AL44" s="111"/>
      <c r="AM44" s="48" t="s">
        <v>38</v>
      </c>
      <c r="AN44" s="48">
        <f>AVERAGE(Q13:Q14)</f>
        <v>19.06887163481835</v>
      </c>
      <c r="AO44" s="55">
        <f>10^((AN44-21.317)/-3.4241)</f>
        <v>4.5348233133499321</v>
      </c>
      <c r="AP44" s="48">
        <f t="shared" si="7"/>
        <v>18.499874542654652</v>
      </c>
      <c r="AQ44" s="55">
        <f>10^((AP44-21.317)/-3.4241)</f>
        <v>6.6486668924609464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51"/>
      <c r="D45" s="48" t="s">
        <v>39</v>
      </c>
      <c r="E45" s="48">
        <f>AVERAGE(L4:L5)</f>
        <v>20.027387508520249</v>
      </c>
      <c r="F45" s="55">
        <f t="shared" si="8"/>
        <v>3.6688949814461544</v>
      </c>
      <c r="G45" s="55">
        <f>SUM(E45*(LOG(E37)/LOG(2)))</f>
        <v>19.876177471244517</v>
      </c>
      <c r="H45" s="55">
        <f t="shared" si="9"/>
        <v>4.0710868131745954</v>
      </c>
      <c r="I45" s="6"/>
      <c r="J45" s="111"/>
      <c r="K45" s="48" t="s">
        <v>39</v>
      </c>
      <c r="L45" s="48">
        <f>AVERAGE(D7:D8)</f>
        <v>17.319084346846701</v>
      </c>
      <c r="M45" s="55">
        <f t="shared" si="10"/>
        <v>4.0354653145447852</v>
      </c>
      <c r="N45" s="55">
        <f t="shared" si="4"/>
        <v>12.296213398344483</v>
      </c>
      <c r="O45" s="55">
        <f t="shared" si="11"/>
        <v>47.797916254492833</v>
      </c>
      <c r="P45" s="6"/>
      <c r="Q45" s="111"/>
      <c r="R45" s="48" t="s">
        <v>39</v>
      </c>
      <c r="S45" s="48">
        <f>AVERAGE(R7:R8)</f>
        <v>23.2851954191426</v>
      </c>
      <c r="T45" s="55">
        <f t="shared" si="0"/>
        <v>2.0947880844435609</v>
      </c>
      <c r="U45" s="55">
        <f t="shared" si="12"/>
        <v>49.306313652340847</v>
      </c>
      <c r="V45" s="55">
        <f t="shared" si="1"/>
        <v>5.4262743965411275E-17</v>
      </c>
      <c r="W45" s="6"/>
      <c r="X45" s="111"/>
      <c r="Y45" s="48" t="s">
        <v>39</v>
      </c>
      <c r="Z45" s="48">
        <f>AVERAGE(L10:L11)</f>
        <v>19.260584298504298</v>
      </c>
      <c r="AA45" s="55">
        <f t="shared" si="2"/>
        <v>3.8481943212601459</v>
      </c>
      <c r="AB45" s="55">
        <f t="shared" si="5"/>
        <v>18.841591408548155</v>
      </c>
      <c r="AC45" s="55">
        <f t="shared" si="3"/>
        <v>5.1126094076848858</v>
      </c>
      <c r="AD45" s="6"/>
      <c r="AE45" s="111"/>
      <c r="AF45" s="48" t="s">
        <v>39</v>
      </c>
      <c r="AG45" s="48">
        <f>AVERAGE(D13:D14)</f>
        <v>18.571342138842351</v>
      </c>
      <c r="AH45" s="55">
        <f>10^((AG45 -  20.683)/-3.2055)</f>
        <v>4.5578584807414009</v>
      </c>
      <c r="AI45" s="55">
        <f t="shared" si="6"/>
        <v>19.245878399870836</v>
      </c>
      <c r="AJ45" s="55">
        <f>10^((AI45 -  20.683)/-3.2055)</f>
        <v>2.8075657321067915</v>
      </c>
      <c r="AK45" s="6"/>
      <c r="AL45" s="111"/>
      <c r="AM45" s="48" t="s">
        <v>39</v>
      </c>
      <c r="AN45" s="48">
        <f>AVERAGE(R13:R14)</f>
        <v>19.320481760554898</v>
      </c>
      <c r="AO45" s="55">
        <f>10^((AN45- 21.317)/-3.4241)</f>
        <v>3.8289372678560922</v>
      </c>
      <c r="AP45" s="48">
        <f t="shared" si="7"/>
        <v>18.743976860239531</v>
      </c>
      <c r="AQ45" s="55">
        <f>10^((AP45- 21.317)/-3.4241)</f>
        <v>5.6421560295603106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51"/>
      <c r="D46" s="48" t="s">
        <v>40</v>
      </c>
      <c r="E46" s="48">
        <f>AVERAGE(M4:M5)</f>
        <v>19.128157054418047</v>
      </c>
      <c r="F46" s="55">
        <f t="shared" si="8"/>
        <v>6.8106227768398115</v>
      </c>
      <c r="G46" s="55">
        <f>SUM(E46*(LOG(E37)/LOG(2)))</f>
        <v>18.983736353516139</v>
      </c>
      <c r="H46" s="55">
        <f t="shared" si="9"/>
        <v>7.5220037637469659</v>
      </c>
      <c r="I46" s="6"/>
      <c r="J46" s="111"/>
      <c r="K46" s="48" t="s">
        <v>40</v>
      </c>
      <c r="L46" s="48">
        <f>AVERAGE(E7:E8)</f>
        <v>16.567940957456599</v>
      </c>
      <c r="M46" s="55">
        <f t="shared" si="10"/>
        <v>5.8402585846107842</v>
      </c>
      <c r="N46" s="55">
        <f t="shared" si="4"/>
        <v>11.762916185644084</v>
      </c>
      <c r="O46" s="55">
        <f t="shared" si="11"/>
        <v>62.142418277543179</v>
      </c>
      <c r="P46" s="6"/>
      <c r="Q46" s="111"/>
      <c r="R46" s="48" t="s">
        <v>40</v>
      </c>
      <c r="S46" s="48">
        <f>AVERAGE(S7:S8)</f>
        <v>22.757937471616</v>
      </c>
      <c r="T46" s="55">
        <f t="shared" si="0"/>
        <v>4.5418215492037515</v>
      </c>
      <c r="U46" s="55">
        <f t="shared" si="12"/>
        <v>48.189846933102409</v>
      </c>
      <c r="V46" s="55">
        <f t="shared" si="1"/>
        <v>2.7936436082737972E-16</v>
      </c>
      <c r="W46" s="6"/>
      <c r="X46" s="111"/>
      <c r="Y46" s="48" t="s">
        <v>40</v>
      </c>
      <c r="Z46" s="48">
        <f>AVERAGE(M10:M11)</f>
        <v>18.861635073322699</v>
      </c>
      <c r="AA46" s="55">
        <f t="shared" si="2"/>
        <v>5.0435940998725588</v>
      </c>
      <c r="AB46" s="55">
        <f t="shared" si="5"/>
        <v>18.451320886266426</v>
      </c>
      <c r="AC46" s="55">
        <f t="shared" si="3"/>
        <v>6.6614693150015309</v>
      </c>
      <c r="AD46" s="6"/>
      <c r="AE46" s="111"/>
      <c r="AF46" s="48" t="s">
        <v>40</v>
      </c>
      <c r="AG46" s="48">
        <f>AVERAGE(E13:E14)</f>
        <v>18.281725677687199</v>
      </c>
      <c r="AH46" s="55">
        <f>10^((AG46 -  20.683)/-3.2055)</f>
        <v>5.6119099254281819</v>
      </c>
      <c r="AI46" s="55">
        <f t="shared" si="6"/>
        <v>18.945742677190083</v>
      </c>
      <c r="AJ46" s="55">
        <f>10^((AI46 -  20.683)/-3.2055)</f>
        <v>3.4830637005462282</v>
      </c>
      <c r="AK46" s="6"/>
      <c r="AL46" s="111"/>
      <c r="AM46" s="48" t="s">
        <v>40</v>
      </c>
      <c r="AN46" s="48">
        <f>AVERAGE(S13:S14)</f>
        <v>18.9341082954409</v>
      </c>
      <c r="AO46" s="55">
        <f>10^((AN46- 21.317)/-3.4241)</f>
        <v>4.9649819403394559</v>
      </c>
      <c r="AP46" s="48">
        <f t="shared" si="7"/>
        <v>18.369132413850355</v>
      </c>
      <c r="AQ46" s="55">
        <f>10^((AP46- 21.317)/-3.4241)</f>
        <v>7.2596802457552929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51"/>
      <c r="D47" s="49" t="s">
        <v>41</v>
      </c>
      <c r="E47" s="49">
        <f>AVERAGE(N4:N5)</f>
        <v>19.491678009188849</v>
      </c>
      <c r="F47" s="56">
        <f t="shared" si="8"/>
        <v>5.3037413287137669</v>
      </c>
      <c r="G47" s="56">
        <f>SUM(E47*(LOG(E37)/LOG(2)))</f>
        <v>19.344512665876739</v>
      </c>
      <c r="H47" s="56">
        <f t="shared" si="9"/>
        <v>5.8687963053302532</v>
      </c>
      <c r="I47" s="6"/>
      <c r="J47" s="111"/>
      <c r="K47" s="49" t="s">
        <v>41</v>
      </c>
      <c r="L47" s="49">
        <f>AVERAGE(F7:F8)</f>
        <v>17.3162379317898</v>
      </c>
      <c r="M47" s="56">
        <f t="shared" si="10"/>
        <v>4.041122077543041</v>
      </c>
      <c r="N47" s="56">
        <f t="shared" si="4"/>
        <v>12.294192498956329</v>
      </c>
      <c r="O47" s="56">
        <f t="shared" si="11"/>
        <v>47.845476223014877</v>
      </c>
      <c r="P47" s="6"/>
      <c r="Q47" s="111"/>
      <c r="R47" s="49" t="s">
        <v>41</v>
      </c>
      <c r="S47" s="49">
        <f>AVERAGE(T7:T8)</f>
        <v>23.483249222645501</v>
      </c>
      <c r="T47" s="56">
        <f t="shared" si="0"/>
        <v>1.5663711738448014</v>
      </c>
      <c r="U47" s="56">
        <f t="shared" si="12"/>
        <v>49.725691835764856</v>
      </c>
      <c r="V47" s="56">
        <f t="shared" si="1"/>
        <v>2.9320918120684687E-17</v>
      </c>
      <c r="W47" s="6"/>
      <c r="X47" s="111"/>
      <c r="Y47" s="49" t="s">
        <v>41</v>
      </c>
      <c r="Z47" s="49">
        <f>AVERAGE(N10:N11)</f>
        <v>18.9425072617572</v>
      </c>
      <c r="AA47" s="56">
        <f t="shared" si="2"/>
        <v>4.7744656292538048</v>
      </c>
      <c r="AB47" s="56">
        <f t="shared" si="5"/>
        <v>18.53043378892724</v>
      </c>
      <c r="AC47" s="56">
        <f t="shared" si="3"/>
        <v>6.3135373196724549</v>
      </c>
      <c r="AD47" s="6"/>
      <c r="AE47" s="111"/>
      <c r="AF47" s="49" t="s">
        <v>41</v>
      </c>
      <c r="AG47" s="49">
        <f>AVERAGE(F13:F14)</f>
        <v>18.023724486378853</v>
      </c>
      <c r="AH47" s="56">
        <f>10^((AG47 - 20.683)/-3.2055)</f>
        <v>6.7545703129893546</v>
      </c>
      <c r="AI47" s="56">
        <f t="shared" si="6"/>
        <v>18.678370533711188</v>
      </c>
      <c r="AJ47" s="56">
        <f>10^((AI47 - 20.683)/-3.2055)</f>
        <v>4.2205772179046814</v>
      </c>
      <c r="AK47" s="6"/>
      <c r="AL47" s="111"/>
      <c r="AM47" s="49" t="s">
        <v>41</v>
      </c>
      <c r="AN47" s="49">
        <f>AVERAGE(T13:T14)</f>
        <v>18.921647771731251</v>
      </c>
      <c r="AO47" s="56">
        <f>10^((AN47-21.317)/-3.4241)</f>
        <v>5.0067595916938474</v>
      </c>
      <c r="AP47" s="49">
        <f t="shared" si="7"/>
        <v>18.357043700381681</v>
      </c>
      <c r="AQ47" s="56">
        <f>10^((AP47-21.317)/-3.4241)</f>
        <v>7.3189363725369994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51"/>
      <c r="D48" s="50" t="s">
        <v>42</v>
      </c>
      <c r="E48" s="50">
        <f>AVERAGE(O4:O5)</f>
        <v>21.235959669466702</v>
      </c>
      <c r="F48" s="57">
        <f t="shared" si="8"/>
        <v>1.5975912819409339</v>
      </c>
      <c r="G48" s="57">
        <f>SUM(E48*(LOG(E37)/LOG(2)))</f>
        <v>21.075624715552223</v>
      </c>
      <c r="H48" s="57">
        <f t="shared" si="9"/>
        <v>1.7838851862233007</v>
      </c>
      <c r="I48" s="6"/>
      <c r="J48" s="111"/>
      <c r="K48" s="50" t="s">
        <v>42</v>
      </c>
      <c r="L48" s="50">
        <f>AVERAGE(G7:G8)</f>
        <v>20.246331493584051</v>
      </c>
      <c r="M48" s="57">
        <f t="shared" si="10"/>
        <v>0.95557858877333068</v>
      </c>
      <c r="N48" s="57">
        <f t="shared" si="4"/>
        <v>14.374501999816127</v>
      </c>
      <c r="O48" s="57">
        <f t="shared" si="11"/>
        <v>17.188018045602565</v>
      </c>
      <c r="P48" s="6"/>
      <c r="Q48" s="111"/>
      <c r="R48" s="50" t="s">
        <v>42</v>
      </c>
      <c r="S48" s="50">
        <f>AVERAGE(U7:U8)</f>
        <v>25.115543002459251</v>
      </c>
      <c r="T48" s="57">
        <f t="shared" si="0"/>
        <v>0.14269930223621308</v>
      </c>
      <c r="U48" s="57">
        <f t="shared" si="12"/>
        <v>53.182067770411201</v>
      </c>
      <c r="V48" s="57">
        <f t="shared" si="1"/>
        <v>1.8364548628161638E-19</v>
      </c>
      <c r="W48" s="6"/>
      <c r="X48" s="111"/>
      <c r="Y48" s="50" t="s">
        <v>42</v>
      </c>
      <c r="Z48" s="50">
        <f>AVERAGE(O10:O11)</f>
        <v>19.981928267370698</v>
      </c>
      <c r="AA48" s="57">
        <f t="shared" si="2"/>
        <v>2.35957941865597</v>
      </c>
      <c r="AB48" s="57">
        <f t="shared" si="5"/>
        <v>19.547243330408939</v>
      </c>
      <c r="AC48" s="57">
        <f t="shared" si="3"/>
        <v>3.1684089843959784</v>
      </c>
      <c r="AD48" s="6"/>
      <c r="AE48" s="111"/>
      <c r="AF48" s="50" t="s">
        <v>42</v>
      </c>
      <c r="AG48" s="50">
        <f>AVERAGE(G13:G14)</f>
        <v>18.774506550271649</v>
      </c>
      <c r="AH48" s="57">
        <f>10^((AG48 - 20.683)/-3.2055)</f>
        <v>3.9389538465635212</v>
      </c>
      <c r="AI48" s="57">
        <f t="shared" si="6"/>
        <v>19.456422017468167</v>
      </c>
      <c r="AJ48" s="57">
        <f>10^((AI48 - 20.683)/-3.2055)</f>
        <v>2.4135035579668878</v>
      </c>
      <c r="AK48" s="6"/>
      <c r="AL48" s="111"/>
      <c r="AM48" s="50" t="s">
        <v>42</v>
      </c>
      <c r="AN48" s="50">
        <f>AVERAGE(U13:U14)</f>
        <v>20.38789622533945</v>
      </c>
      <c r="AO48" s="57">
        <f>10^((AN48-21.317)/-3.4241)</f>
        <v>1.867852064494818</v>
      </c>
      <c r="AP48" s="50">
        <f t="shared" si="7"/>
        <v>19.779540687071972</v>
      </c>
      <c r="AQ48" s="57">
        <f>10^((AP48-21.317)/-3.4241)</f>
        <v>2.8119734664576219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52"/>
      <c r="D49" s="51" t="s">
        <v>43</v>
      </c>
      <c r="E49" s="51">
        <f>AVERAGE(P4:P5)</f>
        <v>20.2931479299396</v>
      </c>
      <c r="F49" s="58">
        <f t="shared" si="8"/>
        <v>3.0558881137725069</v>
      </c>
      <c r="G49" s="58">
        <f>SUM(E49*(LOG(E37)/LOG(2)))</f>
        <v>20.139931358201391</v>
      </c>
      <c r="H49" s="58">
        <f t="shared" si="9"/>
        <v>3.3955646107136079</v>
      </c>
      <c r="I49" s="6"/>
      <c r="J49" s="112"/>
      <c r="K49" s="51" t="s">
        <v>43</v>
      </c>
      <c r="L49" s="51">
        <f>AVERAGE(H7:H8)</f>
        <v>18.4934269484</v>
      </c>
      <c r="M49" s="58">
        <f t="shared" si="10"/>
        <v>2.2641579472099531</v>
      </c>
      <c r="N49" s="58">
        <f>SUM(L49*(LOG($J$37)/LOG(2)))</f>
        <v>13.129973829455006</v>
      </c>
      <c r="O49" s="58">
        <f t="shared" si="11"/>
        <v>31.711233981965115</v>
      </c>
      <c r="P49" s="6"/>
      <c r="Q49" s="112"/>
      <c r="R49" s="51" t="s">
        <v>43</v>
      </c>
      <c r="S49" s="51">
        <f>AVERAGE(V7:V8)</f>
        <v>24.475288934907649</v>
      </c>
      <c r="T49" s="58">
        <f t="shared" si="0"/>
        <v>0.36520685835391981</v>
      </c>
      <c r="U49" s="58">
        <f t="shared" si="12"/>
        <v>51.826332192347984</v>
      </c>
      <c r="V49" s="58">
        <f t="shared" si="1"/>
        <v>1.3432802487732872E-18</v>
      </c>
      <c r="W49" s="6"/>
      <c r="X49" s="112"/>
      <c r="Y49" s="51" t="s">
        <v>43</v>
      </c>
      <c r="Z49" s="51">
        <f>AVERAGE(P10:P11)</f>
        <v>19.608673216619401</v>
      </c>
      <c r="AA49" s="58">
        <f t="shared" si="2"/>
        <v>3.0391439852659121</v>
      </c>
      <c r="AB49" s="58">
        <f t="shared" si="5"/>
        <v>19.182108033969413</v>
      </c>
      <c r="AC49" s="58">
        <f t="shared" si="3"/>
        <v>4.058511641584075</v>
      </c>
      <c r="AD49" s="6"/>
      <c r="AE49" s="112"/>
      <c r="AF49" s="51" t="s">
        <v>43</v>
      </c>
      <c r="AG49" s="51">
        <f>AVERAGE(H13:H14)</f>
        <v>18.082633239161499</v>
      </c>
      <c r="AH49" s="58">
        <f>10^((AG49 - 20.683)/-3.2055)</f>
        <v>6.4747100973959038</v>
      </c>
      <c r="AI49" s="58">
        <f t="shared" si="6"/>
        <v>18.739418932058854</v>
      </c>
      <c r="AJ49" s="58">
        <f>10^((AI49 - 20.683)/-3.2055)</f>
        <v>4.0394939244298103</v>
      </c>
      <c r="AK49" s="6"/>
      <c r="AL49" s="112"/>
      <c r="AM49" s="51" t="s">
        <v>43</v>
      </c>
      <c r="AN49" s="51">
        <f>AVERAGE(V13:V14)</f>
        <v>19.66078563634975</v>
      </c>
      <c r="AO49" s="58">
        <f>10^((AN49-21.317)/-3.4241)</f>
        <v>3.0457435941008613</v>
      </c>
      <c r="AP49" s="51">
        <f t="shared" si="7"/>
        <v>19.074126390277197</v>
      </c>
      <c r="AQ49" s="58">
        <f>10^((AP49-21.317)/-3.4241)</f>
        <v>4.518827179243373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35" t="s">
        <v>34</v>
      </c>
      <c r="D50" s="136"/>
      <c r="E50" s="60">
        <f>AVERAGE(Q4:Q5)</f>
        <v>37.346426693139307</v>
      </c>
      <c r="F50" s="59">
        <f t="shared" si="8"/>
        <v>2.4566774745811696E-5</v>
      </c>
      <c r="G50" s="59">
        <f>SUM(E50*(LOG(E37)/LOG(2)))</f>
        <v>37.064455089504904</v>
      </c>
      <c r="H50" s="59">
        <f t="shared" si="9"/>
        <v>2.9825599522129098E-5</v>
      </c>
      <c r="I50" s="6"/>
      <c r="J50" s="135" t="s">
        <v>34</v>
      </c>
      <c r="K50" s="136"/>
      <c r="L50" s="60">
        <f>AVERAGE(Z4:Z5)</f>
        <v>34.795052550514356</v>
      </c>
      <c r="M50" s="59">
        <f t="shared" si="10"/>
        <v>7.4273600988396379E-4</v>
      </c>
      <c r="N50" s="59">
        <f>SUM(L50*(LOG($J$37)/LOG(2)))</f>
        <v>24.703811286976816</v>
      </c>
      <c r="O50" s="59">
        <f t="shared" si="11"/>
        <v>0.10655885446147413</v>
      </c>
      <c r="P50" s="6"/>
      <c r="Q50" s="135" t="s">
        <v>34</v>
      </c>
      <c r="R50" s="136"/>
      <c r="S50" s="60">
        <f>AVERAGE(W7:W8)</f>
        <v>32.757574020368253</v>
      </c>
      <c r="T50" s="59">
        <f t="shared" si="0"/>
        <v>1.9193886135422115E-6</v>
      </c>
      <c r="U50" s="59">
        <f t="shared" si="12"/>
        <v>69.364039685500813</v>
      </c>
      <c r="V50" s="59">
        <f t="shared" si="1"/>
        <v>8.8942185877999714E-30</v>
      </c>
      <c r="W50" s="6"/>
      <c r="X50" s="135" t="s">
        <v>34</v>
      </c>
      <c r="Y50" s="136"/>
      <c r="Z50" s="60">
        <f>AVERAGE(Q10:Q11)</f>
        <v>35.516510913033748</v>
      </c>
      <c r="AA50" s="59">
        <f t="shared" si="2"/>
        <v>6.2833126527102732E-5</v>
      </c>
      <c r="AB50" s="59">
        <f t="shared" si="5"/>
        <v>34.743888166081753</v>
      </c>
      <c r="AC50" s="59">
        <f t="shared" si="3"/>
        <v>1.0609910310867474E-4</v>
      </c>
      <c r="AD50" s="6"/>
      <c r="AE50" s="158" t="s">
        <v>34</v>
      </c>
      <c r="AF50" s="159"/>
      <c r="AG50" s="60">
        <f>AVERAGE(Z10:Z11)</f>
        <v>36.806745625904753</v>
      </c>
      <c r="AH50" s="59">
        <f>10^((AG50 - 20.683)/-3.2055)</f>
        <v>9.3320025251017722E-6</v>
      </c>
      <c r="AI50" s="59">
        <f t="shared" si="6"/>
        <v>38.143616401829838</v>
      </c>
      <c r="AJ50" s="59">
        <f>10^((AI50 - 20.683)/-3.2055)</f>
        <v>3.5720665703329489E-6</v>
      </c>
      <c r="AK50" s="6"/>
      <c r="AL50" s="158" t="s">
        <v>34</v>
      </c>
      <c r="AM50" s="159"/>
      <c r="AN50" s="60">
        <f>AVERAGE(W13:W14)</f>
        <v>37.054207810032096</v>
      </c>
      <c r="AO50" s="59">
        <f>10^((AN50-21.317)/-3.4241)</f>
        <v>2.5350532630822622E-5</v>
      </c>
      <c r="AP50" s="60">
        <f t="shared" si="7"/>
        <v>35.948545298893244</v>
      </c>
      <c r="AQ50" s="59">
        <f>10^((AP50-21.317)/-3.4241)</f>
        <v>5.3320364661619204E-5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9">
        <f>AVERAGE(E41:E49)</f>
        <v>19.745314932648416</v>
      </c>
      <c r="F51" s="89">
        <f>AVERAGE(F41:F49)</f>
        <v>5.0053724567005951</v>
      </c>
      <c r="G51" s="89">
        <f>AVERAGE(G41:G49)</f>
        <v>19.596234589257811</v>
      </c>
      <c r="H51" s="89">
        <f>AVERAGE(H41:H49)</f>
        <v>5.5368114483273052</v>
      </c>
      <c r="I51" s="6"/>
      <c r="J51" s="108" t="s">
        <v>84</v>
      </c>
      <c r="K51" s="109"/>
      <c r="L51" s="89">
        <f>AVERAGE(L41:L49)</f>
        <v>17.343105273035967</v>
      </c>
      <c r="M51" s="89">
        <f>AVERAGE(M41:M49)</f>
        <v>4.8229691575189655</v>
      </c>
      <c r="N51" s="89">
        <f>AVERAGE(N41:N49)</f>
        <v>12.313267789242632</v>
      </c>
      <c r="O51" s="89">
        <f>AVERAGE(O41:O49)</f>
        <v>52.421847256521431</v>
      </c>
      <c r="P51" s="6"/>
      <c r="Q51" s="108" t="s">
        <v>84</v>
      </c>
      <c r="R51" s="109"/>
      <c r="S51" s="89">
        <f>AVERAGE(S41:S49)</f>
        <v>23.297260845344741</v>
      </c>
      <c r="T51" s="89">
        <f>AVERAGE(T41:T49)</f>
        <v>4.6823023528617949</v>
      </c>
      <c r="U51" s="89">
        <f>AVERAGE(U41:U49)</f>
        <v>49.331862146908477</v>
      </c>
      <c r="V51" s="89">
        <f>AVERAGE(V41:V49)</f>
        <v>7.810372785635588E-16</v>
      </c>
      <c r="W51" s="6"/>
      <c r="X51" s="108" t="s">
        <v>84</v>
      </c>
      <c r="Y51" s="109"/>
      <c r="Z51" s="89">
        <f>AVERAGE(Z41:Z49)</f>
        <v>19.093869797198185</v>
      </c>
      <c r="AA51" s="89">
        <f>AVERAGE(AA41:AA49)</f>
        <v>4.5421296527577821</v>
      </c>
      <c r="AB51" s="89">
        <f>AVERAGE(AB41:AB49)</f>
        <v>18.678503598396233</v>
      </c>
      <c r="AC51" s="89">
        <f>AVERAGE(AC41:AC49)</f>
        <v>6.0061036093101672</v>
      </c>
      <c r="AD51" s="6"/>
      <c r="AE51" s="108" t="s">
        <v>84</v>
      </c>
      <c r="AF51" s="109"/>
      <c r="AG51" s="89">
        <f>AVERAGE(AG41:AG49)</f>
        <v>18.354090888532546</v>
      </c>
      <c r="AH51" s="89">
        <f>AVERAGE(AH41:AH49)</f>
        <v>5.4751350837482633</v>
      </c>
      <c r="AI51" s="89">
        <f>AVERAGE(AI41:AI49)</f>
        <v>19.020736290354833</v>
      </c>
      <c r="AJ51" s="89">
        <f>AVERAGE(AJ41:AJ49)</f>
        <v>3.3983964974418717</v>
      </c>
      <c r="AK51" s="6"/>
      <c r="AL51" s="108" t="s">
        <v>84</v>
      </c>
      <c r="AM51" s="109"/>
      <c r="AN51" s="89">
        <f>AVERAGE(AN41:AN49)</f>
        <v>19.195174046385361</v>
      </c>
      <c r="AO51" s="89">
        <f>AVERAGE(AO41:AO49)</f>
        <v>4.4438448220682902</v>
      </c>
      <c r="AP51" s="89">
        <f>AVERAGE(AP41:AP49)</f>
        <v>18.622408209731105</v>
      </c>
      <c r="AQ51" s="89">
        <f>AVERAGE(AQ41:AQ49)</f>
        <v>6.508119456257119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9">
        <f>(E53/SQRT(9))</f>
        <v>0.24754778117463874</v>
      </c>
      <c r="F52" s="89">
        <f>(F53/SQRT(9))</f>
        <v>0.73680271265155384</v>
      </c>
      <c r="G52" s="89">
        <f>(G53/SQRT(9))</f>
        <v>0.24567875511205248</v>
      </c>
      <c r="H52" s="89">
        <f>(H53/SQRT(9))</f>
        <v>0.80972228636519006</v>
      </c>
      <c r="I52" s="6"/>
      <c r="J52" s="108" t="s">
        <v>85</v>
      </c>
      <c r="K52" s="109"/>
      <c r="L52" s="89">
        <f>(L53/SQRT(9))</f>
        <v>0.45491018915654413</v>
      </c>
      <c r="M52" s="89">
        <f>(M53/SQRT(9))</f>
        <v>0.88651913417244999</v>
      </c>
      <c r="N52" s="89">
        <f>(N53/SQRT(9))</f>
        <v>0.32297739597120018</v>
      </c>
      <c r="O52" s="89">
        <f>(O53/SQRT(9))</f>
        <v>7.1706914348686412</v>
      </c>
      <c r="P52" s="6"/>
      <c r="Q52" s="108" t="s">
        <v>85</v>
      </c>
      <c r="R52" s="109"/>
      <c r="S52" s="89">
        <f>(S53/SQRT(9))</f>
        <v>0.33126683086213332</v>
      </c>
      <c r="T52" s="89">
        <f>(T53/SQRT(9))</f>
        <v>1.7943229128831855</v>
      </c>
      <c r="U52" s="89">
        <f>(U53/SQRT(9))</f>
        <v>0.7014562674306607</v>
      </c>
      <c r="V52" s="89">
        <f>(V53/SQRT(9))</f>
        <v>4.8732507630657432E-16</v>
      </c>
      <c r="W52" s="6"/>
      <c r="X52" s="108" t="s">
        <v>85</v>
      </c>
      <c r="Y52" s="109"/>
      <c r="Z52" s="89">
        <f>(Z53/SQRT(9))</f>
        <v>0.15992824441884845</v>
      </c>
      <c r="AA52" s="89">
        <f>(AA53/SQRT(9))</f>
        <v>0.50313480527730026</v>
      </c>
      <c r="AB52" s="89">
        <f>(AB53/SQRT(9))</f>
        <v>0.15644918084132911</v>
      </c>
      <c r="AC52" s="89">
        <f>(AC53/SQRT(9))</f>
        <v>0.65018752113494283</v>
      </c>
      <c r="AD52" s="6"/>
      <c r="AE52" s="108" t="s">
        <v>85</v>
      </c>
      <c r="AF52" s="109"/>
      <c r="AG52" s="89">
        <f>(AG53/SQRT(9))</f>
        <v>0.1116154792867452</v>
      </c>
      <c r="AH52" s="89">
        <f>(AH53/SQRT(9))</f>
        <v>0.40352899366466438</v>
      </c>
      <c r="AI52" s="89">
        <f>(AI53/SQRT(9))</f>
        <v>0.11566950443517604</v>
      </c>
      <c r="AJ52" s="89">
        <f>(AJ53/SQRT(9))</f>
        <v>0.25873557288720067</v>
      </c>
      <c r="AK52" s="6"/>
      <c r="AL52" s="108" t="s">
        <v>85</v>
      </c>
      <c r="AM52" s="109"/>
      <c r="AN52" s="89">
        <f>(AN53/SQRT(9))</f>
        <v>0.1865475947216261</v>
      </c>
      <c r="AO52" s="89">
        <f>(AO53/SQRT(9))</f>
        <v>0.49726578361756107</v>
      </c>
      <c r="AP52" s="89">
        <f>(AP53/SQRT(9))</f>
        <v>0.18098119095220108</v>
      </c>
      <c r="AQ52" s="89">
        <f>(AQ53/SQRT(9))</f>
        <v>0.70855520688610796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9">
        <f>_xlfn.STDEV.P(E41:E49)</f>
        <v>0.74264334352391626</v>
      </c>
      <c r="F53" s="89">
        <f>_xlfn.STDEV.P(F41:F49)</f>
        <v>2.2104081379546616</v>
      </c>
      <c r="G53" s="89">
        <f>_xlfn.STDEV.P(G41:G49)</f>
        <v>0.7370362653361574</v>
      </c>
      <c r="H53" s="89">
        <f>_xlfn.STDEV.P(H41:H49)</f>
        <v>2.4291668590955702</v>
      </c>
      <c r="I53" s="6"/>
      <c r="J53" s="108" t="s">
        <v>86</v>
      </c>
      <c r="K53" s="109"/>
      <c r="L53" s="89">
        <f>_xlfn.STDEV.P(L41:L49)</f>
        <v>1.3647305674696324</v>
      </c>
      <c r="M53" s="89">
        <f>_xlfn.STDEV.P(M41:M49)</f>
        <v>2.6595574025173501</v>
      </c>
      <c r="N53" s="89">
        <f>_xlfn.STDEV.P(N41:N49)</f>
        <v>0.96893218791360047</v>
      </c>
      <c r="O53" s="89">
        <f>_xlfn.STDEV.P(O41:O49)</f>
        <v>21.512074304605925</v>
      </c>
      <c r="P53" s="6"/>
      <c r="Q53" s="108" t="s">
        <v>86</v>
      </c>
      <c r="R53" s="109"/>
      <c r="S53" s="89">
        <f>_xlfn.STDEV.P(S41:S49)</f>
        <v>0.99380049258640002</v>
      </c>
      <c r="T53" s="89">
        <f>_xlfn.STDEV.P(T41:T49)</f>
        <v>5.3829687386495566</v>
      </c>
      <c r="U53" s="89">
        <f>_xlfn.STDEV.P(U41:U49)</f>
        <v>2.1043688022919822</v>
      </c>
      <c r="V53" s="89">
        <f>_xlfn.STDEV.P(V41:V49)</f>
        <v>1.461975228919723E-15</v>
      </c>
      <c r="W53" s="6"/>
      <c r="X53" s="108" t="s">
        <v>86</v>
      </c>
      <c r="Y53" s="109"/>
      <c r="Z53" s="89">
        <f>_xlfn.STDEV.P(Z41:Z49)</f>
        <v>0.47978473325654536</v>
      </c>
      <c r="AA53" s="89">
        <f>_xlfn.STDEV.P(AA41:AA49)</f>
        <v>1.5094044158319007</v>
      </c>
      <c r="AB53" s="89">
        <f>_xlfn.STDEV.P(AB41:AB49)</f>
        <v>0.46934754252398736</v>
      </c>
      <c r="AC53" s="89">
        <f>_xlfn.STDEV.P(AC41:AC49)</f>
        <v>1.9505625634048285</v>
      </c>
      <c r="AD53" s="6"/>
      <c r="AE53" s="108" t="s">
        <v>86</v>
      </c>
      <c r="AF53" s="109"/>
      <c r="AG53" s="89">
        <f>_xlfn.STDEV.P(AG41:AG49)</f>
        <v>0.3348464378602356</v>
      </c>
      <c r="AH53" s="89">
        <f>_xlfn.STDEV.P(AH41:AH49)</f>
        <v>1.2105869809939931</v>
      </c>
      <c r="AI53" s="89">
        <f>_xlfn.STDEV.P(AI41:AI49)</f>
        <v>0.34700851330552812</v>
      </c>
      <c r="AJ53" s="89">
        <f>_xlfn.STDEV.P(AJ41:AJ49)</f>
        <v>0.77620671866160196</v>
      </c>
      <c r="AK53" s="6"/>
      <c r="AL53" s="108" t="s">
        <v>86</v>
      </c>
      <c r="AM53" s="109"/>
      <c r="AN53" s="89">
        <f>_xlfn.STDEV.P(AN41:AN49)</f>
        <v>0.55964278416487834</v>
      </c>
      <c r="AO53" s="89">
        <f>_xlfn.STDEV.P(AO41:AO49)</f>
        <v>1.4917973508526832</v>
      </c>
      <c r="AP53" s="89">
        <f>_xlfn.STDEV.P(AP41:AP49)</f>
        <v>0.54294357285660322</v>
      </c>
      <c r="AQ53" s="89">
        <f>_xlfn.STDEV.P(AQ41:AQ49)</f>
        <v>2.125665620658324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9">
        <f>SUM(E53/E51)</f>
        <v>3.7611116665248669E-2</v>
      </c>
      <c r="F54" s="89">
        <f>SUM(F53/F51)</f>
        <v>0.4416071245598579</v>
      </c>
      <c r="G54" s="89">
        <f>SUM(G53/G51)</f>
        <v>3.7611116665248696E-2</v>
      </c>
      <c r="H54" s="89">
        <f>SUM(H53/H51)</f>
        <v>0.43873028398491554</v>
      </c>
      <c r="I54" s="6"/>
      <c r="J54" s="108" t="s">
        <v>87</v>
      </c>
      <c r="K54" s="109"/>
      <c r="L54" s="89">
        <f>SUM(L53/L51)</f>
        <v>7.8690093036074382E-2</v>
      </c>
      <c r="M54" s="89">
        <f>SUM(M53/M51)</f>
        <v>0.55143570602584591</v>
      </c>
      <c r="N54" s="89">
        <f>SUM(N53/N51)</f>
        <v>7.8690093036074368E-2</v>
      </c>
      <c r="O54" s="89">
        <f>SUM(O53/O51)</f>
        <v>0.41036467485280692</v>
      </c>
      <c r="P54" s="6"/>
      <c r="Q54" s="108" t="s">
        <v>87</v>
      </c>
      <c r="R54" s="109"/>
      <c r="S54" s="89">
        <f>SUM(S53/S51)</f>
        <v>4.2657396471782273E-2</v>
      </c>
      <c r="T54" s="89">
        <f>SUM(T53/T51)</f>
        <v>1.1496414227414251</v>
      </c>
      <c r="U54" s="89">
        <f>SUM(U53/U51)</f>
        <v>4.2657396471782252E-2</v>
      </c>
      <c r="V54" s="89">
        <f>SUM(V53/V51)</f>
        <v>1.8718379634945315</v>
      </c>
      <c r="W54" s="6"/>
      <c r="X54" s="108" t="s">
        <v>87</v>
      </c>
      <c r="Y54" s="109"/>
      <c r="Z54" s="89">
        <f>SUM(Z53/Z51)</f>
        <v>2.5127684348562412E-2</v>
      </c>
      <c r="AA54" s="89">
        <f>SUM(AA53/AA51)</f>
        <v>0.33231204990272711</v>
      </c>
      <c r="AB54" s="89">
        <f>SUM(AB53/AB51)</f>
        <v>2.5127684348562392E-2</v>
      </c>
      <c r="AC54" s="89">
        <f>SUM(AC53/AC51)</f>
        <v>0.32476338909325958</v>
      </c>
      <c r="AD54" s="6"/>
      <c r="AE54" s="108" t="s">
        <v>87</v>
      </c>
      <c r="AF54" s="109"/>
      <c r="AG54" s="89">
        <f>SUM(AG53/AG51)</f>
        <v>1.8243695091945105E-2</v>
      </c>
      <c r="AH54" s="89">
        <f>SUM(AH53/AH51)</f>
        <v>0.22110632203164354</v>
      </c>
      <c r="AI54" s="89">
        <f>SUM(AI53/AI51)</f>
        <v>1.8243695091945081E-2</v>
      </c>
      <c r="AJ54" s="89">
        <f>SUM(AJ53/AJ51)</f>
        <v>0.22840381316479352</v>
      </c>
      <c r="AK54" s="6"/>
      <c r="AL54" s="108" t="s">
        <v>87</v>
      </c>
      <c r="AM54" s="109"/>
      <c r="AN54" s="89">
        <f>SUM(AN53/AN51)</f>
        <v>2.915538993355804E-2</v>
      </c>
      <c r="AO54" s="89">
        <f>SUM(AO53/AO51)</f>
        <v>0.33569969487781504</v>
      </c>
      <c r="AP54" s="89">
        <f>SUM(AP53/AP51)</f>
        <v>2.9155389933558058E-2</v>
      </c>
      <c r="AQ54" s="89">
        <f>SUM(AQ53/AQ51)</f>
        <v>0.32661748680944069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37" t="s">
        <v>48</v>
      </c>
      <c r="D56" s="138"/>
      <c r="E56" s="139"/>
      <c r="F56" s="6"/>
      <c r="G56" s="6"/>
      <c r="H56" s="140" t="s">
        <v>23</v>
      </c>
      <c r="I56" s="141"/>
      <c r="J56" s="142"/>
      <c r="K56" s="6"/>
      <c r="L56" s="6"/>
      <c r="M56" s="140" t="s">
        <v>27</v>
      </c>
      <c r="N56" s="141"/>
      <c r="O56" s="142"/>
      <c r="P56" s="6"/>
      <c r="Q56" s="6"/>
      <c r="R56" s="140" t="s">
        <v>24</v>
      </c>
      <c r="S56" s="141"/>
      <c r="T56" s="142"/>
      <c r="U56" s="6"/>
      <c r="V56" s="6"/>
      <c r="W56" s="140"/>
      <c r="X56" s="141"/>
      <c r="Y56" s="142"/>
      <c r="Z56" s="6"/>
      <c r="AA56" s="6"/>
      <c r="AB56" s="140" t="s">
        <v>25</v>
      </c>
      <c r="AC56" s="141"/>
      <c r="AD56" s="14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ht="15" customHeight="1" x14ac:dyDescent="0.25">
      <c r="A57" s="6"/>
      <c r="B57" s="6"/>
      <c r="C57" s="143" t="s">
        <v>47</v>
      </c>
      <c r="D57" s="144"/>
      <c r="E57" s="145"/>
      <c r="F57" s="6"/>
      <c r="G57" s="6"/>
      <c r="H57" s="129" t="s">
        <v>47</v>
      </c>
      <c r="I57" s="146"/>
      <c r="J57" s="147"/>
      <c r="K57" s="6"/>
      <c r="L57" s="6"/>
      <c r="M57" s="129" t="s">
        <v>47</v>
      </c>
      <c r="N57" s="146"/>
      <c r="O57" s="147"/>
      <c r="P57" s="6"/>
      <c r="Q57" s="6"/>
      <c r="R57" s="129" t="s">
        <v>47</v>
      </c>
      <c r="S57" s="146"/>
      <c r="T57" s="147"/>
      <c r="U57" s="6"/>
      <c r="V57" s="6"/>
      <c r="W57" s="129"/>
      <c r="X57" s="146"/>
      <c r="Y57" s="147"/>
      <c r="Z57" s="6"/>
      <c r="AA57" s="6"/>
      <c r="AB57" s="129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27.897703064234801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27.83284870466365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25.637327499029698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25.455970526820551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28.96547405892635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26.181596829605951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26.12730981495735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24.137286765213702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23.146776115256451</v>
      </c>
      <c r="U60" s="6"/>
      <c r="V60" s="6"/>
      <c r="W60" s="61"/>
      <c r="X60" s="62"/>
      <c r="Y60" s="63"/>
      <c r="Z60" s="6"/>
      <c r="AA60" s="6"/>
      <c r="AB60" s="61">
        <v>0.16</v>
      </c>
      <c r="AC60" s="62">
        <f>LOG(AB60)</f>
        <v>-0.79588001734407521</v>
      </c>
      <c r="AD60" s="63">
        <f>AVERAGE(J25:J26)</f>
        <v>27.070491109310552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24.304530789563451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24.428732004957549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22.114400057867051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20.72002898374485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25.202283115062997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21.999622451614499</v>
      </c>
      <c r="F62" s="6"/>
      <c r="G62" s="6"/>
      <c r="H62" s="61">
        <v>4</v>
      </c>
      <c r="I62" s="62">
        <f>LOG(H62)</f>
        <v>0.6020599913279624</v>
      </c>
      <c r="J62" s="63">
        <f>AVERAGE(U16:U17)</f>
        <v>22.087130607571453</v>
      </c>
      <c r="L62" s="6"/>
      <c r="M62" s="61">
        <v>4</v>
      </c>
      <c r="N62" s="62">
        <f>LOG(M62)</f>
        <v>0.6020599913279624</v>
      </c>
      <c r="O62" s="63">
        <f>AVERAGE(L19:L20)</f>
        <v>19.89970795246845</v>
      </c>
      <c r="P62" s="6"/>
      <c r="Q62" s="6"/>
      <c r="R62" s="61">
        <v>4</v>
      </c>
      <c r="S62" s="62">
        <f>LOG(R62)</f>
        <v>0.6020599913279624</v>
      </c>
      <c r="T62" s="63">
        <f>AVERAGE(F22:F23)</f>
        <v>18.463483330731499</v>
      </c>
      <c r="U62" s="6"/>
      <c r="V62" s="6"/>
      <c r="W62" s="61"/>
      <c r="X62" s="62"/>
      <c r="Y62" s="63"/>
      <c r="Z62" s="6"/>
      <c r="AA62" s="6"/>
      <c r="AB62" s="61">
        <v>4</v>
      </c>
      <c r="AC62" s="62">
        <f>LOG(AB62)</f>
        <v>0.6020599913279624</v>
      </c>
      <c r="AD62" s="63">
        <f>AVERAGE(L25:L26)</f>
        <v>23.522195928557302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19.695759359003851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19.842987413196347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17.42400140665255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15.6895530983836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21.7966827433312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3">
        <f>(10^(-1/-2.9452)-1)*100</f>
        <v>118.54230302641153</v>
      </c>
      <c r="F64" s="6"/>
      <c r="G64" s="6"/>
      <c r="H64" s="106" t="s">
        <v>46</v>
      </c>
      <c r="I64" s="107"/>
      <c r="J64" s="33">
        <f>(10^(-1/-2.8642)-1)*100</f>
        <v>123.42801650043774</v>
      </c>
      <c r="K64" s="6"/>
      <c r="L64" s="6"/>
      <c r="M64" s="106" t="s">
        <v>46</v>
      </c>
      <c r="N64" s="107"/>
      <c r="O64" s="33">
        <f>(10^(-1/-2.9564)-1)*100</f>
        <v>117.89598204673091</v>
      </c>
      <c r="P64" s="6"/>
      <c r="Q64" s="6"/>
      <c r="R64" s="106" t="s">
        <v>46</v>
      </c>
      <c r="S64" s="107"/>
      <c r="T64" s="33">
        <f>(10^(-1/-3.4645)-1)*100</f>
        <v>94.37568625389909</v>
      </c>
      <c r="U64" s="6"/>
      <c r="V64" s="6"/>
      <c r="W64" s="106"/>
      <c r="X64" s="107"/>
      <c r="Y64" s="33"/>
      <c r="Z64" s="6"/>
      <c r="AA64" s="6"/>
      <c r="AB64" s="106" t="s">
        <v>46</v>
      </c>
      <c r="AC64" s="107"/>
      <c r="AD64" s="33">
        <f>(10^(-1/-2.5589)-1)*100</f>
        <v>145.9194726371058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50</v>
      </c>
      <c r="D65" s="107"/>
      <c r="E65" s="33">
        <f>SUM(E64/100)+1</f>
        <v>2.1854230302641153</v>
      </c>
      <c r="F65" s="6"/>
      <c r="G65" s="6"/>
      <c r="H65" s="106" t="s">
        <v>50</v>
      </c>
      <c r="I65" s="107"/>
      <c r="J65" s="33">
        <f>SUM(J64/100)+1</f>
        <v>2.2342801650043773</v>
      </c>
      <c r="K65" s="6"/>
      <c r="L65" s="6"/>
      <c r="M65" s="106" t="s">
        <v>50</v>
      </c>
      <c r="N65" s="107"/>
      <c r="O65" s="33">
        <f>SUM(O64/100)+1</f>
        <v>2.1789598204673091</v>
      </c>
      <c r="P65" s="6"/>
      <c r="Q65" s="6"/>
      <c r="R65" s="106" t="s">
        <v>50</v>
      </c>
      <c r="S65" s="107"/>
      <c r="T65" s="33">
        <f>SUM(T64/100)+1</f>
        <v>1.9437568625389909</v>
      </c>
      <c r="U65" s="6"/>
      <c r="V65" s="6"/>
      <c r="W65" s="106"/>
      <c r="X65" s="107"/>
      <c r="Y65" s="33"/>
      <c r="Z65" s="6"/>
      <c r="AA65" s="6"/>
      <c r="AB65" s="106" t="s">
        <v>50</v>
      </c>
      <c r="AC65" s="107"/>
      <c r="AD65" s="33">
        <f>SUM(AD64/100)+1</f>
        <v>2.4591947263710581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32" t="s">
        <v>100</v>
      </c>
      <c r="D67" s="133"/>
      <c r="E67" s="133"/>
      <c r="F67" s="133"/>
      <c r="G67" s="133"/>
      <c r="H67" s="134"/>
      <c r="I67" s="6"/>
      <c r="J67" s="132" t="s">
        <v>101</v>
      </c>
      <c r="K67" s="133"/>
      <c r="L67" s="133"/>
      <c r="M67" s="133"/>
      <c r="N67" s="133"/>
      <c r="O67" s="134"/>
      <c r="P67" s="6"/>
      <c r="Q67" s="132" t="s">
        <v>102</v>
      </c>
      <c r="R67" s="133"/>
      <c r="S67" s="133"/>
      <c r="T67" s="133"/>
      <c r="U67" s="133"/>
      <c r="V67" s="134"/>
      <c r="W67" s="6"/>
      <c r="X67" s="132" t="s">
        <v>103</v>
      </c>
      <c r="Y67" s="133"/>
      <c r="Z67" s="133"/>
      <c r="AA67" s="133"/>
      <c r="AB67" s="133"/>
      <c r="AC67" s="134"/>
      <c r="AD67" s="6"/>
      <c r="AE67" s="132"/>
      <c r="AF67" s="133"/>
      <c r="AG67" s="133"/>
      <c r="AH67" s="133"/>
      <c r="AI67" s="133"/>
      <c r="AJ67" s="134"/>
      <c r="AK67" s="6"/>
      <c r="AL67" s="132" t="s">
        <v>104</v>
      </c>
      <c r="AM67" s="133"/>
      <c r="AN67" s="133"/>
      <c r="AO67" s="133"/>
      <c r="AP67" s="133"/>
      <c r="AQ67" s="134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0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0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0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0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0"/>
      <c r="AF68" s="85"/>
      <c r="AG68" s="85"/>
      <c r="AH68" s="85"/>
      <c r="AI68" s="86"/>
      <c r="AJ68" s="84"/>
      <c r="AK68" s="6"/>
      <c r="AL68" s="110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1"/>
      <c r="D69" s="45" t="s">
        <v>35</v>
      </c>
      <c r="E69" s="45">
        <f>AVERAGE(H16:H17)</f>
        <v>21.00952739475845</v>
      </c>
      <c r="F69" s="52">
        <f>10^((E69- 23.73)/-2.9452)</f>
        <v>8.388746453009281</v>
      </c>
      <c r="G69" s="53">
        <f>SUM(E69*(LOG(E65)/LOG(2)))</f>
        <v>23.69690999353314</v>
      </c>
      <c r="H69" s="52">
        <f>10^((G69- 23.73)/-2.9452)</f>
        <v>1.0262076135257976</v>
      </c>
      <c r="I69" s="6"/>
      <c r="J69" s="111"/>
      <c r="K69" s="45" t="s">
        <v>35</v>
      </c>
      <c r="L69" s="45">
        <f>AVERAGE(W16:W17)</f>
        <v>21.199534420135599</v>
      </c>
      <c r="M69" s="52">
        <f>10^((L69-23.786)/-2.8642)</f>
        <v>7.9989404348369204</v>
      </c>
      <c r="N69" s="53">
        <f>SUM(L69*(LOG($J$65)/LOG(2)))</f>
        <v>24.587434183639452</v>
      </c>
      <c r="O69" s="52">
        <f>10^((N69-23.786)/-2.8642)</f>
        <v>0.52503610385042021</v>
      </c>
      <c r="P69" s="6"/>
      <c r="Q69" s="111"/>
      <c r="R69" s="45" t="s">
        <v>35</v>
      </c>
      <c r="S69" s="45">
        <f>AVERAGE(N19:N20)</f>
        <v>18.901658249938748</v>
      </c>
      <c r="T69" s="52">
        <f t="shared" ref="T69:T78" si="13">10^((S69 -21.556)/-2.9564)</f>
        <v>7.9036742400580815</v>
      </c>
      <c r="U69" s="53">
        <f>SUM(S69*(LOG($O$65)/LOG(2)))</f>
        <v>21.238651596682129</v>
      </c>
      <c r="V69" s="52">
        <f t="shared" ref="V69:V78" si="14">10^((U69 -21.556)/-2.9564)</f>
        <v>1.280391700941246</v>
      </c>
      <c r="W69" s="6"/>
      <c r="X69" s="111"/>
      <c r="Y69" s="45" t="s">
        <v>35</v>
      </c>
      <c r="Z69" s="45">
        <f>AVERAGE(H22:H23)</f>
        <v>18.066513677268297</v>
      </c>
      <c r="AA69" s="52">
        <f t="shared" ref="AA69:AA78" si="15">10^((Z69-20.359)/-3.4645)</f>
        <v>4.5888905441216963</v>
      </c>
      <c r="AB69" s="53">
        <f>SUM(Z69*(LOG($T$65)/LOG(2)))</f>
        <v>17.323036328816382</v>
      </c>
      <c r="AC69" s="52">
        <f t="shared" ref="AC69:AC78" si="16">10^((AB69-20.359)/-3.4645)</f>
        <v>7.5215343432372315</v>
      </c>
      <c r="AD69" s="6"/>
      <c r="AE69" s="111"/>
      <c r="AF69" s="45"/>
      <c r="AG69" s="45"/>
      <c r="AH69" s="52"/>
      <c r="AI69" s="53"/>
      <c r="AJ69" s="52"/>
      <c r="AK69" s="6"/>
      <c r="AL69" s="111"/>
      <c r="AM69" s="45" t="s">
        <v>35</v>
      </c>
      <c r="AN69" s="45">
        <f>AVERAGE(N25:N26)</f>
        <v>22.161443690420651</v>
      </c>
      <c r="AO69" s="52">
        <f t="shared" ref="AO69:AO78" si="17">10^((AN69-25.063)/-2.5589)</f>
        <v>13.611552399528273</v>
      </c>
      <c r="AP69" s="53">
        <f>SUM(AN69*(LOG($AD$65)/LOG(2)))</f>
        <v>28.769675414620593</v>
      </c>
      <c r="AQ69" s="52">
        <f t="shared" ref="AQ69:AQ78" si="18">10^((AP69-25.063)/-2.5589)</f>
        <v>3.5600614597445866E-2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1"/>
      <c r="D70" s="46" t="s">
        <v>36</v>
      </c>
      <c r="E70" s="46">
        <f>AVERAGE(I16:I17)</f>
        <v>20.739365492874448</v>
      </c>
      <c r="F70" s="53">
        <f t="shared" ref="F70:F78" si="19">10^((E70-23.73)/-2.9452)</f>
        <v>10.361595372824251</v>
      </c>
      <c r="G70" s="53">
        <f>SUM(E70*(LOG(E65)/LOG(2)))</f>
        <v>23.39219098903882</v>
      </c>
      <c r="H70" s="53">
        <f t="shared" ref="H70:H78" si="20">10^((G70-23.73)/-2.9452)</f>
        <v>1.3022613661521709</v>
      </c>
      <c r="I70" s="6"/>
      <c r="J70" s="111"/>
      <c r="K70" s="46" t="s">
        <v>36</v>
      </c>
      <c r="L70" s="46">
        <f>AVERAGE(X16:X17)</f>
        <v>21.259845477920749</v>
      </c>
      <c r="M70" s="53">
        <f t="shared" ref="M70:M77" si="21">10^((L70 -23.786)/-2.8642)</f>
        <v>7.6203620052854255</v>
      </c>
      <c r="N70" s="53">
        <f t="shared" ref="N70:N78" si="22">SUM(L70*(LOG($J$65)/LOG(2)))</f>
        <v>24.657383557736534</v>
      </c>
      <c r="O70" s="53">
        <f t="shared" ref="O70:O77" si="23">10^((N70 -23.786)/-2.8642)</f>
        <v>0.49632620971809943</v>
      </c>
      <c r="P70" s="6"/>
      <c r="Q70" s="111"/>
      <c r="R70" s="46" t="s">
        <v>36</v>
      </c>
      <c r="S70" s="46">
        <f>AVERAGE(O19:O20)</f>
        <v>18.733468558613399</v>
      </c>
      <c r="T70" s="53">
        <f t="shared" si="13"/>
        <v>9.0098811912542658</v>
      </c>
      <c r="U70" s="53">
        <f t="shared" ref="U70:U78" si="24">SUM(S70*(LOG($O$65)/LOG(2)))</f>
        <v>21.049667000252651</v>
      </c>
      <c r="V70" s="53">
        <f t="shared" si="14"/>
        <v>1.4834289260111262</v>
      </c>
      <c r="W70" s="6"/>
      <c r="X70" s="111"/>
      <c r="Y70" s="46" t="s">
        <v>36</v>
      </c>
      <c r="Z70" s="46">
        <f>AVERAGE(I22:I23)</f>
        <v>18.021718395583349</v>
      </c>
      <c r="AA70" s="53">
        <f t="shared" si="15"/>
        <v>4.7275648598446018</v>
      </c>
      <c r="AB70" s="53">
        <f t="shared" ref="AB70:AB78" si="25">SUM(Z70*(LOG($T$65)/LOG(2)))</f>
        <v>17.280084472921555</v>
      </c>
      <c r="AC70" s="53">
        <f t="shared" si="16"/>
        <v>7.7393439844257879</v>
      </c>
      <c r="AD70" s="6"/>
      <c r="AE70" s="111"/>
      <c r="AF70" s="46"/>
      <c r="AG70" s="46"/>
      <c r="AH70" s="53"/>
      <c r="AI70" s="53"/>
      <c r="AJ70" s="53"/>
      <c r="AK70" s="6"/>
      <c r="AL70" s="111"/>
      <c r="AM70" s="46" t="s">
        <v>36</v>
      </c>
      <c r="AN70" s="46">
        <f>AVERAGE(O25:O26)</f>
        <v>22.067888821034849</v>
      </c>
      <c r="AO70" s="53">
        <f t="shared" si="17"/>
        <v>14.807039667809084</v>
      </c>
      <c r="AP70" s="53">
        <f t="shared" ref="AP70:AP78" si="26">SUM(AN70*(LOG($AD$65)/LOG(2)))</f>
        <v>28.648223795164494</v>
      </c>
      <c r="AQ70" s="53">
        <f t="shared" si="18"/>
        <v>3.9711832536843086E-2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1"/>
      <c r="D71" s="47" t="s">
        <v>37</v>
      </c>
      <c r="E71" s="47">
        <f>AVERAGE(J16:J17)</f>
        <v>22.617024560258749</v>
      </c>
      <c r="F71" s="54">
        <f t="shared" si="19"/>
        <v>2.3872323417983847</v>
      </c>
      <c r="G71" s="54">
        <f>SUM(E71*(LOG(E65)/LOG(2)))</f>
        <v>25.510026249314492</v>
      </c>
      <c r="H71" s="54">
        <f t="shared" si="20"/>
        <v>0.24866683685578367</v>
      </c>
      <c r="I71" s="6"/>
      <c r="J71" s="111"/>
      <c r="K71" s="47" t="s">
        <v>37</v>
      </c>
      <c r="L71" s="47">
        <f>AVERAGE(Y16:Y17)</f>
        <v>22.787514302429749</v>
      </c>
      <c r="M71" s="54">
        <f t="shared" si="21"/>
        <v>2.2315618594384459</v>
      </c>
      <c r="N71" s="54">
        <f t="shared" si="22"/>
        <v>26.429189293306678</v>
      </c>
      <c r="O71" s="54">
        <f t="shared" si="23"/>
        <v>0.11944367423337811</v>
      </c>
      <c r="P71" s="6"/>
      <c r="Q71" s="111"/>
      <c r="R71" s="47" t="s">
        <v>37</v>
      </c>
      <c r="S71" s="47">
        <f>AVERAGE(P19:P20)</f>
        <v>20.38288805242145</v>
      </c>
      <c r="T71" s="54">
        <f t="shared" si="13"/>
        <v>2.4934703227538719</v>
      </c>
      <c r="U71" s="54">
        <f t="shared" si="24"/>
        <v>22.903020050156538</v>
      </c>
      <c r="V71" s="54">
        <f t="shared" si="14"/>
        <v>0.35024465470645239</v>
      </c>
      <c r="W71" s="6"/>
      <c r="X71" s="111"/>
      <c r="Y71" s="47" t="s">
        <v>37</v>
      </c>
      <c r="Z71" s="47">
        <f>AVERAGE(J22:J23)</f>
        <v>19.545541216410701</v>
      </c>
      <c r="AA71" s="54">
        <f t="shared" si="15"/>
        <v>1.7171108053651973</v>
      </c>
      <c r="AB71" s="54">
        <f t="shared" si="25"/>
        <v>18.741198584665501</v>
      </c>
      <c r="AC71" s="54">
        <f t="shared" si="16"/>
        <v>2.9306593371051735</v>
      </c>
      <c r="AD71" s="6"/>
      <c r="AE71" s="111"/>
      <c r="AF71" s="47"/>
      <c r="AG71" s="47"/>
      <c r="AH71" s="54"/>
      <c r="AI71" s="54"/>
      <c r="AJ71" s="54"/>
      <c r="AK71" s="6"/>
      <c r="AL71" s="111"/>
      <c r="AM71" s="47" t="s">
        <v>37</v>
      </c>
      <c r="AN71" s="47">
        <f>AVERAGE(P25:P26)</f>
        <v>24.333079288940247</v>
      </c>
      <c r="AO71" s="54">
        <f t="shared" si="17"/>
        <v>1.9286252359959588</v>
      </c>
      <c r="AP71" s="54">
        <f>SUM(AN71*(LOG($AD$65)/LOG(2)))</f>
        <v>31.588862294365708</v>
      </c>
      <c r="AQ71" s="54">
        <f t="shared" si="18"/>
        <v>2.8166911295845029E-3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1"/>
      <c r="D72" s="48" t="s">
        <v>38</v>
      </c>
      <c r="E72" s="48">
        <f>AVERAGE(K16:K17)</f>
        <v>21.410453787008798</v>
      </c>
      <c r="F72" s="55">
        <f t="shared" si="19"/>
        <v>6.1315223967185943</v>
      </c>
      <c r="G72" s="55">
        <f>SUM(E72*(LOG(E65)/LOG(2)))</f>
        <v>24.149119910142627</v>
      </c>
      <c r="H72" s="55">
        <f t="shared" si="20"/>
        <v>0.72059941512132841</v>
      </c>
      <c r="I72" s="6"/>
      <c r="J72" s="111"/>
      <c r="K72" s="48" t="s">
        <v>38</v>
      </c>
      <c r="L72" s="48">
        <f>AVERAGE(C19:C20)</f>
        <v>21.571287378328901</v>
      </c>
      <c r="M72" s="55">
        <f t="shared" si="21"/>
        <v>5.9325241659850434</v>
      </c>
      <c r="N72" s="55">
        <f t="shared" si="22"/>
        <v>25.01859702009634</v>
      </c>
      <c r="O72" s="55">
        <f t="shared" si="23"/>
        <v>0.3712393448663821</v>
      </c>
      <c r="P72" s="6"/>
      <c r="Q72" s="111"/>
      <c r="R72" s="48" t="s">
        <v>38</v>
      </c>
      <c r="S72" s="48">
        <f>AVERAGE(Q19:Q20)</f>
        <v>19.681567781570102</v>
      </c>
      <c r="T72" s="55">
        <f t="shared" si="13"/>
        <v>4.3055163186957142</v>
      </c>
      <c r="U72" s="55">
        <f t="shared" si="24"/>
        <v>22.114988825946313</v>
      </c>
      <c r="V72" s="55">
        <f t="shared" si="14"/>
        <v>0.64702709034291517</v>
      </c>
      <c r="W72" s="6"/>
      <c r="X72" s="111"/>
      <c r="Y72" s="48" t="s">
        <v>38</v>
      </c>
      <c r="Z72" s="48">
        <f>AVERAGE(K22:K23)</f>
        <v>16.98478979793185</v>
      </c>
      <c r="AA72" s="55">
        <f t="shared" si="15"/>
        <v>9.4175639419488846</v>
      </c>
      <c r="AB72" s="55">
        <f t="shared" si="25"/>
        <v>16.285827800694491</v>
      </c>
      <c r="AC72" s="55">
        <f t="shared" si="16"/>
        <v>14.986089578245375</v>
      </c>
      <c r="AD72" s="6"/>
      <c r="AE72" s="111"/>
      <c r="AF72" s="48"/>
      <c r="AG72" s="48"/>
      <c r="AH72" s="55"/>
      <c r="AI72" s="55"/>
      <c r="AJ72" s="55"/>
      <c r="AK72" s="6"/>
      <c r="AL72" s="111"/>
      <c r="AM72" s="48" t="s">
        <v>38</v>
      </c>
      <c r="AN72" s="48">
        <f>AVERAGE(Q25:Q26)</f>
        <v>23.045866829277649</v>
      </c>
      <c r="AO72" s="55">
        <f t="shared" si="17"/>
        <v>6.1415976222570823</v>
      </c>
      <c r="AP72" s="55">
        <f t="shared" si="26"/>
        <v>29.917821130646043</v>
      </c>
      <c r="AQ72" s="55">
        <f t="shared" si="18"/>
        <v>1.2669815187448464E-2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1"/>
      <c r="D73" s="48" t="s">
        <v>39</v>
      </c>
      <c r="E73" s="48">
        <f>AVERAGE(L16:L17)</f>
        <v>21.880400947994701</v>
      </c>
      <c r="F73" s="55">
        <f t="shared" si="19"/>
        <v>4.2462402965316102</v>
      </c>
      <c r="G73" s="55">
        <f>SUM(E73*(LOG(E65)/LOG(2)))</f>
        <v>24.679179219252916</v>
      </c>
      <c r="H73" s="55">
        <f t="shared" si="20"/>
        <v>0.47612385862527234</v>
      </c>
      <c r="I73" s="6"/>
      <c r="J73" s="111"/>
      <c r="K73" s="48" t="s">
        <v>39</v>
      </c>
      <c r="L73" s="48">
        <f>AVERAGE(D19:D20)</f>
        <v>22.28986655132595</v>
      </c>
      <c r="M73" s="55">
        <f t="shared" si="21"/>
        <v>3.3293272583941991</v>
      </c>
      <c r="N73" s="55">
        <f t="shared" si="22"/>
        <v>25.852012404210516</v>
      </c>
      <c r="O73" s="55">
        <f t="shared" si="23"/>
        <v>0.18996663310739895</v>
      </c>
      <c r="P73" s="6"/>
      <c r="Q73" s="111"/>
      <c r="R73" s="48" t="s">
        <v>39</v>
      </c>
      <c r="S73" s="48">
        <f>AVERAGE(R19:R20)</f>
        <v>20.047769326287199</v>
      </c>
      <c r="T73" s="55">
        <f t="shared" si="13"/>
        <v>3.2371129415207585</v>
      </c>
      <c r="U73" s="55">
        <f t="shared" si="24"/>
        <v>22.526467380873548</v>
      </c>
      <c r="V73" s="55">
        <f t="shared" si="14"/>
        <v>0.46961305699810701</v>
      </c>
      <c r="W73" s="6"/>
      <c r="X73" s="111"/>
      <c r="Y73" s="48" t="s">
        <v>39</v>
      </c>
      <c r="Z73" s="48">
        <f>AVERAGE(L22:L23)</f>
        <v>17.53196835925765</v>
      </c>
      <c r="AA73" s="55">
        <f t="shared" si="15"/>
        <v>6.5463601775931552</v>
      </c>
      <c r="AB73" s="55">
        <f t="shared" si="25"/>
        <v>16.810488743337938</v>
      </c>
      <c r="AC73" s="55">
        <f t="shared" si="16"/>
        <v>10.574240215708235</v>
      </c>
      <c r="AD73" s="6"/>
      <c r="AE73" s="111"/>
      <c r="AF73" s="48"/>
      <c r="AG73" s="48"/>
      <c r="AH73" s="55"/>
      <c r="AI73" s="55"/>
      <c r="AJ73" s="55"/>
      <c r="AK73" s="6"/>
      <c r="AL73" s="111"/>
      <c r="AM73" s="48" t="s">
        <v>39</v>
      </c>
      <c r="AN73" s="48">
        <f>AVERAGE(R25:R26)</f>
        <v>23.882540935888748</v>
      </c>
      <c r="AO73" s="55">
        <f t="shared" si="17"/>
        <v>2.8927775823060315</v>
      </c>
      <c r="AP73" s="55">
        <f t="shared" si="26"/>
        <v>31.003979722625488</v>
      </c>
      <c r="AQ73" s="55">
        <f t="shared" si="18"/>
        <v>4.767681042889718E-3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1"/>
      <c r="D74" s="48" t="s">
        <v>40</v>
      </c>
      <c r="E74" s="48">
        <f>AVERAGE(M16:M17)</f>
        <v>21.476917471060851</v>
      </c>
      <c r="F74" s="55">
        <f t="shared" si="19"/>
        <v>5.821052788665436</v>
      </c>
      <c r="G74" s="55">
        <f>SUM(E74*(LOG(E65)/LOG(2)))</f>
        <v>24.224085134691801</v>
      </c>
      <c r="H74" s="55">
        <f t="shared" si="20"/>
        <v>0.67957993742388834</v>
      </c>
      <c r="I74" s="6"/>
      <c r="J74" s="111"/>
      <c r="K74" s="48" t="s">
        <v>40</v>
      </c>
      <c r="L74" s="48">
        <f>AVERAGE(E19:E20)</f>
        <v>21.5803162729257</v>
      </c>
      <c r="M74" s="55">
        <f t="shared" si="21"/>
        <v>5.8896188369039173</v>
      </c>
      <c r="N74" s="55">
        <f t="shared" si="22"/>
        <v>25.02906882326193</v>
      </c>
      <c r="O74" s="55">
        <f t="shared" si="23"/>
        <v>0.36812719108709008</v>
      </c>
      <c r="P74" s="6"/>
      <c r="Q74" s="111"/>
      <c r="R74" s="48" t="s">
        <v>40</v>
      </c>
      <c r="S74" s="48">
        <f>AVERAGE(S19:S20)</f>
        <v>19.760368954409799</v>
      </c>
      <c r="T74" s="55">
        <f t="shared" si="13"/>
        <v>4.0492146944511598</v>
      </c>
      <c r="U74" s="55">
        <f t="shared" si="24"/>
        <v>22.203532943780932</v>
      </c>
      <c r="V74" s="55">
        <f t="shared" si="14"/>
        <v>0.60391036777939899</v>
      </c>
      <c r="W74" s="6"/>
      <c r="X74" s="111"/>
      <c r="Y74" s="48" t="s">
        <v>40</v>
      </c>
      <c r="Z74" s="48">
        <f>AVERAGE(M22:M23)</f>
        <v>17.0130298953177</v>
      </c>
      <c r="AA74" s="55">
        <f t="shared" si="15"/>
        <v>9.2424540713713697</v>
      </c>
      <c r="AB74" s="55">
        <f t="shared" si="25"/>
        <v>16.312905755062626</v>
      </c>
      <c r="AC74" s="55">
        <f t="shared" si="16"/>
        <v>14.718802943290585</v>
      </c>
      <c r="AD74" s="6"/>
      <c r="AE74" s="111"/>
      <c r="AF74" s="48"/>
      <c r="AG74" s="48"/>
      <c r="AH74" s="55"/>
      <c r="AI74" s="55"/>
      <c r="AJ74" s="55"/>
      <c r="AK74" s="6"/>
      <c r="AL74" s="111"/>
      <c r="AM74" s="48" t="s">
        <v>40</v>
      </c>
      <c r="AN74" s="48">
        <f>AVERAGE(S25:S26)</f>
        <v>22.960249624728501</v>
      </c>
      <c r="AO74" s="55">
        <f t="shared" si="17"/>
        <v>6.6334575875586586</v>
      </c>
      <c r="AP74" s="55">
        <f t="shared" si="26"/>
        <v>29.806674076365873</v>
      </c>
      <c r="AQ74" s="55">
        <f t="shared" si="18"/>
        <v>1.4002505815385756E-2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1"/>
      <c r="D75" s="49" t="s">
        <v>41</v>
      </c>
      <c r="E75" s="49">
        <f>AVERAGE(N16:N17)</f>
        <v>21.483254048539401</v>
      </c>
      <c r="F75" s="56">
        <f t="shared" si="19"/>
        <v>5.7922866293334421</v>
      </c>
      <c r="G75" s="56">
        <f>SUM(E75*(LOG(E65)/LOG(2)))</f>
        <v>24.231232240067133</v>
      </c>
      <c r="H75" s="56">
        <f t="shared" si="20"/>
        <v>0.67579325531046652</v>
      </c>
      <c r="I75" s="6"/>
      <c r="J75" s="111"/>
      <c r="K75" s="49" t="s">
        <v>41</v>
      </c>
      <c r="L75" s="49">
        <f>AVERAGE(F19:F20)</f>
        <v>22.123725704662647</v>
      </c>
      <c r="M75" s="56">
        <f t="shared" si="21"/>
        <v>3.8050687496597524</v>
      </c>
      <c r="N75" s="56">
        <f t="shared" si="22"/>
        <v>25.659320571852721</v>
      </c>
      <c r="O75" s="56">
        <f t="shared" si="23"/>
        <v>0.22179578839068717</v>
      </c>
      <c r="P75" s="6"/>
      <c r="Q75" s="111"/>
      <c r="R75" s="49" t="s">
        <v>41</v>
      </c>
      <c r="S75" s="49">
        <f>AVERAGE(T19:T20)</f>
        <v>19.293335744328452</v>
      </c>
      <c r="T75" s="56">
        <f t="shared" si="13"/>
        <v>5.8256504714928878</v>
      </c>
      <c r="U75" s="56">
        <f t="shared" si="24"/>
        <v>21.678755937349237</v>
      </c>
      <c r="V75" s="56">
        <f t="shared" si="14"/>
        <v>0.90882005000071819</v>
      </c>
      <c r="W75" s="6"/>
      <c r="X75" s="111"/>
      <c r="Y75" s="49" t="s">
        <v>41</v>
      </c>
      <c r="Z75" s="49">
        <f>AVERAGE(N22:N23)</f>
        <v>17.8076215673116</v>
      </c>
      <c r="AA75" s="56">
        <f t="shared" si="15"/>
        <v>5.4504808693719591</v>
      </c>
      <c r="AB75" s="56">
        <f t="shared" si="25"/>
        <v>17.074798206833464</v>
      </c>
      <c r="AC75" s="56">
        <f t="shared" si="16"/>
        <v>8.8707098830833022</v>
      </c>
      <c r="AD75" s="6"/>
      <c r="AE75" s="111"/>
      <c r="AF75" s="49"/>
      <c r="AG75" s="49"/>
      <c r="AH75" s="56"/>
      <c r="AI75" s="56"/>
      <c r="AJ75" s="56"/>
      <c r="AK75" s="6"/>
      <c r="AL75" s="111"/>
      <c r="AM75" s="49" t="s">
        <v>41</v>
      </c>
      <c r="AN75" s="49">
        <f>AVERAGE(T25:T26)</f>
        <v>23.756558621456897</v>
      </c>
      <c r="AO75" s="56">
        <f t="shared" si="17"/>
        <v>3.2400226005227304</v>
      </c>
      <c r="AP75" s="56">
        <f t="shared" si="26"/>
        <v>30.840431248761679</v>
      </c>
      <c r="AQ75" s="56">
        <f t="shared" si="18"/>
        <v>5.5235816598915126E-3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1"/>
      <c r="D76" s="50" t="s">
        <v>42</v>
      </c>
      <c r="E76" s="50">
        <f>AVERAGE(O16:O17)</f>
        <v>23.271781424074799</v>
      </c>
      <c r="F76" s="57">
        <f t="shared" si="19"/>
        <v>1.4308083973839256</v>
      </c>
      <c r="G76" s="57">
        <f>SUM(E76*(LOG(E65)/LOG(2)))</f>
        <v>26.248534744911016</v>
      </c>
      <c r="H76" s="57">
        <f t="shared" si="20"/>
        <v>0.13959440350797436</v>
      </c>
      <c r="I76" s="6"/>
      <c r="J76" s="111"/>
      <c r="K76" s="50" t="s">
        <v>42</v>
      </c>
      <c r="L76" s="50">
        <f>AVERAGE(G19:G20)</f>
        <v>23.8352801929273</v>
      </c>
      <c r="M76" s="57">
        <f t="shared" si="21"/>
        <v>0.96115721472729188</v>
      </c>
      <c r="N76" s="57">
        <f t="shared" si="22"/>
        <v>27.644398757907084</v>
      </c>
      <c r="O76" s="57">
        <f t="shared" si="23"/>
        <v>4.4966367118318369E-2</v>
      </c>
      <c r="P76" s="6"/>
      <c r="Q76" s="111"/>
      <c r="R76" s="50" t="s">
        <v>42</v>
      </c>
      <c r="S76" s="50">
        <f>AVERAGE(U19:U20)</f>
        <v>20.97570212132835</v>
      </c>
      <c r="T76" s="57">
        <f t="shared" si="13"/>
        <v>1.5713947795351941</v>
      </c>
      <c r="U76" s="57">
        <f t="shared" si="24"/>
        <v>23.569129409697304</v>
      </c>
      <c r="V76" s="57">
        <f t="shared" si="14"/>
        <v>0.2084781494244988</v>
      </c>
      <c r="W76" s="6"/>
      <c r="X76" s="111"/>
      <c r="Y76" s="50" t="s">
        <v>42</v>
      </c>
      <c r="Z76" s="50">
        <f>AVERAGE(O22:O23)</f>
        <v>19.20743669450215</v>
      </c>
      <c r="AA76" s="57">
        <f t="shared" si="15"/>
        <v>2.1497574672350432</v>
      </c>
      <c r="AB76" s="57">
        <f t="shared" si="25"/>
        <v>18.417007818224029</v>
      </c>
      <c r="AC76" s="57">
        <f t="shared" si="16"/>
        <v>3.6353011193769653</v>
      </c>
      <c r="AD76" s="6"/>
      <c r="AE76" s="111"/>
      <c r="AF76" s="50"/>
      <c r="AG76" s="50"/>
      <c r="AH76" s="57"/>
      <c r="AI76" s="57"/>
      <c r="AJ76" s="57"/>
      <c r="AK76" s="6"/>
      <c r="AL76" s="111"/>
      <c r="AM76" s="50" t="s">
        <v>42</v>
      </c>
      <c r="AN76" s="50">
        <f>AVERAGE(U25:U26)</f>
        <v>26.890571496181302</v>
      </c>
      <c r="AO76" s="57">
        <f t="shared" si="17"/>
        <v>0.19310699274446791</v>
      </c>
      <c r="AP76" s="57">
        <f t="shared" si="26"/>
        <v>34.908962812435796</v>
      </c>
      <c r="AQ76" s="57">
        <f t="shared" si="18"/>
        <v>1.4199316963579202E-4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2"/>
      <c r="D77" s="51" t="s">
        <v>43</v>
      </c>
      <c r="E77" s="51">
        <f>AVERAGE(P16:P17)</f>
        <v>22.422109738204799</v>
      </c>
      <c r="F77" s="58">
        <f t="shared" si="19"/>
        <v>2.7801945915302575</v>
      </c>
      <c r="G77" s="58">
        <f>SUM(E77*(LOG(E65)/LOG(2)))</f>
        <v>25.29017937185592</v>
      </c>
      <c r="H77" s="58">
        <f t="shared" si="20"/>
        <v>0.29530016718161722</v>
      </c>
      <c r="I77" s="6"/>
      <c r="J77" s="112"/>
      <c r="K77" s="51" t="s">
        <v>43</v>
      </c>
      <c r="L77" s="51">
        <f>AVERAGE(H19:H20)</f>
        <v>22.806540010439498</v>
      </c>
      <c r="M77" s="58">
        <f t="shared" si="21"/>
        <v>2.1976895316325189</v>
      </c>
      <c r="N77" s="58">
        <f t="shared" si="22"/>
        <v>26.451255501658995</v>
      </c>
      <c r="O77" s="58">
        <f t="shared" si="23"/>
        <v>0.11734349267909185</v>
      </c>
      <c r="P77" s="6"/>
      <c r="Q77" s="112"/>
      <c r="R77" s="51" t="s">
        <v>43</v>
      </c>
      <c r="S77" s="51">
        <f>AVERAGE(V19:V20)</f>
        <v>20.2197888627216</v>
      </c>
      <c r="T77" s="58">
        <f t="shared" si="13"/>
        <v>2.8312119170218888</v>
      </c>
      <c r="U77" s="58">
        <f t="shared" si="24"/>
        <v>22.71975534290539</v>
      </c>
      <c r="V77" s="58">
        <f t="shared" si="14"/>
        <v>0.40398074023496555</v>
      </c>
      <c r="W77" s="6"/>
      <c r="X77" s="112"/>
      <c r="Y77" s="51" t="s">
        <v>43</v>
      </c>
      <c r="Z77" s="51">
        <f>AVERAGE(P22:P23)</f>
        <v>18.630723094691298</v>
      </c>
      <c r="AA77" s="58">
        <f t="shared" si="15"/>
        <v>3.1539383377678831</v>
      </c>
      <c r="AB77" s="58">
        <f t="shared" si="25"/>
        <v>17.864027269828792</v>
      </c>
      <c r="AC77" s="58">
        <f t="shared" si="16"/>
        <v>5.2499330885375857</v>
      </c>
      <c r="AD77" s="6"/>
      <c r="AE77" s="112"/>
      <c r="AF77" s="51"/>
      <c r="AG77" s="51"/>
      <c r="AH77" s="58"/>
      <c r="AI77" s="58"/>
      <c r="AJ77" s="58"/>
      <c r="AK77" s="6"/>
      <c r="AL77" s="112"/>
      <c r="AM77" s="51" t="s">
        <v>43</v>
      </c>
      <c r="AN77" s="51">
        <f>AVERAGE(V25:V26)</f>
        <v>26.69012945298665</v>
      </c>
      <c r="AO77" s="58">
        <f t="shared" si="17"/>
        <v>0.23127534194926505</v>
      </c>
      <c r="AP77" s="58">
        <f t="shared" si="26"/>
        <v>34.648751762889141</v>
      </c>
      <c r="AQ77" s="58">
        <f t="shared" si="18"/>
        <v>1.7945521741818509E-4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58" t="s">
        <v>34</v>
      </c>
      <c r="D78" s="159"/>
      <c r="E78" s="60">
        <f>AVERAGE(Q16:Q17)</f>
        <v>29.620833976818751</v>
      </c>
      <c r="F78" s="59">
        <f t="shared" si="19"/>
        <v>9.9966077038800942E-3</v>
      </c>
      <c r="G78" s="59">
        <f>SUM(E78*(LOG(E65)/LOG(2)))</f>
        <v>33.40971091321078</v>
      </c>
      <c r="H78" s="59">
        <f t="shared" si="20"/>
        <v>5.1688551997278057E-4</v>
      </c>
      <c r="I78" s="6"/>
      <c r="J78" s="158" t="s">
        <v>34</v>
      </c>
      <c r="K78" s="159"/>
      <c r="L78" s="60">
        <f>AVERAGE(Z16:Z17)</f>
        <v>35.695081943373502</v>
      </c>
      <c r="M78" s="59">
        <f t="shared" ref="M78:O78" si="27">10^((L78 -25.623)/-3.1742)</f>
        <v>6.7126067146097983E-4</v>
      </c>
      <c r="N78" s="59">
        <f t="shared" si="22"/>
        <v>41.399516638851701</v>
      </c>
      <c r="O78" s="59">
        <f t="shared" si="27"/>
        <v>1.0709422171732545E-5</v>
      </c>
      <c r="P78" s="6"/>
      <c r="Q78" s="158" t="s">
        <v>34</v>
      </c>
      <c r="R78" s="159"/>
      <c r="S78" s="60">
        <f>AVERAGE(W19:W20)</f>
        <v>31.41033546582775</v>
      </c>
      <c r="T78" s="59">
        <f t="shared" si="13"/>
        <v>4.6427863090264728E-4</v>
      </c>
      <c r="U78" s="59">
        <f t="shared" si="24"/>
        <v>35.293896581575616</v>
      </c>
      <c r="V78" s="59">
        <f t="shared" si="14"/>
        <v>2.2551070828276053E-5</v>
      </c>
      <c r="W78" s="6"/>
      <c r="X78" s="158" t="s">
        <v>34</v>
      </c>
      <c r="Y78" s="159"/>
      <c r="Z78" s="60">
        <f>AVERAGE(Q22:Q23)</f>
        <v>33.868739276660548</v>
      </c>
      <c r="AA78" s="59">
        <f t="shared" si="15"/>
        <v>1.2604413746980105E-4</v>
      </c>
      <c r="AB78" s="59">
        <f t="shared" si="25"/>
        <v>32.474965086319457</v>
      </c>
      <c r="AC78" s="59">
        <f t="shared" si="16"/>
        <v>3.1829098371914986E-4</v>
      </c>
      <c r="AD78" s="6"/>
      <c r="AE78" s="158"/>
      <c r="AF78" s="159"/>
      <c r="AG78" s="60"/>
      <c r="AH78" s="59"/>
      <c r="AI78" s="59"/>
      <c r="AJ78" s="59"/>
      <c r="AK78" s="6"/>
      <c r="AL78" s="158" t="s">
        <v>34</v>
      </c>
      <c r="AM78" s="159"/>
      <c r="AN78" s="60">
        <f>AVERAGE(W25:W26)</f>
        <v>35.126651027024749</v>
      </c>
      <c r="AO78" s="59">
        <f t="shared" si="17"/>
        <v>1.1673375103438369E-4</v>
      </c>
      <c r="AP78" s="59">
        <f t="shared" si="26"/>
        <v>45.600925759497258</v>
      </c>
      <c r="AQ78" s="59">
        <f t="shared" si="18"/>
        <v>9.4172488265525166E-9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9">
        <f>AVERAGE(E69:E77)</f>
        <v>21.812314984975</v>
      </c>
      <c r="F79" s="89">
        <f>AVERAGE(F69:F77)</f>
        <v>5.2599643630883532</v>
      </c>
      <c r="G79" s="89">
        <f>AVERAGE(G69:G77)</f>
        <v>24.602384205867541</v>
      </c>
      <c r="H79" s="89">
        <f>AVERAGE(H69:H77)</f>
        <v>0.61823631707825555</v>
      </c>
      <c r="I79" s="6"/>
      <c r="J79" s="108" t="s">
        <v>84</v>
      </c>
      <c r="K79" s="109"/>
      <c r="L79" s="89">
        <f>AVERAGE(L69:L77)</f>
        <v>22.161545590121793</v>
      </c>
      <c r="M79" s="89">
        <f>AVERAGE(M69:M77)</f>
        <v>4.4406944507626127</v>
      </c>
      <c r="N79" s="89">
        <f>AVERAGE(N69:N77)</f>
        <v>25.703184457074471</v>
      </c>
      <c r="O79" s="89">
        <f>AVERAGE(O69:O77)</f>
        <v>0.27269386722787403</v>
      </c>
      <c r="P79" s="6"/>
      <c r="Q79" s="108" t="s">
        <v>84</v>
      </c>
      <c r="R79" s="109"/>
      <c r="S79" s="89">
        <f>AVERAGE(S69:S77)</f>
        <v>19.777394183513234</v>
      </c>
      <c r="T79" s="89">
        <f>AVERAGE(T69:T77)</f>
        <v>4.5807918751982033</v>
      </c>
      <c r="U79" s="89">
        <f>AVERAGE(U69:U77)</f>
        <v>22.222663165293781</v>
      </c>
      <c r="V79" s="89">
        <f>AVERAGE(V69:V77)</f>
        <v>0.70621052627104752</v>
      </c>
      <c r="W79" s="6"/>
      <c r="X79" s="108" t="s">
        <v>84</v>
      </c>
      <c r="Y79" s="109"/>
      <c r="Z79" s="89">
        <f>AVERAGE(Z69:Z77)</f>
        <v>18.089926966474952</v>
      </c>
      <c r="AA79" s="89">
        <f>AVERAGE(AA69:AA77)</f>
        <v>5.2215690082910875</v>
      </c>
      <c r="AB79" s="89">
        <f>AVERAGE(AB69:AB77)</f>
        <v>17.345486108931642</v>
      </c>
      <c r="AC79" s="89">
        <f>AVERAGE(AC69:AC77)</f>
        <v>8.4696238325566942</v>
      </c>
      <c r="AD79" s="6"/>
      <c r="AE79" s="108"/>
      <c r="AF79" s="109"/>
      <c r="AG79" s="89"/>
      <c r="AH79" s="89"/>
      <c r="AI79" s="89"/>
      <c r="AJ79" s="89"/>
      <c r="AK79" s="6"/>
      <c r="AL79" s="108" t="s">
        <v>84</v>
      </c>
      <c r="AM79" s="109"/>
      <c r="AN79" s="89">
        <f>AVERAGE(AN69:AN77)</f>
        <v>23.976480973435056</v>
      </c>
      <c r="AO79" s="89">
        <f>AVERAGE(AO69:AO77)</f>
        <v>5.5199394478523942</v>
      </c>
      <c r="AP79" s="89">
        <f>AVERAGE(AP69:AP77)</f>
        <v>31.12593136198609</v>
      </c>
      <c r="AQ79" s="89">
        <f>AVERAGE(AQ69:AQ77)</f>
        <v>1.2823796706282543E-2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9">
        <f>(E81/SQRT(9))</f>
        <v>0.25656897296857101</v>
      </c>
      <c r="F80" s="89">
        <f>(F81/SQRT(9))</f>
        <v>0.91128478173411287</v>
      </c>
      <c r="G80" s="89">
        <f>(G81/SQRT(9))</f>
        <v>0.28938736913645674</v>
      </c>
      <c r="H80" s="89">
        <f>(H81/SQRT(9))</f>
        <v>0.11874073225008282</v>
      </c>
      <c r="I80" s="6"/>
      <c r="J80" s="108" t="s">
        <v>85</v>
      </c>
      <c r="K80" s="109"/>
      <c r="L80" s="89">
        <f>(L81/SQRT(9))</f>
        <v>0.27334009982042934</v>
      </c>
      <c r="M80" s="89">
        <f>(M81/SQRT(9))</f>
        <v>0.79157611439133568</v>
      </c>
      <c r="N80" s="89">
        <f>(N81/SQRT(9))</f>
        <v>0.31702260912394392</v>
      </c>
      <c r="O80" s="89">
        <f>(O81/SQRT(9))</f>
        <v>5.4593938068854479E-2</v>
      </c>
      <c r="P80" s="6"/>
      <c r="Q80" s="108" t="s">
        <v>85</v>
      </c>
      <c r="R80" s="109"/>
      <c r="S80" s="89">
        <f>(S81/SQRT(9))</f>
        <v>0.22694590031072684</v>
      </c>
      <c r="T80" s="89">
        <f>(T81/SQRT(9))</f>
        <v>0.79229537207641865</v>
      </c>
      <c r="U80" s="89">
        <f>(U81/SQRT(9))</f>
        <v>0.25500539922260512</v>
      </c>
      <c r="V80" s="89">
        <f>(V81/SQRT(9))</f>
        <v>0.13656009890171092</v>
      </c>
      <c r="W80" s="6"/>
      <c r="X80" s="108" t="s">
        <v>85</v>
      </c>
      <c r="Y80" s="109"/>
      <c r="Z80" s="89">
        <f>(Z81/SQRT(9))</f>
        <v>0.28191040274682311</v>
      </c>
      <c r="AA80" s="89">
        <f>(AA81/SQRT(9))</f>
        <v>0.87642677060866514</v>
      </c>
      <c r="AB80" s="89">
        <f>(AB81/SQRT(9))</f>
        <v>0.27030916066551697</v>
      </c>
      <c r="AC80" s="89">
        <f>(AC81/SQRT(9))</f>
        <v>1.3696725756045893</v>
      </c>
      <c r="AD80" s="6"/>
      <c r="AE80" s="108"/>
      <c r="AF80" s="109"/>
      <c r="AG80" s="89"/>
      <c r="AH80" s="89"/>
      <c r="AI80" s="89"/>
      <c r="AJ80" s="89"/>
      <c r="AK80" s="6"/>
      <c r="AL80" s="108" t="s">
        <v>85</v>
      </c>
      <c r="AM80" s="109"/>
      <c r="AN80" s="89">
        <f>(AN81/SQRT(9))</f>
        <v>0.55417626288369559</v>
      </c>
      <c r="AO80" s="89">
        <f>(AO81/SQRT(9))</f>
        <v>1.7021898107052387</v>
      </c>
      <c r="AP80" s="89">
        <f>(AP81/SQRT(9))</f>
        <v>0.7194238529028224</v>
      </c>
      <c r="AQ80" s="89">
        <f>(AQ81/SQRT(9))</f>
        <v>4.6906878901444493E-3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9">
        <f>_xlfn.STDEV.P(E69:E77)</f>
        <v>0.76970691890571308</v>
      </c>
      <c r="F81" s="89">
        <f>_xlfn.STDEV.P(F69:F77)</f>
        <v>2.7338543452023387</v>
      </c>
      <c r="G81" s="89">
        <f>_xlfn.STDEV.P(G69:G77)</f>
        <v>0.86816210740937028</v>
      </c>
      <c r="H81" s="89">
        <f>_xlfn.STDEV.P(H69:H77)</f>
        <v>0.35622219675024847</v>
      </c>
      <c r="I81" s="6"/>
      <c r="J81" s="108" t="s">
        <v>86</v>
      </c>
      <c r="K81" s="109"/>
      <c r="L81" s="89">
        <f>_xlfn.STDEV.P(L69:L77)</f>
        <v>0.82002029946128796</v>
      </c>
      <c r="M81" s="89">
        <f>_xlfn.STDEV.P(M69:M77)</f>
        <v>2.3747283431740072</v>
      </c>
      <c r="N81" s="89">
        <f>_xlfn.STDEV.P(N69:N77)</f>
        <v>0.95106782737183171</v>
      </c>
      <c r="O81" s="89">
        <f>_xlfn.STDEV.P(O69:O77)</f>
        <v>0.16378181420656343</v>
      </c>
      <c r="P81" s="6"/>
      <c r="Q81" s="108" t="s">
        <v>86</v>
      </c>
      <c r="R81" s="109"/>
      <c r="S81" s="89">
        <f>_xlfn.STDEV.P(S69:S77)</f>
        <v>0.68083770093218055</v>
      </c>
      <c r="T81" s="89">
        <f>_xlfn.STDEV.P(T69:T77)</f>
        <v>2.3768861162292558</v>
      </c>
      <c r="U81" s="89">
        <f>_xlfn.STDEV.P(U69:U77)</f>
        <v>0.76501619766781537</v>
      </c>
      <c r="V81" s="89">
        <f>_xlfn.STDEV.P(V69:V77)</f>
        <v>0.40968029670513273</v>
      </c>
      <c r="W81" s="6"/>
      <c r="X81" s="108" t="s">
        <v>86</v>
      </c>
      <c r="Y81" s="109"/>
      <c r="Z81" s="89">
        <f>_xlfn.STDEV.P(Z69:Z77)</f>
        <v>0.84573120824046932</v>
      </c>
      <c r="AA81" s="89">
        <f>_xlfn.STDEV.P(AA69:AA77)</f>
        <v>2.6292803118259953</v>
      </c>
      <c r="AB81" s="89">
        <f>_xlfn.STDEV.P(AB69:AB77)</f>
        <v>0.81092748199655085</v>
      </c>
      <c r="AC81" s="89">
        <f>_xlfn.STDEV.P(AC69:AC77)</f>
        <v>4.109017726813768</v>
      </c>
      <c r="AD81" s="6"/>
      <c r="AE81" s="108"/>
      <c r="AF81" s="109"/>
      <c r="AG81" s="89"/>
      <c r="AH81" s="89"/>
      <c r="AI81" s="89"/>
      <c r="AJ81" s="89"/>
      <c r="AK81" s="6"/>
      <c r="AL81" s="108" t="s">
        <v>86</v>
      </c>
      <c r="AM81" s="109"/>
      <c r="AN81" s="89">
        <f>_xlfn.STDEV.P(AN69:AN77)</f>
        <v>1.6625287886510867</v>
      </c>
      <c r="AO81" s="89">
        <f>_xlfn.STDEV.P(AO69:AO77)</f>
        <v>5.106569432115716</v>
      </c>
      <c r="AP81" s="89">
        <f>_xlfn.STDEV.P(AP69:AP77)</f>
        <v>2.1582715587084671</v>
      </c>
      <c r="AQ81" s="89">
        <f>_xlfn.STDEV.P(AQ69:AQ77)</f>
        <v>1.4072063670433349E-2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9">
        <f>SUM(E81/E79)</f>
        <v>3.5287722529035143E-2</v>
      </c>
      <c r="F82" s="89">
        <f>SUM(F81/F79)</f>
        <v>0.51974769342299765</v>
      </c>
      <c r="G82" s="89">
        <f>SUM(G81/G79)</f>
        <v>3.5287722529035136E-2</v>
      </c>
      <c r="H82" s="89">
        <f>SUM(H81/H79)</f>
        <v>0.5761909918746464</v>
      </c>
      <c r="I82" s="6"/>
      <c r="J82" s="108" t="s">
        <v>87</v>
      </c>
      <c r="K82" s="109"/>
      <c r="L82" s="89">
        <f>SUM(L81/L79)</f>
        <v>3.7001945379964873E-2</v>
      </c>
      <c r="M82" s="89">
        <f>SUM(M81/M79)</f>
        <v>0.53476508449397786</v>
      </c>
      <c r="N82" s="89">
        <f>SUM(N81/N79)</f>
        <v>3.7001945379964873E-2</v>
      </c>
      <c r="O82" s="89">
        <f>SUM(O81/O79)</f>
        <v>0.60060688519152039</v>
      </c>
      <c r="P82" s="6"/>
      <c r="Q82" s="108" t="s">
        <v>87</v>
      </c>
      <c r="R82" s="109"/>
      <c r="S82" s="89">
        <f>SUM(S81/S79)</f>
        <v>3.4425045818206837E-2</v>
      </c>
      <c r="T82" s="89">
        <f>SUM(T81/T79)</f>
        <v>0.51888105397200823</v>
      </c>
      <c r="U82" s="89">
        <f>SUM(U81/U79)</f>
        <v>3.4425045818206816E-2</v>
      </c>
      <c r="V82" s="89">
        <f>SUM(V81/V79)</f>
        <v>0.58011071977125295</v>
      </c>
      <c r="W82" s="6"/>
      <c r="X82" s="108" t="s">
        <v>87</v>
      </c>
      <c r="Y82" s="109"/>
      <c r="Z82" s="89">
        <f>SUM(Z81/Z79)</f>
        <v>4.6751499318256819E-2</v>
      </c>
      <c r="AA82" s="89">
        <f>SUM(AA81/AA79)</f>
        <v>0.50354219347691909</v>
      </c>
      <c r="AB82" s="89">
        <f>SUM(AB81/AB79)</f>
        <v>4.6751499318256826E-2</v>
      </c>
      <c r="AC82" s="89">
        <f>SUM(AC81/AC79)</f>
        <v>0.48514760608599472</v>
      </c>
      <c r="AD82" s="6"/>
      <c r="AE82" s="108"/>
      <c r="AF82" s="109"/>
      <c r="AG82" s="89"/>
      <c r="AH82" s="89"/>
      <c r="AI82" s="89"/>
      <c r="AJ82" s="89"/>
      <c r="AK82" s="6"/>
      <c r="AL82" s="108" t="s">
        <v>87</v>
      </c>
      <c r="AM82" s="109"/>
      <c r="AN82" s="89">
        <f>SUM(AN81/AN79)</f>
        <v>6.9339983231613486E-2</v>
      </c>
      <c r="AO82" s="89">
        <f>SUM(AO81/AO79)</f>
        <v>0.92511330610746001</v>
      </c>
      <c r="AP82" s="89">
        <f>SUM(AP81/AP79)</f>
        <v>6.9339983231613458E-2</v>
      </c>
      <c r="AQ82" s="89">
        <f>SUM(AQ81/AQ79)</f>
        <v>1.0973398902634868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</sheetData>
  <mergeCells count="159"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AG23:AK25"/>
    <mergeCell ref="C24:H24"/>
    <mergeCell ref="I24:W24"/>
    <mergeCell ref="X24:Z26"/>
    <mergeCell ref="C28:E28"/>
    <mergeCell ref="H28:J28"/>
    <mergeCell ref="M28:O28"/>
    <mergeCell ref="R28:T28"/>
    <mergeCell ref="W28:Y28"/>
    <mergeCell ref="AB28:AD28"/>
    <mergeCell ref="C15:Q15"/>
    <mergeCell ref="R15:Z15"/>
    <mergeCell ref="C18:H18"/>
    <mergeCell ref="I18:W18"/>
    <mergeCell ref="X18:Z20"/>
    <mergeCell ref="C21:Q21"/>
    <mergeCell ref="R21:Z21"/>
    <mergeCell ref="AK8:AL8"/>
    <mergeCell ref="C9:Q9"/>
    <mergeCell ref="R9:Z9"/>
    <mergeCell ref="C12:H12"/>
    <mergeCell ref="I12:W12"/>
    <mergeCell ref="X12:Z14"/>
    <mergeCell ref="AH2:AL3"/>
    <mergeCell ref="C3:Q3"/>
    <mergeCell ref="R3:Z3"/>
    <mergeCell ref="AK4:AL4"/>
    <mergeCell ref="AK5:AL5"/>
    <mergeCell ref="C6:H6"/>
    <mergeCell ref="I6:W6"/>
    <mergeCell ref="X6:Z8"/>
    <mergeCell ref="AK6:AL6"/>
    <mergeCell ref="AK7:AL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67-93DC-4FF2-A7B1-38A75256966A}">
  <dimension ref="A1:CJ116"/>
  <sheetViews>
    <sheetView tabSelected="1" view="pageBreakPreview" topLeftCell="A18" zoomScale="80" zoomScaleNormal="70" zoomScaleSheetLayoutView="80" workbookViewId="0">
      <selection activeCell="AH60" sqref="AH60"/>
    </sheetView>
  </sheetViews>
  <sheetFormatPr defaultRowHeight="15" x14ac:dyDescent="0.25"/>
  <cols>
    <col min="1" max="2" width="3.28515625" customWidth="1"/>
    <col min="3" max="31" width="8.7109375" customWidth="1"/>
    <col min="32" max="32" width="10.5703125" bestFit="1" customWidth="1"/>
    <col min="33" max="38" width="8.7109375" customWidth="1"/>
    <col min="39" max="39" width="14.28515625" customWidth="1"/>
  </cols>
  <sheetData>
    <row r="1" spans="1:76" ht="15.75" thickBot="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</row>
    <row r="2" spans="1:76" ht="15.75" thickBot="1" x14ac:dyDescent="0.3">
      <c r="A2" s="6"/>
      <c r="B2" s="22"/>
      <c r="C2" s="23">
        <v>1</v>
      </c>
      <c r="D2" s="8">
        <v>2</v>
      </c>
      <c r="E2" s="23">
        <v>3</v>
      </c>
      <c r="F2" s="8">
        <v>4</v>
      </c>
      <c r="G2" s="23">
        <v>5</v>
      </c>
      <c r="H2" s="8">
        <v>6</v>
      </c>
      <c r="I2" s="23">
        <v>7</v>
      </c>
      <c r="J2" s="8">
        <v>8</v>
      </c>
      <c r="K2" s="23">
        <v>9</v>
      </c>
      <c r="L2" s="8">
        <v>10</v>
      </c>
      <c r="M2" s="23">
        <v>11</v>
      </c>
      <c r="N2" s="8">
        <v>12</v>
      </c>
      <c r="O2" s="23">
        <v>13</v>
      </c>
      <c r="P2" s="8">
        <v>14</v>
      </c>
      <c r="Q2" s="23">
        <v>15</v>
      </c>
      <c r="R2" s="8">
        <v>16</v>
      </c>
      <c r="S2" s="23">
        <v>17</v>
      </c>
      <c r="T2" s="8">
        <v>18</v>
      </c>
      <c r="U2" s="23">
        <v>19</v>
      </c>
      <c r="V2" s="8">
        <v>20</v>
      </c>
      <c r="W2" s="23">
        <v>21</v>
      </c>
      <c r="X2" s="8">
        <v>22</v>
      </c>
      <c r="Y2" s="23">
        <v>23</v>
      </c>
      <c r="Z2" s="9">
        <v>24</v>
      </c>
      <c r="AA2" s="6"/>
      <c r="AB2" s="6"/>
      <c r="AC2" s="6"/>
      <c r="AD2" s="6"/>
      <c r="AE2" s="6"/>
      <c r="AF2" s="6"/>
      <c r="AG2" s="6"/>
      <c r="AH2" s="160" t="s">
        <v>88</v>
      </c>
      <c r="AI2" s="161"/>
      <c r="AJ2" s="161"/>
      <c r="AK2" s="161"/>
      <c r="AL2" s="162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</row>
    <row r="3" spans="1:76" ht="15.75" thickBot="1" x14ac:dyDescent="0.3">
      <c r="A3" s="6"/>
      <c r="B3" s="30" t="s">
        <v>15</v>
      </c>
      <c r="C3" s="113" t="s">
        <v>17</v>
      </c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  <c r="R3" s="113" t="s">
        <v>18</v>
      </c>
      <c r="S3" s="114"/>
      <c r="T3" s="114"/>
      <c r="U3" s="114"/>
      <c r="V3" s="114"/>
      <c r="W3" s="114"/>
      <c r="X3" s="114"/>
      <c r="Y3" s="114"/>
      <c r="Z3" s="115"/>
      <c r="AA3" s="6"/>
      <c r="AB3" s="6"/>
      <c r="AC3" s="6"/>
      <c r="AD3" s="6"/>
      <c r="AE3" s="6"/>
      <c r="AF3" s="6"/>
      <c r="AG3" s="6"/>
      <c r="AH3" s="163"/>
      <c r="AI3" s="164"/>
      <c r="AJ3" s="164"/>
      <c r="AK3" s="164"/>
      <c r="AL3" s="165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</row>
    <row r="4" spans="1:76" x14ac:dyDescent="0.25">
      <c r="A4" s="6"/>
      <c r="B4" s="20" t="s">
        <v>0</v>
      </c>
      <c r="C4" s="94">
        <v>29.034695421374799</v>
      </c>
      <c r="D4" s="95">
        <v>26.581637364661798</v>
      </c>
      <c r="E4" s="95">
        <v>24.673070261734701</v>
      </c>
      <c r="F4" s="95">
        <v>22.312703928727199</v>
      </c>
      <c r="G4" s="95">
        <v>20.049608470623902</v>
      </c>
      <c r="H4" s="24">
        <v>22.0817311735752</v>
      </c>
      <c r="I4" s="24">
        <v>21.178537438957001</v>
      </c>
      <c r="J4" s="24">
        <v>21.6143228021737</v>
      </c>
      <c r="K4" s="25">
        <v>21.518336056794801</v>
      </c>
      <c r="L4" s="25">
        <v>20.510163143381298</v>
      </c>
      <c r="M4" s="25">
        <v>20.332001310782999</v>
      </c>
      <c r="N4" s="26">
        <v>20.929027548361098</v>
      </c>
      <c r="O4" s="26">
        <v>19.812282457375499</v>
      </c>
      <c r="P4" s="26">
        <v>20.773506239257301</v>
      </c>
      <c r="Q4" s="27">
        <v>36.625722531034199</v>
      </c>
      <c r="R4" s="68">
        <v>33.259424681394599</v>
      </c>
      <c r="S4" s="69">
        <v>27.882691227523601</v>
      </c>
      <c r="T4" s="69">
        <v>26.901204981072699</v>
      </c>
      <c r="U4" s="69">
        <v>23.099819973691499</v>
      </c>
      <c r="V4" s="69">
        <v>20.725092458686401</v>
      </c>
      <c r="W4" s="24">
        <v>24.250849318674899</v>
      </c>
      <c r="X4" s="24">
        <v>21.8159453039193</v>
      </c>
      <c r="Y4" s="24">
        <v>23.682583587122298</v>
      </c>
      <c r="Z4" s="27">
        <v>34.911749923753902</v>
      </c>
      <c r="AA4" s="6"/>
      <c r="AB4" s="1"/>
      <c r="AC4" s="6" t="s">
        <v>28</v>
      </c>
      <c r="AD4" s="6"/>
      <c r="AE4" s="6"/>
      <c r="AF4" s="6"/>
      <c r="AG4" s="6"/>
      <c r="AH4" s="90" t="s">
        <v>89</v>
      </c>
      <c r="AI4" s="91"/>
      <c r="AJ4" s="91"/>
      <c r="AK4" s="166">
        <v>45192</v>
      </c>
      <c r="AL4" s="167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</row>
    <row r="5" spans="1:76" ht="15.75" thickBot="1" x14ac:dyDescent="0.3">
      <c r="A5" s="6"/>
      <c r="B5" s="21" t="s">
        <v>1</v>
      </c>
      <c r="C5" s="100">
        <v>29.4300319090835</v>
      </c>
      <c r="D5" s="101">
        <v>26.695271128200499</v>
      </c>
      <c r="E5" s="101">
        <v>24.588269643621999</v>
      </c>
      <c r="F5" s="101">
        <v>22.3466528543719</v>
      </c>
      <c r="G5" s="101">
        <v>20.238836561577699</v>
      </c>
      <c r="H5" s="10">
        <v>21.976694651417102</v>
      </c>
      <c r="I5" s="10">
        <v>21.040720344013501</v>
      </c>
      <c r="J5" s="10">
        <v>21.715107519583398</v>
      </c>
      <c r="K5" s="11">
        <v>21.359057204067501</v>
      </c>
      <c r="L5" s="11">
        <v>20.6038361771339</v>
      </c>
      <c r="M5" s="11">
        <v>20.1122119754579</v>
      </c>
      <c r="N5" s="12">
        <v>20.533829220310299</v>
      </c>
      <c r="O5" s="12">
        <v>19.887413229524899</v>
      </c>
      <c r="P5" s="12">
        <v>20.7217575208475</v>
      </c>
      <c r="Q5" s="13">
        <v>36.489808982739603</v>
      </c>
      <c r="R5" s="70">
        <v>32.424890004991603</v>
      </c>
      <c r="S5" s="71">
        <v>27.670068904535999</v>
      </c>
      <c r="T5" s="71">
        <v>26.815125587106799</v>
      </c>
      <c r="U5" s="71">
        <v>22.994585751696199</v>
      </c>
      <c r="V5" s="71">
        <v>20.5198326599231</v>
      </c>
      <c r="W5" s="10">
        <v>23.936911186332399</v>
      </c>
      <c r="X5" s="10">
        <v>21.8556338649542</v>
      </c>
      <c r="Y5" s="10">
        <v>23.748899319515601</v>
      </c>
      <c r="Z5" s="13">
        <v>34.276089649091297</v>
      </c>
      <c r="AA5" s="6"/>
      <c r="AB5" s="2"/>
      <c r="AC5" s="6" t="s">
        <v>29</v>
      </c>
      <c r="AD5" s="6"/>
      <c r="AE5" s="6"/>
      <c r="AF5" s="6"/>
      <c r="AG5" s="6"/>
      <c r="AH5" s="90" t="s">
        <v>90</v>
      </c>
      <c r="AI5" s="91"/>
      <c r="AJ5" s="91"/>
      <c r="AK5" s="166">
        <v>45198</v>
      </c>
      <c r="AL5" s="167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</row>
    <row r="6" spans="1:76" ht="15.75" thickBot="1" x14ac:dyDescent="0.3">
      <c r="A6" s="6"/>
      <c r="B6" s="30" t="s">
        <v>15</v>
      </c>
      <c r="C6" s="125" t="s">
        <v>18</v>
      </c>
      <c r="D6" s="126"/>
      <c r="E6" s="126"/>
      <c r="F6" s="126"/>
      <c r="G6" s="126"/>
      <c r="H6" s="127"/>
      <c r="I6" s="125" t="s">
        <v>26</v>
      </c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7"/>
      <c r="X6" s="116"/>
      <c r="Y6" s="117"/>
      <c r="Z6" s="118"/>
      <c r="AA6" s="6"/>
      <c r="AB6" s="3"/>
      <c r="AC6" s="6" t="s">
        <v>30</v>
      </c>
      <c r="AD6" s="6"/>
      <c r="AE6" s="6"/>
      <c r="AF6" s="6"/>
      <c r="AG6" s="6"/>
      <c r="AH6" s="90" t="s">
        <v>91</v>
      </c>
      <c r="AI6" s="91"/>
      <c r="AJ6" s="91"/>
      <c r="AK6" s="166">
        <v>45203</v>
      </c>
      <c r="AL6" s="167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</row>
    <row r="7" spans="1:76" x14ac:dyDescent="0.25">
      <c r="A7" s="6"/>
      <c r="B7" s="20" t="s">
        <v>2</v>
      </c>
      <c r="C7" s="28">
        <v>23.3706031289001</v>
      </c>
      <c r="D7" s="25">
        <v>20.653724069427401</v>
      </c>
      <c r="E7" s="25">
        <v>20.190075288325499</v>
      </c>
      <c r="F7" s="26">
        <v>21.541912015669901</v>
      </c>
      <c r="G7" s="26">
        <v>19.271021435353902</v>
      </c>
      <c r="H7" s="29">
        <v>21.6410858958556</v>
      </c>
      <c r="I7" s="68">
        <v>26.222700347441101</v>
      </c>
      <c r="J7" s="69">
        <v>28.512210677917299</v>
      </c>
      <c r="K7" s="69">
        <v>23.8198076142275</v>
      </c>
      <c r="L7" s="69">
        <v>24.723370059617299</v>
      </c>
      <c r="M7" s="69">
        <v>23.957081336308001</v>
      </c>
      <c r="N7" s="24">
        <v>26.030661101404998</v>
      </c>
      <c r="O7" s="24">
        <v>25.027267037417101</v>
      </c>
      <c r="P7" s="24">
        <v>25.5075150485224</v>
      </c>
      <c r="Q7" s="25">
        <v>25.4274946001667</v>
      </c>
      <c r="R7" s="25">
        <v>24.436154262939901</v>
      </c>
      <c r="S7" s="25">
        <v>24.1397841126728</v>
      </c>
      <c r="T7" s="26">
        <v>24.883737933130099</v>
      </c>
      <c r="U7" s="26">
        <v>23.9081779213621</v>
      </c>
      <c r="V7" s="26">
        <v>25.150597596210499</v>
      </c>
      <c r="W7" s="27">
        <v>31.417762020278602</v>
      </c>
      <c r="X7" s="119"/>
      <c r="Y7" s="120"/>
      <c r="Z7" s="121"/>
      <c r="AA7" s="6"/>
      <c r="AB7" s="4"/>
      <c r="AC7" s="6" t="s">
        <v>31</v>
      </c>
      <c r="AD7" s="6"/>
      <c r="AE7" s="6"/>
      <c r="AF7" s="6"/>
      <c r="AG7" s="6"/>
      <c r="AH7" s="90" t="s">
        <v>92</v>
      </c>
      <c r="AI7" s="91"/>
      <c r="AJ7" s="91"/>
      <c r="AK7" s="166">
        <v>45203</v>
      </c>
      <c r="AL7" s="167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</row>
    <row r="8" spans="1:76" ht="18.75" thickBot="1" x14ac:dyDescent="0.4">
      <c r="A8" s="6"/>
      <c r="B8" s="21" t="s">
        <v>3</v>
      </c>
      <c r="C8" s="14">
        <v>23.903171057961099</v>
      </c>
      <c r="D8" s="11">
        <v>20.632842258499501</v>
      </c>
      <c r="E8" s="11">
        <v>20.108419118337</v>
      </c>
      <c r="F8" s="12">
        <v>21.6340483210641</v>
      </c>
      <c r="G8" s="12">
        <v>19.471997828774601</v>
      </c>
      <c r="H8" s="15">
        <v>21.7831491940068</v>
      </c>
      <c r="I8" s="70">
        <v>25.803376136985602</v>
      </c>
      <c r="J8" s="71">
        <v>27.255586763402999</v>
      </c>
      <c r="K8" s="71">
        <v>23.627437972110201</v>
      </c>
      <c r="L8" s="71">
        <v>24.5971923320737</v>
      </c>
      <c r="M8" s="71">
        <v>24.035132870264199</v>
      </c>
      <c r="N8" s="10">
        <v>26.002474335735201</v>
      </c>
      <c r="O8" s="10">
        <v>24.974382766049501</v>
      </c>
      <c r="P8" s="10">
        <v>25.439310636126301</v>
      </c>
      <c r="Q8" s="11">
        <v>25.478910559947799</v>
      </c>
      <c r="R8" s="16">
        <v>24.5768361409751</v>
      </c>
      <c r="S8" s="16">
        <v>24.175875827943301</v>
      </c>
      <c r="T8" s="17">
        <v>24.874262289107101</v>
      </c>
      <c r="U8" s="17">
        <v>23.873657134458501</v>
      </c>
      <c r="V8" s="17">
        <v>25.078649077191599</v>
      </c>
      <c r="W8" s="18">
        <v>30.297164973994299</v>
      </c>
      <c r="X8" s="122"/>
      <c r="Y8" s="123"/>
      <c r="Z8" s="124"/>
      <c r="AA8" s="6"/>
      <c r="AB8" s="5"/>
      <c r="AC8" s="6" t="s">
        <v>32</v>
      </c>
      <c r="AD8" s="6"/>
      <c r="AE8" s="6"/>
      <c r="AF8" s="6"/>
      <c r="AG8" s="6"/>
      <c r="AH8" s="92" t="s">
        <v>93</v>
      </c>
      <c r="AI8" s="93"/>
      <c r="AJ8" s="93"/>
      <c r="AK8" s="168">
        <v>45144</v>
      </c>
      <c r="AL8" s="169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</row>
    <row r="9" spans="1:76" ht="15.75" thickBot="1" x14ac:dyDescent="0.3">
      <c r="A9" s="6"/>
      <c r="B9" s="30" t="s">
        <v>15</v>
      </c>
      <c r="C9" s="113" t="s">
        <v>19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  <c r="R9" s="113" t="s">
        <v>20</v>
      </c>
      <c r="S9" s="114"/>
      <c r="T9" s="114"/>
      <c r="U9" s="114"/>
      <c r="V9" s="114"/>
      <c r="W9" s="114"/>
      <c r="X9" s="114"/>
      <c r="Y9" s="114"/>
      <c r="Z9" s="115"/>
      <c r="AA9" s="6"/>
      <c r="AB9" s="19"/>
      <c r="AC9" s="6" t="s">
        <v>16</v>
      </c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</row>
    <row r="10" spans="1:76" x14ac:dyDescent="0.25">
      <c r="A10" s="6"/>
      <c r="B10" s="20" t="s">
        <v>4</v>
      </c>
      <c r="C10" s="68">
        <v>25.167249547472402</v>
      </c>
      <c r="D10" s="69">
        <v>22.900954687137901</v>
      </c>
      <c r="E10" s="69">
        <v>20.8185119678039</v>
      </c>
      <c r="F10" s="69">
        <v>18.563389119943</v>
      </c>
      <c r="G10" s="69">
        <v>16.166344482149398</v>
      </c>
      <c r="H10" s="24">
        <v>19.187570409008298</v>
      </c>
      <c r="I10" s="24">
        <v>18.426877881203598</v>
      </c>
      <c r="J10" s="24">
        <v>18.324910016136801</v>
      </c>
      <c r="K10" s="25">
        <v>18.1713468463388</v>
      </c>
      <c r="L10" s="25">
        <v>17.3534789849924</v>
      </c>
      <c r="M10" s="25">
        <v>17.094833021002799</v>
      </c>
      <c r="N10" s="26">
        <v>17.802391766461401</v>
      </c>
      <c r="O10" s="26">
        <v>16.922675706832798</v>
      </c>
      <c r="P10" s="26">
        <v>17.9273046943316</v>
      </c>
      <c r="Q10" s="27">
        <v>34.823305181492898</v>
      </c>
      <c r="R10" s="68">
        <v>26.573559893234599</v>
      </c>
      <c r="S10" s="69">
        <v>24.183035004188401</v>
      </c>
      <c r="T10" s="69">
        <v>22.0900549624413</v>
      </c>
      <c r="U10" s="69">
        <v>19.848011731338399</v>
      </c>
      <c r="V10" s="69">
        <v>17.965543505072599</v>
      </c>
      <c r="W10" s="24">
        <v>20.308647812839599</v>
      </c>
      <c r="X10" s="24">
        <v>19.2429789842373</v>
      </c>
      <c r="Y10" s="24">
        <v>19.419531898007499</v>
      </c>
      <c r="Z10" s="27">
        <v>35.4746978525476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</row>
    <row r="11" spans="1:76" ht="15.75" thickBot="1" x14ac:dyDescent="0.3">
      <c r="A11" s="6"/>
      <c r="B11" s="21" t="s">
        <v>5</v>
      </c>
      <c r="C11" s="70">
        <v>25.350652151602901</v>
      </c>
      <c r="D11" s="71">
        <v>23.3641303114191</v>
      </c>
      <c r="E11" s="71">
        <v>20.876436523821901</v>
      </c>
      <c r="F11" s="71">
        <v>18.518449003917699</v>
      </c>
      <c r="G11" s="71">
        <v>16.320657478559301</v>
      </c>
      <c r="H11" s="10">
        <v>19.186592605145801</v>
      </c>
      <c r="I11" s="10">
        <v>18.328442989103799</v>
      </c>
      <c r="J11" s="10">
        <v>18.262389866028901</v>
      </c>
      <c r="K11" s="11">
        <v>18.208009280344001</v>
      </c>
      <c r="L11" s="11">
        <v>17.3390318054193</v>
      </c>
      <c r="M11" s="11">
        <v>17.077677836365101</v>
      </c>
      <c r="N11" s="12">
        <v>17.687641538211501</v>
      </c>
      <c r="O11" s="12">
        <v>16.874314870437701</v>
      </c>
      <c r="P11" s="12">
        <v>17.8484960721999</v>
      </c>
      <c r="Q11" s="13" t="s">
        <v>49</v>
      </c>
      <c r="R11" s="70">
        <v>26.4863594458938</v>
      </c>
      <c r="S11" s="71">
        <v>24.3226673769462</v>
      </c>
      <c r="T11" s="71">
        <v>22.135511462069498</v>
      </c>
      <c r="U11" s="71">
        <v>19.870727323934702</v>
      </c>
      <c r="V11" s="71">
        <v>17.711126985621998</v>
      </c>
      <c r="W11" s="10">
        <v>20.357667441910799</v>
      </c>
      <c r="X11" s="10">
        <v>19.511472536352102</v>
      </c>
      <c r="Y11" s="10">
        <v>19.4631784520551</v>
      </c>
      <c r="Z11" s="13">
        <v>36.828568216478402</v>
      </c>
      <c r="AA11" s="6"/>
      <c r="AB11" s="6" t="s">
        <v>62</v>
      </c>
      <c r="AC11" s="6" t="s">
        <v>63</v>
      </c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</row>
    <row r="12" spans="1:76" ht="15.75" thickBot="1" x14ac:dyDescent="0.3">
      <c r="A12" s="6"/>
      <c r="B12" s="30" t="s">
        <v>15</v>
      </c>
      <c r="C12" s="113" t="s">
        <v>20</v>
      </c>
      <c r="D12" s="114"/>
      <c r="E12" s="114"/>
      <c r="F12" s="114"/>
      <c r="G12" s="114"/>
      <c r="H12" s="115"/>
      <c r="I12" s="113" t="s">
        <v>21</v>
      </c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  <c r="X12" s="116"/>
      <c r="Y12" s="117"/>
      <c r="Z12" s="118"/>
      <c r="AA12" s="6"/>
      <c r="AB12" s="6" t="s">
        <v>64</v>
      </c>
      <c r="AC12" s="6" t="s">
        <v>65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</row>
    <row r="13" spans="1:76" x14ac:dyDescent="0.25">
      <c r="A13" s="6"/>
      <c r="B13" s="20" t="s">
        <v>6</v>
      </c>
      <c r="C13" s="28">
        <v>19.776782916148701</v>
      </c>
      <c r="D13" s="25">
        <v>18.836676297116298</v>
      </c>
      <c r="E13" s="25">
        <v>18.541997025278</v>
      </c>
      <c r="F13" s="26">
        <v>18.987762331310901</v>
      </c>
      <c r="G13" s="26">
        <v>18.068264517631899</v>
      </c>
      <c r="H13" s="29">
        <v>18.9734039885222</v>
      </c>
      <c r="I13" s="68">
        <v>26.600490977061298</v>
      </c>
      <c r="J13" s="69">
        <v>23.629663517974599</v>
      </c>
      <c r="K13" s="69">
        <v>21.584008993095701</v>
      </c>
      <c r="L13" s="69">
        <v>19.179452047709599</v>
      </c>
      <c r="M13" s="69">
        <v>17.015796371017998</v>
      </c>
      <c r="N13" s="24">
        <v>20.180585544710301</v>
      </c>
      <c r="O13" s="24">
        <v>18.856339311596098</v>
      </c>
      <c r="P13" s="24">
        <v>19.403580503701701</v>
      </c>
      <c r="Q13" s="25">
        <v>18.987671257774899</v>
      </c>
      <c r="R13" s="25">
        <v>17.774505250102699</v>
      </c>
      <c r="S13" s="25">
        <v>17.5087984332589</v>
      </c>
      <c r="T13" s="26">
        <v>18.072202996587698</v>
      </c>
      <c r="U13" s="26">
        <v>17.110031572637201</v>
      </c>
      <c r="V13" s="26">
        <v>18.167160743927599</v>
      </c>
      <c r="W13" s="27">
        <v>36.353140679532999</v>
      </c>
      <c r="X13" s="119"/>
      <c r="Y13" s="120"/>
      <c r="Z13" s="121"/>
      <c r="AA13" s="6"/>
      <c r="AB13" s="6" t="s">
        <v>66</v>
      </c>
      <c r="AC13" s="6" t="s">
        <v>67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</row>
    <row r="14" spans="1:76" ht="15.75" thickBot="1" x14ac:dyDescent="0.3">
      <c r="A14" s="6"/>
      <c r="B14" s="21" t="s">
        <v>7</v>
      </c>
      <c r="C14" s="14">
        <v>19.585668444729201</v>
      </c>
      <c r="D14" s="11">
        <v>18.9442927231126</v>
      </c>
      <c r="E14" s="11">
        <v>18.504286961651601</v>
      </c>
      <c r="F14" s="12">
        <v>18.941481256716798</v>
      </c>
      <c r="G14" s="12">
        <v>18.158873844427799</v>
      </c>
      <c r="H14" s="15">
        <v>18.968152445319198</v>
      </c>
      <c r="I14" s="70">
        <v>26.336621557363099</v>
      </c>
      <c r="J14" s="71">
        <v>23.771365595331002</v>
      </c>
      <c r="K14" s="71">
        <v>21.568440819862499</v>
      </c>
      <c r="L14" s="71">
        <v>19.156509381839001</v>
      </c>
      <c r="M14" s="71">
        <v>17.037615406254599</v>
      </c>
      <c r="N14" s="10">
        <v>20.096615037677999</v>
      </c>
      <c r="O14" s="10">
        <v>18.850710566182102</v>
      </c>
      <c r="P14" s="10">
        <v>19.2757430421218</v>
      </c>
      <c r="Q14" s="11">
        <v>18.9261297176126</v>
      </c>
      <c r="R14" s="16">
        <v>17.8456494456562</v>
      </c>
      <c r="S14" s="16">
        <v>17.566799177004</v>
      </c>
      <c r="T14" s="17">
        <v>18.039094475350598</v>
      </c>
      <c r="U14" s="17">
        <v>17.036480521817801</v>
      </c>
      <c r="V14" s="17">
        <v>18.089643363426699</v>
      </c>
      <c r="W14" s="18">
        <v>35.4070209335827</v>
      </c>
      <c r="X14" s="122"/>
      <c r="Y14" s="123"/>
      <c r="Z14" s="124"/>
      <c r="AA14" s="6"/>
      <c r="AB14" s="6" t="s">
        <v>68</v>
      </c>
      <c r="AC14" s="6" t="s">
        <v>69</v>
      </c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</row>
    <row r="15" spans="1:76" ht="15.75" thickBot="1" x14ac:dyDescent="0.3">
      <c r="A15" s="6"/>
      <c r="B15" s="30" t="s">
        <v>15</v>
      </c>
      <c r="C15" s="113" t="s">
        <v>22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5"/>
      <c r="R15" s="113" t="s">
        <v>23</v>
      </c>
      <c r="S15" s="114"/>
      <c r="T15" s="114"/>
      <c r="U15" s="114"/>
      <c r="V15" s="114"/>
      <c r="W15" s="114"/>
      <c r="X15" s="114"/>
      <c r="Y15" s="114"/>
      <c r="Z15" s="115"/>
      <c r="AA15" s="6"/>
      <c r="AB15" s="6" t="s">
        <v>70</v>
      </c>
      <c r="AC15" s="6" t="s">
        <v>71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</row>
    <row r="16" spans="1:76" x14ac:dyDescent="0.25">
      <c r="A16" s="6"/>
      <c r="B16" s="20" t="s">
        <v>8</v>
      </c>
      <c r="C16" s="94">
        <v>30.3810235612852</v>
      </c>
      <c r="D16" s="95">
        <v>29.669603801483099</v>
      </c>
      <c r="E16" s="95">
        <v>27.628283451729601</v>
      </c>
      <c r="F16" s="95">
        <v>25.636855110857901</v>
      </c>
      <c r="G16" s="95">
        <v>23.385820108869499</v>
      </c>
      <c r="H16" s="96">
        <v>25.592151972335099</v>
      </c>
      <c r="I16" s="96">
        <v>24.702179126236299</v>
      </c>
      <c r="J16" s="96">
        <v>24.959678725425601</v>
      </c>
      <c r="K16" s="97">
        <v>24.966500737449699</v>
      </c>
      <c r="L16" s="97">
        <v>23.9137248171482</v>
      </c>
      <c r="M16" s="97">
        <v>23.4590352855747</v>
      </c>
      <c r="N16" s="98">
        <v>24.0238738929269</v>
      </c>
      <c r="O16" s="98">
        <v>22.8937067903517</v>
      </c>
      <c r="P16" s="98">
        <v>23.989843326290401</v>
      </c>
      <c r="Q16" s="99">
        <v>29.815143565178399</v>
      </c>
      <c r="R16" s="94">
        <v>31.012246077126498</v>
      </c>
      <c r="S16" s="95">
        <v>29.6935613937959</v>
      </c>
      <c r="T16" s="95">
        <v>27.3897311796851</v>
      </c>
      <c r="U16" s="95">
        <v>25.4752365935651</v>
      </c>
      <c r="V16" s="95">
        <v>23.4542550589148</v>
      </c>
      <c r="W16" s="96">
        <v>25.6040077909771</v>
      </c>
      <c r="X16" s="96">
        <v>24.4805663921946</v>
      </c>
      <c r="Y16" s="96">
        <v>24.916555601857201</v>
      </c>
      <c r="Z16" s="99">
        <v>36.531945140287199</v>
      </c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</row>
    <row r="17" spans="1:76" ht="15.75" thickBot="1" x14ac:dyDescent="0.3">
      <c r="A17" s="6"/>
      <c r="B17" s="21" t="s">
        <v>9</v>
      </c>
      <c r="C17" s="100">
        <v>30.333957573540399</v>
      </c>
      <c r="D17" s="101">
        <v>29.287369687009701</v>
      </c>
      <c r="E17" s="101">
        <v>27.554496428827999</v>
      </c>
      <c r="F17" s="101">
        <v>25.678326757513702</v>
      </c>
      <c r="G17" s="101">
        <v>23.5034861704066</v>
      </c>
      <c r="H17" s="102">
        <v>25.470533132361702</v>
      </c>
      <c r="I17" s="102">
        <v>24.613631564618299</v>
      </c>
      <c r="J17" s="102">
        <v>24.857056159032702</v>
      </c>
      <c r="K17" s="103">
        <v>24.7989838928079</v>
      </c>
      <c r="L17" s="103">
        <v>23.894998382356398</v>
      </c>
      <c r="M17" s="103">
        <v>23.717824952806801</v>
      </c>
      <c r="N17" s="104">
        <v>24.019208078152602</v>
      </c>
      <c r="O17" s="104">
        <v>23.0015134770833</v>
      </c>
      <c r="P17" s="104">
        <v>23.983489440592599</v>
      </c>
      <c r="Q17" s="105">
        <v>29.909685314530002</v>
      </c>
      <c r="R17" s="100">
        <v>31.094663932201399</v>
      </c>
      <c r="S17" s="101">
        <v>29.6601264168571</v>
      </c>
      <c r="T17" s="101">
        <v>27.2656656474085</v>
      </c>
      <c r="U17" s="101">
        <v>25.569276250094799</v>
      </c>
      <c r="V17" s="101">
        <v>23.392628442940701</v>
      </c>
      <c r="W17" s="102">
        <v>25.662026341785399</v>
      </c>
      <c r="X17" s="102">
        <v>24.531620755578398</v>
      </c>
      <c r="Y17" s="102">
        <v>24.966343348706999</v>
      </c>
      <c r="Z17" s="105">
        <v>34.399151234591201</v>
      </c>
      <c r="AA17" s="6"/>
      <c r="AB17" s="6" t="s">
        <v>72</v>
      </c>
      <c r="AC17" s="6" t="s">
        <v>73</v>
      </c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</row>
    <row r="18" spans="1:76" ht="15.75" thickBot="1" x14ac:dyDescent="0.3">
      <c r="A18" s="6"/>
      <c r="B18" s="30" t="s">
        <v>15</v>
      </c>
      <c r="C18" s="113" t="s">
        <v>23</v>
      </c>
      <c r="D18" s="114"/>
      <c r="E18" s="114"/>
      <c r="F18" s="114"/>
      <c r="G18" s="114"/>
      <c r="H18" s="115"/>
      <c r="I18" s="113" t="s">
        <v>27</v>
      </c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6"/>
      <c r="Y18" s="117"/>
      <c r="Z18" s="118"/>
      <c r="AA18" s="6"/>
      <c r="AB18" s="6" t="s">
        <v>74</v>
      </c>
      <c r="AC18" s="6" t="s">
        <v>75</v>
      </c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</row>
    <row r="19" spans="1:76" x14ac:dyDescent="0.25">
      <c r="A19" s="6"/>
      <c r="B19" s="20" t="s">
        <v>10</v>
      </c>
      <c r="C19" s="28">
        <v>25.176088817472401</v>
      </c>
      <c r="D19" s="25">
        <v>24.095914584457201</v>
      </c>
      <c r="E19" s="25">
        <v>23.783505216090202</v>
      </c>
      <c r="F19" s="26">
        <v>24.323040095747</v>
      </c>
      <c r="G19" s="26">
        <v>23.1220723050217</v>
      </c>
      <c r="H19" s="29">
        <v>24.346103770835501</v>
      </c>
      <c r="I19" s="68">
        <v>28.4450550321977</v>
      </c>
      <c r="J19" s="69">
        <v>26.584841203954799</v>
      </c>
      <c r="K19" s="69">
        <v>24.434241344018201</v>
      </c>
      <c r="L19" s="69">
        <v>22.328491866064802</v>
      </c>
      <c r="M19" s="69">
        <v>19.9596866522403</v>
      </c>
      <c r="N19" s="24">
        <v>21.9662269592325</v>
      </c>
      <c r="O19" s="24">
        <v>21.141827572513101</v>
      </c>
      <c r="P19" s="24">
        <v>21.416861326981</v>
      </c>
      <c r="Q19" s="25">
        <v>21.5939512007998</v>
      </c>
      <c r="R19" s="25">
        <v>20.756388759966299</v>
      </c>
      <c r="S19" s="25">
        <v>20.275678073971701</v>
      </c>
      <c r="T19" s="26">
        <v>20.9487160917102</v>
      </c>
      <c r="U19" s="26">
        <v>19.9130284429996</v>
      </c>
      <c r="V19" s="26">
        <v>20.8359240669893</v>
      </c>
      <c r="W19" s="27">
        <v>31.461636793786699</v>
      </c>
      <c r="X19" s="119"/>
      <c r="Y19" s="120"/>
      <c r="Z19" s="121"/>
      <c r="AA19" s="6"/>
      <c r="AB19" s="6" t="s">
        <v>76</v>
      </c>
      <c r="AC19" s="6" t="s">
        <v>77</v>
      </c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</row>
    <row r="20" spans="1:76" ht="15.75" thickBot="1" x14ac:dyDescent="0.3">
      <c r="A20" s="6"/>
      <c r="B20" s="21" t="s">
        <v>11</v>
      </c>
      <c r="C20" s="14">
        <v>25.193847085999799</v>
      </c>
      <c r="D20" s="11">
        <v>24.126881587092299</v>
      </c>
      <c r="E20" s="11">
        <v>23.8169243493777</v>
      </c>
      <c r="F20" s="12">
        <v>23.8186613579979</v>
      </c>
      <c r="G20" s="12">
        <v>23.2168999443026</v>
      </c>
      <c r="H20" s="15">
        <v>24.369839647534999</v>
      </c>
      <c r="I20" s="70">
        <v>28.678527390337202</v>
      </c>
      <c r="J20" s="71">
        <v>26.581147435770902</v>
      </c>
      <c r="K20" s="71">
        <v>24.215616138632701</v>
      </c>
      <c r="L20" s="71">
        <v>22.300590816081101</v>
      </c>
      <c r="M20" s="71">
        <v>19.986873156316801</v>
      </c>
      <c r="N20" s="10">
        <v>21.863891067904301</v>
      </c>
      <c r="O20" s="10">
        <v>21.1471848544114</v>
      </c>
      <c r="P20" s="10">
        <v>21.355531001078901</v>
      </c>
      <c r="Q20" s="11">
        <v>21.611108646052202</v>
      </c>
      <c r="R20" s="16">
        <v>20.657154533681201</v>
      </c>
      <c r="S20" s="16">
        <v>20.310188764862499</v>
      </c>
      <c r="T20" s="17">
        <v>20.646913097954702</v>
      </c>
      <c r="U20" s="17">
        <v>19.7528724575151</v>
      </c>
      <c r="V20" s="17">
        <v>21.0384854115579</v>
      </c>
      <c r="W20" s="18">
        <v>30.569604566098199</v>
      </c>
      <c r="X20" s="122"/>
      <c r="Y20" s="123"/>
      <c r="Z20" s="124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</row>
    <row r="21" spans="1:76" ht="15.75" thickBot="1" x14ac:dyDescent="0.3">
      <c r="A21" s="6"/>
      <c r="B21" s="30" t="s">
        <v>15</v>
      </c>
      <c r="C21" s="113" t="s">
        <v>24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5"/>
      <c r="R21" s="113"/>
      <c r="S21" s="114"/>
      <c r="T21" s="114"/>
      <c r="U21" s="114"/>
      <c r="V21" s="114"/>
      <c r="W21" s="114"/>
      <c r="X21" s="114"/>
      <c r="Y21" s="114"/>
      <c r="Z21" s="115"/>
      <c r="AA21" s="6"/>
      <c r="AB21" s="74" t="s">
        <v>78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</row>
    <row r="22" spans="1:76" x14ac:dyDescent="0.25">
      <c r="A22" s="6"/>
      <c r="B22" s="20" t="s">
        <v>12</v>
      </c>
      <c r="C22" s="68">
        <v>27.383108820716998</v>
      </c>
      <c r="D22" s="69">
        <v>24.803646080386901</v>
      </c>
      <c r="E22" s="69">
        <v>23.022242131970501</v>
      </c>
      <c r="F22" s="69">
        <v>20.760417148782</v>
      </c>
      <c r="G22" s="69">
        <v>18.4445019538311</v>
      </c>
      <c r="H22" s="24">
        <v>22.441861697604399</v>
      </c>
      <c r="I22" s="24">
        <v>20.875612962378501</v>
      </c>
      <c r="J22" s="24">
        <v>21.359384100859199</v>
      </c>
      <c r="K22" s="25">
        <v>20.177599040385399</v>
      </c>
      <c r="L22" s="25">
        <v>18.630483688337002</v>
      </c>
      <c r="M22" s="25">
        <v>18.2813105408427</v>
      </c>
      <c r="N22" s="26">
        <v>18.9515571072093</v>
      </c>
      <c r="O22" s="26">
        <v>17.474214676803999</v>
      </c>
      <c r="P22" s="26">
        <v>19.026218329561001</v>
      </c>
      <c r="Q22" s="27">
        <v>33.238363624197099</v>
      </c>
      <c r="R22" s="68"/>
      <c r="S22" s="69"/>
      <c r="T22" s="69"/>
      <c r="U22" s="69"/>
      <c r="V22" s="69"/>
      <c r="W22" s="24"/>
      <c r="X22" s="24"/>
      <c r="Y22" s="24"/>
      <c r="Z22" s="27"/>
      <c r="AA22" s="6"/>
      <c r="AB22" s="6" t="s">
        <v>70</v>
      </c>
      <c r="AC22" s="6" t="s">
        <v>79</v>
      </c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</row>
    <row r="23" spans="1:76" ht="15.75" thickBot="1" x14ac:dyDescent="0.3">
      <c r="A23" s="6"/>
      <c r="B23" s="21" t="s">
        <v>13</v>
      </c>
      <c r="C23" s="70">
        <v>27.410391143778501</v>
      </c>
      <c r="D23" s="71">
        <v>25.005053728774602</v>
      </c>
      <c r="E23" s="71">
        <v>22.975283785133001</v>
      </c>
      <c r="F23" s="71">
        <v>20.7491307214061</v>
      </c>
      <c r="G23" s="71">
        <v>18.383170200687999</v>
      </c>
      <c r="H23" s="10">
        <v>22.495167162163099</v>
      </c>
      <c r="I23" s="10">
        <v>20.985998390717601</v>
      </c>
      <c r="J23" s="10">
        <v>21.564350599312501</v>
      </c>
      <c r="K23" s="11">
        <v>20.172620603452199</v>
      </c>
      <c r="L23" s="11">
        <v>18.7414683406293</v>
      </c>
      <c r="M23" s="11">
        <v>18.2760021216443</v>
      </c>
      <c r="N23" s="12">
        <v>18.9085045147784</v>
      </c>
      <c r="O23" s="12">
        <v>17.542271351075598</v>
      </c>
      <c r="P23" s="12">
        <v>18.826581080686399</v>
      </c>
      <c r="Q23" s="13">
        <v>33.3967923619159</v>
      </c>
      <c r="R23" s="70"/>
      <c r="S23" s="71"/>
      <c r="T23" s="71"/>
      <c r="U23" s="71"/>
      <c r="V23" s="71"/>
      <c r="W23" s="10"/>
      <c r="X23" s="10"/>
      <c r="Y23" s="10"/>
      <c r="Z23" s="13"/>
      <c r="AA23" s="6"/>
      <c r="AB23" s="75" t="s">
        <v>72</v>
      </c>
      <c r="AC23" s="76" t="s">
        <v>80</v>
      </c>
      <c r="AD23" s="76"/>
      <c r="AE23" s="76"/>
      <c r="AF23" s="76"/>
      <c r="AG23" s="148" t="s">
        <v>81</v>
      </c>
      <c r="AH23" s="148"/>
      <c r="AI23" s="148"/>
      <c r="AJ23" s="148"/>
      <c r="AK23" s="148"/>
      <c r="AL23" s="77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</row>
    <row r="24" spans="1:76" ht="15.75" thickBot="1" x14ac:dyDescent="0.3">
      <c r="A24" s="6"/>
      <c r="B24" s="30" t="s">
        <v>15</v>
      </c>
      <c r="C24" s="113"/>
      <c r="D24" s="114"/>
      <c r="E24" s="114"/>
      <c r="F24" s="114"/>
      <c r="G24" s="114"/>
      <c r="H24" s="115"/>
      <c r="I24" s="113" t="s">
        <v>25</v>
      </c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6"/>
      <c r="Y24" s="117"/>
      <c r="Z24" s="118"/>
      <c r="AA24" s="6"/>
      <c r="AB24" s="78" t="s">
        <v>74</v>
      </c>
      <c r="AC24" s="6" t="s">
        <v>82</v>
      </c>
      <c r="AD24" s="6"/>
      <c r="AE24" s="6"/>
      <c r="AF24" s="7"/>
      <c r="AG24" s="149"/>
      <c r="AH24" s="149"/>
      <c r="AI24" s="149"/>
      <c r="AJ24" s="149"/>
      <c r="AK24" s="149"/>
      <c r="AL24" s="79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</row>
    <row r="25" spans="1:76" x14ac:dyDescent="0.25">
      <c r="A25" s="6"/>
      <c r="B25" s="20" t="s">
        <v>14</v>
      </c>
      <c r="C25" s="28"/>
      <c r="D25" s="25"/>
      <c r="E25" s="25"/>
      <c r="F25" s="26"/>
      <c r="G25" s="26"/>
      <c r="H25" s="29"/>
      <c r="I25" s="68">
        <v>32.4729873303368</v>
      </c>
      <c r="J25" s="69">
        <v>32.0192281994984</v>
      </c>
      <c r="K25" s="69">
        <v>29.211185255672099</v>
      </c>
      <c r="L25" s="69">
        <v>29.035887073800001</v>
      </c>
      <c r="M25" s="69">
        <v>27.809949338754599</v>
      </c>
      <c r="N25" s="24">
        <v>28.365041016384499</v>
      </c>
      <c r="O25" s="24">
        <v>27.8069304036168</v>
      </c>
      <c r="P25" s="24">
        <v>28.4223782864246</v>
      </c>
      <c r="Q25" s="25">
        <v>28.237367036141499</v>
      </c>
      <c r="R25" s="25">
        <v>26.9547404222305</v>
      </c>
      <c r="S25" s="25">
        <v>26.814681424448001</v>
      </c>
      <c r="T25" s="26">
        <v>27.401120993903699</v>
      </c>
      <c r="U25" s="26">
        <v>26.565821411137701</v>
      </c>
      <c r="V25" s="26">
        <v>27.9547014032924</v>
      </c>
      <c r="W25" s="27">
        <v>36.469929425141601</v>
      </c>
      <c r="X25" s="119"/>
      <c r="Y25" s="120"/>
      <c r="Z25" s="121"/>
      <c r="AA25" s="6"/>
      <c r="AB25" s="80" t="s">
        <v>76</v>
      </c>
      <c r="AC25" s="81" t="s">
        <v>83</v>
      </c>
      <c r="AD25" s="81"/>
      <c r="AE25" s="81"/>
      <c r="AF25" s="82"/>
      <c r="AG25" s="150"/>
      <c r="AH25" s="150"/>
      <c r="AI25" s="150"/>
      <c r="AJ25" s="150"/>
      <c r="AK25" s="150"/>
      <c r="AL25" s="83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</row>
    <row r="26" spans="1:76" ht="15.75" thickBot="1" x14ac:dyDescent="0.3">
      <c r="A26" s="6"/>
      <c r="B26" s="21" t="s">
        <v>15</v>
      </c>
      <c r="C26" s="14"/>
      <c r="D26" s="11"/>
      <c r="E26" s="11"/>
      <c r="F26" s="12"/>
      <c r="G26" s="12"/>
      <c r="H26" s="15"/>
      <c r="I26" s="70">
        <v>32.982997507040601</v>
      </c>
      <c r="J26" s="71">
        <v>32.910324069920499</v>
      </c>
      <c r="K26" s="71">
        <v>29.251180479986001</v>
      </c>
      <c r="L26" s="71">
        <v>29.144209818082501</v>
      </c>
      <c r="M26" s="71">
        <v>27.591178622186899</v>
      </c>
      <c r="N26" s="10">
        <v>28.285701605214701</v>
      </c>
      <c r="O26" s="10">
        <v>27.835985835554101</v>
      </c>
      <c r="P26" s="10">
        <v>28.2332138280366</v>
      </c>
      <c r="Q26" s="11">
        <v>28.239377020776502</v>
      </c>
      <c r="R26" s="11">
        <v>27.032093150625801</v>
      </c>
      <c r="S26" s="11">
        <v>26.753900590021502</v>
      </c>
      <c r="T26" s="12">
        <v>27.509384728897398</v>
      </c>
      <c r="U26" s="12">
        <v>26.637646191210099</v>
      </c>
      <c r="V26" s="12">
        <v>27.724145348390199</v>
      </c>
      <c r="W26" s="13">
        <v>33.783916442788701</v>
      </c>
      <c r="X26" s="122"/>
      <c r="Y26" s="123"/>
      <c r="Z26" s="124"/>
      <c r="AA26" s="6"/>
      <c r="AB26" s="6"/>
      <c r="AC26" s="6"/>
      <c r="AD26" s="6"/>
      <c r="AE26" s="6"/>
      <c r="AF26" s="6"/>
      <c r="AG26" s="6"/>
      <c r="AH26" s="6"/>
      <c r="AI26" s="6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</row>
    <row r="27" spans="1:76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</row>
    <row r="28" spans="1:76" x14ac:dyDescent="0.25">
      <c r="A28" s="6"/>
      <c r="B28" s="6"/>
      <c r="C28" s="128" t="s">
        <v>17</v>
      </c>
      <c r="D28" s="128"/>
      <c r="E28" s="128"/>
      <c r="F28" s="6"/>
      <c r="G28" s="6"/>
      <c r="H28" s="128" t="s">
        <v>18</v>
      </c>
      <c r="I28" s="128"/>
      <c r="J28" s="128"/>
      <c r="K28" s="6"/>
      <c r="L28" s="6"/>
      <c r="M28" s="128" t="s">
        <v>26</v>
      </c>
      <c r="N28" s="128"/>
      <c r="O28" s="128"/>
      <c r="P28" s="6"/>
      <c r="Q28" s="6"/>
      <c r="R28" s="128" t="s">
        <v>19</v>
      </c>
      <c r="S28" s="128"/>
      <c r="T28" s="128"/>
      <c r="U28" s="6"/>
      <c r="V28" s="6"/>
      <c r="W28" s="128" t="s">
        <v>20</v>
      </c>
      <c r="X28" s="128"/>
      <c r="Y28" s="128"/>
      <c r="Z28" s="6"/>
      <c r="AA28" s="6"/>
      <c r="AB28" s="128" t="s">
        <v>21</v>
      </c>
      <c r="AC28" s="128"/>
      <c r="AD28" s="128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</row>
    <row r="29" spans="1:76" ht="15" customHeight="1" x14ac:dyDescent="0.25">
      <c r="A29" s="6"/>
      <c r="B29" s="40"/>
      <c r="C29" s="155" t="s">
        <v>47</v>
      </c>
      <c r="D29" s="156"/>
      <c r="E29" s="157"/>
      <c r="F29" s="6"/>
      <c r="G29" s="6"/>
      <c r="H29" s="129" t="s">
        <v>47</v>
      </c>
      <c r="I29" s="130"/>
      <c r="J29" s="131"/>
      <c r="K29" s="6"/>
      <c r="L29" s="6"/>
      <c r="M29" s="129" t="s">
        <v>47</v>
      </c>
      <c r="N29" s="130"/>
      <c r="O29" s="131"/>
      <c r="P29" s="6"/>
      <c r="Q29" s="6"/>
      <c r="R29" s="129" t="s">
        <v>47</v>
      </c>
      <c r="S29" s="153"/>
      <c r="T29" s="154"/>
      <c r="U29" s="6"/>
      <c r="V29" s="6"/>
      <c r="W29" s="129" t="s">
        <v>47</v>
      </c>
      <c r="X29" s="130"/>
      <c r="Y29" s="131"/>
      <c r="Z29" s="6"/>
      <c r="AA29" s="6"/>
      <c r="AB29" s="129" t="s">
        <v>47</v>
      </c>
      <c r="AC29" s="130"/>
      <c r="AD29" s="131"/>
      <c r="AE29" s="6"/>
      <c r="AF29" s="41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</row>
    <row r="30" spans="1:76" ht="15" customHeight="1" x14ac:dyDescent="0.25">
      <c r="A30" s="6"/>
      <c r="B30" s="34"/>
      <c r="C30" s="31" t="s">
        <v>33</v>
      </c>
      <c r="D30" s="32" t="s">
        <v>45</v>
      </c>
      <c r="E30" s="67" t="s">
        <v>44</v>
      </c>
      <c r="F30" s="6"/>
      <c r="G30" s="6"/>
      <c r="H30" s="31" t="s">
        <v>33</v>
      </c>
      <c r="I30" s="32" t="s">
        <v>45</v>
      </c>
      <c r="J30" s="67" t="s">
        <v>44</v>
      </c>
      <c r="K30" s="6"/>
      <c r="L30" s="6"/>
      <c r="M30" s="31" t="s">
        <v>33</v>
      </c>
      <c r="N30" s="32" t="s">
        <v>45</v>
      </c>
      <c r="O30" s="67" t="s">
        <v>44</v>
      </c>
      <c r="P30" s="6"/>
      <c r="Q30" s="6"/>
      <c r="R30" s="31" t="s">
        <v>33</v>
      </c>
      <c r="S30" s="32" t="s">
        <v>45</v>
      </c>
      <c r="T30" s="67" t="s">
        <v>44</v>
      </c>
      <c r="U30" s="6"/>
      <c r="V30" s="6"/>
      <c r="W30" s="31" t="s">
        <v>33</v>
      </c>
      <c r="X30" s="32" t="s">
        <v>45</v>
      </c>
      <c r="Y30" s="67" t="s">
        <v>44</v>
      </c>
      <c r="Z30" s="6"/>
      <c r="AA30" s="6"/>
      <c r="AB30" s="31" t="s">
        <v>33</v>
      </c>
      <c r="AC30" s="32" t="s">
        <v>45</v>
      </c>
      <c r="AD30" s="67" t="s">
        <v>44</v>
      </c>
      <c r="AE30" s="6"/>
      <c r="AF30" s="35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</row>
    <row r="31" spans="1:76" x14ac:dyDescent="0.25">
      <c r="A31" s="6"/>
      <c r="B31" s="36"/>
      <c r="C31" s="61">
        <v>3.2000000000000001E-2</v>
      </c>
      <c r="D31" s="62">
        <f>LOG(C31)</f>
        <v>-1.494850021680094</v>
      </c>
      <c r="E31" s="63">
        <f>AVERAGE(C4:C5)</f>
        <v>29.232363665229151</v>
      </c>
      <c r="F31" s="6"/>
      <c r="G31" s="6"/>
      <c r="H31" s="61">
        <v>3.2000000000000001E-2</v>
      </c>
      <c r="I31" s="62">
        <f>LOG(H31)</f>
        <v>-1.494850021680094</v>
      </c>
      <c r="J31" s="63">
        <f>AVERAGE(R4:R5)</f>
        <v>32.842157343193101</v>
      </c>
      <c r="K31" s="6"/>
      <c r="L31" s="6"/>
      <c r="M31" s="61">
        <v>3.2000000000000001E-2</v>
      </c>
      <c r="N31" s="62">
        <f>LOG(M31)</f>
        <v>-1.494850021680094</v>
      </c>
      <c r="O31" s="63">
        <f>AVERAGE(I7:I8)</f>
        <v>26.013038242213351</v>
      </c>
      <c r="P31" s="6"/>
      <c r="Q31" s="6"/>
      <c r="R31" s="61">
        <v>3.2000000000000001E-2</v>
      </c>
      <c r="S31" s="62">
        <f>LOG(R31)</f>
        <v>-1.494850021680094</v>
      </c>
      <c r="T31" s="63">
        <f>AVERAGE(C10:C11)</f>
        <v>25.258950849537651</v>
      </c>
      <c r="U31" s="6"/>
      <c r="V31" s="6"/>
      <c r="W31" s="61">
        <v>3.2000000000000001E-2</v>
      </c>
      <c r="X31" s="62">
        <f>LOG(W31)</f>
        <v>-1.494850021680094</v>
      </c>
      <c r="Y31" s="63">
        <f>AVERAGE(R10:R11)</f>
        <v>26.529959669564199</v>
      </c>
      <c r="Z31" s="6"/>
      <c r="AA31" s="6"/>
      <c r="AB31" s="61">
        <v>3.2000000000000001E-2</v>
      </c>
      <c r="AC31" s="62">
        <f>LOG(AB31)</f>
        <v>-1.494850021680094</v>
      </c>
      <c r="AD31" s="63">
        <f>AVERAGE(I13:I14)</f>
        <v>26.4685562672122</v>
      </c>
      <c r="AE31" s="6"/>
      <c r="AF31" s="37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</row>
    <row r="32" spans="1:76" x14ac:dyDescent="0.25">
      <c r="A32" s="6"/>
      <c r="B32" s="36"/>
      <c r="C32" s="61">
        <v>0.16</v>
      </c>
      <c r="D32" s="62">
        <f>LOG(C32)</f>
        <v>-0.79588001734407521</v>
      </c>
      <c r="E32" s="63">
        <f>AVERAGE(D4:D5)</f>
        <v>26.638454246431149</v>
      </c>
      <c r="F32" s="6"/>
      <c r="G32" s="6"/>
      <c r="H32" s="61">
        <v>0.16</v>
      </c>
      <c r="I32" s="62">
        <f>LOG(H32)</f>
        <v>-0.79588001734407521</v>
      </c>
      <c r="J32" s="63">
        <f>AVERAGE(S4:S5)</f>
        <v>27.776380066029802</v>
      </c>
      <c r="K32" s="6"/>
      <c r="L32" s="6"/>
      <c r="M32" s="61">
        <v>0.16</v>
      </c>
      <c r="N32" s="62">
        <f>LOG(M32)</f>
        <v>-0.79588001734407521</v>
      </c>
      <c r="O32" s="63">
        <f>AVERAGE(J7:J8)</f>
        <v>27.883898720660149</v>
      </c>
      <c r="P32" s="6"/>
      <c r="Q32" s="6"/>
      <c r="R32" s="61">
        <v>0.16</v>
      </c>
      <c r="S32" s="62">
        <f>LOG(R32)</f>
        <v>-0.79588001734407521</v>
      </c>
      <c r="T32" s="63">
        <f>AVERAGE(D10:D11)</f>
        <v>23.1325424992785</v>
      </c>
      <c r="U32" s="6"/>
      <c r="V32" s="6"/>
      <c r="W32" s="61">
        <v>0.16</v>
      </c>
      <c r="X32" s="62">
        <f>LOG(W32)</f>
        <v>-0.79588001734407521</v>
      </c>
      <c r="Y32" s="63">
        <f>AVERAGE(S10:S11)</f>
        <v>24.252851190567299</v>
      </c>
      <c r="Z32" s="6"/>
      <c r="AA32" s="6"/>
      <c r="AB32" s="61">
        <v>0.16</v>
      </c>
      <c r="AC32" s="62">
        <f>LOG(AB32)</f>
        <v>-0.79588001734407521</v>
      </c>
      <c r="AD32" s="63">
        <f>AVERAGE(J13:J14)</f>
        <v>23.700514556652799</v>
      </c>
      <c r="AE32" s="6"/>
      <c r="AF32" s="37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</row>
    <row r="33" spans="1:88" x14ac:dyDescent="0.25">
      <c r="A33" s="6"/>
      <c r="B33" s="36"/>
      <c r="C33" s="61">
        <v>0.8</v>
      </c>
      <c r="D33" s="62">
        <f>LOG(C33)</f>
        <v>-9.6910013008056392E-2</v>
      </c>
      <c r="E33" s="63">
        <f>AVERAGE(E4:E5)</f>
        <v>24.63066995267835</v>
      </c>
      <c r="F33" s="6"/>
      <c r="G33" s="6"/>
      <c r="H33" s="61">
        <v>0.8</v>
      </c>
      <c r="I33" s="62">
        <f>LOG(H33)</f>
        <v>-9.6910013008056392E-2</v>
      </c>
      <c r="J33" s="63">
        <f>AVERAGE(T4:T5)</f>
        <v>26.85816528408975</v>
      </c>
      <c r="K33" s="6"/>
      <c r="L33" s="6"/>
      <c r="M33" s="61">
        <v>0.8</v>
      </c>
      <c r="N33" s="62">
        <f>LOG(M33)</f>
        <v>-9.6910013008056392E-2</v>
      </c>
      <c r="O33" s="63">
        <f>AVERAGE(K7:K8)</f>
        <v>23.72362279316885</v>
      </c>
      <c r="P33" s="6"/>
      <c r="Q33" s="6"/>
      <c r="R33" s="61">
        <v>0.8</v>
      </c>
      <c r="S33" s="62">
        <f>LOG(R33)</f>
        <v>-9.6910013008056392E-2</v>
      </c>
      <c r="T33" s="63">
        <f>AVERAGE(E10:E11)</f>
        <v>20.847474245812901</v>
      </c>
      <c r="U33" s="6"/>
      <c r="V33" s="6"/>
      <c r="W33" s="61">
        <v>0.8</v>
      </c>
      <c r="X33" s="62">
        <f>LOG(W33)</f>
        <v>-9.6910013008056392E-2</v>
      </c>
      <c r="Y33" s="63">
        <f>AVERAGE(T10:T11)</f>
        <v>22.112783212255401</v>
      </c>
      <c r="Z33" s="6"/>
      <c r="AA33" s="6"/>
      <c r="AB33" s="61">
        <v>0.8</v>
      </c>
      <c r="AC33" s="62">
        <f>LOG(AB33)</f>
        <v>-9.6910013008056392E-2</v>
      </c>
      <c r="AD33" s="63">
        <f>AVERAGE(K13:K14)</f>
        <v>21.576224906479098</v>
      </c>
      <c r="AE33" s="6"/>
      <c r="AF33" s="37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</row>
    <row r="34" spans="1:88" x14ac:dyDescent="0.25">
      <c r="A34" s="6"/>
      <c r="B34" s="36"/>
      <c r="C34" s="61">
        <v>4</v>
      </c>
      <c r="D34" s="62">
        <f>LOG(C34)</f>
        <v>0.6020599913279624</v>
      </c>
      <c r="E34" s="63">
        <f>AVERAGE(F4:F5)</f>
        <v>22.32967839154955</v>
      </c>
      <c r="F34" s="6"/>
      <c r="G34" s="6"/>
      <c r="H34" s="61">
        <v>4</v>
      </c>
      <c r="I34" s="62">
        <f>LOG(H34)</f>
        <v>0.6020599913279624</v>
      </c>
      <c r="J34" s="63">
        <f>AVERAGE(U4:U5)</f>
        <v>23.047202862693851</v>
      </c>
      <c r="K34" s="6"/>
      <c r="L34" s="6"/>
      <c r="M34" s="61">
        <v>4</v>
      </c>
      <c r="N34" s="62">
        <f>LOG(M34)</f>
        <v>0.6020599913279624</v>
      </c>
      <c r="O34" s="63">
        <f>AVERAGE(L7:L8)</f>
        <v>24.660281195845499</v>
      </c>
      <c r="P34" s="6"/>
      <c r="Q34" s="6"/>
      <c r="R34" s="61">
        <v>4</v>
      </c>
      <c r="S34" s="62">
        <f>LOG(R34)</f>
        <v>0.6020599913279624</v>
      </c>
      <c r="T34" s="63">
        <f>AVERAGE(F10:F11)</f>
        <v>18.540919061930349</v>
      </c>
      <c r="U34" s="6"/>
      <c r="V34" s="6"/>
      <c r="W34" s="61">
        <v>4</v>
      </c>
      <c r="X34" s="62">
        <f>LOG(W34)</f>
        <v>0.6020599913279624</v>
      </c>
      <c r="Y34" s="63">
        <f>AVERAGE(U10:U11)</f>
        <v>19.859369527636552</v>
      </c>
      <c r="Z34" s="6"/>
      <c r="AA34" s="6"/>
      <c r="AB34" s="61">
        <v>4</v>
      </c>
      <c r="AC34" s="62">
        <f>LOG(AB34)</f>
        <v>0.6020599913279624</v>
      </c>
      <c r="AD34" s="63">
        <f>AVERAGE(L13:L14)</f>
        <v>19.167980714774302</v>
      </c>
      <c r="AE34" s="6"/>
      <c r="AF34" s="37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</row>
    <row r="35" spans="1:88" x14ac:dyDescent="0.25">
      <c r="A35" s="6"/>
      <c r="B35" s="36"/>
      <c r="C35" s="64">
        <v>20</v>
      </c>
      <c r="D35" s="65">
        <f>LOG(C35)</f>
        <v>1.3010299956639813</v>
      </c>
      <c r="E35" s="66">
        <f>AVERAGE(G4:G5)</f>
        <v>20.1442225161008</v>
      </c>
      <c r="F35" s="6"/>
      <c r="G35" s="6"/>
      <c r="H35" s="64">
        <v>20</v>
      </c>
      <c r="I35" s="65">
        <f>LOG(H35)</f>
        <v>1.3010299956639813</v>
      </c>
      <c r="J35" s="66">
        <f>AVERAGE(V4:V5)</f>
        <v>20.622462559304751</v>
      </c>
      <c r="K35" s="6"/>
      <c r="L35" s="6"/>
      <c r="M35" s="64">
        <v>20</v>
      </c>
      <c r="N35" s="65">
        <f>LOG(M35)</f>
        <v>1.3010299956639813</v>
      </c>
      <c r="O35" s="66">
        <f>AVERAGE(M7:M8)</f>
        <v>23.9961071032861</v>
      </c>
      <c r="P35" s="6"/>
      <c r="Q35" s="6"/>
      <c r="R35" s="64">
        <v>20</v>
      </c>
      <c r="S35" s="65">
        <f>LOG(R35)</f>
        <v>1.3010299956639813</v>
      </c>
      <c r="T35" s="66">
        <f>AVERAGE(G10:G11)</f>
        <v>16.243500980354348</v>
      </c>
      <c r="U35" s="6"/>
      <c r="V35" s="6"/>
      <c r="W35" s="64">
        <v>20</v>
      </c>
      <c r="X35" s="65">
        <f>LOG(W35)</f>
        <v>1.3010299956639813</v>
      </c>
      <c r="Y35" s="66">
        <f>AVERAGE(V10:V11)</f>
        <v>17.838335245347299</v>
      </c>
      <c r="Z35" s="6"/>
      <c r="AA35" s="6"/>
      <c r="AB35" s="64">
        <v>20</v>
      </c>
      <c r="AC35" s="65">
        <f>LOG(AB35)</f>
        <v>1.3010299956639813</v>
      </c>
      <c r="AD35" s="66">
        <f>AVERAGE(M13:M14)</f>
        <v>17.0267058886363</v>
      </c>
      <c r="AE35" s="6"/>
      <c r="AF35" s="37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</row>
    <row r="36" spans="1:88" x14ac:dyDescent="0.25">
      <c r="A36" s="6"/>
      <c r="B36" s="44"/>
      <c r="C36" s="106" t="s">
        <v>46</v>
      </c>
      <c r="D36" s="107"/>
      <c r="E36" s="33">
        <f>(10^(-1/-3.2169)-1)*100</f>
        <v>104.57769436650213</v>
      </c>
      <c r="F36" s="6"/>
      <c r="G36" s="6"/>
      <c r="H36" s="106" t="s">
        <v>46</v>
      </c>
      <c r="I36" s="107"/>
      <c r="J36" s="33">
        <f>(10^(-1/-4.1731)-1)*100</f>
        <v>73.632097358772583</v>
      </c>
      <c r="K36" s="6"/>
      <c r="L36" s="6"/>
      <c r="M36" s="106" t="s">
        <v>46</v>
      </c>
      <c r="N36" s="107"/>
      <c r="O36" s="33">
        <f>(10^(-1/-1.0383)-1)*100</f>
        <v>818.57110622481673</v>
      </c>
      <c r="P36" s="6"/>
      <c r="Q36" s="6"/>
      <c r="R36" s="106" t="s">
        <v>46</v>
      </c>
      <c r="S36" s="107"/>
      <c r="T36" s="33">
        <f>(10^(-1/-3.2366)-1)*100</f>
        <v>103.68835420035229</v>
      </c>
      <c r="U36" s="6"/>
      <c r="V36" s="6"/>
      <c r="W36" s="106" t="s">
        <v>46</v>
      </c>
      <c r="X36" s="107"/>
      <c r="Y36" s="33">
        <f>(10^(-1/-3.1155)-1)*100</f>
        <v>109.39956074514403</v>
      </c>
      <c r="Z36" s="6"/>
      <c r="AA36" s="6"/>
      <c r="AB36" s="106" t="s">
        <v>46</v>
      </c>
      <c r="AC36" s="107"/>
      <c r="AD36" s="33">
        <f>(10^(-1/-3.3501)-1)*100</f>
        <v>98.837618214595537</v>
      </c>
      <c r="AE36" s="6"/>
      <c r="AF36" s="38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</row>
    <row r="37" spans="1:88" x14ac:dyDescent="0.25">
      <c r="A37" s="6"/>
      <c r="B37" s="44"/>
      <c r="C37" s="106" t="s">
        <v>50</v>
      </c>
      <c r="D37" s="107"/>
      <c r="E37" s="33">
        <f>SUM(E36/100)+1</f>
        <v>2.0457769436650213</v>
      </c>
      <c r="F37" s="6"/>
      <c r="G37" s="6"/>
      <c r="H37" s="106" t="s">
        <v>50</v>
      </c>
      <c r="I37" s="107"/>
      <c r="J37" s="33">
        <f>SUM(J36/100)+1</f>
        <v>1.7363209735877259</v>
      </c>
      <c r="K37" s="6"/>
      <c r="L37" s="6"/>
      <c r="M37" s="106" t="s">
        <v>50</v>
      </c>
      <c r="N37" s="107"/>
      <c r="O37" s="33">
        <f>SUM(O36/100)+1</f>
        <v>9.185711062248167</v>
      </c>
      <c r="P37" s="6"/>
      <c r="Q37" s="6"/>
      <c r="R37" s="106" t="s">
        <v>50</v>
      </c>
      <c r="S37" s="107"/>
      <c r="T37" s="33">
        <f>SUM(T36/100)+1</f>
        <v>2.036883542003523</v>
      </c>
      <c r="U37" s="6"/>
      <c r="V37" s="6"/>
      <c r="W37" s="106" t="s">
        <v>50</v>
      </c>
      <c r="X37" s="107"/>
      <c r="Y37" s="33">
        <f>SUM(Y36/100)+1</f>
        <v>2.0939956074514403</v>
      </c>
      <c r="Z37" s="6"/>
      <c r="AA37" s="6"/>
      <c r="AB37" s="106" t="s">
        <v>50</v>
      </c>
      <c r="AC37" s="107"/>
      <c r="AD37" s="33">
        <f>SUM(AD36/100)+1</f>
        <v>1.9883761821459554</v>
      </c>
      <c r="AE37" s="6"/>
      <c r="AF37" s="38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</row>
    <row r="38" spans="1:88" x14ac:dyDescent="0.25">
      <c r="A38" s="6"/>
      <c r="B38" s="42"/>
      <c r="C38" s="41"/>
      <c r="E38" s="41"/>
      <c r="F38" s="6"/>
      <c r="G38" s="6"/>
      <c r="H38" s="41"/>
      <c r="I38" s="41"/>
      <c r="J38" s="41"/>
      <c r="K38" s="6"/>
      <c r="L38" s="6"/>
      <c r="M38" s="41"/>
      <c r="N38" s="41"/>
      <c r="O38" s="41"/>
      <c r="P38" s="6"/>
      <c r="Q38" s="6"/>
      <c r="R38" s="41"/>
      <c r="S38" s="41"/>
      <c r="T38" s="41"/>
      <c r="U38" s="6"/>
      <c r="V38" s="6"/>
      <c r="W38" s="41"/>
      <c r="X38" s="41"/>
      <c r="Y38" s="41"/>
      <c r="Z38" s="6"/>
      <c r="AA38" s="6"/>
      <c r="AB38" s="41"/>
      <c r="AC38" s="41"/>
      <c r="AD38" s="41"/>
      <c r="AE38" s="6"/>
      <c r="AF38" s="41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</row>
    <row r="39" spans="1:88" x14ac:dyDescent="0.25">
      <c r="A39" s="6"/>
      <c r="B39" s="43"/>
      <c r="C39" s="132" t="s">
        <v>105</v>
      </c>
      <c r="D39" s="133"/>
      <c r="E39" s="133"/>
      <c r="F39" s="133"/>
      <c r="G39" s="133"/>
      <c r="H39" s="134"/>
      <c r="J39" s="132" t="s">
        <v>106</v>
      </c>
      <c r="K39" s="133"/>
      <c r="L39" s="133"/>
      <c r="M39" s="133"/>
      <c r="N39" s="133"/>
      <c r="O39" s="134"/>
      <c r="Q39" s="132" t="s">
        <v>107</v>
      </c>
      <c r="R39" s="133"/>
      <c r="S39" s="133"/>
      <c r="T39" s="133"/>
      <c r="U39" s="133"/>
      <c r="V39" s="134"/>
      <c r="X39" s="132" t="s">
        <v>108</v>
      </c>
      <c r="Y39" s="133"/>
      <c r="Z39" s="133"/>
      <c r="AA39" s="133"/>
      <c r="AB39" s="133"/>
      <c r="AC39" s="134"/>
      <c r="AE39" s="132" t="s">
        <v>109</v>
      </c>
      <c r="AF39" s="133"/>
      <c r="AG39" s="133"/>
      <c r="AH39" s="133"/>
      <c r="AI39" s="133"/>
      <c r="AJ39" s="134"/>
      <c r="AL39" s="132" t="s">
        <v>110</v>
      </c>
      <c r="AM39" s="133"/>
      <c r="AN39" s="133"/>
      <c r="AO39" s="133"/>
      <c r="AP39" s="133"/>
      <c r="AQ39" s="134"/>
      <c r="AR39" s="41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</row>
    <row r="40" spans="1:88" ht="15" customHeight="1" x14ac:dyDescent="0.25">
      <c r="A40" s="6"/>
      <c r="B40" s="43"/>
      <c r="C40" s="151" t="s">
        <v>17</v>
      </c>
      <c r="D40" s="85" t="s">
        <v>62</v>
      </c>
      <c r="E40" s="85" t="s">
        <v>64</v>
      </c>
      <c r="F40" s="85" t="s">
        <v>66</v>
      </c>
      <c r="G40" s="86" t="s">
        <v>68</v>
      </c>
      <c r="H40" s="84" t="s">
        <v>70</v>
      </c>
      <c r="I40" s="6"/>
      <c r="J40" s="111" t="s">
        <v>18</v>
      </c>
      <c r="K40" s="85" t="s">
        <v>62</v>
      </c>
      <c r="L40" s="85" t="s">
        <v>64</v>
      </c>
      <c r="M40" s="85" t="s">
        <v>66</v>
      </c>
      <c r="N40" s="85" t="s">
        <v>68</v>
      </c>
      <c r="O40" s="87" t="s">
        <v>70</v>
      </c>
      <c r="P40" s="36"/>
      <c r="Q40" s="111" t="s">
        <v>26</v>
      </c>
      <c r="R40" s="85" t="s">
        <v>62</v>
      </c>
      <c r="S40" s="85" t="s">
        <v>64</v>
      </c>
      <c r="T40" s="85" t="s">
        <v>66</v>
      </c>
      <c r="U40" s="85" t="s">
        <v>68</v>
      </c>
      <c r="V40" s="87" t="s">
        <v>70</v>
      </c>
      <c r="W40" s="88"/>
      <c r="X40" s="111" t="s">
        <v>19</v>
      </c>
      <c r="Y40" s="85" t="s">
        <v>62</v>
      </c>
      <c r="Z40" s="85" t="s">
        <v>64</v>
      </c>
      <c r="AA40" s="85" t="s">
        <v>66</v>
      </c>
      <c r="AB40" s="85" t="s">
        <v>68</v>
      </c>
      <c r="AC40" s="87" t="s">
        <v>70</v>
      </c>
      <c r="AD40" s="88"/>
      <c r="AE40" s="110" t="s">
        <v>20</v>
      </c>
      <c r="AF40" s="85" t="s">
        <v>62</v>
      </c>
      <c r="AG40" s="85" t="s">
        <v>64</v>
      </c>
      <c r="AH40" s="85" t="s">
        <v>66</v>
      </c>
      <c r="AI40" s="85" t="s">
        <v>68</v>
      </c>
      <c r="AJ40" s="87" t="s">
        <v>70</v>
      </c>
      <c r="AK40" s="88"/>
      <c r="AL40" s="110" t="s">
        <v>21</v>
      </c>
      <c r="AM40" s="85" t="s">
        <v>62</v>
      </c>
      <c r="AN40" s="85" t="s">
        <v>64</v>
      </c>
      <c r="AO40" s="85" t="s">
        <v>66</v>
      </c>
      <c r="AP40" s="85" t="s">
        <v>68</v>
      </c>
      <c r="AQ40" s="87" t="s">
        <v>70</v>
      </c>
      <c r="AR40" s="41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</row>
    <row r="41" spans="1:88" ht="15" customHeight="1" x14ac:dyDescent="0.25">
      <c r="A41" s="6"/>
      <c r="B41" s="43"/>
      <c r="C41" s="151"/>
      <c r="D41" s="45" t="s">
        <v>35</v>
      </c>
      <c r="E41" s="45">
        <f>AVERAGE(H4:H5)</f>
        <v>22.029212912496149</v>
      </c>
      <c r="F41" s="52">
        <f>10^((E41-24.283)/-3.2169)</f>
        <v>5.0188980847166826</v>
      </c>
      <c r="G41" s="53">
        <f>SUM(E41*(LOG(E37)/LOG(2)))</f>
        <v>22.748441444333491</v>
      </c>
      <c r="H41" s="52">
        <f>10^((G41-24.283)/-3.2169)</f>
        <v>2.9993713082495241</v>
      </c>
      <c r="I41" s="6"/>
      <c r="J41" s="111"/>
      <c r="K41" s="45" t="s">
        <v>35</v>
      </c>
      <c r="L41" s="45">
        <f>AVERAGE(W4:W5)</f>
        <v>24.093880252503649</v>
      </c>
      <c r="M41" s="52">
        <f>10^((L41 -25.825)/-4.1731)</f>
        <v>2.5991314516093609</v>
      </c>
      <c r="N41" s="52">
        <f>SUM(L41*(LOG($J$37)/LOG(2)))</f>
        <v>19.17953984463437</v>
      </c>
      <c r="O41" s="52">
        <f>10^((N41 -25.825)/-4.1731)</f>
        <v>39.124760483952301</v>
      </c>
      <c r="P41" s="6"/>
      <c r="Q41" s="111"/>
      <c r="R41" s="45" t="s">
        <v>35</v>
      </c>
      <c r="S41" s="45">
        <f>AVERAGE(N7:N8)</f>
        <v>26.016567718570101</v>
      </c>
      <c r="T41" s="52">
        <f t="shared" ref="T41:T50" si="0">10^((S41-25.155)/-1.0383)</f>
        <v>0.14798344011187592</v>
      </c>
      <c r="U41" s="52">
        <f>SUM(S41*(LOG($O$37)/LOG(2)))</f>
        <v>83.237183123237628</v>
      </c>
      <c r="V41" s="52">
        <f t="shared" ref="V41:V50" si="1">10^((U41-25.155)/-1.0383)</f>
        <v>1.1489658332558095E-56</v>
      </c>
      <c r="W41" s="6"/>
      <c r="X41" s="111" t="s">
        <v>19</v>
      </c>
      <c r="Y41" s="45" t="s">
        <v>35</v>
      </c>
      <c r="Z41" s="45">
        <f>AVERAGE(H10:H11)</f>
        <v>19.18708150707705</v>
      </c>
      <c r="AA41" s="52">
        <f t="shared" ref="AA41:AA50" si="2">10^((Z41-20.491)/-3.2366)</f>
        <v>2.5285220234372185</v>
      </c>
      <c r="AB41" s="52">
        <f>SUM(Z41*(LOG($T$37)/LOG(2)))</f>
        <v>19.692920075774889</v>
      </c>
      <c r="AC41" s="52">
        <f t="shared" ref="AC41:AC50" si="3">10^((AB41-20.491)/-3.2366)</f>
        <v>1.7643296018751882</v>
      </c>
      <c r="AD41" s="6"/>
      <c r="AE41" s="111"/>
      <c r="AF41" s="45" t="s">
        <v>35</v>
      </c>
      <c r="AG41" s="45">
        <f>AVERAGE(W10:W11)</f>
        <v>20.333157627375201</v>
      </c>
      <c r="AH41" s="52">
        <f t="shared" ref="AH41:AH46" si="4">10^((AG41 - 21.817)/-3.1155)</f>
        <v>2.9941768117403251</v>
      </c>
      <c r="AI41" s="52">
        <f>SUM(AG41*(LOG($Y$37)/LOG(2)))</f>
        <v>21.680400442995008</v>
      </c>
      <c r="AJ41" s="52">
        <f t="shared" ref="AJ41:AJ46" si="5">10^((AI41 - 21.817)/-3.1155)</f>
        <v>1.1062292753421457</v>
      </c>
      <c r="AK41" s="6"/>
      <c r="AL41" s="111" t="s">
        <v>21</v>
      </c>
      <c r="AM41" s="45" t="s">
        <v>35</v>
      </c>
      <c r="AN41" s="45">
        <f>AVERAGE(N13:N14)</f>
        <v>20.138600291194152</v>
      </c>
      <c r="AO41" s="52">
        <f t="shared" ref="AO41:AO50" si="6">10^((AN41- 21.263)/-3.3501)</f>
        <v>2.16586650627467</v>
      </c>
      <c r="AP41" s="45">
        <f>SUM(AN41*(LOG($AD$37)/LOG(2)))</f>
        <v>19.96924930569973</v>
      </c>
      <c r="AQ41" s="52">
        <f t="shared" ref="AQ41:AQ50" si="7">10^((AP41- 21.263)/-3.3501)</f>
        <v>2.4332274613850924</v>
      </c>
      <c r="AR41" s="39"/>
      <c r="AS41" s="39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</row>
    <row r="42" spans="1:88" x14ac:dyDescent="0.25">
      <c r="A42" s="6"/>
      <c r="B42" s="43"/>
      <c r="C42" s="151"/>
      <c r="D42" s="46" t="s">
        <v>36</v>
      </c>
      <c r="E42" s="46">
        <f>AVERAGE(I4:I5)</f>
        <v>21.109628891485251</v>
      </c>
      <c r="F42" s="53">
        <f>10^((E42- 24.283)/-3.2169)</f>
        <v>9.6932337032331102</v>
      </c>
      <c r="G42" s="53">
        <f>SUM(E42*(LOG(E37)/LOG(2)))</f>
        <v>21.798834059893316</v>
      </c>
      <c r="H42" s="53">
        <f>10^((G42- 24.283)/-3.2169)</f>
        <v>5.918662156033343</v>
      </c>
      <c r="I42" s="6"/>
      <c r="J42" s="111"/>
      <c r="K42" s="46" t="s">
        <v>36</v>
      </c>
      <c r="L42" s="46">
        <f>AVERAGE(X4:X5)</f>
        <v>21.83578958443675</v>
      </c>
      <c r="M42" s="53">
        <f>10^((L42-25.825)/-4.1731)</f>
        <v>9.0351327277764586</v>
      </c>
      <c r="N42" s="53">
        <f t="shared" ref="N42:N48" si="8">SUM(L42*(LOG($J$37)/LOG(2)))</f>
        <v>17.382023650185541</v>
      </c>
      <c r="O42" s="53">
        <f>10^((N42-25.825)/-4.1731)</f>
        <v>105.48495399285093</v>
      </c>
      <c r="P42" s="6"/>
      <c r="Q42" s="111"/>
      <c r="R42" s="46" t="s">
        <v>36</v>
      </c>
      <c r="S42" s="46">
        <f>AVERAGE(O7:O8)</f>
        <v>25.000824901733303</v>
      </c>
      <c r="T42" s="53">
        <f t="shared" si="0"/>
        <v>1.4076283581735944</v>
      </c>
      <c r="U42" s="53">
        <f>SUM(S42*(LOG($O$37)/LOG(2)))</f>
        <v>79.987424286263547</v>
      </c>
      <c r="V42" s="53">
        <f t="shared" si="1"/>
        <v>1.549499297717496E-53</v>
      </c>
      <c r="W42" s="6"/>
      <c r="X42" s="111"/>
      <c r="Y42" s="46" t="s">
        <v>36</v>
      </c>
      <c r="Z42" s="46">
        <f>AVERAGE(I10:I11)</f>
        <v>18.3776604351537</v>
      </c>
      <c r="AA42" s="53">
        <f t="shared" si="2"/>
        <v>4.4972858531953488</v>
      </c>
      <c r="AB42" s="53">
        <f t="shared" ref="AB42:AB50" si="9">SUM(Z42*(LOG($T$37)/LOG(2)))</f>
        <v>18.862159833725819</v>
      </c>
      <c r="AC42" s="53">
        <f t="shared" si="3"/>
        <v>3.1860791102020936</v>
      </c>
      <c r="AD42" s="6"/>
      <c r="AE42" s="111"/>
      <c r="AF42" s="46" t="s">
        <v>36</v>
      </c>
      <c r="AG42" s="46">
        <f>AVERAGE(X10:X11)</f>
        <v>19.377225760294699</v>
      </c>
      <c r="AH42" s="53">
        <f t="shared" si="4"/>
        <v>6.0688779876263039</v>
      </c>
      <c r="AI42" s="53">
        <f t="shared" ref="AI42:AI50" si="10">SUM(AG42*(LOG($Y$37)/LOG(2)))</f>
        <v>20.66113004464712</v>
      </c>
      <c r="AJ42" s="53">
        <f t="shared" si="5"/>
        <v>2.3496666063340981</v>
      </c>
      <c r="AK42" s="6"/>
      <c r="AL42" s="111"/>
      <c r="AM42" s="46" t="s">
        <v>36</v>
      </c>
      <c r="AN42" s="46">
        <f>AVERAGE(O13:O14)</f>
        <v>18.853524938889102</v>
      </c>
      <c r="AO42" s="53">
        <f t="shared" si="6"/>
        <v>5.2387155450251885</v>
      </c>
      <c r="AP42" s="46">
        <f t="shared" ref="AP42:AP50" si="11">SUM(AN42*(LOG($AD$37)/LOG(2)))</f>
        <v>18.694980502717904</v>
      </c>
      <c r="AQ42" s="53">
        <f t="shared" si="7"/>
        <v>5.8418459737617896</v>
      </c>
      <c r="AR42" s="39"/>
      <c r="AS42" s="39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</row>
    <row r="43" spans="1:88" x14ac:dyDescent="0.25">
      <c r="A43" s="6"/>
      <c r="B43" s="43"/>
      <c r="C43" s="151"/>
      <c r="D43" s="47" t="s">
        <v>37</v>
      </c>
      <c r="E43" s="47">
        <f>AVERAGE(J4:J5)</f>
        <v>21.664715160878551</v>
      </c>
      <c r="F43" s="54">
        <f t="shared" ref="F43:F50" si="12">10^((E43-24.283)/-3.2169)</f>
        <v>6.5150165139810889</v>
      </c>
      <c r="G43" s="54">
        <f>SUM(E43*(LOG(E37)/LOG(2)))</f>
        <v>22.372043259241703</v>
      </c>
      <c r="H43" s="54">
        <f t="shared" ref="H43:H50" si="13">10^((G43-24.283)/-3.2169)</f>
        <v>3.9267813984606521</v>
      </c>
      <c r="I43" s="6"/>
      <c r="J43" s="111"/>
      <c r="K43" s="47" t="s">
        <v>37</v>
      </c>
      <c r="L43" s="47">
        <f>AVERAGE(Y4:Y5)</f>
        <v>23.715741453318948</v>
      </c>
      <c r="M43" s="54">
        <f t="shared" ref="M43:M50" si="14">10^((L43 -25.825)/-4.1731)</f>
        <v>3.2021498330102287</v>
      </c>
      <c r="N43" s="54">
        <f t="shared" si="8"/>
        <v>18.878528629763263</v>
      </c>
      <c r="O43" s="54">
        <f t="shared" ref="O43:O50" si="15">10^((N43 -25.825)/-4.1731)</f>
        <v>46.193727989102406</v>
      </c>
      <c r="P43" s="6"/>
      <c r="Q43" s="111"/>
      <c r="R43" s="47" t="s">
        <v>37</v>
      </c>
      <c r="S43" s="47">
        <f>AVERAGE(P7:P8)</f>
        <v>25.47341284232435</v>
      </c>
      <c r="T43" s="54">
        <f t="shared" si="0"/>
        <v>0.49355155219425939</v>
      </c>
      <c r="U43" s="54">
        <f t="shared" ref="U43:U50" si="16">SUM(S43*(LOG($O$37)/LOG(2)))</f>
        <v>81.49941808107657</v>
      </c>
      <c r="V43" s="54">
        <f t="shared" si="1"/>
        <v>5.4196449474457526E-55</v>
      </c>
      <c r="W43" s="6"/>
      <c r="X43" s="111"/>
      <c r="Y43" s="47" t="s">
        <v>37</v>
      </c>
      <c r="Z43" s="47">
        <f>AVERAGE(J10:J11)</f>
        <v>18.293649941082851</v>
      </c>
      <c r="AA43" s="54">
        <f t="shared" si="2"/>
        <v>4.7742691173089336</v>
      </c>
      <c r="AB43" s="54">
        <f t="shared" si="9"/>
        <v>18.775934529233663</v>
      </c>
      <c r="AC43" s="54">
        <f t="shared" si="3"/>
        <v>3.3876400584492288</v>
      </c>
      <c r="AD43" s="6"/>
      <c r="AE43" s="111"/>
      <c r="AF43" s="47" t="s">
        <v>37</v>
      </c>
      <c r="AG43" s="47">
        <f>AVERAGE(Y10:Y11)</f>
        <v>19.441355175031298</v>
      </c>
      <c r="AH43" s="54">
        <f t="shared" si="4"/>
        <v>5.7879453017557383</v>
      </c>
      <c r="AI43" s="54">
        <f t="shared" si="10"/>
        <v>20.729508572819867</v>
      </c>
      <c r="AJ43" s="54">
        <f t="shared" si="5"/>
        <v>2.2338725638970049</v>
      </c>
      <c r="AK43" s="6"/>
      <c r="AL43" s="111"/>
      <c r="AM43" s="47" t="s">
        <v>37</v>
      </c>
      <c r="AN43" s="47">
        <f>AVERAGE(P13:P14)</f>
        <v>19.33966177291175</v>
      </c>
      <c r="AO43" s="54">
        <f t="shared" si="6"/>
        <v>3.7507116406265455</v>
      </c>
      <c r="AP43" s="47">
        <f t="shared" si="11"/>
        <v>19.177029279440816</v>
      </c>
      <c r="AQ43" s="54">
        <f t="shared" si="7"/>
        <v>4.1942975832275247</v>
      </c>
      <c r="AR43" s="39"/>
      <c r="AS43" s="39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</row>
    <row r="44" spans="1:88" x14ac:dyDescent="0.25">
      <c r="A44" s="6"/>
      <c r="B44" s="43"/>
      <c r="C44" s="151"/>
      <c r="D44" s="48" t="s">
        <v>38</v>
      </c>
      <c r="E44" s="48">
        <f>AVERAGE(K4:K5)</f>
        <v>21.438696630431153</v>
      </c>
      <c r="F44" s="55">
        <f t="shared" si="12"/>
        <v>7.6590561324903579</v>
      </c>
      <c r="G44" s="55">
        <f>SUM(E44*(LOG(E37)/LOG(2)))</f>
        <v>22.138645483041518</v>
      </c>
      <c r="H44" s="55">
        <f t="shared" si="13"/>
        <v>4.6407733257822192</v>
      </c>
      <c r="I44" s="6"/>
      <c r="J44" s="111"/>
      <c r="K44" s="48" t="s">
        <v>38</v>
      </c>
      <c r="L44" s="48">
        <f>AVERAGE(C7:C8)</f>
        <v>23.636887093430602</v>
      </c>
      <c r="M44" s="55">
        <f t="shared" si="14"/>
        <v>3.3445486718525972</v>
      </c>
      <c r="N44" s="55">
        <f t="shared" si="8"/>
        <v>18.815757904518851</v>
      </c>
      <c r="O44" s="55">
        <f t="shared" si="15"/>
        <v>47.8216726497254</v>
      </c>
      <c r="P44" s="6"/>
      <c r="Q44" s="111"/>
      <c r="R44" s="48" t="s">
        <v>38</v>
      </c>
      <c r="S44" s="48">
        <f>AVERAGE(Q7:Q8)</f>
        <v>25.453202580057251</v>
      </c>
      <c r="T44" s="55">
        <f t="shared" si="0"/>
        <v>0.51617537737867081</v>
      </c>
      <c r="U44" s="55">
        <f t="shared" si="16"/>
        <v>81.4347575417044</v>
      </c>
      <c r="V44" s="55">
        <f t="shared" si="1"/>
        <v>6.2552724143188938E-55</v>
      </c>
      <c r="W44" s="6"/>
      <c r="X44" s="111"/>
      <c r="Y44" s="48" t="s">
        <v>38</v>
      </c>
      <c r="Z44" s="48">
        <f>AVERAGE(K10:K11)</f>
        <v>18.1896780633414</v>
      </c>
      <c r="AA44" s="55">
        <f t="shared" si="2"/>
        <v>5.1407998042422411</v>
      </c>
      <c r="AB44" s="55">
        <f t="shared" si="9"/>
        <v>18.66922158918932</v>
      </c>
      <c r="AC44" s="55">
        <f t="shared" si="3"/>
        <v>3.6548364808757454</v>
      </c>
      <c r="AD44" s="6"/>
      <c r="AE44" s="111"/>
      <c r="AF44" s="48" t="s">
        <v>38</v>
      </c>
      <c r="AG44" s="48">
        <f>AVERAGE(C13:C14)</f>
        <v>19.681225680438949</v>
      </c>
      <c r="AH44" s="55">
        <f t="shared" si="4"/>
        <v>4.8476560573570557</v>
      </c>
      <c r="AI44" s="55">
        <f t="shared" si="10"/>
        <v>20.98527251794858</v>
      </c>
      <c r="AJ44" s="55">
        <f t="shared" si="5"/>
        <v>1.8491168918231806</v>
      </c>
      <c r="AK44" s="6"/>
      <c r="AL44" s="111"/>
      <c r="AM44" s="48" t="s">
        <v>38</v>
      </c>
      <c r="AN44" s="48">
        <f>AVERAGE(Q13:Q14)</f>
        <v>18.956900487693751</v>
      </c>
      <c r="AO44" s="55">
        <f t="shared" si="6"/>
        <v>4.8794106058965694</v>
      </c>
      <c r="AP44" s="48">
        <f t="shared" si="11"/>
        <v>18.797486738322384</v>
      </c>
      <c r="AQ44" s="55">
        <f t="shared" si="7"/>
        <v>5.4444265006922956</v>
      </c>
      <c r="AR44" s="39"/>
      <c r="AS44" s="39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</row>
    <row r="45" spans="1:88" x14ac:dyDescent="0.25">
      <c r="A45" s="6"/>
      <c r="B45" s="43"/>
      <c r="C45" s="151"/>
      <c r="D45" s="48" t="s">
        <v>39</v>
      </c>
      <c r="E45" s="48">
        <f>AVERAGE(L4:L5)</f>
        <v>20.556999660257599</v>
      </c>
      <c r="F45" s="55">
        <f t="shared" si="12"/>
        <v>14.396537598955163</v>
      </c>
      <c r="G45" s="55">
        <f>SUM(E45*(LOG(E37)/LOG(2)))</f>
        <v>21.228162118188216</v>
      </c>
      <c r="H45" s="55">
        <f t="shared" si="13"/>
        <v>8.9047483092287347</v>
      </c>
      <c r="I45" s="6"/>
      <c r="J45" s="111"/>
      <c r="K45" s="48" t="s">
        <v>39</v>
      </c>
      <c r="L45" s="48">
        <f>AVERAGE(D7:D8)</f>
        <v>20.643283163963453</v>
      </c>
      <c r="M45" s="55">
        <f t="shared" si="14"/>
        <v>17.445959653973333</v>
      </c>
      <c r="N45" s="55">
        <f t="shared" si="8"/>
        <v>16.43274839162385</v>
      </c>
      <c r="O45" s="55">
        <f t="shared" si="15"/>
        <v>178.10059021670619</v>
      </c>
      <c r="P45" s="6"/>
      <c r="Q45" s="111"/>
      <c r="R45" s="48" t="s">
        <v>39</v>
      </c>
      <c r="S45" s="48">
        <f>AVERAGE(R7:R8)</f>
        <v>24.506495201957499</v>
      </c>
      <c r="T45" s="55">
        <f t="shared" si="0"/>
        <v>4.2129204551158805</v>
      </c>
      <c r="U45" s="55">
        <f t="shared" si="16"/>
        <v>78.405870094004584</v>
      </c>
      <c r="V45" s="55">
        <f t="shared" si="1"/>
        <v>5.1689988954880644E-52</v>
      </c>
      <c r="W45" s="6"/>
      <c r="X45" s="111"/>
      <c r="Y45" s="48" t="s">
        <v>39</v>
      </c>
      <c r="Z45" s="48">
        <f>AVERAGE(L10:L11)</f>
        <v>17.346255395205851</v>
      </c>
      <c r="AA45" s="55">
        <f t="shared" si="2"/>
        <v>9.3674155755667368</v>
      </c>
      <c r="AB45" s="55">
        <f t="shared" si="9"/>
        <v>17.80356334994309</v>
      </c>
      <c r="AC45" s="55">
        <f t="shared" si="3"/>
        <v>6.7659235627028389</v>
      </c>
      <c r="AD45" s="6"/>
      <c r="AE45" s="111"/>
      <c r="AF45" s="48" t="s">
        <v>39</v>
      </c>
      <c r="AG45" s="48">
        <f>AVERAGE(D13:D14)</f>
        <v>18.890484510114447</v>
      </c>
      <c r="AH45" s="55">
        <f t="shared" si="4"/>
        <v>8.6964209188209658</v>
      </c>
      <c r="AI45" s="55">
        <f t="shared" si="10"/>
        <v>20.142138090253162</v>
      </c>
      <c r="AJ45" s="55">
        <f t="shared" si="5"/>
        <v>3.448181242017375</v>
      </c>
      <c r="AK45" s="6"/>
      <c r="AL45" s="111"/>
      <c r="AM45" s="48" t="s">
        <v>39</v>
      </c>
      <c r="AN45" s="48">
        <f>AVERAGE(R13:R14)</f>
        <v>17.810077347879449</v>
      </c>
      <c r="AO45" s="55">
        <f t="shared" si="6"/>
        <v>10.732290332553379</v>
      </c>
      <c r="AP45" s="48">
        <f t="shared" si="11"/>
        <v>17.660307547248664</v>
      </c>
      <c r="AQ45" s="55">
        <f t="shared" si="7"/>
        <v>11.895932232116062</v>
      </c>
      <c r="AR45" s="39"/>
      <c r="AS45" s="39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</row>
    <row r="46" spans="1:88" x14ac:dyDescent="0.25">
      <c r="A46" s="6"/>
      <c r="B46" s="43"/>
      <c r="C46" s="151"/>
      <c r="D46" s="48" t="s">
        <v>40</v>
      </c>
      <c r="E46" s="48">
        <f>AVERAGE(M4:M5)</f>
        <v>20.222106643120448</v>
      </c>
      <c r="F46" s="55">
        <f t="shared" si="12"/>
        <v>18.296259991512439</v>
      </c>
      <c r="G46" s="55">
        <f>SUM(E46*(LOG(E37)/LOG(2)))</f>
        <v>20.882335228198009</v>
      </c>
      <c r="H46" s="55">
        <f t="shared" si="13"/>
        <v>11.405775020005755</v>
      </c>
      <c r="I46" s="6"/>
      <c r="J46" s="111"/>
      <c r="K46" s="48" t="s">
        <v>40</v>
      </c>
      <c r="L46" s="48">
        <f>AVERAGE(E7:E8)</f>
        <v>20.14924720333125</v>
      </c>
      <c r="M46" s="55">
        <f t="shared" si="14"/>
        <v>22.912934129450459</v>
      </c>
      <c r="N46" s="55">
        <f t="shared" si="8"/>
        <v>16.039479134354963</v>
      </c>
      <c r="O46" s="55">
        <f t="shared" si="15"/>
        <v>221.26079843750387</v>
      </c>
      <c r="P46" s="6"/>
      <c r="Q46" s="111"/>
      <c r="R46" s="48" t="s">
        <v>40</v>
      </c>
      <c r="S46" s="48">
        <f>AVERAGE(S7:S8)</f>
        <v>24.15782997030805</v>
      </c>
      <c r="T46" s="55">
        <f t="shared" si="0"/>
        <v>9.128243150444403</v>
      </c>
      <c r="U46" s="55">
        <f t="shared" si="16"/>
        <v>77.290353548953334</v>
      </c>
      <c r="V46" s="55">
        <f t="shared" si="1"/>
        <v>6.1344365778001636E-51</v>
      </c>
      <c r="W46" s="6"/>
      <c r="X46" s="111"/>
      <c r="Y46" s="48" t="s">
        <v>40</v>
      </c>
      <c r="Z46" s="48">
        <f>AVERAGE(M10:M11)</f>
        <v>17.086255428683948</v>
      </c>
      <c r="AA46" s="55">
        <f t="shared" si="2"/>
        <v>11.270702571234333</v>
      </c>
      <c r="AB46" s="55">
        <f t="shared" si="9"/>
        <v>17.53670887504385</v>
      </c>
      <c r="AC46" s="55">
        <f t="shared" si="3"/>
        <v>8.1804293816811278</v>
      </c>
      <c r="AD46" s="6"/>
      <c r="AE46" s="111"/>
      <c r="AF46" s="48" t="s">
        <v>40</v>
      </c>
      <c r="AG46" s="48">
        <f>AVERAGE(E13:E14)</f>
        <v>18.523141993464801</v>
      </c>
      <c r="AH46" s="55">
        <f t="shared" si="4"/>
        <v>11.409026735139248</v>
      </c>
      <c r="AI46" s="55">
        <f t="shared" si="10"/>
        <v>19.750456040339795</v>
      </c>
      <c r="AJ46" s="55">
        <f t="shared" si="5"/>
        <v>4.6058578589686299</v>
      </c>
      <c r="AK46" s="6"/>
      <c r="AL46" s="111"/>
      <c r="AM46" s="48" t="s">
        <v>40</v>
      </c>
      <c r="AN46" s="48">
        <f>AVERAGE(S13:S14)</f>
        <v>17.537798805131452</v>
      </c>
      <c r="AO46" s="55">
        <f t="shared" si="6"/>
        <v>12.940979928887721</v>
      </c>
      <c r="AP46" s="48">
        <f t="shared" si="11"/>
        <v>17.390318669069039</v>
      </c>
      <c r="AQ46" s="55">
        <f t="shared" si="7"/>
        <v>14.321541662624108</v>
      </c>
      <c r="AR46" s="39"/>
      <c r="AS46" s="39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</row>
    <row r="47" spans="1:88" x14ac:dyDescent="0.25">
      <c r="A47" s="6"/>
      <c r="B47" s="43"/>
      <c r="C47" s="151"/>
      <c r="D47" s="49" t="s">
        <v>41</v>
      </c>
      <c r="E47" s="49">
        <f>AVERAGE(N4:N5)</f>
        <v>20.7314283843357</v>
      </c>
      <c r="F47" s="56">
        <f t="shared" si="12"/>
        <v>12.706778008187117</v>
      </c>
      <c r="G47" s="56">
        <f>SUM(E47*(LOG(E37)/LOG(2)))</f>
        <v>21.408285740019917</v>
      </c>
      <c r="H47" s="56">
        <f t="shared" si="13"/>
        <v>7.8276018915153669</v>
      </c>
      <c r="I47" s="6"/>
      <c r="J47" s="111"/>
      <c r="K47" s="49" t="s">
        <v>41</v>
      </c>
      <c r="L47" s="49">
        <f>AVERAGE(F7:F8)</f>
        <v>21.587980168367</v>
      </c>
      <c r="M47" s="56">
        <f t="shared" si="14"/>
        <v>10.358982752406149</v>
      </c>
      <c r="N47" s="56">
        <f t="shared" si="8"/>
        <v>17.184759012046094</v>
      </c>
      <c r="O47" s="56">
        <f t="shared" si="15"/>
        <v>117.61454836846288</v>
      </c>
      <c r="P47" s="6"/>
      <c r="Q47" s="111"/>
      <c r="R47" s="49" t="s">
        <v>41</v>
      </c>
      <c r="S47" s="49">
        <f>AVERAGE(T7:T8)</f>
        <v>24.8790001111186</v>
      </c>
      <c r="T47" s="56">
        <f t="shared" si="0"/>
        <v>1.8442467228171835</v>
      </c>
      <c r="U47" s="56">
        <f t="shared" si="16"/>
        <v>79.597659098363366</v>
      </c>
      <c r="V47" s="56">
        <f t="shared" si="1"/>
        <v>3.6777247089742759E-53</v>
      </c>
      <c r="W47" s="6"/>
      <c r="X47" s="111"/>
      <c r="Y47" s="49" t="s">
        <v>41</v>
      </c>
      <c r="Z47" s="49">
        <f>AVERAGE(N10:N11)</f>
        <v>17.745016652336453</v>
      </c>
      <c r="AA47" s="56">
        <f t="shared" si="2"/>
        <v>7.0536846176481802</v>
      </c>
      <c r="AB47" s="56">
        <f t="shared" si="9"/>
        <v>18.212837348341022</v>
      </c>
      <c r="AC47" s="56">
        <f t="shared" si="3"/>
        <v>5.0567939230334868</v>
      </c>
      <c r="AD47" s="6"/>
      <c r="AE47" s="111"/>
      <c r="AF47" s="49" t="s">
        <v>41</v>
      </c>
      <c r="AG47" s="49">
        <f>AVERAGE(F13:F14)</f>
        <v>18.964621794013851</v>
      </c>
      <c r="AH47" s="56">
        <f>10^((AG47 -21.817)/-3.1155)</f>
        <v>8.2327377337648304</v>
      </c>
      <c r="AI47" s="56">
        <f t="shared" si="10"/>
        <v>20.22118759314646</v>
      </c>
      <c r="AJ47" s="56">
        <f>10^((AI47 -21.817)/-3.1155)</f>
        <v>3.2524985394238537</v>
      </c>
      <c r="AK47" s="6"/>
      <c r="AL47" s="111"/>
      <c r="AM47" s="49" t="s">
        <v>41</v>
      </c>
      <c r="AN47" s="49">
        <f>AVERAGE(T13:T14)</f>
        <v>18.05564873596915</v>
      </c>
      <c r="AO47" s="56">
        <f t="shared" si="6"/>
        <v>9.0654571400825503</v>
      </c>
      <c r="AP47" s="49">
        <f t="shared" si="11"/>
        <v>17.903813858521659</v>
      </c>
      <c r="AQ47" s="56">
        <f t="shared" si="7"/>
        <v>10.062646125829723</v>
      </c>
      <c r="AR47" s="39"/>
      <c r="AS47" s="39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</row>
    <row r="48" spans="1:88" x14ac:dyDescent="0.25">
      <c r="A48" s="6"/>
      <c r="B48" s="43"/>
      <c r="C48" s="151"/>
      <c r="D48" s="50" t="s">
        <v>42</v>
      </c>
      <c r="E48" s="50">
        <f>AVERAGE(O4:O5)</f>
        <v>19.849847843450199</v>
      </c>
      <c r="F48" s="57">
        <f t="shared" si="12"/>
        <v>23.88262464739844</v>
      </c>
      <c r="G48" s="57">
        <f>SUM(E48*(LOG(E37)/LOG(2)))</f>
        <v>20.497922605737365</v>
      </c>
      <c r="H48" s="57">
        <f t="shared" si="13"/>
        <v>15.018364734450548</v>
      </c>
      <c r="I48" s="6"/>
      <c r="J48" s="111"/>
      <c r="K48" s="50" t="s">
        <v>42</v>
      </c>
      <c r="L48" s="50">
        <f>AVERAGE(G7:G8)</f>
        <v>19.371509632064253</v>
      </c>
      <c r="M48" s="57">
        <f t="shared" si="14"/>
        <v>35.192487866705228</v>
      </c>
      <c r="N48" s="57">
        <f t="shared" si="8"/>
        <v>15.420373843697826</v>
      </c>
      <c r="O48" s="57">
        <f t="shared" si="15"/>
        <v>311.35846894315659</v>
      </c>
      <c r="P48" s="6"/>
      <c r="Q48" s="111"/>
      <c r="R48" s="50" t="s">
        <v>42</v>
      </c>
      <c r="S48" s="50">
        <f>AVERAGE(U7:U8)</f>
        <v>23.8909175279103</v>
      </c>
      <c r="T48" s="57">
        <f t="shared" si="0"/>
        <v>16.498861789605456</v>
      </c>
      <c r="U48" s="57">
        <f t="shared" si="16"/>
        <v>76.436396175095979</v>
      </c>
      <c r="V48" s="57">
        <f t="shared" si="1"/>
        <v>4.0759790351685814E-50</v>
      </c>
      <c r="W48" s="6"/>
      <c r="X48" s="111"/>
      <c r="Y48" s="50" t="s">
        <v>42</v>
      </c>
      <c r="Z48" s="50">
        <f>AVERAGE(O10:O11)</f>
        <v>16.89849528863525</v>
      </c>
      <c r="AA48" s="57">
        <f t="shared" si="2"/>
        <v>12.881383969418215</v>
      </c>
      <c r="AB48" s="57">
        <f t="shared" si="9"/>
        <v>17.343998721077416</v>
      </c>
      <c r="AC48" s="57">
        <f t="shared" si="3"/>
        <v>9.3824665272376144</v>
      </c>
      <c r="AD48" s="6"/>
      <c r="AE48" s="111"/>
      <c r="AF48" s="50" t="s">
        <v>42</v>
      </c>
      <c r="AG48" s="50">
        <f>AVERAGE(G13:G14)</f>
        <v>18.113569181029849</v>
      </c>
      <c r="AH48" s="57">
        <f>10^((AG48 -21.817)/-3.1155)</f>
        <v>15.44228434985447</v>
      </c>
      <c r="AI48" s="57">
        <f t="shared" si="10"/>
        <v>19.313745582137358</v>
      </c>
      <c r="AJ48" s="57">
        <f>10^((AI48 -21.817)/-3.1155)</f>
        <v>6.3603937930590639</v>
      </c>
      <c r="AK48" s="6"/>
      <c r="AL48" s="111"/>
      <c r="AM48" s="50" t="s">
        <v>42</v>
      </c>
      <c r="AN48" s="50">
        <f>AVERAGE(U13:U14)</f>
        <v>17.073256047227503</v>
      </c>
      <c r="AO48" s="57">
        <f t="shared" si="6"/>
        <v>17.808711742325375</v>
      </c>
      <c r="AP48" s="50">
        <f t="shared" si="11"/>
        <v>16.929682377985909</v>
      </c>
      <c r="AQ48" s="57">
        <f t="shared" si="7"/>
        <v>19.655723614042035</v>
      </c>
      <c r="AR48" s="39"/>
      <c r="AS48" s="39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</row>
    <row r="49" spans="1:88" x14ac:dyDescent="0.25">
      <c r="A49" s="6"/>
      <c r="B49" s="40"/>
      <c r="C49" s="152"/>
      <c r="D49" s="51" t="s">
        <v>43</v>
      </c>
      <c r="E49" s="51">
        <f>AVERAGE(P4:P5)</f>
        <v>20.747631880052403</v>
      </c>
      <c r="F49" s="58">
        <f t="shared" si="12"/>
        <v>12.560254864456864</v>
      </c>
      <c r="G49" s="58">
        <f>SUM(E49*(LOG(E37)/LOG(2)))</f>
        <v>21.425018261284706</v>
      </c>
      <c r="H49" s="58">
        <f t="shared" si="13"/>
        <v>7.7344117186352888</v>
      </c>
      <c r="I49" s="6"/>
      <c r="J49" s="112"/>
      <c r="K49" s="51" t="s">
        <v>43</v>
      </c>
      <c r="L49" s="51">
        <f>AVERAGE(H7:H8)</f>
        <v>21.7121175449312</v>
      </c>
      <c r="M49" s="58">
        <f t="shared" si="14"/>
        <v>9.6731978134121803</v>
      </c>
      <c r="N49" s="58">
        <f>SUM(L49*(LOG($J$37)/LOG(2)))</f>
        <v>17.283576543098363</v>
      </c>
      <c r="O49" s="58">
        <f t="shared" si="15"/>
        <v>111.37337979169403</v>
      </c>
      <c r="P49" s="6"/>
      <c r="Q49" s="112"/>
      <c r="R49" s="51" t="s">
        <v>43</v>
      </c>
      <c r="S49" s="51">
        <f>AVERAGE(V7:V8)</f>
        <v>25.114623336701051</v>
      </c>
      <c r="T49" s="58">
        <f t="shared" si="0"/>
        <v>1.093672470746464</v>
      </c>
      <c r="U49" s="58">
        <f t="shared" si="16"/>
        <v>80.35151002090052</v>
      </c>
      <c r="V49" s="58">
        <f t="shared" si="1"/>
        <v>6.9109183109039525E-54</v>
      </c>
      <c r="W49" s="6"/>
      <c r="X49" s="112"/>
      <c r="Y49" s="51" t="s">
        <v>43</v>
      </c>
      <c r="Z49" s="51">
        <f>AVERAGE(P10:P11)</f>
        <v>17.887900383265752</v>
      </c>
      <c r="AA49" s="58">
        <f t="shared" si="2"/>
        <v>6.3719123691023878</v>
      </c>
      <c r="AB49" s="58">
        <f t="shared" si="9"/>
        <v>18.359487994103972</v>
      </c>
      <c r="AC49" s="58">
        <f t="shared" si="3"/>
        <v>4.5558053765186868</v>
      </c>
      <c r="AD49" s="6"/>
      <c r="AE49" s="112"/>
      <c r="AF49" s="51" t="s">
        <v>43</v>
      </c>
      <c r="AG49" s="51">
        <f>AVERAGE(H13:H14)</f>
        <v>18.970778216920699</v>
      </c>
      <c r="AH49" s="58">
        <f>10^((AG49 -21.817)/-3.1155)</f>
        <v>8.1953634393489256</v>
      </c>
      <c r="AI49" s="58">
        <f t="shared" si="10"/>
        <v>20.227751930883024</v>
      </c>
      <c r="AJ49" s="58">
        <f>10^((AI49 -21.817)/-3.1155)</f>
        <v>3.236757156267855</v>
      </c>
      <c r="AK49" s="6"/>
      <c r="AL49" s="112"/>
      <c r="AM49" s="51" t="s">
        <v>43</v>
      </c>
      <c r="AN49" s="51">
        <f>AVERAGE(V13:V14)</f>
        <v>18.128402053677149</v>
      </c>
      <c r="AO49" s="58">
        <f t="shared" si="6"/>
        <v>8.6232891532767724</v>
      </c>
      <c r="AP49" s="51">
        <f t="shared" si="11"/>
        <v>17.975955373727317</v>
      </c>
      <c r="AQ49" s="58">
        <f t="shared" si="7"/>
        <v>9.5758660461524894</v>
      </c>
      <c r="AR49" s="39"/>
      <c r="AS49" s="39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</row>
    <row r="50" spans="1:88" x14ac:dyDescent="0.25">
      <c r="A50" s="6"/>
      <c r="B50" s="6"/>
      <c r="C50" s="135" t="s">
        <v>34</v>
      </c>
      <c r="D50" s="136"/>
      <c r="E50" s="60">
        <f>AVERAGE(Q4:Q5)</f>
        <v>36.557765756886901</v>
      </c>
      <c r="F50" s="59">
        <f t="shared" si="12"/>
        <v>1.5285773954602704E-4</v>
      </c>
      <c r="G50" s="59">
        <f>SUM(E50*(LOG(E37)/LOG(2)))</f>
        <v>37.751334873360612</v>
      </c>
      <c r="H50" s="59">
        <f t="shared" si="13"/>
        <v>6.5051391471614278E-5</v>
      </c>
      <c r="I50" s="6"/>
      <c r="J50" s="135" t="s">
        <v>34</v>
      </c>
      <c r="K50" s="136"/>
      <c r="L50" s="60">
        <f>AVERAGE(Z4:Z5)</f>
        <v>34.593919786422603</v>
      </c>
      <c r="M50" s="59">
        <f t="shared" si="14"/>
        <v>7.9196074008621407E-3</v>
      </c>
      <c r="N50" s="59">
        <f>SUM(L50*(LOG($J$37)/LOG(2)))</f>
        <v>27.53792481627497</v>
      </c>
      <c r="O50" s="59">
        <f t="shared" si="15"/>
        <v>0.38862595921179366</v>
      </c>
      <c r="P50" s="6"/>
      <c r="Q50" s="135" t="s">
        <v>34</v>
      </c>
      <c r="R50" s="136"/>
      <c r="S50" s="60">
        <f>AVERAGE(W7:W8)</f>
        <v>30.85746349713645</v>
      </c>
      <c r="T50" s="59">
        <f t="shared" si="0"/>
        <v>3.2202124558600401E-6</v>
      </c>
      <c r="U50" s="59">
        <f t="shared" si="16"/>
        <v>98.725103465374957</v>
      </c>
      <c r="V50" s="59">
        <f t="shared" si="1"/>
        <v>1.392172623556591E-71</v>
      </c>
      <c r="W50" s="6"/>
      <c r="X50" s="135" t="s">
        <v>34</v>
      </c>
      <c r="Y50" s="136"/>
      <c r="Z50" s="60">
        <f>AVERAGE(Q10:Q11)</f>
        <v>34.823305181492898</v>
      </c>
      <c r="AA50" s="59">
        <f t="shared" si="2"/>
        <v>3.7308015091194891E-5</v>
      </c>
      <c r="AB50" s="59">
        <f t="shared" si="9"/>
        <v>35.741369288524353</v>
      </c>
      <c r="AC50" s="59">
        <f t="shared" si="3"/>
        <v>1.9415624588404752E-5</v>
      </c>
      <c r="AD50" s="6"/>
      <c r="AE50" s="158" t="s">
        <v>34</v>
      </c>
      <c r="AF50" s="159"/>
      <c r="AG50" s="60">
        <f>AVERAGE(Z10:Z11)</f>
        <v>36.151633034512997</v>
      </c>
      <c r="AH50" s="59">
        <f>10^((AG50 -21.817)/-3.1155)</f>
        <v>2.505706367945354E-5</v>
      </c>
      <c r="AI50" s="59">
        <f t="shared" si="10"/>
        <v>38.546982973329101</v>
      </c>
      <c r="AJ50" s="59">
        <f>10^((AI50 -21.817)/-3.1155)</f>
        <v>4.2665898361787925E-6</v>
      </c>
      <c r="AK50" s="6"/>
      <c r="AL50" s="158" t="s">
        <v>34</v>
      </c>
      <c r="AM50" s="159"/>
      <c r="AN50" s="60">
        <f>AVERAGE(W13:W14)</f>
        <v>35.880080806557849</v>
      </c>
      <c r="AO50" s="59">
        <f t="shared" si="6"/>
        <v>4.3333377541898271E-5</v>
      </c>
      <c r="AP50" s="60">
        <f t="shared" si="11"/>
        <v>35.578355415699036</v>
      </c>
      <c r="AQ50" s="59">
        <f t="shared" si="7"/>
        <v>5.3319630730654285E-5</v>
      </c>
      <c r="AR50" s="39"/>
      <c r="AS50" s="39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</row>
    <row r="51" spans="1:88" x14ac:dyDescent="0.25">
      <c r="A51" s="6"/>
      <c r="B51" s="6"/>
      <c r="C51" s="108" t="s">
        <v>84</v>
      </c>
      <c r="D51" s="109"/>
      <c r="E51" s="89">
        <f>AVERAGE(E41:E49)</f>
        <v>20.927807556278609</v>
      </c>
      <c r="F51" s="89">
        <f>AVERAGE(F41:F49)</f>
        <v>12.303184393881251</v>
      </c>
      <c r="G51" s="89">
        <f>AVERAGE(G41:G49)</f>
        <v>21.611076466659807</v>
      </c>
      <c r="H51" s="89">
        <f>AVERAGE(H41:H49)</f>
        <v>7.5973877624846047</v>
      </c>
      <c r="I51" s="6"/>
      <c r="J51" s="108" t="s">
        <v>84</v>
      </c>
      <c r="K51" s="109"/>
      <c r="L51" s="89">
        <f>AVERAGE(L41:L49)</f>
        <v>21.860715121816344</v>
      </c>
      <c r="M51" s="89">
        <f>AVERAGE(M41:M49)</f>
        <v>12.640502766688444</v>
      </c>
      <c r="N51" s="89">
        <f>AVERAGE(N41:N49)</f>
        <v>17.401865217102568</v>
      </c>
      <c r="O51" s="89">
        <f>AVERAGE(O41:O49)</f>
        <v>130.92587787479496</v>
      </c>
      <c r="P51" s="6"/>
      <c r="Q51" s="108" t="s">
        <v>84</v>
      </c>
      <c r="R51" s="109"/>
      <c r="S51" s="89">
        <f>AVERAGE(S41:S49)</f>
        <v>24.94365268785339</v>
      </c>
      <c r="T51" s="89">
        <f>AVERAGE(T41:T49)</f>
        <v>3.9270314796208652</v>
      </c>
      <c r="U51" s="89">
        <f>AVERAGE(U41:U49)</f>
        <v>79.804507996622206</v>
      </c>
      <c r="V51" s="89">
        <f>AVERAGE(V41:V49)</f>
        <v>5.2746098843119018E-51</v>
      </c>
      <c r="W51" s="6"/>
      <c r="X51" s="108" t="s">
        <v>84</v>
      </c>
      <c r="Y51" s="109"/>
      <c r="Z51" s="89">
        <f>AVERAGE(Z41:Z49)</f>
        <v>17.890221454975809</v>
      </c>
      <c r="AA51" s="89">
        <f>AVERAGE(AA41:AA49)</f>
        <v>7.0984417667948447</v>
      </c>
      <c r="AB51" s="89">
        <f>AVERAGE(AB41:AB49)</f>
        <v>18.361870257381451</v>
      </c>
      <c r="AC51" s="89">
        <f>AVERAGE(AC41:AC49)</f>
        <v>5.1038115580640007</v>
      </c>
      <c r="AD51" s="6"/>
      <c r="AE51" s="108" t="s">
        <v>84</v>
      </c>
      <c r="AF51" s="109"/>
      <c r="AG51" s="89">
        <f>AVERAGE(AG41:AG49)</f>
        <v>19.1439511042982</v>
      </c>
      <c r="AH51" s="89">
        <f>AVERAGE(AH41:AH49)</f>
        <v>7.9638321483786507</v>
      </c>
      <c r="AI51" s="89">
        <f>AVERAGE(AI41:AI49)</f>
        <v>20.412398979463372</v>
      </c>
      <c r="AJ51" s="89">
        <f>AVERAGE(AJ41:AJ49)</f>
        <v>3.1602859919036899</v>
      </c>
      <c r="AK51" s="6"/>
      <c r="AL51" s="108" t="s">
        <v>84</v>
      </c>
      <c r="AM51" s="109"/>
      <c r="AN51" s="89">
        <f>AVERAGE(AN41:AN49)</f>
        <v>18.432652275619272</v>
      </c>
      <c r="AO51" s="89">
        <f>AVERAGE(AO41:AO49)</f>
        <v>8.3561591772165311</v>
      </c>
      <c r="AP51" s="89">
        <f>AVERAGE(AP41:AP49)</f>
        <v>18.277647072525937</v>
      </c>
      <c r="AQ51" s="89">
        <f>AVERAGE(AQ41:AQ49)</f>
        <v>9.2695007999812358</v>
      </c>
      <c r="AR51" s="39"/>
      <c r="AS51" s="39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</row>
    <row r="52" spans="1:88" x14ac:dyDescent="0.25">
      <c r="A52" s="6"/>
      <c r="B52" s="6"/>
      <c r="C52" s="108" t="s">
        <v>85</v>
      </c>
      <c r="D52" s="109"/>
      <c r="E52" s="89">
        <f>(E53/SQRT(9))</f>
        <v>0.2199531569374876</v>
      </c>
      <c r="F52" s="89">
        <f>(F53/SQRT(9))</f>
        <v>1.8907016684743108</v>
      </c>
      <c r="G52" s="89">
        <f>(G53/SQRT(9))</f>
        <v>0.22713437520277568</v>
      </c>
      <c r="H52" s="89">
        <f>(H53/SQRT(9))</f>
        <v>1.204571915214202</v>
      </c>
      <c r="I52" s="6"/>
      <c r="J52" s="108" t="s">
        <v>85</v>
      </c>
      <c r="K52" s="109"/>
      <c r="L52" s="89">
        <f>(L53/SQRT(9))</f>
        <v>0.52455071804064812</v>
      </c>
      <c r="M52" s="89">
        <f>(M53/SQRT(9))</f>
        <v>3.4075852676299139</v>
      </c>
      <c r="N52" s="89">
        <f>(N53/SQRT(9))</f>
        <v>0.4175600314999805</v>
      </c>
      <c r="O52" s="89">
        <f>(O53/SQRT(9))</f>
        <v>28.687717263339852</v>
      </c>
      <c r="P52" s="6"/>
      <c r="Q52" s="108" t="s">
        <v>85</v>
      </c>
      <c r="R52" s="109"/>
      <c r="S52" s="89">
        <f>(S53/SQRT(9))</f>
        <v>0.21213169929181963</v>
      </c>
      <c r="T52" s="89">
        <f>(T53/SQRT(9))</f>
        <v>1.7270630470449764</v>
      </c>
      <c r="U52" s="89">
        <f>(U53/SQRT(9))</f>
        <v>0.67869233525348494</v>
      </c>
      <c r="V52" s="89">
        <f>(V53/SQRT(9))</f>
        <v>4.2293318261605915E-51</v>
      </c>
      <c r="W52" s="6"/>
      <c r="X52" s="108" t="s">
        <v>85</v>
      </c>
      <c r="Y52" s="109"/>
      <c r="Z52" s="89">
        <f>(Z53/SQRT(9))</f>
        <v>0.22549650607817115</v>
      </c>
      <c r="AA52" s="89">
        <f>(AA53/SQRT(9))</f>
        <v>1.0738909878573322</v>
      </c>
      <c r="AB52" s="89">
        <f>(AB53/SQRT(9))</f>
        <v>0.23144138257431127</v>
      </c>
      <c r="AC52" s="89">
        <f>(AC53/SQRT(9))</f>
        <v>0.7912500985470553</v>
      </c>
      <c r="AD52" s="6"/>
      <c r="AE52" s="108" t="s">
        <v>85</v>
      </c>
      <c r="AF52" s="109"/>
      <c r="AG52" s="89">
        <f>(AG53/SQRT(9))</f>
        <v>0.20545722560518545</v>
      </c>
      <c r="AH52" s="89">
        <f>(AH53/SQRT(9))</f>
        <v>1.1716432417732285</v>
      </c>
      <c r="AI52" s="89">
        <f>(AI53/SQRT(9))</f>
        <v>0.21907049591894615</v>
      </c>
      <c r="AJ52" s="89">
        <f>(AJ53/SQRT(9))</f>
        <v>0.49542676031224397</v>
      </c>
      <c r="AK52" s="6"/>
      <c r="AL52" s="108" t="s">
        <v>85</v>
      </c>
      <c r="AM52" s="109"/>
      <c r="AN52" s="89">
        <f>(AN53/SQRT(9))</f>
        <v>0.30339468433485628</v>
      </c>
      <c r="AO52" s="89">
        <f>(AO53/SQRT(9))</f>
        <v>1.5631872252855217</v>
      </c>
      <c r="AP52" s="89">
        <f>(AP53/SQRT(9))</f>
        <v>0.30084335564056047</v>
      </c>
      <c r="AQ52" s="89">
        <f>(AQ53/SQRT(9))</f>
        <v>1.7209319694265686</v>
      </c>
      <c r="AR52" s="39"/>
      <c r="AS52" s="39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</row>
    <row r="53" spans="1:88" x14ac:dyDescent="0.25">
      <c r="A53" s="6"/>
      <c r="B53" s="6"/>
      <c r="C53" s="108" t="s">
        <v>86</v>
      </c>
      <c r="D53" s="109"/>
      <c r="E53" s="89">
        <f>_xlfn.STDEV.P(E41:E49)</f>
        <v>0.65985947081246277</v>
      </c>
      <c r="F53" s="89">
        <f>_xlfn.STDEV.P(F41:F49)</f>
        <v>5.6721050054229325</v>
      </c>
      <c r="G53" s="89">
        <f>_xlfn.STDEV.P(G41:G49)</f>
        <v>0.68140312560832705</v>
      </c>
      <c r="H53" s="89">
        <f>_xlfn.STDEV.P(H41:H49)</f>
        <v>3.6137157456426063</v>
      </c>
      <c r="I53" s="6"/>
      <c r="J53" s="108" t="s">
        <v>86</v>
      </c>
      <c r="K53" s="109"/>
      <c r="L53" s="89">
        <f>_xlfn.STDEV.P(L41:L49)</f>
        <v>1.5736521541219444</v>
      </c>
      <c r="M53" s="89">
        <f>_xlfn.STDEV.P(M41:M49)</f>
        <v>10.222755802889742</v>
      </c>
      <c r="N53" s="89">
        <f>_xlfn.STDEV.P(N41:N49)</f>
        <v>1.2526800944999414</v>
      </c>
      <c r="O53" s="89">
        <f>_xlfn.STDEV.P(O41:O49)</f>
        <v>86.06315179001956</v>
      </c>
      <c r="P53" s="6"/>
      <c r="Q53" s="108" t="s">
        <v>86</v>
      </c>
      <c r="R53" s="109"/>
      <c r="S53" s="89">
        <f>_xlfn.STDEV.P(S41:S49)</f>
        <v>0.63639509787545889</v>
      </c>
      <c r="T53" s="89">
        <f>_xlfn.STDEV.P(T41:T49)</f>
        <v>5.1811891411349293</v>
      </c>
      <c r="U53" s="89">
        <f>_xlfn.STDEV.P(U41:U49)</f>
        <v>2.0360770057604549</v>
      </c>
      <c r="V53" s="89">
        <f>_xlfn.STDEV.P(V41:V49)</f>
        <v>1.2687995478481775E-50</v>
      </c>
      <c r="W53" s="6"/>
      <c r="X53" s="108" t="s">
        <v>86</v>
      </c>
      <c r="Y53" s="109"/>
      <c r="Z53" s="89">
        <f>_xlfn.STDEV.P(Z41:Z49)</f>
        <v>0.67648951823451342</v>
      </c>
      <c r="AA53" s="89">
        <f>_xlfn.STDEV.P(AA41:AA49)</f>
        <v>3.2216729635719967</v>
      </c>
      <c r="AB53" s="89">
        <f>_xlfn.STDEV.P(AB41:AB49)</f>
        <v>0.69432414772293383</v>
      </c>
      <c r="AC53" s="89">
        <f>_xlfn.STDEV.P(AC41:AC49)</f>
        <v>2.373750295641166</v>
      </c>
      <c r="AD53" s="6"/>
      <c r="AE53" s="108" t="s">
        <v>86</v>
      </c>
      <c r="AF53" s="109"/>
      <c r="AG53" s="89">
        <f>_xlfn.STDEV.P(AG41:AG49)</f>
        <v>0.61637167681555638</v>
      </c>
      <c r="AH53" s="89">
        <f>_xlfn.STDEV.P(AH41:AH49)</f>
        <v>3.5149297253196856</v>
      </c>
      <c r="AI53" s="89">
        <f>_xlfn.STDEV.P(AI41:AI49)</f>
        <v>0.65721148775683846</v>
      </c>
      <c r="AJ53" s="89">
        <f>_xlfn.STDEV.P(AJ41:AJ49)</f>
        <v>1.4862802809367319</v>
      </c>
      <c r="AK53" s="6"/>
      <c r="AL53" s="108" t="s">
        <v>86</v>
      </c>
      <c r="AM53" s="109"/>
      <c r="AN53" s="89">
        <f>_xlfn.STDEV.P(AN41:AN49)</f>
        <v>0.91018405300456884</v>
      </c>
      <c r="AO53" s="89">
        <f>_xlfn.STDEV.P(AO41:AO49)</f>
        <v>4.6895616758565648</v>
      </c>
      <c r="AP53" s="89">
        <f>_xlfn.STDEV.P(AP41:AP49)</f>
        <v>0.90253006692168136</v>
      </c>
      <c r="AQ53" s="89">
        <f>_xlfn.STDEV.P(AQ41:AQ49)</f>
        <v>5.1627959082797057</v>
      </c>
      <c r="AR53" s="39"/>
      <c r="AS53" s="39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</row>
    <row r="54" spans="1:88" x14ac:dyDescent="0.25">
      <c r="A54" s="6"/>
      <c r="B54" s="6"/>
      <c r="C54" s="108" t="s">
        <v>87</v>
      </c>
      <c r="D54" s="109"/>
      <c r="E54" s="89">
        <f>SUM(E53/E51)</f>
        <v>3.1530272296225147E-2</v>
      </c>
      <c r="F54" s="89">
        <f>SUM(F53/F51)</f>
        <v>0.46102739126984421</v>
      </c>
      <c r="G54" s="89">
        <f>SUM(G53/G51)</f>
        <v>3.1530272296225154E-2</v>
      </c>
      <c r="H54" s="89">
        <f>SUM(H53/H51)</f>
        <v>0.47565240298604927</v>
      </c>
      <c r="I54" s="6"/>
      <c r="J54" s="108" t="s">
        <v>87</v>
      </c>
      <c r="K54" s="109"/>
      <c r="L54" s="89">
        <f>SUM(L53/L51)</f>
        <v>7.198539230546426E-2</v>
      </c>
      <c r="M54" s="89">
        <f>SUM(M53/M51)</f>
        <v>0.80873015825207539</v>
      </c>
      <c r="N54" s="89">
        <f>SUM(N53/N51)</f>
        <v>7.198539230546426E-2</v>
      </c>
      <c r="O54" s="89">
        <f>SUM(O53/O51)</f>
        <v>0.65734256043959594</v>
      </c>
      <c r="P54" s="6"/>
      <c r="Q54" s="108" t="s">
        <v>87</v>
      </c>
      <c r="R54" s="109"/>
      <c r="S54" s="89">
        <f>SUM(S53/S51)</f>
        <v>2.5513308168589082E-2</v>
      </c>
      <c r="T54" s="89">
        <f>SUM(T53/T51)</f>
        <v>1.3193653190768786</v>
      </c>
      <c r="U54" s="89">
        <f>SUM(U53/U51)</f>
        <v>2.5513308168589093E-2</v>
      </c>
      <c r="V54" s="89">
        <f>SUM(V53/V51)</f>
        <v>2.4054850987594856</v>
      </c>
      <c r="W54" s="6"/>
      <c r="X54" s="108" t="s">
        <v>87</v>
      </c>
      <c r="Y54" s="109"/>
      <c r="Z54" s="89">
        <f>SUM(Z53/Z51)</f>
        <v>3.7813367483294141E-2</v>
      </c>
      <c r="AA54" s="89">
        <f>SUM(AA53/AA51)</f>
        <v>0.45385636304609384</v>
      </c>
      <c r="AB54" s="89">
        <f>SUM(AB53/AB51)</f>
        <v>3.7813367483294155E-2</v>
      </c>
      <c r="AC54" s="89">
        <f>SUM(AC53/AC51)</f>
        <v>0.46509364004449782</v>
      </c>
      <c r="AD54" s="6"/>
      <c r="AE54" s="108" t="s">
        <v>87</v>
      </c>
      <c r="AF54" s="109"/>
      <c r="AG54" s="89">
        <f>SUM(AG53/AG51)</f>
        <v>3.2196680479254287E-2</v>
      </c>
      <c r="AH54" s="89">
        <f>SUM(AH53/AH51)</f>
        <v>0.44136160328734286</v>
      </c>
      <c r="AI54" s="89">
        <f>SUM(AI53/AI51)</f>
        <v>3.2196680479254287E-2</v>
      </c>
      <c r="AJ54" s="89">
        <f>SUM(AJ53/AJ51)</f>
        <v>0.47029929719791846</v>
      </c>
      <c r="AK54" s="6"/>
      <c r="AL54" s="108" t="s">
        <v>87</v>
      </c>
      <c r="AM54" s="109"/>
      <c r="AN54" s="89">
        <f>SUM(AN53/AN51)</f>
        <v>4.9378897805632795E-2</v>
      </c>
      <c r="AO54" s="89">
        <f>SUM(AO53/AO51)</f>
        <v>0.56121018956207536</v>
      </c>
      <c r="AP54" s="89">
        <f>SUM(AP53/AP51)</f>
        <v>4.9378897805632781E-2</v>
      </c>
      <c r="AQ54" s="89">
        <f>SUM(AQ53/AQ51)</f>
        <v>0.5569659056817986</v>
      </c>
      <c r="AR54" s="39"/>
      <c r="AS54" s="39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</row>
    <row r="55" spans="1:88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</row>
    <row r="56" spans="1:88" x14ac:dyDescent="0.25">
      <c r="A56" s="6"/>
      <c r="B56" s="6"/>
      <c r="C56" s="137" t="s">
        <v>48</v>
      </c>
      <c r="D56" s="138"/>
      <c r="E56" s="139"/>
      <c r="F56" s="6"/>
      <c r="G56" s="6"/>
      <c r="H56" s="140" t="s">
        <v>23</v>
      </c>
      <c r="I56" s="141"/>
      <c r="J56" s="142"/>
      <c r="K56" s="6"/>
      <c r="L56" s="6"/>
      <c r="M56" s="140" t="s">
        <v>27</v>
      </c>
      <c r="N56" s="141"/>
      <c r="O56" s="142"/>
      <c r="P56" s="6"/>
      <c r="Q56" s="6"/>
      <c r="R56" s="140" t="s">
        <v>24</v>
      </c>
      <c r="S56" s="141"/>
      <c r="T56" s="142"/>
      <c r="U56" s="6"/>
      <c r="V56" s="6"/>
      <c r="W56" s="140"/>
      <c r="X56" s="141"/>
      <c r="Y56" s="142"/>
      <c r="Z56" s="6"/>
      <c r="AA56" s="6"/>
      <c r="AB56" s="140" t="s">
        <v>25</v>
      </c>
      <c r="AC56" s="141"/>
      <c r="AD56" s="142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</row>
    <row r="57" spans="1:88" ht="15" customHeight="1" x14ac:dyDescent="0.25">
      <c r="A57" s="6"/>
      <c r="B57" s="6"/>
      <c r="C57" s="143" t="s">
        <v>47</v>
      </c>
      <c r="D57" s="144"/>
      <c r="E57" s="145"/>
      <c r="F57" s="6"/>
      <c r="G57" s="6"/>
      <c r="H57" s="129" t="s">
        <v>47</v>
      </c>
      <c r="I57" s="146"/>
      <c r="J57" s="147"/>
      <c r="K57" s="6"/>
      <c r="L57" s="6"/>
      <c r="M57" s="129" t="s">
        <v>47</v>
      </c>
      <c r="N57" s="146"/>
      <c r="O57" s="147"/>
      <c r="P57" s="6"/>
      <c r="Q57" s="6"/>
      <c r="R57" s="129" t="s">
        <v>47</v>
      </c>
      <c r="S57" s="146"/>
      <c r="T57" s="147"/>
      <c r="U57" s="6"/>
      <c r="V57" s="6"/>
      <c r="W57" s="129"/>
      <c r="X57" s="146"/>
      <c r="Y57" s="147"/>
      <c r="Z57" s="6"/>
      <c r="AA57" s="6"/>
      <c r="AB57" s="129" t="s">
        <v>47</v>
      </c>
      <c r="AC57" s="146"/>
      <c r="AD57" s="147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</row>
    <row r="58" spans="1:88" x14ac:dyDescent="0.25">
      <c r="A58" s="6"/>
      <c r="B58" s="6"/>
      <c r="C58" s="31" t="s">
        <v>33</v>
      </c>
      <c r="D58" s="32" t="s">
        <v>45</v>
      </c>
      <c r="E58" s="67" t="s">
        <v>44</v>
      </c>
      <c r="F58" s="6"/>
      <c r="G58" s="6"/>
      <c r="H58" s="31" t="s">
        <v>33</v>
      </c>
      <c r="I58" s="32" t="s">
        <v>45</v>
      </c>
      <c r="J58" s="67" t="s">
        <v>44</v>
      </c>
      <c r="K58" s="6"/>
      <c r="L58" s="6"/>
      <c r="M58" s="31" t="s">
        <v>33</v>
      </c>
      <c r="N58" s="32" t="s">
        <v>45</v>
      </c>
      <c r="O58" s="67" t="s">
        <v>44</v>
      </c>
      <c r="P58" s="6"/>
      <c r="Q58" s="6"/>
      <c r="R58" s="31" t="s">
        <v>33</v>
      </c>
      <c r="S58" s="32" t="s">
        <v>45</v>
      </c>
      <c r="T58" s="67" t="s">
        <v>44</v>
      </c>
      <c r="U58" s="6"/>
      <c r="V58" s="6"/>
      <c r="W58" s="31"/>
      <c r="X58" s="32"/>
      <c r="Y58" s="67"/>
      <c r="Z58" s="6"/>
      <c r="AA58" s="6"/>
      <c r="AB58" s="31" t="s">
        <v>33</v>
      </c>
      <c r="AC58" s="32" t="s">
        <v>45</v>
      </c>
      <c r="AD58" s="67" t="s">
        <v>44</v>
      </c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</row>
    <row r="59" spans="1:88" x14ac:dyDescent="0.25">
      <c r="A59" s="6"/>
      <c r="B59" s="6"/>
      <c r="C59" s="61">
        <v>3.2000000000000001E-2</v>
      </c>
      <c r="D59" s="62">
        <f>LOG(C59)</f>
        <v>-1.494850021680094</v>
      </c>
      <c r="E59" s="63">
        <f>AVERAGE(C16:C17)</f>
        <v>30.3574905674128</v>
      </c>
      <c r="F59" s="6"/>
      <c r="G59" s="6"/>
      <c r="H59" s="61">
        <v>3.2000000000000001E-2</v>
      </c>
      <c r="I59" s="62">
        <f>LOG(H59)</f>
        <v>-1.494850021680094</v>
      </c>
      <c r="J59" s="63">
        <f>AVERAGE(R16:R17)</f>
        <v>31.053455004663949</v>
      </c>
      <c r="K59" s="6"/>
      <c r="L59" s="6"/>
      <c r="M59" s="61">
        <v>3.2000000000000001E-2</v>
      </c>
      <c r="N59" s="62">
        <f>LOG(M59)</f>
        <v>-1.494850021680094</v>
      </c>
      <c r="O59" s="63">
        <f>AVERAGE(I19:I20)</f>
        <v>28.561791211267451</v>
      </c>
      <c r="P59" s="6"/>
      <c r="Q59" s="6"/>
      <c r="R59" s="61">
        <v>3.2000000000000001E-2</v>
      </c>
      <c r="S59" s="62">
        <f>LOG(R59)</f>
        <v>-1.494850021680094</v>
      </c>
      <c r="T59" s="63">
        <f>AVERAGE(C22:C23)</f>
        <v>27.396749982247748</v>
      </c>
      <c r="U59" s="6"/>
      <c r="V59" s="6"/>
      <c r="W59" s="61"/>
      <c r="X59" s="62"/>
      <c r="Y59" s="63"/>
      <c r="Z59" s="6"/>
      <c r="AA59" s="6"/>
      <c r="AB59" s="61">
        <v>3.2000000000000001E-2</v>
      </c>
      <c r="AC59" s="62">
        <f>LOG(AB59)</f>
        <v>-1.494850021680094</v>
      </c>
      <c r="AD59" s="63">
        <f>AVERAGE(I25:I26)</f>
        <v>32.7279924186887</v>
      </c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</row>
    <row r="60" spans="1:88" x14ac:dyDescent="0.25">
      <c r="A60" s="6"/>
      <c r="B60" s="6"/>
      <c r="C60" s="61">
        <v>0.16</v>
      </c>
      <c r="D60" s="62">
        <f>LOG(C60)</f>
        <v>-0.79588001734407521</v>
      </c>
      <c r="E60" s="63">
        <f>AVERAGE(D16:D17)</f>
        <v>29.4784867442464</v>
      </c>
      <c r="F60" s="6"/>
      <c r="G60" s="6"/>
      <c r="H60" s="61">
        <v>0.16</v>
      </c>
      <c r="I60" s="62">
        <f>LOG(H60)</f>
        <v>-0.79588001734407521</v>
      </c>
      <c r="J60" s="63">
        <f>AVERAGE(S16:S17)</f>
        <v>29.6768439053265</v>
      </c>
      <c r="K60" s="6"/>
      <c r="L60" s="6"/>
      <c r="M60" s="61">
        <v>0.16</v>
      </c>
      <c r="N60" s="62">
        <f>LOG(M60)</f>
        <v>-0.79588001734407521</v>
      </c>
      <c r="O60" s="63">
        <f>AVERAGE(J19:J20)</f>
        <v>26.582994319862848</v>
      </c>
      <c r="P60" s="6"/>
      <c r="Q60" s="6"/>
      <c r="R60" s="61">
        <v>0.16</v>
      </c>
      <c r="S60" s="62">
        <f>LOG(R60)</f>
        <v>-0.79588001734407521</v>
      </c>
      <c r="T60" s="63">
        <f>AVERAGE(D22:D23)</f>
        <v>24.904349904580751</v>
      </c>
      <c r="U60" s="6"/>
      <c r="V60" s="6"/>
      <c r="W60" s="61"/>
      <c r="X60" s="62"/>
      <c r="Y60" s="63"/>
      <c r="Z60" s="6"/>
      <c r="AA60" s="6"/>
      <c r="AB60" s="61">
        <v>0.16</v>
      </c>
      <c r="AC60" s="62">
        <f>LOG(AB60)</f>
        <v>-0.79588001734407521</v>
      </c>
      <c r="AD60" s="63">
        <f>AVERAGE(J25:J26)</f>
        <v>32.464776134709453</v>
      </c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</row>
    <row r="61" spans="1:88" x14ac:dyDescent="0.25">
      <c r="A61" s="6"/>
      <c r="B61" s="6"/>
      <c r="C61" s="61">
        <v>0.8</v>
      </c>
      <c r="D61" s="62">
        <f>LOG(C61)</f>
        <v>-9.6910013008056392E-2</v>
      </c>
      <c r="E61" s="63">
        <f>AVERAGE(E16:E17)</f>
        <v>27.591389940278802</v>
      </c>
      <c r="F61" s="6"/>
      <c r="G61" s="6"/>
      <c r="H61" s="61">
        <v>0.8</v>
      </c>
      <c r="I61" s="62">
        <f>LOG(H61)</f>
        <v>-9.6910013008056392E-2</v>
      </c>
      <c r="J61" s="63">
        <f>AVERAGE(T16:T17)</f>
        <v>27.327698413546798</v>
      </c>
      <c r="K61" s="6"/>
      <c r="L61" s="6"/>
      <c r="M61" s="61">
        <v>0.8</v>
      </c>
      <c r="N61" s="62">
        <f>LOG(M61)</f>
        <v>-9.6910013008056392E-2</v>
      </c>
      <c r="O61" s="63">
        <f>AVERAGE(K19:K20)</f>
        <v>24.324928741325451</v>
      </c>
      <c r="P61" s="6"/>
      <c r="Q61" s="6"/>
      <c r="R61" s="61">
        <v>0.8</v>
      </c>
      <c r="S61" s="62">
        <f>LOG(R61)</f>
        <v>-9.6910013008056392E-2</v>
      </c>
      <c r="T61" s="63">
        <f>AVERAGE(E22:E23)</f>
        <v>22.998762958551751</v>
      </c>
      <c r="U61" s="6"/>
      <c r="V61" s="6"/>
      <c r="W61" s="61"/>
      <c r="X61" s="62"/>
      <c r="Y61" s="63"/>
      <c r="Z61" s="6"/>
      <c r="AA61" s="6"/>
      <c r="AB61" s="61">
        <v>0.8</v>
      </c>
      <c r="AC61" s="62">
        <f>LOG(AB61)</f>
        <v>-9.6910013008056392E-2</v>
      </c>
      <c r="AD61" s="63">
        <f>AVERAGE(K25:K26)</f>
        <v>29.231182867829048</v>
      </c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</row>
    <row r="62" spans="1:88" x14ac:dyDescent="0.25">
      <c r="A62" s="6"/>
      <c r="B62" s="6"/>
      <c r="C62" s="61">
        <v>4</v>
      </c>
      <c r="D62" s="62">
        <f>LOG(C62)</f>
        <v>0.6020599913279624</v>
      </c>
      <c r="E62" s="63">
        <f>AVERAGE(F16:F17)</f>
        <v>25.657590934185802</v>
      </c>
      <c r="F62" s="6"/>
      <c r="G62" s="6"/>
      <c r="H62" s="61">
        <v>4</v>
      </c>
      <c r="I62" s="62">
        <f>LOG(H62)</f>
        <v>0.6020599913279624</v>
      </c>
      <c r="J62" s="63">
        <f>AVERAGE(U16:U17)</f>
        <v>25.522256421829951</v>
      </c>
      <c r="L62" s="6"/>
      <c r="M62" s="61">
        <v>4</v>
      </c>
      <c r="N62" s="62">
        <f>LOG(M62)</f>
        <v>0.6020599913279624</v>
      </c>
      <c r="O62" s="63">
        <f>AVERAGE(L19:L20)</f>
        <v>22.314541341072953</v>
      </c>
      <c r="P62" s="6"/>
      <c r="Q62" s="6"/>
      <c r="R62" s="61">
        <v>4</v>
      </c>
      <c r="S62" s="62">
        <f>LOG(R62)</f>
        <v>0.6020599913279624</v>
      </c>
      <c r="T62" s="63">
        <f>AVERAGE(F22:F23)</f>
        <v>20.75477393509405</v>
      </c>
      <c r="U62" s="6"/>
      <c r="V62" s="6"/>
      <c r="W62" s="61"/>
      <c r="X62" s="62"/>
      <c r="Y62" s="63"/>
      <c r="Z62" s="6"/>
      <c r="AA62" s="6"/>
      <c r="AB62" s="61">
        <v>4</v>
      </c>
      <c r="AC62" s="62">
        <f>LOG(AB62)</f>
        <v>0.6020599913279624</v>
      </c>
      <c r="AD62" s="63">
        <f>AVERAGE(L25:L26)</f>
        <v>29.09004844594125</v>
      </c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</row>
    <row r="63" spans="1:88" x14ac:dyDescent="0.25">
      <c r="A63" s="6"/>
      <c r="B63" s="6"/>
      <c r="C63" s="64">
        <v>20</v>
      </c>
      <c r="D63" s="65">
        <f>LOG(C63)</f>
        <v>1.3010299956639813</v>
      </c>
      <c r="E63" s="66">
        <f>AVERAGE(G16:G17)</f>
        <v>23.444653139638049</v>
      </c>
      <c r="F63" s="6"/>
      <c r="G63" s="6"/>
      <c r="H63" s="64">
        <v>20</v>
      </c>
      <c r="I63" s="65">
        <f>LOG(H63)</f>
        <v>1.3010299956639813</v>
      </c>
      <c r="J63" s="66">
        <f>AVERAGE(V16:V17)</f>
        <v>23.423441750927751</v>
      </c>
      <c r="K63" s="6"/>
      <c r="L63" s="6"/>
      <c r="M63" s="64">
        <v>20</v>
      </c>
      <c r="N63" s="65">
        <f>LOG(M63)</f>
        <v>1.3010299956639813</v>
      </c>
      <c r="O63" s="66">
        <f>AVERAGE(M19:M20)</f>
        <v>19.973279904278549</v>
      </c>
      <c r="P63" s="6"/>
      <c r="Q63" s="6"/>
      <c r="R63" s="64">
        <v>20</v>
      </c>
      <c r="S63" s="65">
        <f>LOG(R63)</f>
        <v>1.3010299956639813</v>
      </c>
      <c r="T63" s="66">
        <f>AVERAGE(G22:G23)</f>
        <v>18.41383607725955</v>
      </c>
      <c r="U63" s="6"/>
      <c r="V63" s="6"/>
      <c r="W63" s="64"/>
      <c r="X63" s="65"/>
      <c r="Y63" s="66"/>
      <c r="Z63" s="6"/>
      <c r="AA63" s="6"/>
      <c r="AB63" s="64">
        <v>20</v>
      </c>
      <c r="AC63" s="65">
        <f>LOG(AB63)</f>
        <v>1.3010299956639813</v>
      </c>
      <c r="AD63" s="66">
        <f>AVERAGE(M25:M26)</f>
        <v>27.700563980470747</v>
      </c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</row>
    <row r="64" spans="1:88" x14ac:dyDescent="0.25">
      <c r="A64" s="6"/>
      <c r="B64" s="6"/>
      <c r="C64" s="106" t="s">
        <v>46</v>
      </c>
      <c r="D64" s="107"/>
      <c r="E64" s="33">
        <f>(10^(-1/-2.5247)-1)*100</f>
        <v>148.93540210260318</v>
      </c>
      <c r="F64" s="6"/>
      <c r="G64" s="6"/>
      <c r="H64" s="106" t="s">
        <v>46</v>
      </c>
      <c r="I64" s="107"/>
      <c r="J64" s="33">
        <f>(10^(-1/-2.7776)-1)*100</f>
        <v>129.09891978746862</v>
      </c>
      <c r="K64" s="6"/>
      <c r="L64" s="6"/>
      <c r="M64" s="106" t="s">
        <v>46</v>
      </c>
      <c r="N64" s="107"/>
      <c r="O64" s="33">
        <f>(10^(-1/-3.0682)-1)*100</f>
        <v>111.79904352647409</v>
      </c>
      <c r="P64" s="6"/>
      <c r="Q64" s="6"/>
      <c r="R64" s="106" t="s">
        <v>46</v>
      </c>
      <c r="S64" s="107"/>
      <c r="T64" s="33">
        <f>(10^(-1/-3.164)-1)*100</f>
        <v>107.04065159251712</v>
      </c>
      <c r="U64" s="6"/>
      <c r="V64" s="6"/>
      <c r="W64" s="106"/>
      <c r="X64" s="107"/>
      <c r="Y64" s="33"/>
      <c r="Z64" s="6"/>
      <c r="AA64" s="6"/>
      <c r="AB64" s="106" t="s">
        <v>46</v>
      </c>
      <c r="AC64" s="107"/>
      <c r="AD64" s="33">
        <f>(10^(-1/-1.9213)-1)*100</f>
        <v>231.49800902154962</v>
      </c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</row>
    <row r="65" spans="1:88" x14ac:dyDescent="0.25">
      <c r="A65" s="6"/>
      <c r="B65" s="6"/>
      <c r="C65" s="106" t="s">
        <v>50</v>
      </c>
      <c r="D65" s="107"/>
      <c r="E65" s="33">
        <f>SUM(E64/100)+1</f>
        <v>2.4893540210260321</v>
      </c>
      <c r="F65" s="6"/>
      <c r="G65" s="6"/>
      <c r="H65" s="106" t="s">
        <v>50</v>
      </c>
      <c r="I65" s="107"/>
      <c r="J65" s="33">
        <f>SUM(J64/100)+1</f>
        <v>2.2909891978746861</v>
      </c>
      <c r="K65" s="6"/>
      <c r="L65" s="6"/>
      <c r="M65" s="106" t="s">
        <v>50</v>
      </c>
      <c r="N65" s="107"/>
      <c r="O65" s="33">
        <f>SUM(O64/100)+1</f>
        <v>2.117990435264741</v>
      </c>
      <c r="P65" s="6"/>
      <c r="Q65" s="6"/>
      <c r="R65" s="106" t="s">
        <v>50</v>
      </c>
      <c r="S65" s="107"/>
      <c r="T65" s="33">
        <f>SUM(T64/100)+1</f>
        <v>2.0704065159251712</v>
      </c>
      <c r="U65" s="6"/>
      <c r="V65" s="6"/>
      <c r="W65" s="106"/>
      <c r="X65" s="107"/>
      <c r="Y65" s="33"/>
      <c r="Z65" s="6"/>
      <c r="AA65" s="6"/>
      <c r="AB65" s="106" t="s">
        <v>50</v>
      </c>
      <c r="AC65" s="107"/>
      <c r="AD65" s="33">
        <f>SUM(AD64/100)+1</f>
        <v>3.3149800902154962</v>
      </c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</row>
    <row r="66" spans="1:88" x14ac:dyDescent="0.25">
      <c r="A66" s="6"/>
      <c r="B66" s="6"/>
      <c r="C66" s="41"/>
      <c r="D66" s="41"/>
      <c r="E66" s="41"/>
      <c r="F66" s="6"/>
      <c r="G66" s="6"/>
      <c r="H66" s="41"/>
      <c r="I66" s="41"/>
      <c r="J66" s="41"/>
      <c r="K66" s="6"/>
      <c r="L66" s="6"/>
      <c r="M66" s="41"/>
      <c r="N66" s="41"/>
      <c r="O66" s="41"/>
      <c r="P66" s="6"/>
      <c r="Q66" s="6"/>
      <c r="R66" s="41"/>
      <c r="S66" s="41"/>
      <c r="T66" s="41"/>
      <c r="U66" s="6"/>
      <c r="V66" s="6"/>
      <c r="W66" s="41"/>
      <c r="X66" s="41"/>
      <c r="Y66" s="41"/>
      <c r="Z66" s="6"/>
      <c r="AA66" s="6"/>
      <c r="AB66" s="41"/>
      <c r="AC66" s="41"/>
      <c r="AD66" s="41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</row>
    <row r="67" spans="1:88" x14ac:dyDescent="0.25">
      <c r="A67" s="6"/>
      <c r="B67" s="6"/>
      <c r="C67" s="132" t="s">
        <v>111</v>
      </c>
      <c r="D67" s="133"/>
      <c r="E67" s="133"/>
      <c r="F67" s="133"/>
      <c r="G67" s="133"/>
      <c r="H67" s="134"/>
      <c r="I67" s="6"/>
      <c r="J67" s="132" t="s">
        <v>112</v>
      </c>
      <c r="K67" s="133"/>
      <c r="L67" s="133"/>
      <c r="M67" s="133"/>
      <c r="N67" s="133"/>
      <c r="O67" s="134"/>
      <c r="P67" s="6"/>
      <c r="Q67" s="132" t="s">
        <v>113</v>
      </c>
      <c r="R67" s="133"/>
      <c r="S67" s="133"/>
      <c r="T67" s="133"/>
      <c r="U67" s="133"/>
      <c r="V67" s="134"/>
      <c r="W67" s="6"/>
      <c r="X67" s="132" t="s">
        <v>114</v>
      </c>
      <c r="Y67" s="133"/>
      <c r="Z67" s="133"/>
      <c r="AA67" s="133"/>
      <c r="AB67" s="133"/>
      <c r="AC67" s="134"/>
      <c r="AD67" s="6"/>
      <c r="AE67" s="132"/>
      <c r="AF67" s="133"/>
      <c r="AG67" s="133"/>
      <c r="AH67" s="133"/>
      <c r="AI67" s="133"/>
      <c r="AJ67" s="134"/>
      <c r="AK67" s="6"/>
      <c r="AL67" s="132" t="s">
        <v>115</v>
      </c>
      <c r="AM67" s="133"/>
      <c r="AN67" s="133"/>
      <c r="AO67" s="133"/>
      <c r="AP67" s="133"/>
      <c r="AQ67" s="134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</row>
    <row r="68" spans="1:88" ht="15" customHeight="1" x14ac:dyDescent="0.25">
      <c r="A68" s="6"/>
      <c r="B68" s="6"/>
      <c r="C68" s="110" t="s">
        <v>48</v>
      </c>
      <c r="D68" s="85" t="s">
        <v>62</v>
      </c>
      <c r="E68" s="85" t="s">
        <v>64</v>
      </c>
      <c r="F68" s="85" t="s">
        <v>66</v>
      </c>
      <c r="G68" s="86" t="s">
        <v>68</v>
      </c>
      <c r="H68" s="84" t="s">
        <v>70</v>
      </c>
      <c r="I68" s="6"/>
      <c r="J68" s="110" t="s">
        <v>23</v>
      </c>
      <c r="K68" s="85" t="s">
        <v>62</v>
      </c>
      <c r="L68" s="85" t="s">
        <v>64</v>
      </c>
      <c r="M68" s="85" t="s">
        <v>66</v>
      </c>
      <c r="N68" s="86" t="s">
        <v>68</v>
      </c>
      <c r="O68" s="84" t="s">
        <v>70</v>
      </c>
      <c r="P68" s="6"/>
      <c r="Q68" s="110" t="s">
        <v>27</v>
      </c>
      <c r="R68" s="85" t="s">
        <v>62</v>
      </c>
      <c r="S68" s="85" t="s">
        <v>64</v>
      </c>
      <c r="T68" s="85" t="s">
        <v>66</v>
      </c>
      <c r="U68" s="86" t="s">
        <v>68</v>
      </c>
      <c r="V68" s="84" t="s">
        <v>70</v>
      </c>
      <c r="W68" s="6"/>
      <c r="X68" s="110" t="s">
        <v>24</v>
      </c>
      <c r="Y68" s="85" t="s">
        <v>62</v>
      </c>
      <c r="Z68" s="85" t="s">
        <v>64</v>
      </c>
      <c r="AA68" s="85" t="s">
        <v>66</v>
      </c>
      <c r="AB68" s="86" t="s">
        <v>68</v>
      </c>
      <c r="AC68" s="84" t="s">
        <v>70</v>
      </c>
      <c r="AD68" s="6"/>
      <c r="AE68" s="110"/>
      <c r="AF68" s="85"/>
      <c r="AG68" s="85"/>
      <c r="AH68" s="85"/>
      <c r="AI68" s="86"/>
      <c r="AJ68" s="84"/>
      <c r="AK68" s="6"/>
      <c r="AL68" s="110" t="s">
        <v>25</v>
      </c>
      <c r="AM68" s="85" t="s">
        <v>62</v>
      </c>
      <c r="AN68" s="85" t="s">
        <v>64</v>
      </c>
      <c r="AO68" s="85" t="s">
        <v>66</v>
      </c>
      <c r="AP68" s="86" t="s">
        <v>68</v>
      </c>
      <c r="AQ68" s="84" t="s">
        <v>70</v>
      </c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</row>
    <row r="69" spans="1:88" ht="15" customHeight="1" x14ac:dyDescent="0.25">
      <c r="A69" s="6"/>
      <c r="B69" s="6"/>
      <c r="C69" s="111"/>
      <c r="D69" s="45" t="s">
        <v>35</v>
      </c>
      <c r="E69" s="45">
        <f>AVERAGE(H16:H17)</f>
        <v>25.531342552348399</v>
      </c>
      <c r="F69" s="52">
        <f>10^((E69- 27.061)/-2.5247)</f>
        <v>4.0353101067763086</v>
      </c>
      <c r="G69" s="53">
        <f>SUM(E69*(LOG(E65)/LOG(2)))</f>
        <v>33.593410751708873</v>
      </c>
      <c r="H69" s="52">
        <f>10^((G69- 27.061)/-2.5247)</f>
        <v>2.5858255304707757E-3</v>
      </c>
      <c r="I69" s="6"/>
      <c r="J69" s="111"/>
      <c r="K69" s="45" t="s">
        <v>35</v>
      </c>
      <c r="L69" s="45">
        <f>AVERAGE(W16:W17)</f>
        <v>25.63301706638125</v>
      </c>
      <c r="M69" s="52">
        <f t="shared" ref="M69:M78" si="17">10^((L69 -25.623)/-2.7776)</f>
        <v>0.99173039820704723</v>
      </c>
      <c r="N69" s="53">
        <f>SUM(L69*(LOG($J$65)/LOG(2)))</f>
        <v>30.656336243353657</v>
      </c>
      <c r="O69" s="52">
        <f t="shared" ref="O69:O78" si="18">10^((N69 -25.623)/-2.7776)</f>
        <v>1.5412850890336617E-2</v>
      </c>
      <c r="P69" s="6"/>
      <c r="Q69" s="111"/>
      <c r="R69" s="45" t="s">
        <v>35</v>
      </c>
      <c r="S69" s="45">
        <f>AVERAGE(N19:N20)</f>
        <v>21.915059013568403</v>
      </c>
      <c r="T69" s="52">
        <f t="shared" ref="T69:T78" si="19">10^((S69 -24.054)/-3.0682)</f>
        <v>4.9788860901773626</v>
      </c>
      <c r="U69" s="53">
        <f>SUM(S69*(LOG($O$65)/LOG(2)))</f>
        <v>23.727348360044129</v>
      </c>
      <c r="V69" s="52">
        <f t="shared" ref="V69:V78" si="20">10^((U69 -24.054)/-3.0682)</f>
        <v>1.2778021287626133</v>
      </c>
      <c r="W69" s="6"/>
      <c r="X69" s="111"/>
      <c r="Y69" s="45" t="s">
        <v>35</v>
      </c>
      <c r="Z69" s="45">
        <f>AVERAGE(H22:H23)</f>
        <v>22.468514429883747</v>
      </c>
      <c r="AA69" s="52">
        <f t="shared" ref="AA69:AA78" si="21">10^((Z69-22.587)/-3.164)</f>
        <v>1.0900540454200696</v>
      </c>
      <c r="AB69" s="53">
        <f>SUM(Z69*(LOG($T$65)/LOG(2)))</f>
        <v>23.59000927149587</v>
      </c>
      <c r="AC69" s="52">
        <f t="shared" ref="AC69:AC78" si="22">10^((AB69-22.587)/-3.164)</f>
        <v>0.4819403370229246</v>
      </c>
      <c r="AD69" s="6"/>
      <c r="AE69" s="111"/>
      <c r="AF69" s="45"/>
      <c r="AG69" s="45"/>
      <c r="AH69" s="52"/>
      <c r="AI69" s="53"/>
      <c r="AJ69" s="52"/>
      <c r="AK69" s="6"/>
      <c r="AL69" s="111"/>
      <c r="AM69" s="45" t="s">
        <v>35</v>
      </c>
      <c r="AN69" s="45">
        <f>AVERAGE(N25:N26)</f>
        <v>28.3253713107996</v>
      </c>
      <c r="AO69" s="52">
        <f t="shared" ref="AO69:AO78" si="23">10^((AN69-30.057)/-1.9213)</f>
        <v>7.9667227002130128</v>
      </c>
      <c r="AP69" s="53">
        <f>SUM(AN69*(LOG($AD$65)/LOG(2)))</f>
        <v>48.974572818124003</v>
      </c>
      <c r="AQ69" s="52">
        <f t="shared" ref="AQ69:AQ78" si="24">10^((AP69-30.057)/-1.9213)</f>
        <v>1.4248338123645195E-10</v>
      </c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</row>
    <row r="70" spans="1:88" x14ac:dyDescent="0.25">
      <c r="A70" s="6"/>
      <c r="B70" s="6"/>
      <c r="C70" s="111"/>
      <c r="D70" s="46" t="s">
        <v>36</v>
      </c>
      <c r="E70" s="46">
        <f>AVERAGE(I16:I17)</f>
        <v>24.657905345427299</v>
      </c>
      <c r="F70" s="53">
        <f>10^((E70- 27.061)/-2.5247)</f>
        <v>8.9502206976907583</v>
      </c>
      <c r="G70" s="53">
        <f>SUM(E70*(LOG(E65)/LOG(2)))</f>
        <v>32.444167040855639</v>
      </c>
      <c r="H70" s="53">
        <f>10^((G70- 27.061)/-2.5247)</f>
        <v>7.3756334678306565E-3</v>
      </c>
      <c r="I70" s="6"/>
      <c r="J70" s="111"/>
      <c r="K70" s="46" t="s">
        <v>36</v>
      </c>
      <c r="L70" s="46">
        <f>AVERAGE(X16:X17)</f>
        <v>24.506093573886499</v>
      </c>
      <c r="M70" s="53">
        <f t="shared" si="17"/>
        <v>2.5241319179754518</v>
      </c>
      <c r="N70" s="53">
        <f t="shared" ref="N70:N78" si="25">SUM(L70*(LOG($J$65)/LOG(2)))</f>
        <v>29.308568814455722</v>
      </c>
      <c r="O70" s="53">
        <f t="shared" si="18"/>
        <v>4.7109696447017797E-2</v>
      </c>
      <c r="P70" s="6"/>
      <c r="Q70" s="111"/>
      <c r="R70" s="46" t="s">
        <v>36</v>
      </c>
      <c r="S70" s="46">
        <f>AVERAGE(O19:O20)</f>
        <v>21.14450621346225</v>
      </c>
      <c r="T70" s="53">
        <f t="shared" si="19"/>
        <v>8.8771556946864365</v>
      </c>
      <c r="U70" s="53">
        <f t="shared" ref="U70:U78" si="26">SUM(S70*(LOG($O$65)/LOG(2)))</f>
        <v>22.89307386839862</v>
      </c>
      <c r="V70" s="53">
        <f t="shared" si="20"/>
        <v>2.3898667234016249</v>
      </c>
      <c r="W70" s="6"/>
      <c r="X70" s="111"/>
      <c r="Y70" s="46" t="s">
        <v>36</v>
      </c>
      <c r="Z70" s="46">
        <f>AVERAGE(I22:I23)</f>
        <v>20.930805676548051</v>
      </c>
      <c r="AA70" s="53">
        <f t="shared" si="21"/>
        <v>3.3377171736880502</v>
      </c>
      <c r="AB70" s="53">
        <f t="shared" ref="AB70:AB78" si="27">SUM(Z70*(LOG($T$65)/LOG(2)))</f>
        <v>21.97554722678662</v>
      </c>
      <c r="AC70" s="53">
        <f t="shared" si="22"/>
        <v>1.560461610454579</v>
      </c>
      <c r="AD70" s="6"/>
      <c r="AE70" s="111"/>
      <c r="AF70" s="46"/>
      <c r="AG70" s="46"/>
      <c r="AH70" s="53"/>
      <c r="AI70" s="53"/>
      <c r="AJ70" s="53"/>
      <c r="AK70" s="6"/>
      <c r="AL70" s="111"/>
      <c r="AM70" s="46" t="s">
        <v>36</v>
      </c>
      <c r="AN70" s="46">
        <f>AVERAGE(O25:O26)</f>
        <v>27.821458119585451</v>
      </c>
      <c r="AO70" s="53">
        <f t="shared" si="23"/>
        <v>14.573266416682644</v>
      </c>
      <c r="AP70" s="53">
        <f t="shared" ref="AP70:AP78" si="28">SUM(AN70*(LOG($AD$65)/LOG(2)))</f>
        <v>48.103306806944786</v>
      </c>
      <c r="AQ70" s="53">
        <f t="shared" si="24"/>
        <v>4.0480097659533836E-10</v>
      </c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</row>
    <row r="71" spans="1:88" x14ac:dyDescent="0.25">
      <c r="A71" s="6"/>
      <c r="B71" s="6"/>
      <c r="C71" s="111"/>
      <c r="D71" s="47" t="s">
        <v>37</v>
      </c>
      <c r="E71" s="47">
        <f>AVERAGE(J16:J17)</f>
        <v>24.908367442229149</v>
      </c>
      <c r="F71" s="54">
        <f>10^((E71- 27.061)/-2.5247)</f>
        <v>7.1224440789701324</v>
      </c>
      <c r="G71" s="54">
        <f>SUM(E71*(LOG(E65)/LOG(2)))</f>
        <v>32.773717908709429</v>
      </c>
      <c r="H71" s="54">
        <f>10^((G71- 27.061)/-2.5247)</f>
        <v>5.4609553105800582E-3</v>
      </c>
      <c r="I71" s="6"/>
      <c r="J71" s="111"/>
      <c r="K71" s="47" t="s">
        <v>37</v>
      </c>
      <c r="L71" s="47">
        <f>AVERAGE(Y16:Y17)</f>
        <v>24.941449475282099</v>
      </c>
      <c r="M71" s="54">
        <f t="shared" si="17"/>
        <v>1.7594376973052248</v>
      </c>
      <c r="N71" s="54">
        <f t="shared" si="25"/>
        <v>29.82924169756382</v>
      </c>
      <c r="O71" s="54">
        <f t="shared" si="18"/>
        <v>3.0595395448334974E-2</v>
      </c>
      <c r="P71" s="6"/>
      <c r="Q71" s="111"/>
      <c r="R71" s="47" t="s">
        <v>37</v>
      </c>
      <c r="S71" s="47">
        <f>AVERAGE(P19:P20)</f>
        <v>21.38619616402995</v>
      </c>
      <c r="T71" s="54">
        <f t="shared" si="19"/>
        <v>7.4045945463051446</v>
      </c>
      <c r="U71" s="54">
        <f t="shared" si="26"/>
        <v>23.154750629053982</v>
      </c>
      <c r="V71" s="54">
        <f t="shared" si="20"/>
        <v>1.9637533867768557</v>
      </c>
      <c r="W71" s="6"/>
      <c r="X71" s="111"/>
      <c r="Y71" s="47" t="s">
        <v>37</v>
      </c>
      <c r="Z71" s="47">
        <f>AVERAGE(J22:J23)</f>
        <v>21.46186735008585</v>
      </c>
      <c r="AA71" s="54">
        <f t="shared" si="21"/>
        <v>2.2677987092059388</v>
      </c>
      <c r="AB71" s="54">
        <f t="shared" si="27"/>
        <v>22.533116346079638</v>
      </c>
      <c r="AC71" s="54">
        <f t="shared" si="22"/>
        <v>1.0399925589173717</v>
      </c>
      <c r="AD71" s="6"/>
      <c r="AE71" s="111"/>
      <c r="AF71" s="47"/>
      <c r="AG71" s="47"/>
      <c r="AH71" s="54"/>
      <c r="AI71" s="54"/>
      <c r="AJ71" s="54"/>
      <c r="AK71" s="6"/>
      <c r="AL71" s="111"/>
      <c r="AM71" s="47" t="s">
        <v>37</v>
      </c>
      <c r="AN71" s="47">
        <f>AVERAGE(P25:P26)</f>
        <v>28.3277960572306</v>
      </c>
      <c r="AO71" s="54">
        <f t="shared" si="23"/>
        <v>7.943605476745998</v>
      </c>
      <c r="AP71" s="54">
        <f>SUM(AN71*(LOG($AD$65)/LOG(2)))</f>
        <v>48.978765205201569</v>
      </c>
      <c r="AQ71" s="54">
        <f t="shared" si="24"/>
        <v>1.4176928701227368E-10</v>
      </c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</row>
    <row r="72" spans="1:88" x14ac:dyDescent="0.25">
      <c r="A72" s="6"/>
      <c r="B72" s="6"/>
      <c r="C72" s="111"/>
      <c r="D72" s="48" t="s">
        <v>38</v>
      </c>
      <c r="E72" s="48">
        <f>AVERAGE(K16:K17)</f>
        <v>24.882742315128802</v>
      </c>
      <c r="F72" s="55">
        <f>10^((E72- 27.061)/-2.5247)</f>
        <v>7.2908610119005974</v>
      </c>
      <c r="G72" s="55">
        <f>SUM(E72*(LOG(E65)/LOG(2)))</f>
        <v>32.740001098930172</v>
      </c>
      <c r="H72" s="55">
        <f>10^((G72- 27.061)/-2.5247)</f>
        <v>5.6314910887489775E-3</v>
      </c>
      <c r="I72" s="6"/>
      <c r="J72" s="111"/>
      <c r="K72" s="48" t="s">
        <v>38</v>
      </c>
      <c r="L72" s="48">
        <f>AVERAGE(C19:C20)</f>
        <v>25.184967951736098</v>
      </c>
      <c r="M72" s="55">
        <f t="shared" si="17"/>
        <v>1.4378104319302369</v>
      </c>
      <c r="N72" s="55">
        <f t="shared" si="25"/>
        <v>30.120482649665171</v>
      </c>
      <c r="O72" s="55">
        <f t="shared" si="18"/>
        <v>2.4032702893731543E-2</v>
      </c>
      <c r="P72" s="6"/>
      <c r="Q72" s="111"/>
      <c r="R72" s="48" t="s">
        <v>38</v>
      </c>
      <c r="S72" s="48">
        <f>AVERAGE(Q19:Q20)</f>
        <v>21.602529923426001</v>
      </c>
      <c r="T72" s="55">
        <f t="shared" si="19"/>
        <v>6.2949592027137662</v>
      </c>
      <c r="U72" s="55">
        <f t="shared" si="26"/>
        <v>23.388974341070909</v>
      </c>
      <c r="V72" s="55">
        <f t="shared" si="20"/>
        <v>1.6472056346562067</v>
      </c>
      <c r="W72" s="6"/>
      <c r="X72" s="111"/>
      <c r="Y72" s="48" t="s">
        <v>38</v>
      </c>
      <c r="Z72" s="48">
        <f>AVERAGE(K22:K23)</f>
        <v>20.175109821918799</v>
      </c>
      <c r="AA72" s="55">
        <f t="shared" si="21"/>
        <v>5.7848414392462333</v>
      </c>
      <c r="AB72" s="55">
        <f t="shared" si="27"/>
        <v>21.182131521766763</v>
      </c>
      <c r="AC72" s="55">
        <f t="shared" si="22"/>
        <v>2.7798194291776657</v>
      </c>
      <c r="AD72" s="6"/>
      <c r="AE72" s="111"/>
      <c r="AF72" s="48"/>
      <c r="AG72" s="48"/>
      <c r="AH72" s="55"/>
      <c r="AI72" s="55"/>
      <c r="AJ72" s="55"/>
      <c r="AK72" s="6"/>
      <c r="AL72" s="111"/>
      <c r="AM72" s="48" t="s">
        <v>38</v>
      </c>
      <c r="AN72" s="48">
        <f>AVERAGE(Q25:Q26)</f>
        <v>28.238372028459001</v>
      </c>
      <c r="AO72" s="55">
        <f t="shared" si="23"/>
        <v>8.8422169764624332</v>
      </c>
      <c r="AP72" s="55">
        <f t="shared" si="28"/>
        <v>48.824151041076028</v>
      </c>
      <c r="AQ72" s="55">
        <f t="shared" si="24"/>
        <v>1.7063019153222044E-10</v>
      </c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</row>
    <row r="73" spans="1:88" x14ac:dyDescent="0.25">
      <c r="A73" s="6"/>
      <c r="B73" s="6"/>
      <c r="C73" s="111"/>
      <c r="D73" s="48" t="s">
        <v>39</v>
      </c>
      <c r="E73" s="48">
        <f>AVERAGE(L16:L17)</f>
        <v>23.904361599752299</v>
      </c>
      <c r="F73" s="55">
        <f t="shared" ref="F73:F78" si="29">10^((E73-27.061)/-2.5247)</f>
        <v>17.795179482226473</v>
      </c>
      <c r="G73" s="55">
        <f>SUM(E73*(LOG(E65)/LOG(2)))</f>
        <v>31.452675719318652</v>
      </c>
      <c r="H73" s="55">
        <f t="shared" ref="H73:H78" si="30">10^((G73-27.061)/-2.5247)</f>
        <v>1.821863419976864E-2</v>
      </c>
      <c r="I73" s="6"/>
      <c r="J73" s="111"/>
      <c r="K73" s="48" t="s">
        <v>39</v>
      </c>
      <c r="L73" s="48">
        <f>AVERAGE(D19:D20)</f>
        <v>24.111398085774752</v>
      </c>
      <c r="M73" s="55">
        <f t="shared" si="17"/>
        <v>3.5011564573241105</v>
      </c>
      <c r="N73" s="55">
        <f t="shared" si="25"/>
        <v>28.836524592507388</v>
      </c>
      <c r="O73" s="55">
        <f t="shared" si="18"/>
        <v>6.9671811469343842E-2</v>
      </c>
      <c r="P73" s="6"/>
      <c r="Q73" s="111"/>
      <c r="R73" s="48" t="s">
        <v>39</v>
      </c>
      <c r="S73" s="48">
        <f>AVERAGE(R19:R20)</f>
        <v>20.70677164682375</v>
      </c>
      <c r="T73" s="55">
        <f t="shared" si="19"/>
        <v>12.329402638028698</v>
      </c>
      <c r="U73" s="55">
        <f t="shared" si="26"/>
        <v>22.419140371553635</v>
      </c>
      <c r="V73" s="55">
        <f t="shared" si="20"/>
        <v>3.4106721941661462</v>
      </c>
      <c r="W73" s="6"/>
      <c r="X73" s="111"/>
      <c r="Y73" s="48" t="s">
        <v>39</v>
      </c>
      <c r="Z73" s="48">
        <f>AVERAGE(L22:L23)</f>
        <v>18.685976014483153</v>
      </c>
      <c r="AA73" s="55">
        <f t="shared" si="21"/>
        <v>17.097813555238552</v>
      </c>
      <c r="AB73" s="55">
        <f t="shared" si="27"/>
        <v>19.61866899586061</v>
      </c>
      <c r="AC73" s="55">
        <f t="shared" si="22"/>
        <v>8.6727676818871942</v>
      </c>
      <c r="AD73" s="6"/>
      <c r="AE73" s="111"/>
      <c r="AF73" s="48"/>
      <c r="AG73" s="48"/>
      <c r="AH73" s="55"/>
      <c r="AI73" s="55"/>
      <c r="AJ73" s="55"/>
      <c r="AK73" s="6"/>
      <c r="AL73" s="111"/>
      <c r="AM73" s="48" t="s">
        <v>39</v>
      </c>
      <c r="AN73" s="48">
        <f>AVERAGE(R25:R26)</f>
        <v>26.993416786428149</v>
      </c>
      <c r="AO73" s="55">
        <f t="shared" si="23"/>
        <v>39.313039514883478</v>
      </c>
      <c r="AP73" s="55">
        <f t="shared" si="28"/>
        <v>46.671623171727369</v>
      </c>
      <c r="AQ73" s="55">
        <f t="shared" si="24"/>
        <v>2.2511559055916134E-9</v>
      </c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</row>
    <row r="74" spans="1:88" x14ac:dyDescent="0.25">
      <c r="A74" s="6"/>
      <c r="B74" s="6"/>
      <c r="C74" s="111"/>
      <c r="D74" s="48" t="s">
        <v>40</v>
      </c>
      <c r="E74" s="48">
        <f>AVERAGE(M16:M17)</f>
        <v>23.58843011919075</v>
      </c>
      <c r="F74" s="55">
        <f t="shared" si="29"/>
        <v>23.737699010581558</v>
      </c>
      <c r="G74" s="55">
        <f>SUM(E74*(LOG(E65)/LOG(2)))</f>
        <v>31.036982107667061</v>
      </c>
      <c r="H74" s="55">
        <f t="shared" si="30"/>
        <v>2.6617453975470523E-2</v>
      </c>
      <c r="I74" s="6"/>
      <c r="J74" s="111"/>
      <c r="K74" s="48" t="s">
        <v>40</v>
      </c>
      <c r="L74" s="48">
        <f>AVERAGE(E19:E20)</f>
        <v>23.800214782733953</v>
      </c>
      <c r="M74" s="55">
        <f t="shared" si="17"/>
        <v>4.5315281049908851</v>
      </c>
      <c r="N74" s="55">
        <f t="shared" si="25"/>
        <v>28.464358493345852</v>
      </c>
      <c r="O74" s="55">
        <f t="shared" si="18"/>
        <v>9.4851777375161442E-2</v>
      </c>
      <c r="P74" s="6"/>
      <c r="Q74" s="111"/>
      <c r="R74" s="48" t="s">
        <v>40</v>
      </c>
      <c r="S74" s="48">
        <f>AVERAGE(S19:S20)</f>
        <v>20.2929334194171</v>
      </c>
      <c r="T74" s="55">
        <f t="shared" si="19"/>
        <v>16.819839356850956</v>
      </c>
      <c r="U74" s="55">
        <f t="shared" si="26"/>
        <v>21.971079347382936</v>
      </c>
      <c r="V74" s="55">
        <f t="shared" si="20"/>
        <v>4.7739055168304771</v>
      </c>
      <c r="W74" s="6"/>
      <c r="X74" s="111"/>
      <c r="Y74" s="48" t="s">
        <v>40</v>
      </c>
      <c r="Z74" s="48">
        <f>AVERAGE(M22:M23)</f>
        <v>18.2786563312435</v>
      </c>
      <c r="AA74" s="55">
        <f t="shared" si="21"/>
        <v>22.997268424989887</v>
      </c>
      <c r="AB74" s="55">
        <f t="shared" si="27"/>
        <v>19.191018332347834</v>
      </c>
      <c r="AC74" s="55">
        <f t="shared" si="22"/>
        <v>11.839111511010973</v>
      </c>
      <c r="AD74" s="6"/>
      <c r="AE74" s="111"/>
      <c r="AF74" s="48"/>
      <c r="AG74" s="48"/>
      <c r="AH74" s="55"/>
      <c r="AI74" s="55"/>
      <c r="AJ74" s="55"/>
      <c r="AK74" s="6"/>
      <c r="AL74" s="111"/>
      <c r="AM74" s="48" t="s">
        <v>40</v>
      </c>
      <c r="AN74" s="48">
        <f>AVERAGE(S25:S26)</f>
        <v>26.784291007234749</v>
      </c>
      <c r="AO74" s="55">
        <f t="shared" si="23"/>
        <v>50.510608649295214</v>
      </c>
      <c r="AP74" s="55">
        <f t="shared" si="28"/>
        <v>46.310044656520077</v>
      </c>
      <c r="AQ74" s="55">
        <f t="shared" si="24"/>
        <v>3.4721645064859868E-9</v>
      </c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</row>
    <row r="75" spans="1:88" x14ac:dyDescent="0.25">
      <c r="A75" s="6"/>
      <c r="B75" s="6"/>
      <c r="C75" s="111"/>
      <c r="D75" s="49" t="s">
        <v>41</v>
      </c>
      <c r="E75" s="49">
        <f>AVERAGE(N16:N17)</f>
        <v>24.021540985539751</v>
      </c>
      <c r="F75" s="56">
        <f t="shared" si="29"/>
        <v>15.991499199973388</v>
      </c>
      <c r="G75" s="56">
        <f>SUM(E75*(LOG(E65)/LOG(2)))</f>
        <v>31.606857005724553</v>
      </c>
      <c r="H75" s="56">
        <f t="shared" si="30"/>
        <v>1.582875163214165E-2</v>
      </c>
      <c r="I75" s="6"/>
      <c r="J75" s="111"/>
      <c r="K75" s="49" t="s">
        <v>41</v>
      </c>
      <c r="L75" s="49">
        <f>AVERAGE(F19:F20)</f>
        <v>24.07085072687245</v>
      </c>
      <c r="M75" s="56">
        <f t="shared" si="17"/>
        <v>3.6208413987988903</v>
      </c>
      <c r="N75" s="56">
        <f t="shared" si="25"/>
        <v>28.788031141070523</v>
      </c>
      <c r="O75" s="56">
        <f t="shared" si="18"/>
        <v>7.2529696845104463E-2</v>
      </c>
      <c r="P75" s="6"/>
      <c r="Q75" s="111"/>
      <c r="R75" s="49" t="s">
        <v>41</v>
      </c>
      <c r="S75" s="49">
        <f>AVERAGE(T19:T20)</f>
        <v>20.797814594832452</v>
      </c>
      <c r="T75" s="56">
        <f t="shared" si="19"/>
        <v>11.515132886675634</v>
      </c>
      <c r="U75" s="56">
        <f t="shared" si="26"/>
        <v>22.51771221394705</v>
      </c>
      <c r="V75" s="56">
        <f t="shared" si="20"/>
        <v>3.1674739509655123</v>
      </c>
      <c r="W75" s="6"/>
      <c r="X75" s="111"/>
      <c r="Y75" s="49" t="s">
        <v>41</v>
      </c>
      <c r="Z75" s="49">
        <f>AVERAGE(N22:N23)</f>
        <v>18.930030810993848</v>
      </c>
      <c r="AA75" s="56">
        <f t="shared" si="21"/>
        <v>14.31547245062584</v>
      </c>
      <c r="AB75" s="56">
        <f t="shared" si="27"/>
        <v>19.874905558825496</v>
      </c>
      <c r="AC75" s="56">
        <f t="shared" si="22"/>
        <v>7.1973513804232594</v>
      </c>
      <c r="AD75" s="6"/>
      <c r="AE75" s="111"/>
      <c r="AF75" s="49"/>
      <c r="AG75" s="49"/>
      <c r="AH75" s="56"/>
      <c r="AI75" s="56"/>
      <c r="AJ75" s="56"/>
      <c r="AK75" s="6"/>
      <c r="AL75" s="111"/>
      <c r="AM75" s="49" t="s">
        <v>41</v>
      </c>
      <c r="AN75" s="49">
        <f>AVERAGE(T25:T26)</f>
        <v>27.455252861400549</v>
      </c>
      <c r="AO75" s="56">
        <f t="shared" si="23"/>
        <v>22.602670589522308</v>
      </c>
      <c r="AP75" s="56">
        <f t="shared" si="28"/>
        <v>47.470137840276436</v>
      </c>
      <c r="AQ75" s="56">
        <f t="shared" si="24"/>
        <v>8.6455757565941454E-10</v>
      </c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</row>
    <row r="76" spans="1:88" x14ac:dyDescent="0.25">
      <c r="A76" s="6"/>
      <c r="B76" s="6"/>
      <c r="C76" s="111"/>
      <c r="D76" s="50" t="s">
        <v>42</v>
      </c>
      <c r="E76" s="50">
        <f>AVERAGE(O16:O17)</f>
        <v>22.9476101337175</v>
      </c>
      <c r="F76" s="57">
        <f t="shared" si="29"/>
        <v>42.585217419877367</v>
      </c>
      <c r="G76" s="57">
        <f>SUM(E76*(LOG(E65)/LOG(2)))</f>
        <v>30.193809487748297</v>
      </c>
      <c r="H76" s="57">
        <f t="shared" si="30"/>
        <v>5.7429619886600815E-2</v>
      </c>
      <c r="I76" s="6"/>
      <c r="J76" s="111"/>
      <c r="K76" s="50" t="s">
        <v>42</v>
      </c>
      <c r="L76" s="50">
        <f>AVERAGE(G19:G20)</f>
        <v>23.16948612466215</v>
      </c>
      <c r="M76" s="57">
        <f t="shared" si="17"/>
        <v>7.6440149487994065</v>
      </c>
      <c r="N76" s="57">
        <f t="shared" si="25"/>
        <v>27.710025526216199</v>
      </c>
      <c r="O76" s="57">
        <f t="shared" si="18"/>
        <v>0.17726488873751742</v>
      </c>
      <c r="P76" s="6"/>
      <c r="Q76" s="111"/>
      <c r="R76" s="50" t="s">
        <v>42</v>
      </c>
      <c r="S76" s="50">
        <f>AVERAGE(U19:U20)</f>
        <v>19.83295045025735</v>
      </c>
      <c r="T76" s="57">
        <f t="shared" si="19"/>
        <v>23.754250408855139</v>
      </c>
      <c r="U76" s="57">
        <f t="shared" si="26"/>
        <v>21.473057592470781</v>
      </c>
      <c r="V76" s="57">
        <f t="shared" si="20"/>
        <v>6.9373093182869301</v>
      </c>
      <c r="W76" s="6"/>
      <c r="X76" s="111"/>
      <c r="Y76" s="50" t="s">
        <v>42</v>
      </c>
      <c r="Z76" s="50">
        <f>AVERAGE(O22:O23)</f>
        <v>17.508243013939797</v>
      </c>
      <c r="AA76" s="57">
        <f t="shared" si="21"/>
        <v>40.287444242924316</v>
      </c>
      <c r="AB76" s="57">
        <f t="shared" si="27"/>
        <v>18.382150556296462</v>
      </c>
      <c r="AC76" s="57">
        <f t="shared" si="22"/>
        <v>21.328795108662796</v>
      </c>
      <c r="AD76" s="6"/>
      <c r="AE76" s="111"/>
      <c r="AF76" s="50"/>
      <c r="AG76" s="50"/>
      <c r="AH76" s="57"/>
      <c r="AI76" s="57"/>
      <c r="AJ76" s="57"/>
      <c r="AK76" s="6"/>
      <c r="AL76" s="111"/>
      <c r="AM76" s="50" t="s">
        <v>42</v>
      </c>
      <c r="AN76" s="50">
        <f>AVERAGE(U25:U26)</f>
        <v>26.6017338011739</v>
      </c>
      <c r="AO76" s="57">
        <f t="shared" si="23"/>
        <v>62.863729847819613</v>
      </c>
      <c r="AP76" s="57">
        <f t="shared" si="28"/>
        <v>45.994403209719643</v>
      </c>
      <c r="AQ76" s="57">
        <f t="shared" si="24"/>
        <v>5.0685722938061137E-9</v>
      </c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</row>
    <row r="77" spans="1:88" x14ac:dyDescent="0.25">
      <c r="A77" s="6"/>
      <c r="B77" s="6"/>
      <c r="C77" s="112"/>
      <c r="D77" s="51" t="s">
        <v>43</v>
      </c>
      <c r="E77" s="51">
        <f>AVERAGE(P16:P17)</f>
        <v>23.986666383441502</v>
      </c>
      <c r="F77" s="58">
        <f t="shared" si="29"/>
        <v>16.508307332614834</v>
      </c>
      <c r="G77" s="58">
        <f>SUM(E77*(LOG(E65)/LOG(2)))</f>
        <v>31.560970001126702</v>
      </c>
      <c r="H77" s="58">
        <f t="shared" si="30"/>
        <v>1.6505241957513173E-2</v>
      </c>
      <c r="I77" s="6"/>
      <c r="J77" s="112"/>
      <c r="K77" s="51" t="s">
        <v>43</v>
      </c>
      <c r="L77" s="51">
        <f>AVERAGE(H19:H20)</f>
        <v>24.35797170918525</v>
      </c>
      <c r="M77" s="58">
        <f t="shared" si="17"/>
        <v>2.8539038202173468</v>
      </c>
      <c r="N77" s="58">
        <f t="shared" si="25"/>
        <v>29.131419410719335</v>
      </c>
      <c r="O77" s="58">
        <f t="shared" si="18"/>
        <v>5.4561735132470555E-2</v>
      </c>
      <c r="P77" s="6"/>
      <c r="Q77" s="112"/>
      <c r="R77" s="51" t="s">
        <v>43</v>
      </c>
      <c r="S77" s="51">
        <f>AVERAGE(V19:V20)</f>
        <v>20.9372047392736</v>
      </c>
      <c r="T77" s="58">
        <f t="shared" si="19"/>
        <v>10.371423336814532</v>
      </c>
      <c r="U77" s="58">
        <f t="shared" si="26"/>
        <v>22.668629376116876</v>
      </c>
      <c r="V77" s="58">
        <f t="shared" si="20"/>
        <v>2.8283003523747534</v>
      </c>
      <c r="W77" s="6"/>
      <c r="X77" s="112"/>
      <c r="Y77" s="51" t="s">
        <v>43</v>
      </c>
      <c r="Z77" s="51">
        <f>AVERAGE(P22:P23)</f>
        <v>18.9263997051237</v>
      </c>
      <c r="AA77" s="58">
        <f t="shared" si="21"/>
        <v>14.353351385027043</v>
      </c>
      <c r="AB77" s="58">
        <f t="shared" si="27"/>
        <v>19.871093209708697</v>
      </c>
      <c r="AC77" s="58">
        <f t="shared" si="22"/>
        <v>7.2173475670110037</v>
      </c>
      <c r="AD77" s="6"/>
      <c r="AE77" s="112"/>
      <c r="AF77" s="51"/>
      <c r="AG77" s="51"/>
      <c r="AH77" s="58"/>
      <c r="AI77" s="58"/>
      <c r="AJ77" s="58"/>
      <c r="AK77" s="6"/>
      <c r="AL77" s="112"/>
      <c r="AM77" s="51" t="s">
        <v>43</v>
      </c>
      <c r="AN77" s="51">
        <f>AVERAGE(V25:V26)</f>
        <v>27.839423375841299</v>
      </c>
      <c r="AO77" s="58">
        <f t="shared" si="23"/>
        <v>14.262850538066045</v>
      </c>
      <c r="AP77" s="58">
        <f t="shared" si="28"/>
        <v>48.134368738703571</v>
      </c>
      <c r="AQ77" s="58">
        <f t="shared" si="24"/>
        <v>3.9000880201745434E-10</v>
      </c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</row>
    <row r="78" spans="1:88" x14ac:dyDescent="0.25">
      <c r="A78" s="6"/>
      <c r="B78" s="6"/>
      <c r="C78" s="158" t="s">
        <v>34</v>
      </c>
      <c r="D78" s="159"/>
      <c r="E78" s="60">
        <f>AVERAGE(Q16:Q17)</f>
        <v>29.862414439854199</v>
      </c>
      <c r="F78" s="59">
        <f t="shared" si="29"/>
        <v>7.7695720910390953E-2</v>
      </c>
      <c r="G78" s="59">
        <f>SUM(E78*(LOG(E65)/LOG(2)))</f>
        <v>39.292111343494966</v>
      </c>
      <c r="H78" s="59">
        <f t="shared" si="30"/>
        <v>1.4302762061761566E-5</v>
      </c>
      <c r="I78" s="6"/>
      <c r="J78" s="158" t="s">
        <v>34</v>
      </c>
      <c r="K78" s="159"/>
      <c r="L78" s="60">
        <f>AVERAGE(Z16:Z17)</f>
        <v>35.465548187439197</v>
      </c>
      <c r="M78" s="59">
        <f t="shared" si="17"/>
        <v>2.8605916439868273E-4</v>
      </c>
      <c r="N78" s="59">
        <f t="shared" si="25"/>
        <v>42.415754941113136</v>
      </c>
      <c r="O78" s="59">
        <f t="shared" si="18"/>
        <v>8.9995603028824671E-7</v>
      </c>
      <c r="P78" s="6"/>
      <c r="Q78" s="158" t="s">
        <v>34</v>
      </c>
      <c r="R78" s="159"/>
      <c r="S78" s="60">
        <f>AVERAGE(W19:W20)</f>
        <v>31.015620679942451</v>
      </c>
      <c r="T78" s="59">
        <f t="shared" si="19"/>
        <v>5.3832032764985736E-3</v>
      </c>
      <c r="U78" s="59">
        <f t="shared" si="26"/>
        <v>33.580490749322173</v>
      </c>
      <c r="V78" s="59">
        <f t="shared" si="20"/>
        <v>7.853949078653232E-4</v>
      </c>
      <c r="W78" s="6"/>
      <c r="X78" s="158" t="s">
        <v>34</v>
      </c>
      <c r="Y78" s="159"/>
      <c r="Z78" s="60">
        <f>AVERAGE(Q22:Q23)</f>
        <v>33.317577993056503</v>
      </c>
      <c r="AA78" s="59">
        <f t="shared" si="21"/>
        <v>4.0601348424833852E-4</v>
      </c>
      <c r="AB78" s="59">
        <f t="shared" si="27"/>
        <v>34.980593675327214</v>
      </c>
      <c r="AC78" s="59">
        <f t="shared" si="22"/>
        <v>1.2104169457684268E-4</v>
      </c>
      <c r="AD78" s="6"/>
      <c r="AE78" s="158"/>
      <c r="AF78" s="159"/>
      <c r="AG78" s="60"/>
      <c r="AH78" s="59"/>
      <c r="AI78" s="59"/>
      <c r="AJ78" s="59"/>
      <c r="AK78" s="6"/>
      <c r="AL78" s="158" t="s">
        <v>34</v>
      </c>
      <c r="AM78" s="159"/>
      <c r="AN78" s="60">
        <f>AVERAGE(W25:W26)</f>
        <v>35.126922933965147</v>
      </c>
      <c r="AO78" s="59">
        <f t="shared" si="23"/>
        <v>2.2972159596102758E-3</v>
      </c>
      <c r="AP78" s="59">
        <f t="shared" si="28"/>
        <v>60.73445697250925</v>
      </c>
      <c r="AQ78" s="59">
        <f t="shared" si="24"/>
        <v>1.0788693059345443E-16</v>
      </c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</row>
    <row r="79" spans="1:88" x14ac:dyDescent="0.25">
      <c r="A79" s="6"/>
      <c r="B79" s="6"/>
      <c r="C79" s="108" t="s">
        <v>84</v>
      </c>
      <c r="D79" s="109"/>
      <c r="E79" s="89">
        <f>AVERAGE(E69:E77)</f>
        <v>24.269885208530603</v>
      </c>
      <c r="F79" s="89">
        <f>AVERAGE(F69:F77)</f>
        <v>16.00185981562349</v>
      </c>
      <c r="G79" s="89">
        <f>AVERAGE(G69:G77)</f>
        <v>31.933621235754376</v>
      </c>
      <c r="H79" s="89">
        <f>AVERAGE(H69:H77)</f>
        <v>1.7294845227680586E-2</v>
      </c>
      <c r="I79" s="6"/>
      <c r="J79" s="108" t="s">
        <v>84</v>
      </c>
      <c r="K79" s="109"/>
      <c r="L79" s="89">
        <f>AVERAGE(L69:L77)</f>
        <v>24.419494388501612</v>
      </c>
      <c r="M79" s="89">
        <f>AVERAGE(M69:M77)</f>
        <v>3.2071727972831776</v>
      </c>
      <c r="N79" s="89">
        <f>AVERAGE(N69:N77)</f>
        <v>29.20499872987752</v>
      </c>
      <c r="O79" s="89">
        <f>AVERAGE(O69:O77)</f>
        <v>6.5114506137668726E-2</v>
      </c>
      <c r="P79" s="6"/>
      <c r="Q79" s="108" t="s">
        <v>84</v>
      </c>
      <c r="R79" s="109"/>
      <c r="S79" s="89">
        <f>AVERAGE(S69:S77)</f>
        <v>20.957329573898985</v>
      </c>
      <c r="T79" s="89">
        <f>AVERAGE(T69:T77)</f>
        <v>11.371738240123074</v>
      </c>
      <c r="U79" s="89">
        <f>AVERAGE(U69:U77)</f>
        <v>22.690418455559879</v>
      </c>
      <c r="V79" s="89">
        <f>AVERAGE(V69:V77)</f>
        <v>3.15514324513568</v>
      </c>
      <c r="W79" s="6"/>
      <c r="X79" s="108" t="s">
        <v>84</v>
      </c>
      <c r="Y79" s="109"/>
      <c r="Z79" s="89">
        <f>AVERAGE(Z69:Z77)</f>
        <v>19.707289239357824</v>
      </c>
      <c r="AA79" s="89">
        <f>AVERAGE(AA69:AA77)</f>
        <v>13.503529047373995</v>
      </c>
      <c r="AB79" s="89">
        <f>AVERAGE(AB69:AB77)</f>
        <v>20.690960113240887</v>
      </c>
      <c r="AC79" s="89">
        <f>AVERAGE(AC69:AC77)</f>
        <v>6.9019541316186412</v>
      </c>
      <c r="AD79" s="6"/>
      <c r="AE79" s="108"/>
      <c r="AF79" s="109"/>
      <c r="AG79" s="89"/>
      <c r="AH79" s="89"/>
      <c r="AI79" s="89"/>
      <c r="AJ79" s="89"/>
      <c r="AK79" s="6"/>
      <c r="AL79" s="108" t="s">
        <v>84</v>
      </c>
      <c r="AM79" s="109"/>
      <c r="AN79" s="89">
        <f>AVERAGE(AN69:AN77)</f>
        <v>27.598568372017031</v>
      </c>
      <c r="AO79" s="89">
        <f>AVERAGE(AO69:AO77)</f>
        <v>25.430967856632307</v>
      </c>
      <c r="AP79" s="89">
        <f>AVERAGE(AP69:AP77)</f>
        <v>47.717930387588162</v>
      </c>
      <c r="AQ79" s="89">
        <f>AVERAGE(AQ69:AQ77)</f>
        <v>1.4340158799929849E-9</v>
      </c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</row>
    <row r="80" spans="1:88" x14ac:dyDescent="0.25">
      <c r="A80" s="6"/>
      <c r="B80" s="6"/>
      <c r="C80" s="108" t="s">
        <v>85</v>
      </c>
      <c r="D80" s="109"/>
      <c r="E80" s="89">
        <f>(E81/SQRT(9))</f>
        <v>0.24878408829217971</v>
      </c>
      <c r="F80" s="89">
        <f>(F81/SQRT(9))</f>
        <v>3.7145694989900435</v>
      </c>
      <c r="G80" s="89">
        <f>(G81/SQRT(9))</f>
        <v>0.32734299222035512</v>
      </c>
      <c r="H80" s="89">
        <f>(H81/SQRT(9))</f>
        <v>5.3196099635828024E-3</v>
      </c>
      <c r="I80" s="6"/>
      <c r="J80" s="108" t="s">
        <v>85</v>
      </c>
      <c r="K80" s="109"/>
      <c r="L80" s="89">
        <f>(L81/SQRT(9))</f>
        <v>0.23582825571472762</v>
      </c>
      <c r="M80" s="89">
        <f>(M81/SQRT(9))</f>
        <v>0.63268136324301405</v>
      </c>
      <c r="N80" s="89">
        <f>(N81/SQRT(9))</f>
        <v>0.28204367375685307</v>
      </c>
      <c r="O80" s="89">
        <f>(O81/SQRT(9))</f>
        <v>1.5445179816954936E-2</v>
      </c>
      <c r="P80" s="6"/>
      <c r="Q80" s="108" t="s">
        <v>85</v>
      </c>
      <c r="R80" s="109"/>
      <c r="S80" s="89">
        <f>(S81/SQRT(9))</f>
        <v>0.20326868411456525</v>
      </c>
      <c r="T80" s="89">
        <f>(T81/SQRT(9))</f>
        <v>1.8377057005397068</v>
      </c>
      <c r="U80" s="89">
        <f>(U81/SQRT(9))</f>
        <v>0.22007820630042338</v>
      </c>
      <c r="V80" s="89">
        <f>(V81/SQRT(9))</f>
        <v>0.55445210768971676</v>
      </c>
      <c r="W80" s="6"/>
      <c r="X80" s="108" t="s">
        <v>85</v>
      </c>
      <c r="Y80" s="109"/>
      <c r="Z80" s="89">
        <f>(Z81/SQRT(9))</f>
        <v>0.51583030979905831</v>
      </c>
      <c r="AA80" s="89">
        <f>(AA81/SQRT(9))</f>
        <v>3.9519762193311343</v>
      </c>
      <c r="AB80" s="89">
        <f>(AB81/SQRT(9))</f>
        <v>0.54157749630718832</v>
      </c>
      <c r="AC80" s="89">
        <f>(AC81/SQRT(9))</f>
        <v>2.0991899796116491</v>
      </c>
      <c r="AD80" s="6"/>
      <c r="AE80" s="108"/>
      <c r="AF80" s="109"/>
      <c r="AG80" s="89"/>
      <c r="AH80" s="89"/>
      <c r="AI80" s="89"/>
      <c r="AJ80" s="89"/>
      <c r="AK80" s="6"/>
      <c r="AL80" s="108" t="s">
        <v>85</v>
      </c>
      <c r="AM80" s="109"/>
      <c r="AN80" s="89">
        <f>(AN81/SQRT(9))</f>
        <v>0.21141877538732942</v>
      </c>
      <c r="AO80" s="89">
        <f>(AO81/SQRT(9))</f>
        <v>6.440153853491065</v>
      </c>
      <c r="AP80" s="89">
        <f>(AP81/SQRT(9))</f>
        <v>0.36554310609787671</v>
      </c>
      <c r="AQ80" s="89">
        <f>(AQ81/SQRT(9))</f>
        <v>5.6041635400939767E-10</v>
      </c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</row>
    <row r="81" spans="1:88" x14ac:dyDescent="0.25">
      <c r="A81" s="6"/>
      <c r="B81" s="6"/>
      <c r="C81" s="108" t="s">
        <v>86</v>
      </c>
      <c r="D81" s="109"/>
      <c r="E81" s="89">
        <f>_xlfn.STDEV.P(E69:E77)</f>
        <v>0.74635226487653916</v>
      </c>
      <c r="F81" s="89">
        <f>_xlfn.STDEV.P(F69:F77)</f>
        <v>11.143708496970131</v>
      </c>
      <c r="G81" s="89">
        <f>_xlfn.STDEV.P(G69:G77)</f>
        <v>0.98202897666106537</v>
      </c>
      <c r="H81" s="89">
        <f>_xlfn.STDEV.P(H69:H77)</f>
        <v>1.5958829890748406E-2</v>
      </c>
      <c r="I81" s="6"/>
      <c r="J81" s="108" t="s">
        <v>86</v>
      </c>
      <c r="K81" s="109"/>
      <c r="L81" s="89">
        <f>_xlfn.STDEV.P(L69:L77)</f>
        <v>0.70748476714418285</v>
      </c>
      <c r="M81" s="89">
        <f>_xlfn.STDEV.P(M69:M77)</f>
        <v>1.8980440897290423</v>
      </c>
      <c r="N81" s="89">
        <f>_xlfn.STDEV.P(N69:N77)</f>
        <v>0.84613102127055928</v>
      </c>
      <c r="O81" s="89">
        <f>_xlfn.STDEV.P(O69:O77)</f>
        <v>4.6335539450864806E-2</v>
      </c>
      <c r="P81" s="6"/>
      <c r="Q81" s="108" t="s">
        <v>86</v>
      </c>
      <c r="R81" s="109"/>
      <c r="S81" s="89">
        <f>_xlfn.STDEV.P(S69:S77)</f>
        <v>0.60980605234369578</v>
      </c>
      <c r="T81" s="89">
        <f>_xlfn.STDEV.P(T69:T77)</f>
        <v>5.5131171016191205</v>
      </c>
      <c r="U81" s="89">
        <f>_xlfn.STDEV.P(U69:U77)</f>
        <v>0.66023461890127011</v>
      </c>
      <c r="V81" s="89">
        <f>_xlfn.STDEV.P(V69:V77)</f>
        <v>1.6633563230691502</v>
      </c>
      <c r="W81" s="6"/>
      <c r="X81" s="108" t="s">
        <v>86</v>
      </c>
      <c r="Y81" s="109"/>
      <c r="Z81" s="89">
        <f>_xlfn.STDEV.P(Z69:Z77)</f>
        <v>1.547490929397175</v>
      </c>
      <c r="AA81" s="89">
        <f>_xlfn.STDEV.P(AA69:AA77)</f>
        <v>11.855928657993402</v>
      </c>
      <c r="AB81" s="89">
        <f>_xlfn.STDEV.P(AB69:AB77)</f>
        <v>1.6247324889215651</v>
      </c>
      <c r="AC81" s="89">
        <f>_xlfn.STDEV.P(AC69:AC77)</f>
        <v>6.2975699388349478</v>
      </c>
      <c r="AD81" s="6"/>
      <c r="AE81" s="108"/>
      <c r="AF81" s="109"/>
      <c r="AG81" s="89"/>
      <c r="AH81" s="89"/>
      <c r="AI81" s="89"/>
      <c r="AJ81" s="89"/>
      <c r="AK81" s="6"/>
      <c r="AL81" s="108" t="s">
        <v>86</v>
      </c>
      <c r="AM81" s="109"/>
      <c r="AN81" s="89">
        <f>_xlfn.STDEV.P(AN69:AN77)</f>
        <v>0.63425632616198824</v>
      </c>
      <c r="AO81" s="89">
        <f>_xlfn.STDEV.P(AO69:AO77)</f>
        <v>19.320461560473195</v>
      </c>
      <c r="AP81" s="89">
        <f>_xlfn.STDEV.P(AP69:AP77)</f>
        <v>1.0966293182936302</v>
      </c>
      <c r="AQ81" s="89">
        <f>_xlfn.STDEV.P(AQ69:AQ77)</f>
        <v>1.681249062028193E-9</v>
      </c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</row>
    <row r="82" spans="1:88" x14ac:dyDescent="0.25">
      <c r="A82" s="6"/>
      <c r="B82" s="6"/>
      <c r="C82" s="108" t="s">
        <v>87</v>
      </c>
      <c r="D82" s="109"/>
      <c r="E82" s="89">
        <f>SUM(E81/E79)</f>
        <v>3.0752195919501277E-2</v>
      </c>
      <c r="F82" s="89">
        <f>SUM(F81/F79)</f>
        <v>0.69640083248885354</v>
      </c>
      <c r="G82" s="89">
        <f>SUM(G81/G79)</f>
        <v>3.0752195919501287E-2</v>
      </c>
      <c r="H82" s="89">
        <f>SUM(H81/H79)</f>
        <v>0.92275066244629511</v>
      </c>
      <c r="I82" s="6"/>
      <c r="J82" s="108" t="s">
        <v>87</v>
      </c>
      <c r="K82" s="109"/>
      <c r="L82" s="89">
        <f>SUM(L81/L79)</f>
        <v>2.8972130048577731E-2</v>
      </c>
      <c r="M82" s="89">
        <f>SUM(M81/M79)</f>
        <v>0.59181223142603701</v>
      </c>
      <c r="N82" s="89">
        <f>SUM(N81/N79)</f>
        <v>2.8972130048577741E-2</v>
      </c>
      <c r="O82" s="89">
        <f>SUM(O81/O79)</f>
        <v>0.71160087358874569</v>
      </c>
      <c r="P82" s="6"/>
      <c r="Q82" s="108" t="s">
        <v>87</v>
      </c>
      <c r="R82" s="109"/>
      <c r="S82" s="89">
        <f>SUM(S81/S79)</f>
        <v>2.9097507399185547E-2</v>
      </c>
      <c r="T82" s="89">
        <f>SUM(T81/T79)</f>
        <v>0.48480865327757078</v>
      </c>
      <c r="U82" s="89">
        <f>SUM(U81/U79)</f>
        <v>2.9097507399185558E-2</v>
      </c>
      <c r="V82" s="89">
        <f>SUM(V81/V79)</f>
        <v>0.52718884495452478</v>
      </c>
      <c r="W82" s="6"/>
      <c r="X82" s="108" t="s">
        <v>87</v>
      </c>
      <c r="Y82" s="109"/>
      <c r="Z82" s="89">
        <f>SUM(Z81/Z79)</f>
        <v>7.8523784301427396E-2</v>
      </c>
      <c r="AA82" s="89">
        <f>SUM(AA81/AA79)</f>
        <v>0.87798742213236491</v>
      </c>
      <c r="AB82" s="89">
        <f>SUM(AB81/AB79)</f>
        <v>7.8523784301427396E-2</v>
      </c>
      <c r="AC82" s="89">
        <f>SUM(AC81/AC79)</f>
        <v>0.91243288766366315</v>
      </c>
      <c r="AD82" s="6"/>
      <c r="AE82" s="108"/>
      <c r="AF82" s="109"/>
      <c r="AG82" s="89"/>
      <c r="AH82" s="89"/>
      <c r="AI82" s="89"/>
      <c r="AJ82" s="89"/>
      <c r="AK82" s="6"/>
      <c r="AL82" s="108" t="s">
        <v>87</v>
      </c>
      <c r="AM82" s="109"/>
      <c r="AN82" s="89">
        <f>SUM(AN81/AN79)</f>
        <v>2.2981493735924313E-2</v>
      </c>
      <c r="AO82" s="89">
        <f>SUM(AO81/AO79)</f>
        <v>0.75972183478791533</v>
      </c>
      <c r="AP82" s="89">
        <f>SUM(AP81/AP79)</f>
        <v>2.2981493735924324E-2</v>
      </c>
      <c r="AQ82" s="89">
        <f>SUM(AQ81/AQ79)</f>
        <v>1.1724061675219506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</row>
    <row r="83" spans="1:88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</row>
    <row r="84" spans="1:88" s="6" customFormat="1" x14ac:dyDescent="0.25"/>
    <row r="85" spans="1:88" s="6" customFormat="1" x14ac:dyDescent="0.25"/>
    <row r="86" spans="1:88" s="6" customFormat="1" x14ac:dyDescent="0.25"/>
    <row r="87" spans="1:88" s="6" customFormat="1" x14ac:dyDescent="0.25"/>
    <row r="88" spans="1:88" s="6" customFormat="1" x14ac:dyDescent="0.25"/>
    <row r="89" spans="1:88" s="6" customFormat="1" x14ac:dyDescent="0.25"/>
    <row r="90" spans="1:88" s="6" customFormat="1" x14ac:dyDescent="0.25"/>
    <row r="91" spans="1:88" s="6" customFormat="1" x14ac:dyDescent="0.25"/>
    <row r="92" spans="1:88" s="6" customFormat="1" x14ac:dyDescent="0.25"/>
    <row r="93" spans="1:88" s="6" customFormat="1" x14ac:dyDescent="0.25"/>
    <row r="94" spans="1:88" s="6" customFormat="1" x14ac:dyDescent="0.25"/>
    <row r="95" spans="1:88" s="6" customFormat="1" x14ac:dyDescent="0.25"/>
    <row r="96" spans="1:88" s="6" customFormat="1" x14ac:dyDescent="0.25"/>
    <row r="97" s="6" customFormat="1" x14ac:dyDescent="0.25"/>
    <row r="98" s="6" customFormat="1" x14ac:dyDescent="0.25"/>
    <row r="99" s="6" customFormat="1" x14ac:dyDescent="0.25"/>
    <row r="100" s="6" customFormat="1" x14ac:dyDescent="0.25"/>
    <row r="101" s="6" customFormat="1" x14ac:dyDescent="0.25"/>
    <row r="102" s="6" customFormat="1" x14ac:dyDescent="0.25"/>
    <row r="103" s="6" customFormat="1" x14ac:dyDescent="0.25"/>
    <row r="104" s="6" customFormat="1" x14ac:dyDescent="0.25"/>
    <row r="105" s="6" customFormat="1" x14ac:dyDescent="0.25"/>
    <row r="106" s="6" customFormat="1" x14ac:dyDescent="0.25"/>
    <row r="107" s="6" customFormat="1" x14ac:dyDescent="0.25"/>
    <row r="108" s="6" customFormat="1" x14ac:dyDescent="0.25"/>
    <row r="109" s="6" customFormat="1" x14ac:dyDescent="0.25"/>
    <row r="110" s="6" customFormat="1" x14ac:dyDescent="0.25"/>
    <row r="111" s="6" customFormat="1" x14ac:dyDescent="0.25"/>
    <row r="112" s="6" customFormat="1" x14ac:dyDescent="0.25"/>
    <row r="113" s="6" customFormat="1" x14ac:dyDescent="0.25"/>
    <row r="114" s="6" customFormat="1" x14ac:dyDescent="0.25"/>
    <row r="115" s="6" customFormat="1" x14ac:dyDescent="0.25"/>
    <row r="116" s="6" customFormat="1" x14ac:dyDescent="0.25"/>
  </sheetData>
  <mergeCells count="159">
    <mergeCell ref="C82:D82"/>
    <mergeCell ref="J82:K82"/>
    <mergeCell ref="Q82:R82"/>
    <mergeCell ref="X82:Y82"/>
    <mergeCell ref="AE82:AF82"/>
    <mergeCell ref="AL82:AM82"/>
    <mergeCell ref="C81:D81"/>
    <mergeCell ref="J81:K81"/>
    <mergeCell ref="Q81:R81"/>
    <mergeCell ref="X81:Y81"/>
    <mergeCell ref="AE81:AF81"/>
    <mergeCell ref="AL81:AM81"/>
    <mergeCell ref="C80:D80"/>
    <mergeCell ref="J80:K80"/>
    <mergeCell ref="Q80:R80"/>
    <mergeCell ref="X80:Y80"/>
    <mergeCell ref="AE80:AF80"/>
    <mergeCell ref="AL80:AM80"/>
    <mergeCell ref="C79:D79"/>
    <mergeCell ref="J79:K79"/>
    <mergeCell ref="Q79:R79"/>
    <mergeCell ref="X79:Y79"/>
    <mergeCell ref="AE79:AF79"/>
    <mergeCell ref="AL79:AM79"/>
    <mergeCell ref="C78:D78"/>
    <mergeCell ref="J78:K78"/>
    <mergeCell ref="Q78:R78"/>
    <mergeCell ref="X78:Y78"/>
    <mergeCell ref="AE78:AF78"/>
    <mergeCell ref="AL78:AM78"/>
    <mergeCell ref="C68:C77"/>
    <mergeCell ref="J68:J77"/>
    <mergeCell ref="Q68:Q77"/>
    <mergeCell ref="X68:X77"/>
    <mergeCell ref="AE68:AE77"/>
    <mergeCell ref="AL68:AL77"/>
    <mergeCell ref="C67:H67"/>
    <mergeCell ref="J67:O67"/>
    <mergeCell ref="Q67:V67"/>
    <mergeCell ref="X67:AC67"/>
    <mergeCell ref="AE67:AJ67"/>
    <mergeCell ref="AL67:AQ67"/>
    <mergeCell ref="C65:D65"/>
    <mergeCell ref="H65:I65"/>
    <mergeCell ref="M65:N65"/>
    <mergeCell ref="R65:S65"/>
    <mergeCell ref="W65:X65"/>
    <mergeCell ref="AB65:AC65"/>
    <mergeCell ref="C64:D64"/>
    <mergeCell ref="H64:I64"/>
    <mergeCell ref="M64:N64"/>
    <mergeCell ref="R64:S64"/>
    <mergeCell ref="W64:X64"/>
    <mergeCell ref="AB64:AC64"/>
    <mergeCell ref="C57:E57"/>
    <mergeCell ref="H57:J57"/>
    <mergeCell ref="M57:O57"/>
    <mergeCell ref="R57:T57"/>
    <mergeCell ref="W57:Y57"/>
    <mergeCell ref="AB57:AD57"/>
    <mergeCell ref="C56:E56"/>
    <mergeCell ref="H56:J56"/>
    <mergeCell ref="M56:O56"/>
    <mergeCell ref="R56:T56"/>
    <mergeCell ref="W56:Y56"/>
    <mergeCell ref="AB56:AD56"/>
    <mergeCell ref="C54:D54"/>
    <mergeCell ref="J54:K54"/>
    <mergeCell ref="Q54:R54"/>
    <mergeCell ref="X54:Y54"/>
    <mergeCell ref="AE54:AF54"/>
    <mergeCell ref="AL54:AM54"/>
    <mergeCell ref="C53:D53"/>
    <mergeCell ref="J53:K53"/>
    <mergeCell ref="Q53:R53"/>
    <mergeCell ref="X53:Y53"/>
    <mergeCell ref="AE53:AF53"/>
    <mergeCell ref="AL53:AM53"/>
    <mergeCell ref="C52:D52"/>
    <mergeCell ref="J52:K52"/>
    <mergeCell ref="Q52:R52"/>
    <mergeCell ref="X52:Y52"/>
    <mergeCell ref="AE52:AF52"/>
    <mergeCell ref="AL52:AM52"/>
    <mergeCell ref="C51:D51"/>
    <mergeCell ref="J51:K51"/>
    <mergeCell ref="Q51:R51"/>
    <mergeCell ref="X51:Y51"/>
    <mergeCell ref="AE51:AF51"/>
    <mergeCell ref="AL51:AM51"/>
    <mergeCell ref="C50:D50"/>
    <mergeCell ref="J50:K50"/>
    <mergeCell ref="Q50:R50"/>
    <mergeCell ref="X50:Y50"/>
    <mergeCell ref="AE50:AF50"/>
    <mergeCell ref="AL50:AM50"/>
    <mergeCell ref="C40:C49"/>
    <mergeCell ref="J40:J49"/>
    <mergeCell ref="Q40:Q49"/>
    <mergeCell ref="X40:X49"/>
    <mergeCell ref="AE40:AE49"/>
    <mergeCell ref="AL40:AL49"/>
    <mergeCell ref="C39:H39"/>
    <mergeCell ref="J39:O39"/>
    <mergeCell ref="Q39:V39"/>
    <mergeCell ref="X39:AC39"/>
    <mergeCell ref="AE39:AJ39"/>
    <mergeCell ref="AL39:AQ39"/>
    <mergeCell ref="C37:D37"/>
    <mergeCell ref="H37:I37"/>
    <mergeCell ref="M37:N37"/>
    <mergeCell ref="R37:S37"/>
    <mergeCell ref="W37:X37"/>
    <mergeCell ref="AB37:AC37"/>
    <mergeCell ref="C36:D36"/>
    <mergeCell ref="H36:I36"/>
    <mergeCell ref="M36:N36"/>
    <mergeCell ref="R36:S36"/>
    <mergeCell ref="W36:X36"/>
    <mergeCell ref="AB36:AC36"/>
    <mergeCell ref="C29:E29"/>
    <mergeCell ref="H29:J29"/>
    <mergeCell ref="M29:O29"/>
    <mergeCell ref="R29:T29"/>
    <mergeCell ref="W29:Y29"/>
    <mergeCell ref="AB29:AD29"/>
    <mergeCell ref="AG23:AK25"/>
    <mergeCell ref="C24:H24"/>
    <mergeCell ref="I24:W24"/>
    <mergeCell ref="X24:Z26"/>
    <mergeCell ref="C28:E28"/>
    <mergeCell ref="H28:J28"/>
    <mergeCell ref="M28:O28"/>
    <mergeCell ref="R28:T28"/>
    <mergeCell ref="W28:Y28"/>
    <mergeCell ref="AB28:AD28"/>
    <mergeCell ref="C15:Q15"/>
    <mergeCell ref="R15:Z15"/>
    <mergeCell ref="C18:H18"/>
    <mergeCell ref="I18:W18"/>
    <mergeCell ref="X18:Z20"/>
    <mergeCell ref="C21:Q21"/>
    <mergeCell ref="R21:Z21"/>
    <mergeCell ref="AK8:AL8"/>
    <mergeCell ref="C9:Q9"/>
    <mergeCell ref="R9:Z9"/>
    <mergeCell ref="C12:H12"/>
    <mergeCell ref="I12:W12"/>
    <mergeCell ref="X12:Z14"/>
    <mergeCell ref="AH2:AL3"/>
    <mergeCell ref="C3:Q3"/>
    <mergeCell ref="R3:Z3"/>
    <mergeCell ref="AK4:AL4"/>
    <mergeCell ref="AK5:AL5"/>
    <mergeCell ref="C6:H6"/>
    <mergeCell ref="I6:W6"/>
    <mergeCell ref="X6:Z8"/>
    <mergeCell ref="AK6:AL6"/>
    <mergeCell ref="AK7:AL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M231 (R1)</vt:lpstr>
      <vt:lpstr>M231 (R2)</vt:lpstr>
      <vt:lpstr>M231 (R3)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Jodie Malcolm</dc:creator>
  <cp:lastModifiedBy>Jodie Malcolm</cp:lastModifiedBy>
  <dcterms:created xsi:type="dcterms:W3CDTF">2023-07-11T07:42:53Z</dcterms:created>
  <dcterms:modified xsi:type="dcterms:W3CDTF">2024-08-02T03:48:36Z</dcterms:modified>
</cp:coreProperties>
</file>