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Desktop\malcolm_data\"/>
    </mc:Choice>
  </mc:AlternateContent>
  <xr:revisionPtr revIDLastSave="0" documentId="13_ncr:1_{79712233-4120-4CA1-B23F-F19315B4FBA9}" xr6:coauthVersionLast="47" xr6:coauthVersionMax="47" xr10:uidLastSave="{00000000-0000-0000-0000-000000000000}"/>
  <bookViews>
    <workbookView xWindow="-120" yWindow="-120" windowWidth="29040" windowHeight="15840" activeTab="2" xr2:uid="{A55148EB-0761-401F-A6F4-B90678A96BA9}"/>
  </bookViews>
  <sheets>
    <sheet name="M468 (R1)" sheetId="3" r:id="rId1"/>
    <sheet name="M468 (R2)" sheetId="4" r:id="rId2"/>
    <sheet name="M468 (R3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4" l="1"/>
  <c r="E36" i="3"/>
  <c r="AD64" i="5" l="1"/>
  <c r="T64" i="5"/>
  <c r="O64" i="5"/>
  <c r="J64" i="5"/>
  <c r="E64" i="5"/>
  <c r="AD36" i="5"/>
  <c r="Y36" i="5"/>
  <c r="T36" i="5"/>
  <c r="O36" i="5"/>
  <c r="J36" i="5"/>
  <c r="E36" i="5"/>
  <c r="AD64" i="4"/>
  <c r="T64" i="4"/>
  <c r="O64" i="4"/>
  <c r="J64" i="4"/>
  <c r="E64" i="4"/>
  <c r="AD36" i="4"/>
  <c r="Y36" i="4"/>
  <c r="T36" i="4"/>
  <c r="O36" i="4"/>
  <c r="J36" i="4"/>
  <c r="Y31" i="4"/>
  <c r="AN78" i="3" l="1"/>
  <c r="AO78" i="3" s="1"/>
  <c r="Z78" i="3"/>
  <c r="AA78" i="3" s="1"/>
  <c r="S78" i="3"/>
  <c r="T78" i="3" s="1"/>
  <c r="L78" i="3"/>
  <c r="M78" i="3" s="1"/>
  <c r="E78" i="3"/>
  <c r="F78" i="3" s="1"/>
  <c r="AN77" i="3"/>
  <c r="AO77" i="3" s="1"/>
  <c r="Z77" i="3"/>
  <c r="AA77" i="3" s="1"/>
  <c r="S77" i="3"/>
  <c r="T77" i="3" s="1"/>
  <c r="L77" i="3"/>
  <c r="M77" i="3" s="1"/>
  <c r="E77" i="3"/>
  <c r="F77" i="3" s="1"/>
  <c r="AN76" i="3"/>
  <c r="AO76" i="3" s="1"/>
  <c r="Z76" i="3"/>
  <c r="AA76" i="3" s="1"/>
  <c r="S76" i="3"/>
  <c r="T76" i="3" s="1"/>
  <c r="L76" i="3"/>
  <c r="M76" i="3" s="1"/>
  <c r="E76" i="3"/>
  <c r="F76" i="3" s="1"/>
  <c r="AN75" i="3"/>
  <c r="AO75" i="3" s="1"/>
  <c r="Z75" i="3"/>
  <c r="AA75" i="3" s="1"/>
  <c r="S75" i="3"/>
  <c r="T75" i="3" s="1"/>
  <c r="L75" i="3"/>
  <c r="M75" i="3" s="1"/>
  <c r="E75" i="3"/>
  <c r="F75" i="3" s="1"/>
  <c r="AN74" i="3"/>
  <c r="AO74" i="3" s="1"/>
  <c r="Z74" i="3"/>
  <c r="AA74" i="3" s="1"/>
  <c r="S74" i="3"/>
  <c r="T74" i="3" s="1"/>
  <c r="L74" i="3"/>
  <c r="M74" i="3" s="1"/>
  <c r="E74" i="3"/>
  <c r="F74" i="3" s="1"/>
  <c r="AN73" i="3"/>
  <c r="AO73" i="3" s="1"/>
  <c r="Z73" i="3"/>
  <c r="AA73" i="3" s="1"/>
  <c r="S73" i="3"/>
  <c r="T73" i="3" s="1"/>
  <c r="L73" i="3"/>
  <c r="M73" i="3" s="1"/>
  <c r="E73" i="3"/>
  <c r="F73" i="3" s="1"/>
  <c r="AN72" i="3"/>
  <c r="AO72" i="3" s="1"/>
  <c r="Z72" i="3"/>
  <c r="AA72" i="3" s="1"/>
  <c r="S72" i="3"/>
  <c r="T72" i="3" s="1"/>
  <c r="L72" i="3"/>
  <c r="M72" i="3" s="1"/>
  <c r="E72" i="3"/>
  <c r="F72" i="3" s="1"/>
  <c r="AN71" i="3"/>
  <c r="AO71" i="3" s="1"/>
  <c r="Z71" i="3"/>
  <c r="AA71" i="3" s="1"/>
  <c r="S71" i="3"/>
  <c r="T71" i="3" s="1"/>
  <c r="L71" i="3"/>
  <c r="M71" i="3" s="1"/>
  <c r="E71" i="3"/>
  <c r="F71" i="3" s="1"/>
  <c r="AN70" i="3"/>
  <c r="AO70" i="3" s="1"/>
  <c r="Z70" i="3"/>
  <c r="AA70" i="3" s="1"/>
  <c r="S70" i="3"/>
  <c r="T70" i="3" s="1"/>
  <c r="L70" i="3"/>
  <c r="M70" i="3" s="1"/>
  <c r="E70" i="3"/>
  <c r="F70" i="3" s="1"/>
  <c r="AN69" i="3"/>
  <c r="AO69" i="3" s="1"/>
  <c r="Z69" i="3"/>
  <c r="AA69" i="3" s="1"/>
  <c r="S69" i="3"/>
  <c r="T69" i="3" s="1"/>
  <c r="L69" i="3"/>
  <c r="M69" i="3" s="1"/>
  <c r="E69" i="3"/>
  <c r="F69" i="3" s="1"/>
  <c r="AD64" i="3"/>
  <c r="AD65" i="3" s="1"/>
  <c r="AP78" i="3" s="1"/>
  <c r="AQ78" i="3" s="1"/>
  <c r="T64" i="3"/>
  <c r="T65" i="3" s="1"/>
  <c r="AB78" i="3" s="1"/>
  <c r="AC78" i="3" s="1"/>
  <c r="O64" i="3"/>
  <c r="O65" i="3" s="1"/>
  <c r="J64" i="3"/>
  <c r="J65" i="3" s="1"/>
  <c r="N78" i="3" s="1"/>
  <c r="O78" i="3" s="1"/>
  <c r="E64" i="3"/>
  <c r="E65" i="3" s="1"/>
  <c r="G78" i="3" s="1"/>
  <c r="H78" i="3" s="1"/>
  <c r="AD63" i="3"/>
  <c r="AC63" i="3"/>
  <c r="T63" i="3"/>
  <c r="S63" i="3"/>
  <c r="O63" i="3"/>
  <c r="N63" i="3"/>
  <c r="J63" i="3"/>
  <c r="I63" i="3"/>
  <c r="E63" i="3"/>
  <c r="D63" i="3"/>
  <c r="AD62" i="3"/>
  <c r="AC62" i="3"/>
  <c r="T62" i="3"/>
  <c r="S62" i="3"/>
  <c r="O62" i="3"/>
  <c r="N62" i="3"/>
  <c r="J62" i="3"/>
  <c r="I62" i="3"/>
  <c r="E62" i="3"/>
  <c r="D62" i="3"/>
  <c r="AD61" i="3"/>
  <c r="AC61" i="3"/>
  <c r="T61" i="3"/>
  <c r="S61" i="3"/>
  <c r="O61" i="3"/>
  <c r="N61" i="3"/>
  <c r="J61" i="3"/>
  <c r="I61" i="3"/>
  <c r="E61" i="3"/>
  <c r="D61" i="3"/>
  <c r="AD60" i="3"/>
  <c r="AC60" i="3"/>
  <c r="T60" i="3"/>
  <c r="S60" i="3"/>
  <c r="O60" i="3"/>
  <c r="N60" i="3"/>
  <c r="J60" i="3"/>
  <c r="I60" i="3"/>
  <c r="E60" i="3"/>
  <c r="D60" i="3"/>
  <c r="AD59" i="3"/>
  <c r="AC59" i="3"/>
  <c r="T59" i="3"/>
  <c r="S59" i="3"/>
  <c r="O59" i="3"/>
  <c r="N59" i="3"/>
  <c r="J59" i="3"/>
  <c r="I59" i="3"/>
  <c r="E59" i="3"/>
  <c r="D59" i="3"/>
  <c r="AN50" i="3"/>
  <c r="AO50" i="3" s="1"/>
  <c r="AG50" i="3"/>
  <c r="AH50" i="3" s="1"/>
  <c r="Z50" i="3"/>
  <c r="AA50" i="3" s="1"/>
  <c r="S50" i="3"/>
  <c r="T50" i="3" s="1"/>
  <c r="L50" i="3"/>
  <c r="M50" i="3" s="1"/>
  <c r="E50" i="3"/>
  <c r="F50" i="3" s="1"/>
  <c r="AN49" i="3"/>
  <c r="AO49" i="3" s="1"/>
  <c r="AG49" i="3"/>
  <c r="AH49" i="3" s="1"/>
  <c r="Z49" i="3"/>
  <c r="AA49" i="3" s="1"/>
  <c r="S49" i="3"/>
  <c r="T49" i="3" s="1"/>
  <c r="L49" i="3"/>
  <c r="M49" i="3" s="1"/>
  <c r="E49" i="3"/>
  <c r="F49" i="3" s="1"/>
  <c r="AN48" i="3"/>
  <c r="AO48" i="3" s="1"/>
  <c r="AG48" i="3"/>
  <c r="AH48" i="3" s="1"/>
  <c r="Z48" i="3"/>
  <c r="AA48" i="3" s="1"/>
  <c r="S48" i="3"/>
  <c r="T48" i="3" s="1"/>
  <c r="L48" i="3"/>
  <c r="M48" i="3" s="1"/>
  <c r="E48" i="3"/>
  <c r="F48" i="3" s="1"/>
  <c r="AN47" i="3"/>
  <c r="AO47" i="3" s="1"/>
  <c r="AG47" i="3"/>
  <c r="AH47" i="3" s="1"/>
  <c r="Z47" i="3"/>
  <c r="AA47" i="3" s="1"/>
  <c r="S47" i="3"/>
  <c r="T47" i="3" s="1"/>
  <c r="L47" i="3"/>
  <c r="M47" i="3" s="1"/>
  <c r="E47" i="3"/>
  <c r="F47" i="3" s="1"/>
  <c r="AN46" i="3"/>
  <c r="AO46" i="3" s="1"/>
  <c r="AG46" i="3"/>
  <c r="AH46" i="3" s="1"/>
  <c r="Z46" i="3"/>
  <c r="AA46" i="3" s="1"/>
  <c r="S46" i="3"/>
  <c r="T46" i="3" s="1"/>
  <c r="L46" i="3"/>
  <c r="M46" i="3" s="1"/>
  <c r="E46" i="3"/>
  <c r="F46" i="3" s="1"/>
  <c r="AN45" i="3"/>
  <c r="AO45" i="3" s="1"/>
  <c r="AG45" i="3"/>
  <c r="AH45" i="3" s="1"/>
  <c r="Z45" i="3"/>
  <c r="AA45" i="3" s="1"/>
  <c r="S45" i="3"/>
  <c r="T45" i="3" s="1"/>
  <c r="L45" i="3"/>
  <c r="M45" i="3" s="1"/>
  <c r="E45" i="3"/>
  <c r="F45" i="3" s="1"/>
  <c r="AN44" i="3"/>
  <c r="AO44" i="3" s="1"/>
  <c r="AG44" i="3"/>
  <c r="AH44" i="3" s="1"/>
  <c r="Z44" i="3"/>
  <c r="AA44" i="3" s="1"/>
  <c r="S44" i="3"/>
  <c r="T44" i="3" s="1"/>
  <c r="L44" i="3"/>
  <c r="M44" i="3" s="1"/>
  <c r="E44" i="3"/>
  <c r="F44" i="3" s="1"/>
  <c r="AN43" i="3"/>
  <c r="AO43" i="3" s="1"/>
  <c r="AG43" i="3"/>
  <c r="AH43" i="3" s="1"/>
  <c r="Z43" i="3"/>
  <c r="AA43" i="3" s="1"/>
  <c r="S43" i="3"/>
  <c r="T43" i="3" s="1"/>
  <c r="L43" i="3"/>
  <c r="M43" i="3" s="1"/>
  <c r="E43" i="3"/>
  <c r="F43" i="3" s="1"/>
  <c r="AN42" i="3"/>
  <c r="AO42" i="3" s="1"/>
  <c r="AG42" i="3"/>
  <c r="AH42" i="3" s="1"/>
  <c r="Z42" i="3"/>
  <c r="AA42" i="3" s="1"/>
  <c r="S42" i="3"/>
  <c r="T42" i="3" s="1"/>
  <c r="L42" i="3"/>
  <c r="M42" i="3" s="1"/>
  <c r="E42" i="3"/>
  <c r="F42" i="3" s="1"/>
  <c r="AN41" i="3"/>
  <c r="AO41" i="3" s="1"/>
  <c r="AG41" i="3"/>
  <c r="AH41" i="3" s="1"/>
  <c r="Z41" i="3"/>
  <c r="S41" i="3"/>
  <c r="T41" i="3" s="1"/>
  <c r="L41" i="3"/>
  <c r="E41" i="3"/>
  <c r="F41" i="3" s="1"/>
  <c r="E37" i="3"/>
  <c r="AD36" i="3"/>
  <c r="AD37" i="3" s="1"/>
  <c r="Y36" i="3"/>
  <c r="Y37" i="3" s="1"/>
  <c r="T36" i="3"/>
  <c r="T37" i="3" s="1"/>
  <c r="O36" i="3"/>
  <c r="O37" i="3" s="1"/>
  <c r="J36" i="3"/>
  <c r="J37" i="3" s="1"/>
  <c r="AD35" i="3"/>
  <c r="AC35" i="3"/>
  <c r="Y35" i="3"/>
  <c r="X35" i="3"/>
  <c r="T35" i="3"/>
  <c r="S35" i="3"/>
  <c r="O35" i="3"/>
  <c r="N35" i="3"/>
  <c r="J35" i="3"/>
  <c r="I35" i="3"/>
  <c r="E35" i="3"/>
  <c r="D35" i="3"/>
  <c r="AD34" i="3"/>
  <c r="AC34" i="3"/>
  <c r="Y34" i="3"/>
  <c r="X34" i="3"/>
  <c r="T34" i="3"/>
  <c r="S34" i="3"/>
  <c r="O34" i="3"/>
  <c r="N34" i="3"/>
  <c r="J34" i="3"/>
  <c r="I34" i="3"/>
  <c r="E34" i="3"/>
  <c r="D34" i="3"/>
  <c r="AD33" i="3"/>
  <c r="AC33" i="3"/>
  <c r="Y33" i="3"/>
  <c r="X33" i="3"/>
  <c r="T33" i="3"/>
  <c r="S33" i="3"/>
  <c r="O33" i="3"/>
  <c r="N33" i="3"/>
  <c r="J33" i="3"/>
  <c r="I33" i="3"/>
  <c r="E33" i="3"/>
  <c r="D33" i="3"/>
  <c r="AD32" i="3"/>
  <c r="AC32" i="3"/>
  <c r="Y32" i="3"/>
  <c r="X32" i="3"/>
  <c r="T32" i="3"/>
  <c r="S32" i="3"/>
  <c r="O32" i="3"/>
  <c r="N32" i="3"/>
  <c r="J32" i="3"/>
  <c r="I32" i="3"/>
  <c r="E32" i="3"/>
  <c r="D32" i="3"/>
  <c r="AD31" i="3"/>
  <c r="AC31" i="3"/>
  <c r="Y31" i="3"/>
  <c r="X31" i="3"/>
  <c r="T31" i="3"/>
  <c r="S31" i="3"/>
  <c r="O31" i="3"/>
  <c r="N31" i="3"/>
  <c r="J31" i="3"/>
  <c r="I31" i="3"/>
  <c r="E31" i="3"/>
  <c r="D31" i="3"/>
  <c r="AN78" i="5"/>
  <c r="AO78" i="5" s="1"/>
  <c r="Z78" i="5"/>
  <c r="AA78" i="5" s="1"/>
  <c r="S78" i="5"/>
  <c r="T78" i="5" s="1"/>
  <c r="L78" i="5"/>
  <c r="M78" i="5" s="1"/>
  <c r="E78" i="5"/>
  <c r="F78" i="5" s="1"/>
  <c r="AN77" i="5"/>
  <c r="AO77" i="5" s="1"/>
  <c r="Z77" i="5"/>
  <c r="AA77" i="5" s="1"/>
  <c r="S77" i="5"/>
  <c r="T77" i="5" s="1"/>
  <c r="L77" i="5"/>
  <c r="M77" i="5" s="1"/>
  <c r="E77" i="5"/>
  <c r="F77" i="5" s="1"/>
  <c r="AN76" i="5"/>
  <c r="AO76" i="5" s="1"/>
  <c r="Z76" i="5"/>
  <c r="AA76" i="5" s="1"/>
  <c r="S76" i="5"/>
  <c r="T76" i="5" s="1"/>
  <c r="L76" i="5"/>
  <c r="M76" i="5" s="1"/>
  <c r="E76" i="5"/>
  <c r="F76" i="5" s="1"/>
  <c r="AN75" i="5"/>
  <c r="AO75" i="5" s="1"/>
  <c r="Z75" i="5"/>
  <c r="AA75" i="5" s="1"/>
  <c r="S75" i="5"/>
  <c r="T75" i="5" s="1"/>
  <c r="L75" i="5"/>
  <c r="M75" i="5" s="1"/>
  <c r="E75" i="5"/>
  <c r="F75" i="5" s="1"/>
  <c r="AN74" i="5"/>
  <c r="AO74" i="5" s="1"/>
  <c r="Z74" i="5"/>
  <c r="AA74" i="5" s="1"/>
  <c r="S74" i="5"/>
  <c r="T74" i="5" s="1"/>
  <c r="L74" i="5"/>
  <c r="M74" i="5" s="1"/>
  <c r="E74" i="5"/>
  <c r="F74" i="5" s="1"/>
  <c r="AN73" i="5"/>
  <c r="AO73" i="5" s="1"/>
  <c r="Z73" i="5"/>
  <c r="AA73" i="5" s="1"/>
  <c r="S73" i="5"/>
  <c r="L73" i="5"/>
  <c r="M73" i="5" s="1"/>
  <c r="E73" i="5"/>
  <c r="F73" i="5" s="1"/>
  <c r="AN72" i="5"/>
  <c r="AO72" i="5" s="1"/>
  <c r="Z72" i="5"/>
  <c r="AA72" i="5" s="1"/>
  <c r="S72" i="5"/>
  <c r="T72" i="5" s="1"/>
  <c r="L72" i="5"/>
  <c r="M72" i="5" s="1"/>
  <c r="E72" i="5"/>
  <c r="F72" i="5" s="1"/>
  <c r="AN71" i="5"/>
  <c r="AO71" i="5" s="1"/>
  <c r="Z71" i="5"/>
  <c r="AA71" i="5" s="1"/>
  <c r="S71" i="5"/>
  <c r="T71" i="5" s="1"/>
  <c r="L71" i="5"/>
  <c r="M71" i="5" s="1"/>
  <c r="E71" i="5"/>
  <c r="F71" i="5" s="1"/>
  <c r="AN70" i="5"/>
  <c r="AO70" i="5" s="1"/>
  <c r="Z70" i="5"/>
  <c r="AA70" i="5" s="1"/>
  <c r="S70" i="5"/>
  <c r="T70" i="5" s="1"/>
  <c r="L70" i="5"/>
  <c r="M70" i="5" s="1"/>
  <c r="E70" i="5"/>
  <c r="F70" i="5" s="1"/>
  <c r="AN69" i="5"/>
  <c r="AO69" i="5" s="1"/>
  <c r="Z69" i="5"/>
  <c r="S69" i="5"/>
  <c r="T69" i="5" s="1"/>
  <c r="L69" i="5"/>
  <c r="M69" i="5" s="1"/>
  <c r="E69" i="5"/>
  <c r="F69" i="5" s="1"/>
  <c r="AD65" i="5"/>
  <c r="T65" i="5"/>
  <c r="O65" i="5"/>
  <c r="J65" i="5"/>
  <c r="E65" i="5"/>
  <c r="AD63" i="5"/>
  <c r="AC63" i="5"/>
  <c r="T63" i="5"/>
  <c r="S63" i="5"/>
  <c r="O63" i="5"/>
  <c r="N63" i="5"/>
  <c r="J63" i="5"/>
  <c r="I63" i="5"/>
  <c r="E63" i="5"/>
  <c r="D63" i="5"/>
  <c r="AD62" i="5"/>
  <c r="AC62" i="5"/>
  <c r="T62" i="5"/>
  <c r="S62" i="5"/>
  <c r="O62" i="5"/>
  <c r="N62" i="5"/>
  <c r="J62" i="5"/>
  <c r="I62" i="5"/>
  <c r="E62" i="5"/>
  <c r="D62" i="5"/>
  <c r="AD61" i="5"/>
  <c r="AC61" i="5"/>
  <c r="T61" i="5"/>
  <c r="S61" i="5"/>
  <c r="O61" i="5"/>
  <c r="N61" i="5"/>
  <c r="J61" i="5"/>
  <c r="I61" i="5"/>
  <c r="E61" i="5"/>
  <c r="D61" i="5"/>
  <c r="AD60" i="5"/>
  <c r="AC60" i="5"/>
  <c r="T60" i="5"/>
  <c r="S60" i="5"/>
  <c r="O60" i="5"/>
  <c r="N60" i="5"/>
  <c r="J60" i="5"/>
  <c r="I60" i="5"/>
  <c r="E60" i="5"/>
  <c r="D60" i="5"/>
  <c r="AD59" i="5"/>
  <c r="AC59" i="5"/>
  <c r="T59" i="5"/>
  <c r="S59" i="5"/>
  <c r="O59" i="5"/>
  <c r="N59" i="5"/>
  <c r="J59" i="5"/>
  <c r="I59" i="5"/>
  <c r="E59" i="5"/>
  <c r="D59" i="5"/>
  <c r="AN50" i="5"/>
  <c r="AO50" i="5" s="1"/>
  <c r="AG50" i="5"/>
  <c r="AH50" i="5" s="1"/>
  <c r="Z50" i="5"/>
  <c r="AA50" i="5" s="1"/>
  <c r="S50" i="5"/>
  <c r="T50" i="5" s="1"/>
  <c r="L50" i="5"/>
  <c r="M50" i="5" s="1"/>
  <c r="E50" i="5"/>
  <c r="F50" i="5" s="1"/>
  <c r="AN49" i="5"/>
  <c r="AO49" i="5" s="1"/>
  <c r="AG49" i="5"/>
  <c r="AH49" i="5" s="1"/>
  <c r="Z49" i="5"/>
  <c r="AA49" i="5" s="1"/>
  <c r="S49" i="5"/>
  <c r="T49" i="5" s="1"/>
  <c r="L49" i="5"/>
  <c r="M49" i="5" s="1"/>
  <c r="E49" i="5"/>
  <c r="F49" i="5" s="1"/>
  <c r="AN48" i="5"/>
  <c r="AO48" i="5" s="1"/>
  <c r="AG48" i="5"/>
  <c r="AH48" i="5" s="1"/>
  <c r="Z48" i="5"/>
  <c r="AA48" i="5" s="1"/>
  <c r="S48" i="5"/>
  <c r="T48" i="5" s="1"/>
  <c r="L48" i="5"/>
  <c r="M48" i="5" s="1"/>
  <c r="E48" i="5"/>
  <c r="F48" i="5" s="1"/>
  <c r="AN47" i="5"/>
  <c r="AO47" i="5" s="1"/>
  <c r="AG47" i="5"/>
  <c r="AH47" i="5" s="1"/>
  <c r="Z47" i="5"/>
  <c r="AA47" i="5" s="1"/>
  <c r="S47" i="5"/>
  <c r="T47" i="5" s="1"/>
  <c r="L47" i="5"/>
  <c r="M47" i="5" s="1"/>
  <c r="E47" i="5"/>
  <c r="F47" i="5" s="1"/>
  <c r="AN46" i="5"/>
  <c r="AO46" i="5" s="1"/>
  <c r="AG46" i="5"/>
  <c r="AH46" i="5" s="1"/>
  <c r="Z46" i="5"/>
  <c r="AA46" i="5" s="1"/>
  <c r="S46" i="5"/>
  <c r="T46" i="5" s="1"/>
  <c r="L46" i="5"/>
  <c r="M46" i="5" s="1"/>
  <c r="E46" i="5"/>
  <c r="F46" i="5" s="1"/>
  <c r="AN45" i="5"/>
  <c r="AO45" i="5" s="1"/>
  <c r="AG45" i="5"/>
  <c r="AH45" i="5" s="1"/>
  <c r="Z45" i="5"/>
  <c r="AA45" i="5" s="1"/>
  <c r="S45" i="5"/>
  <c r="T45" i="5" s="1"/>
  <c r="L45" i="5"/>
  <c r="M45" i="5" s="1"/>
  <c r="E45" i="5"/>
  <c r="F45" i="5" s="1"/>
  <c r="AN44" i="5"/>
  <c r="AO44" i="5" s="1"/>
  <c r="AG44" i="5"/>
  <c r="AH44" i="5" s="1"/>
  <c r="Z44" i="5"/>
  <c r="AA44" i="5" s="1"/>
  <c r="S44" i="5"/>
  <c r="T44" i="5" s="1"/>
  <c r="L44" i="5"/>
  <c r="M44" i="5" s="1"/>
  <c r="E44" i="5"/>
  <c r="F44" i="5" s="1"/>
  <c r="AN43" i="5"/>
  <c r="AO43" i="5" s="1"/>
  <c r="AG43" i="5"/>
  <c r="AH43" i="5" s="1"/>
  <c r="Z43" i="5"/>
  <c r="AA43" i="5" s="1"/>
  <c r="S43" i="5"/>
  <c r="T43" i="5" s="1"/>
  <c r="L43" i="5"/>
  <c r="M43" i="5" s="1"/>
  <c r="E43" i="5"/>
  <c r="F43" i="5" s="1"/>
  <c r="AN42" i="5"/>
  <c r="AO42" i="5" s="1"/>
  <c r="AG42" i="5"/>
  <c r="AH42" i="5" s="1"/>
  <c r="Z42" i="5"/>
  <c r="AA42" i="5" s="1"/>
  <c r="S42" i="5"/>
  <c r="T42" i="5" s="1"/>
  <c r="L42" i="5"/>
  <c r="M42" i="5" s="1"/>
  <c r="E42" i="5"/>
  <c r="F42" i="5" s="1"/>
  <c r="AN41" i="5"/>
  <c r="AO41" i="5" s="1"/>
  <c r="AG41" i="5"/>
  <c r="AH41" i="5" s="1"/>
  <c r="Z41" i="5"/>
  <c r="S41" i="5"/>
  <c r="T41" i="5" s="1"/>
  <c r="L41" i="5"/>
  <c r="M41" i="5" s="1"/>
  <c r="E41" i="5"/>
  <c r="F41" i="5" s="1"/>
  <c r="AD37" i="5"/>
  <c r="Y37" i="5"/>
  <c r="T37" i="5"/>
  <c r="O37" i="5"/>
  <c r="J37" i="5"/>
  <c r="E37" i="5"/>
  <c r="AD35" i="5"/>
  <c r="AC35" i="5"/>
  <c r="Y35" i="5"/>
  <c r="X35" i="5"/>
  <c r="T35" i="5"/>
  <c r="S35" i="5"/>
  <c r="O35" i="5"/>
  <c r="N35" i="5"/>
  <c r="J35" i="5"/>
  <c r="I35" i="5"/>
  <c r="E35" i="5"/>
  <c r="D35" i="5"/>
  <c r="AD34" i="5"/>
  <c r="AC34" i="5"/>
  <c r="Y34" i="5"/>
  <c r="X34" i="5"/>
  <c r="T34" i="5"/>
  <c r="S34" i="5"/>
  <c r="O34" i="5"/>
  <c r="N34" i="5"/>
  <c r="J34" i="5"/>
  <c r="I34" i="5"/>
  <c r="E34" i="5"/>
  <c r="D34" i="5"/>
  <c r="AD33" i="5"/>
  <c r="AC33" i="5"/>
  <c r="Y33" i="5"/>
  <c r="X33" i="5"/>
  <c r="T33" i="5"/>
  <c r="S33" i="5"/>
  <c r="O33" i="5"/>
  <c r="N33" i="5"/>
  <c r="J33" i="5"/>
  <c r="I33" i="5"/>
  <c r="E33" i="5"/>
  <c r="D33" i="5"/>
  <c r="AD32" i="5"/>
  <c r="AC32" i="5"/>
  <c r="Y32" i="5"/>
  <c r="X32" i="5"/>
  <c r="T32" i="5"/>
  <c r="S32" i="5"/>
  <c r="O32" i="5"/>
  <c r="N32" i="5"/>
  <c r="J32" i="5"/>
  <c r="I32" i="5"/>
  <c r="E32" i="5"/>
  <c r="D32" i="5"/>
  <c r="AD31" i="5"/>
  <c r="AC31" i="5"/>
  <c r="Y31" i="5"/>
  <c r="X31" i="5"/>
  <c r="T31" i="5"/>
  <c r="S31" i="5"/>
  <c r="O31" i="5"/>
  <c r="N31" i="5"/>
  <c r="J31" i="5"/>
  <c r="I31" i="5"/>
  <c r="E31" i="5"/>
  <c r="D31" i="5"/>
  <c r="AN78" i="4"/>
  <c r="AO78" i="4" s="1"/>
  <c r="Z78" i="4"/>
  <c r="AA78" i="4" s="1"/>
  <c r="S78" i="4"/>
  <c r="T78" i="4" s="1"/>
  <c r="L78" i="4"/>
  <c r="M78" i="4" s="1"/>
  <c r="E78" i="4"/>
  <c r="F78" i="4" s="1"/>
  <c r="AN77" i="4"/>
  <c r="AO77" i="4" s="1"/>
  <c r="Z77" i="4"/>
  <c r="AA77" i="4" s="1"/>
  <c r="S77" i="4"/>
  <c r="T77" i="4" s="1"/>
  <c r="L77" i="4"/>
  <c r="M77" i="4" s="1"/>
  <c r="E77" i="4"/>
  <c r="F77" i="4" s="1"/>
  <c r="AN76" i="4"/>
  <c r="AO76" i="4" s="1"/>
  <c r="Z76" i="4"/>
  <c r="AA76" i="4" s="1"/>
  <c r="S76" i="4"/>
  <c r="T76" i="4" s="1"/>
  <c r="L76" i="4"/>
  <c r="M76" i="4" s="1"/>
  <c r="E76" i="4"/>
  <c r="F76" i="4" s="1"/>
  <c r="AN75" i="4"/>
  <c r="AO75" i="4" s="1"/>
  <c r="Z75" i="4"/>
  <c r="AA75" i="4" s="1"/>
  <c r="S75" i="4"/>
  <c r="T75" i="4" s="1"/>
  <c r="L75" i="4"/>
  <c r="M75" i="4" s="1"/>
  <c r="E75" i="4"/>
  <c r="F75" i="4" s="1"/>
  <c r="AN74" i="4"/>
  <c r="AO74" i="4" s="1"/>
  <c r="Z74" i="4"/>
  <c r="AA74" i="4" s="1"/>
  <c r="S74" i="4"/>
  <c r="T74" i="4" s="1"/>
  <c r="L74" i="4"/>
  <c r="M74" i="4" s="1"/>
  <c r="E74" i="4"/>
  <c r="F74" i="4" s="1"/>
  <c r="AN73" i="4"/>
  <c r="AO73" i="4" s="1"/>
  <c r="Z73" i="4"/>
  <c r="AA73" i="4" s="1"/>
  <c r="S73" i="4"/>
  <c r="T73" i="4" s="1"/>
  <c r="L73" i="4"/>
  <c r="M73" i="4" s="1"/>
  <c r="E73" i="4"/>
  <c r="F73" i="4" s="1"/>
  <c r="AN72" i="4"/>
  <c r="AO72" i="4" s="1"/>
  <c r="Z72" i="4"/>
  <c r="AA72" i="4" s="1"/>
  <c r="S72" i="4"/>
  <c r="T72" i="4" s="1"/>
  <c r="L72" i="4"/>
  <c r="M72" i="4" s="1"/>
  <c r="E72" i="4"/>
  <c r="F72" i="4" s="1"/>
  <c r="AN71" i="4"/>
  <c r="AO71" i="4" s="1"/>
  <c r="Z71" i="4"/>
  <c r="AA71" i="4" s="1"/>
  <c r="S71" i="4"/>
  <c r="T71" i="4" s="1"/>
  <c r="L71" i="4"/>
  <c r="M71" i="4" s="1"/>
  <c r="E71" i="4"/>
  <c r="F71" i="4" s="1"/>
  <c r="AN70" i="4"/>
  <c r="AO70" i="4" s="1"/>
  <c r="Z70" i="4"/>
  <c r="AA70" i="4" s="1"/>
  <c r="S70" i="4"/>
  <c r="T70" i="4" s="1"/>
  <c r="L70" i="4"/>
  <c r="M70" i="4" s="1"/>
  <c r="E70" i="4"/>
  <c r="F70" i="4" s="1"/>
  <c r="AN69" i="4"/>
  <c r="AO69" i="4" s="1"/>
  <c r="Z69" i="4"/>
  <c r="AA69" i="4" s="1"/>
  <c r="S69" i="4"/>
  <c r="T69" i="4" s="1"/>
  <c r="L69" i="4"/>
  <c r="M69" i="4" s="1"/>
  <c r="E69" i="4"/>
  <c r="F69" i="4" s="1"/>
  <c r="O65" i="4"/>
  <c r="AD65" i="4"/>
  <c r="T65" i="4"/>
  <c r="J65" i="4"/>
  <c r="E65" i="4"/>
  <c r="AD63" i="4"/>
  <c r="AC63" i="4"/>
  <c r="T63" i="4"/>
  <c r="S63" i="4"/>
  <c r="O63" i="4"/>
  <c r="N63" i="4"/>
  <c r="J63" i="4"/>
  <c r="I63" i="4"/>
  <c r="E63" i="4"/>
  <c r="D63" i="4"/>
  <c r="AD62" i="4"/>
  <c r="AC62" i="4"/>
  <c r="T62" i="4"/>
  <c r="S62" i="4"/>
  <c r="O62" i="4"/>
  <c r="N62" i="4"/>
  <c r="J62" i="4"/>
  <c r="I62" i="4"/>
  <c r="E62" i="4"/>
  <c r="D62" i="4"/>
  <c r="AD61" i="4"/>
  <c r="AC61" i="4"/>
  <c r="T61" i="4"/>
  <c r="S61" i="4"/>
  <c r="O61" i="4"/>
  <c r="N61" i="4"/>
  <c r="J61" i="4"/>
  <c r="I61" i="4"/>
  <c r="E61" i="4"/>
  <c r="D61" i="4"/>
  <c r="AD60" i="4"/>
  <c r="AC60" i="4"/>
  <c r="T60" i="4"/>
  <c r="S60" i="4"/>
  <c r="O60" i="4"/>
  <c r="N60" i="4"/>
  <c r="J60" i="4"/>
  <c r="I60" i="4"/>
  <c r="E60" i="4"/>
  <c r="D60" i="4"/>
  <c r="AD59" i="4"/>
  <c r="AC59" i="4"/>
  <c r="T59" i="4"/>
  <c r="S59" i="4"/>
  <c r="O59" i="4"/>
  <c r="N59" i="4"/>
  <c r="J59" i="4"/>
  <c r="I59" i="4"/>
  <c r="E59" i="4"/>
  <c r="D59" i="4"/>
  <c r="AN50" i="4"/>
  <c r="AO50" i="4" s="1"/>
  <c r="AG50" i="4"/>
  <c r="AH50" i="4" s="1"/>
  <c r="Z50" i="4"/>
  <c r="AA50" i="4" s="1"/>
  <c r="S50" i="4"/>
  <c r="T50" i="4" s="1"/>
  <c r="L50" i="4"/>
  <c r="M50" i="4" s="1"/>
  <c r="E50" i="4"/>
  <c r="F50" i="4" s="1"/>
  <c r="AN49" i="4"/>
  <c r="AO49" i="4" s="1"/>
  <c r="AG49" i="4"/>
  <c r="AH49" i="4" s="1"/>
  <c r="Z49" i="4"/>
  <c r="AA49" i="4" s="1"/>
  <c r="S49" i="4"/>
  <c r="T49" i="4" s="1"/>
  <c r="L49" i="4"/>
  <c r="M49" i="4" s="1"/>
  <c r="E49" i="4"/>
  <c r="F49" i="4" s="1"/>
  <c r="AN48" i="4"/>
  <c r="AO48" i="4" s="1"/>
  <c r="AG48" i="4"/>
  <c r="AH48" i="4" s="1"/>
  <c r="Z48" i="4"/>
  <c r="AA48" i="4" s="1"/>
  <c r="S48" i="4"/>
  <c r="T48" i="4" s="1"/>
  <c r="L48" i="4"/>
  <c r="M48" i="4" s="1"/>
  <c r="E48" i="4"/>
  <c r="F48" i="4" s="1"/>
  <c r="AN47" i="4"/>
  <c r="AO47" i="4" s="1"/>
  <c r="AG47" i="4"/>
  <c r="AH47" i="4" s="1"/>
  <c r="Z47" i="4"/>
  <c r="AA47" i="4" s="1"/>
  <c r="S47" i="4"/>
  <c r="T47" i="4" s="1"/>
  <c r="L47" i="4"/>
  <c r="M47" i="4" s="1"/>
  <c r="E47" i="4"/>
  <c r="F47" i="4" s="1"/>
  <c r="AN46" i="4"/>
  <c r="AO46" i="4" s="1"/>
  <c r="AG46" i="4"/>
  <c r="AH46" i="4" s="1"/>
  <c r="Z46" i="4"/>
  <c r="AA46" i="4" s="1"/>
  <c r="S46" i="4"/>
  <c r="T46" i="4" s="1"/>
  <c r="L46" i="4"/>
  <c r="M46" i="4" s="1"/>
  <c r="E46" i="4"/>
  <c r="F46" i="4" s="1"/>
  <c r="AN45" i="4"/>
  <c r="AO45" i="4" s="1"/>
  <c r="AG45" i="4"/>
  <c r="AH45" i="4" s="1"/>
  <c r="Z45" i="4"/>
  <c r="AA45" i="4" s="1"/>
  <c r="S45" i="4"/>
  <c r="T45" i="4" s="1"/>
  <c r="L45" i="4"/>
  <c r="M45" i="4" s="1"/>
  <c r="E45" i="4"/>
  <c r="F45" i="4" s="1"/>
  <c r="AN44" i="4"/>
  <c r="AO44" i="4" s="1"/>
  <c r="AG44" i="4"/>
  <c r="AH44" i="4" s="1"/>
  <c r="Z44" i="4"/>
  <c r="AA44" i="4" s="1"/>
  <c r="S44" i="4"/>
  <c r="T44" i="4" s="1"/>
  <c r="L44" i="4"/>
  <c r="M44" i="4" s="1"/>
  <c r="E44" i="4"/>
  <c r="F44" i="4" s="1"/>
  <c r="AN43" i="4"/>
  <c r="AO43" i="4" s="1"/>
  <c r="AG43" i="4"/>
  <c r="AH43" i="4" s="1"/>
  <c r="Z43" i="4"/>
  <c r="AA43" i="4" s="1"/>
  <c r="S43" i="4"/>
  <c r="T43" i="4" s="1"/>
  <c r="L43" i="4"/>
  <c r="M43" i="4" s="1"/>
  <c r="E43" i="4"/>
  <c r="F43" i="4" s="1"/>
  <c r="AN42" i="4"/>
  <c r="AO42" i="4" s="1"/>
  <c r="AG42" i="4"/>
  <c r="AH42" i="4" s="1"/>
  <c r="Z42" i="4"/>
  <c r="AA42" i="4" s="1"/>
  <c r="S42" i="4"/>
  <c r="T42" i="4" s="1"/>
  <c r="L42" i="4"/>
  <c r="M42" i="4" s="1"/>
  <c r="E42" i="4"/>
  <c r="F42" i="4" s="1"/>
  <c r="AN41" i="4"/>
  <c r="AO41" i="4" s="1"/>
  <c r="AG41" i="4"/>
  <c r="AH41" i="4" s="1"/>
  <c r="Z41" i="4"/>
  <c r="AA41" i="4" s="1"/>
  <c r="S41" i="4"/>
  <c r="T41" i="4" s="1"/>
  <c r="L41" i="4"/>
  <c r="M41" i="4" s="1"/>
  <c r="E41" i="4"/>
  <c r="F41" i="4" s="1"/>
  <c r="J37" i="4"/>
  <c r="AD37" i="4"/>
  <c r="Y37" i="4"/>
  <c r="T37" i="4"/>
  <c r="O37" i="4"/>
  <c r="E37" i="4"/>
  <c r="AD35" i="4"/>
  <c r="AC35" i="4"/>
  <c r="Y35" i="4"/>
  <c r="X35" i="4"/>
  <c r="T35" i="4"/>
  <c r="S35" i="4"/>
  <c r="O35" i="4"/>
  <c r="N35" i="4"/>
  <c r="J35" i="4"/>
  <c r="I35" i="4"/>
  <c r="E35" i="4"/>
  <c r="D35" i="4"/>
  <c r="AD34" i="4"/>
  <c r="AC34" i="4"/>
  <c r="Y34" i="4"/>
  <c r="X34" i="4"/>
  <c r="T34" i="4"/>
  <c r="S34" i="4"/>
  <c r="O34" i="4"/>
  <c r="N34" i="4"/>
  <c r="J34" i="4"/>
  <c r="I34" i="4"/>
  <c r="E34" i="4"/>
  <c r="D34" i="4"/>
  <c r="AD33" i="4"/>
  <c r="AC33" i="4"/>
  <c r="Y33" i="4"/>
  <c r="X33" i="4"/>
  <c r="T33" i="4"/>
  <c r="S33" i="4"/>
  <c r="O33" i="4"/>
  <c r="N33" i="4"/>
  <c r="J33" i="4"/>
  <c r="I33" i="4"/>
  <c r="E33" i="4"/>
  <c r="D33" i="4"/>
  <c r="AD32" i="4"/>
  <c r="AC32" i="4"/>
  <c r="Y32" i="4"/>
  <c r="X32" i="4"/>
  <c r="T32" i="4"/>
  <c r="S32" i="4"/>
  <c r="O32" i="4"/>
  <c r="N32" i="4"/>
  <c r="J32" i="4"/>
  <c r="I32" i="4"/>
  <c r="E32" i="4"/>
  <c r="D32" i="4"/>
  <c r="AD31" i="4"/>
  <c r="AC31" i="4"/>
  <c r="X31" i="4"/>
  <c r="T31" i="4"/>
  <c r="S31" i="4"/>
  <c r="O31" i="4"/>
  <c r="N31" i="4"/>
  <c r="J31" i="4"/>
  <c r="I31" i="4"/>
  <c r="E31" i="4"/>
  <c r="D31" i="4"/>
  <c r="G42" i="3" l="1"/>
  <c r="H42" i="3" s="1"/>
  <c r="AI42" i="3"/>
  <c r="AJ42" i="3" s="1"/>
  <c r="AB41" i="5"/>
  <c r="AC41" i="5" s="1"/>
  <c r="AA41" i="5"/>
  <c r="U75" i="3"/>
  <c r="V75" i="3" s="1"/>
  <c r="T73" i="5"/>
  <c r="Z81" i="5"/>
  <c r="AA69" i="5"/>
  <c r="AA79" i="5" s="1"/>
  <c r="AN81" i="5"/>
  <c r="T81" i="5"/>
  <c r="T80" i="5" s="1"/>
  <c r="L81" i="5"/>
  <c r="L80" i="5" s="1"/>
  <c r="S81" i="5"/>
  <c r="S80" i="5" s="1"/>
  <c r="E81" i="5"/>
  <c r="AI43" i="5"/>
  <c r="AJ43" i="5" s="1"/>
  <c r="G45" i="5"/>
  <c r="H45" i="5" s="1"/>
  <c r="AO53" i="4"/>
  <c r="AO52" i="4" s="1"/>
  <c r="AH53" i="4"/>
  <c r="AH52" i="4" s="1"/>
  <c r="F53" i="4"/>
  <c r="AB50" i="3"/>
  <c r="AC50" i="3" s="1"/>
  <c r="AB43" i="3"/>
  <c r="AC43" i="3" s="1"/>
  <c r="AB42" i="3"/>
  <c r="AC42" i="3" s="1"/>
  <c r="AB41" i="3"/>
  <c r="AC41" i="3" s="1"/>
  <c r="AB43" i="5"/>
  <c r="AC43" i="5" s="1"/>
  <c r="AB44" i="5"/>
  <c r="AC44" i="5" s="1"/>
  <c r="U42" i="4"/>
  <c r="V42" i="4" s="1"/>
  <c r="U44" i="4"/>
  <c r="V44" i="4" s="1"/>
  <c r="U47" i="4"/>
  <c r="V47" i="4" s="1"/>
  <c r="N44" i="4"/>
  <c r="O44" i="4" s="1"/>
  <c r="AB45" i="4"/>
  <c r="AC45" i="4" s="1"/>
  <c r="U46" i="4"/>
  <c r="V46" i="4" s="1"/>
  <c r="U49" i="4"/>
  <c r="V49" i="4" s="1"/>
  <c r="G70" i="4"/>
  <c r="H70" i="4" s="1"/>
  <c r="AP70" i="4"/>
  <c r="AQ70" i="4" s="1"/>
  <c r="G72" i="4"/>
  <c r="H72" i="4" s="1"/>
  <c r="AB48" i="5"/>
  <c r="AC48" i="5" s="1"/>
  <c r="AB50" i="5"/>
  <c r="AC50" i="5" s="1"/>
  <c r="U69" i="3"/>
  <c r="V69" i="3" s="1"/>
  <c r="G72" i="3"/>
  <c r="H72" i="3" s="1"/>
  <c r="U73" i="3"/>
  <c r="V73" i="3" s="1"/>
  <c r="G76" i="3"/>
  <c r="H76" i="3" s="1"/>
  <c r="U77" i="3"/>
  <c r="V77" i="3" s="1"/>
  <c r="G69" i="3"/>
  <c r="H69" i="3" s="1"/>
  <c r="U70" i="3"/>
  <c r="V70" i="3" s="1"/>
  <c r="G73" i="3"/>
  <c r="H73" i="3" s="1"/>
  <c r="U74" i="3"/>
  <c r="V74" i="3" s="1"/>
  <c r="G77" i="3"/>
  <c r="H77" i="3" s="1"/>
  <c r="U78" i="3"/>
  <c r="V78" i="3" s="1"/>
  <c r="N41" i="4"/>
  <c r="O41" i="4" s="1"/>
  <c r="N70" i="4"/>
  <c r="O70" i="4" s="1"/>
  <c r="N72" i="4"/>
  <c r="O72" i="4" s="1"/>
  <c r="U41" i="4"/>
  <c r="V41" i="4" s="1"/>
  <c r="AB42" i="4"/>
  <c r="AC42" i="4" s="1"/>
  <c r="U43" i="4"/>
  <c r="V43" i="4" s="1"/>
  <c r="AB44" i="4"/>
  <c r="AC44" i="4" s="1"/>
  <c r="U45" i="4"/>
  <c r="V45" i="4" s="1"/>
  <c r="N48" i="4"/>
  <c r="O48" i="4" s="1"/>
  <c r="U50" i="4"/>
  <c r="V50" i="4" s="1"/>
  <c r="G71" i="4"/>
  <c r="H71" i="4" s="1"/>
  <c r="AP71" i="4"/>
  <c r="AQ71" i="4" s="1"/>
  <c r="AB42" i="5"/>
  <c r="AC42" i="5" s="1"/>
  <c r="AB45" i="5"/>
  <c r="AC45" i="5" s="1"/>
  <c r="Z53" i="3"/>
  <c r="G70" i="3"/>
  <c r="H70" i="3" s="1"/>
  <c r="U71" i="3"/>
  <c r="V71" i="3" s="1"/>
  <c r="G74" i="3"/>
  <c r="H74" i="3" s="1"/>
  <c r="N43" i="4"/>
  <c r="O43" i="4" s="1"/>
  <c r="N45" i="4"/>
  <c r="O45" i="4" s="1"/>
  <c r="N50" i="4"/>
  <c r="O50" i="4" s="1"/>
  <c r="U71" i="4"/>
  <c r="V71" i="4" s="1"/>
  <c r="AA53" i="4"/>
  <c r="AA52" i="4" s="1"/>
  <c r="N46" i="4"/>
  <c r="O46" i="4" s="1"/>
  <c r="N47" i="4"/>
  <c r="O47" i="4" s="1"/>
  <c r="U48" i="4"/>
  <c r="V48" i="4" s="1"/>
  <c r="N49" i="4"/>
  <c r="O49" i="4" s="1"/>
  <c r="U70" i="4"/>
  <c r="V70" i="4" s="1"/>
  <c r="N71" i="4"/>
  <c r="O71" i="4" s="1"/>
  <c r="M81" i="5"/>
  <c r="M80" i="5" s="1"/>
  <c r="AO81" i="5"/>
  <c r="AO80" i="5" s="1"/>
  <c r="M41" i="3"/>
  <c r="AA41" i="3"/>
  <c r="AA51" i="3" s="1"/>
  <c r="AN53" i="3"/>
  <c r="G71" i="3"/>
  <c r="H71" i="3" s="1"/>
  <c r="U72" i="3"/>
  <c r="V72" i="3" s="1"/>
  <c r="G75" i="3"/>
  <c r="H75" i="3" s="1"/>
  <c r="U76" i="3"/>
  <c r="V76" i="3" s="1"/>
  <c r="U42" i="3"/>
  <c r="V42" i="3" s="1"/>
  <c r="U44" i="3"/>
  <c r="V44" i="3" s="1"/>
  <c r="U43" i="3"/>
  <c r="V43" i="3" s="1"/>
  <c r="U41" i="3"/>
  <c r="N50" i="3"/>
  <c r="O50" i="3" s="1"/>
  <c r="N49" i="3"/>
  <c r="O49" i="3" s="1"/>
  <c r="N48" i="3"/>
  <c r="O48" i="3" s="1"/>
  <c r="N47" i="3"/>
  <c r="O47" i="3" s="1"/>
  <c r="N46" i="3"/>
  <c r="O46" i="3" s="1"/>
  <c r="N45" i="3"/>
  <c r="O45" i="3" s="1"/>
  <c r="N43" i="3"/>
  <c r="O43" i="3" s="1"/>
  <c r="N42" i="3"/>
  <c r="O42" i="3" s="1"/>
  <c r="N41" i="3"/>
  <c r="N44" i="3"/>
  <c r="O44" i="3" s="1"/>
  <c r="AP50" i="3"/>
  <c r="AQ50" i="3" s="1"/>
  <c r="AP49" i="3"/>
  <c r="AQ49" i="3" s="1"/>
  <c r="AP48" i="3"/>
  <c r="AQ48" i="3" s="1"/>
  <c r="AP47" i="3"/>
  <c r="AQ47" i="3" s="1"/>
  <c r="AP46" i="3"/>
  <c r="AQ46" i="3" s="1"/>
  <c r="AP45" i="3"/>
  <c r="AQ45" i="3" s="1"/>
  <c r="AP44" i="3"/>
  <c r="AQ44" i="3" s="1"/>
  <c r="AP43" i="3"/>
  <c r="AQ43" i="3" s="1"/>
  <c r="AP42" i="3"/>
  <c r="AQ42" i="3" s="1"/>
  <c r="AP41" i="3"/>
  <c r="G43" i="3"/>
  <c r="H43" i="3" s="1"/>
  <c r="AI43" i="3"/>
  <c r="AJ43" i="3" s="1"/>
  <c r="S51" i="3"/>
  <c r="S53" i="3"/>
  <c r="AI44" i="3"/>
  <c r="AJ44" i="3" s="1"/>
  <c r="G45" i="3"/>
  <c r="H45" i="3" s="1"/>
  <c r="U45" i="3"/>
  <c r="V45" i="3" s="1"/>
  <c r="AI45" i="3"/>
  <c r="AJ45" i="3" s="1"/>
  <c r="G46" i="3"/>
  <c r="H46" i="3" s="1"/>
  <c r="U46" i="3"/>
  <c r="V46" i="3" s="1"/>
  <c r="AI46" i="3"/>
  <c r="AJ46" i="3" s="1"/>
  <c r="G47" i="3"/>
  <c r="H47" i="3" s="1"/>
  <c r="U47" i="3"/>
  <c r="V47" i="3" s="1"/>
  <c r="AI47" i="3"/>
  <c r="AJ47" i="3" s="1"/>
  <c r="G48" i="3"/>
  <c r="H48" i="3" s="1"/>
  <c r="U48" i="3"/>
  <c r="V48" i="3" s="1"/>
  <c r="AI48" i="3"/>
  <c r="AJ48" i="3" s="1"/>
  <c r="G49" i="3"/>
  <c r="H49" i="3" s="1"/>
  <c r="U49" i="3"/>
  <c r="V49" i="3" s="1"/>
  <c r="AI49" i="3"/>
  <c r="AJ49" i="3" s="1"/>
  <c r="G50" i="3"/>
  <c r="H50" i="3" s="1"/>
  <c r="U50" i="3"/>
  <c r="V50" i="3" s="1"/>
  <c r="AI50" i="3"/>
  <c r="AJ50" i="3" s="1"/>
  <c r="M81" i="3"/>
  <c r="M79" i="3"/>
  <c r="AA81" i="3"/>
  <c r="AA79" i="3"/>
  <c r="AO81" i="3"/>
  <c r="AO79" i="3"/>
  <c r="G41" i="3"/>
  <c r="AI41" i="3"/>
  <c r="G44" i="3"/>
  <c r="H44" i="3" s="1"/>
  <c r="AG51" i="3"/>
  <c r="AG53" i="3"/>
  <c r="L51" i="3"/>
  <c r="Z51" i="3"/>
  <c r="AN51" i="3"/>
  <c r="Z52" i="3"/>
  <c r="AN52" i="3"/>
  <c r="L53" i="3"/>
  <c r="N69" i="3"/>
  <c r="AB69" i="3"/>
  <c r="AP69" i="3"/>
  <c r="N70" i="3"/>
  <c r="O70" i="3" s="1"/>
  <c r="AB70" i="3"/>
  <c r="AC70" i="3" s="1"/>
  <c r="AP70" i="3"/>
  <c r="AQ70" i="3" s="1"/>
  <c r="N71" i="3"/>
  <c r="O71" i="3" s="1"/>
  <c r="AB71" i="3"/>
  <c r="AC71" i="3" s="1"/>
  <c r="AP71" i="3"/>
  <c r="AQ71" i="3" s="1"/>
  <c r="N72" i="3"/>
  <c r="O72" i="3" s="1"/>
  <c r="AB72" i="3"/>
  <c r="AC72" i="3" s="1"/>
  <c r="AP72" i="3"/>
  <c r="AQ72" i="3" s="1"/>
  <c r="N73" i="3"/>
  <c r="O73" i="3" s="1"/>
  <c r="AB73" i="3"/>
  <c r="AC73" i="3" s="1"/>
  <c r="AP73" i="3"/>
  <c r="AQ73" i="3" s="1"/>
  <c r="N74" i="3"/>
  <c r="O74" i="3" s="1"/>
  <c r="AB74" i="3"/>
  <c r="AC74" i="3" s="1"/>
  <c r="AP74" i="3"/>
  <c r="AQ74" i="3" s="1"/>
  <c r="N75" i="3"/>
  <c r="O75" i="3" s="1"/>
  <c r="AB75" i="3"/>
  <c r="AC75" i="3" s="1"/>
  <c r="AP75" i="3"/>
  <c r="AQ75" i="3" s="1"/>
  <c r="N76" i="3"/>
  <c r="O76" i="3" s="1"/>
  <c r="AB76" i="3"/>
  <c r="AC76" i="3" s="1"/>
  <c r="AP76" i="3"/>
  <c r="AQ76" i="3" s="1"/>
  <c r="N77" i="3"/>
  <c r="O77" i="3" s="1"/>
  <c r="AB77" i="3"/>
  <c r="AC77" i="3" s="1"/>
  <c r="AP77" i="3"/>
  <c r="AQ77" i="3" s="1"/>
  <c r="E51" i="3"/>
  <c r="E53" i="3"/>
  <c r="F53" i="3"/>
  <c r="F51" i="3"/>
  <c r="M53" i="3"/>
  <c r="M51" i="3"/>
  <c r="T53" i="3"/>
  <c r="T51" i="3"/>
  <c r="AA53" i="3"/>
  <c r="AH53" i="3"/>
  <c r="AH51" i="3"/>
  <c r="AO53" i="3"/>
  <c r="AO51" i="3"/>
  <c r="AB44" i="3"/>
  <c r="AC44" i="3" s="1"/>
  <c r="AB45" i="3"/>
  <c r="AC45" i="3" s="1"/>
  <c r="AB46" i="3"/>
  <c r="AC46" i="3" s="1"/>
  <c r="AB47" i="3"/>
  <c r="AC47" i="3" s="1"/>
  <c r="AB48" i="3"/>
  <c r="AC48" i="3" s="1"/>
  <c r="AB49" i="3"/>
  <c r="AC49" i="3" s="1"/>
  <c r="F81" i="3"/>
  <c r="F79" i="3"/>
  <c r="T81" i="3"/>
  <c r="T79" i="3"/>
  <c r="E79" i="3"/>
  <c r="L79" i="3"/>
  <c r="S79" i="3"/>
  <c r="Z79" i="3"/>
  <c r="AN79" i="3"/>
  <c r="E81" i="3"/>
  <c r="L81" i="3"/>
  <c r="S81" i="3"/>
  <c r="Z81" i="3"/>
  <c r="AN81" i="3"/>
  <c r="N44" i="5"/>
  <c r="O44" i="5" s="1"/>
  <c r="N42" i="5"/>
  <c r="O42" i="5" s="1"/>
  <c r="N41" i="5"/>
  <c r="O41" i="5" s="1"/>
  <c r="N45" i="5"/>
  <c r="O45" i="5" s="1"/>
  <c r="N43" i="5"/>
  <c r="O43" i="5" s="1"/>
  <c r="AP41" i="5"/>
  <c r="AQ41" i="5" s="1"/>
  <c r="AP44" i="5"/>
  <c r="AQ44" i="5" s="1"/>
  <c r="AP43" i="5"/>
  <c r="AQ43" i="5" s="1"/>
  <c r="AP42" i="5"/>
  <c r="AQ42" i="5" s="1"/>
  <c r="N78" i="5"/>
  <c r="O78" i="5" s="1"/>
  <c r="N77" i="5"/>
  <c r="O77" i="5" s="1"/>
  <c r="N76" i="5"/>
  <c r="O76" i="5" s="1"/>
  <c r="N75" i="5"/>
  <c r="O75" i="5" s="1"/>
  <c r="N74" i="5"/>
  <c r="O74" i="5" s="1"/>
  <c r="N73" i="5"/>
  <c r="O73" i="5" s="1"/>
  <c r="N72" i="5"/>
  <c r="O72" i="5" s="1"/>
  <c r="N71" i="5"/>
  <c r="O71" i="5" s="1"/>
  <c r="N70" i="5"/>
  <c r="O70" i="5" s="1"/>
  <c r="N69" i="5"/>
  <c r="O69" i="5" s="1"/>
  <c r="AP78" i="5"/>
  <c r="AQ78" i="5" s="1"/>
  <c r="AP77" i="5"/>
  <c r="AQ77" i="5" s="1"/>
  <c r="AP76" i="5"/>
  <c r="AQ76" i="5" s="1"/>
  <c r="AP75" i="5"/>
  <c r="AQ75" i="5" s="1"/>
  <c r="AP74" i="5"/>
  <c r="AQ74" i="5" s="1"/>
  <c r="AP73" i="5"/>
  <c r="AQ73" i="5" s="1"/>
  <c r="AP72" i="5"/>
  <c r="AQ72" i="5" s="1"/>
  <c r="AP71" i="5"/>
  <c r="AQ71" i="5" s="1"/>
  <c r="AP70" i="5"/>
  <c r="AQ70" i="5" s="1"/>
  <c r="AP69" i="5"/>
  <c r="AQ69" i="5" s="1"/>
  <c r="U44" i="5"/>
  <c r="V44" i="5" s="1"/>
  <c r="U43" i="5"/>
  <c r="V43" i="5" s="1"/>
  <c r="U42" i="5"/>
  <c r="V42" i="5" s="1"/>
  <c r="U45" i="5"/>
  <c r="V45" i="5" s="1"/>
  <c r="U41" i="5"/>
  <c r="V41" i="5" s="1"/>
  <c r="AB78" i="5"/>
  <c r="AC78" i="5" s="1"/>
  <c r="AB77" i="5"/>
  <c r="AC77" i="5" s="1"/>
  <c r="AB76" i="5"/>
  <c r="AC76" i="5" s="1"/>
  <c r="AB75" i="5"/>
  <c r="AC75" i="5" s="1"/>
  <c r="AB74" i="5"/>
  <c r="AC74" i="5" s="1"/>
  <c r="AB73" i="5"/>
  <c r="AC73" i="5" s="1"/>
  <c r="AB72" i="5"/>
  <c r="AC72" i="5" s="1"/>
  <c r="AB71" i="5"/>
  <c r="AC71" i="5" s="1"/>
  <c r="AB70" i="5"/>
  <c r="AC70" i="5" s="1"/>
  <c r="AB69" i="5"/>
  <c r="AC69" i="5" s="1"/>
  <c r="AI44" i="5"/>
  <c r="AJ44" i="5" s="1"/>
  <c r="AB46" i="5"/>
  <c r="AC46" i="5" s="1"/>
  <c r="N47" i="5"/>
  <c r="O47" i="5" s="1"/>
  <c r="AP47" i="5"/>
  <c r="AQ47" i="5" s="1"/>
  <c r="N49" i="5"/>
  <c r="O49" i="5" s="1"/>
  <c r="AP49" i="5"/>
  <c r="AQ49" i="5" s="1"/>
  <c r="AI45" i="5"/>
  <c r="AJ45" i="5" s="1"/>
  <c r="U46" i="5"/>
  <c r="V46" i="5" s="1"/>
  <c r="G47" i="5"/>
  <c r="H47" i="5" s="1"/>
  <c r="AI47" i="5"/>
  <c r="AJ47" i="5" s="1"/>
  <c r="U48" i="5"/>
  <c r="V48" i="5" s="1"/>
  <c r="G49" i="5"/>
  <c r="H49" i="5" s="1"/>
  <c r="AI49" i="5"/>
  <c r="AJ49" i="5" s="1"/>
  <c r="U50" i="5"/>
  <c r="V50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AN80" i="5"/>
  <c r="G41" i="5"/>
  <c r="H41" i="5" s="1"/>
  <c r="AI41" i="5"/>
  <c r="AJ41" i="5" s="1"/>
  <c r="E53" i="5"/>
  <c r="E51" i="5"/>
  <c r="L53" i="5"/>
  <c r="L51" i="5"/>
  <c r="S53" i="5"/>
  <c r="S51" i="5"/>
  <c r="Z53" i="5"/>
  <c r="Z51" i="5"/>
  <c r="AG53" i="5"/>
  <c r="AG51" i="5"/>
  <c r="AN53" i="5"/>
  <c r="AN51" i="5"/>
  <c r="N46" i="5"/>
  <c r="O46" i="5" s="1"/>
  <c r="AP46" i="5"/>
  <c r="AQ46" i="5" s="1"/>
  <c r="AB47" i="5"/>
  <c r="AC47" i="5" s="1"/>
  <c r="N48" i="5"/>
  <c r="O48" i="5" s="1"/>
  <c r="AP48" i="5"/>
  <c r="AQ48" i="5" s="1"/>
  <c r="AB49" i="5"/>
  <c r="N50" i="5"/>
  <c r="O50" i="5" s="1"/>
  <c r="AP50" i="5"/>
  <c r="AQ50" i="5" s="1"/>
  <c r="E80" i="5"/>
  <c r="G42" i="5"/>
  <c r="H42" i="5" s="1"/>
  <c r="AI42" i="5"/>
  <c r="AJ42" i="5" s="1"/>
  <c r="G43" i="5"/>
  <c r="H43" i="5" s="1"/>
  <c r="G44" i="5"/>
  <c r="H44" i="5" s="1"/>
  <c r="AP45" i="5"/>
  <c r="AQ45" i="5" s="1"/>
  <c r="G46" i="5"/>
  <c r="H46" i="5" s="1"/>
  <c r="AI46" i="5"/>
  <c r="AJ46" i="5" s="1"/>
  <c r="U47" i="5"/>
  <c r="V47" i="5" s="1"/>
  <c r="G48" i="5"/>
  <c r="H48" i="5" s="1"/>
  <c r="AI48" i="5"/>
  <c r="AJ48" i="5" s="1"/>
  <c r="U49" i="5"/>
  <c r="V49" i="5" s="1"/>
  <c r="G50" i="5"/>
  <c r="H50" i="5" s="1"/>
  <c r="AI50" i="5"/>
  <c r="AJ50" i="5" s="1"/>
  <c r="U78" i="5"/>
  <c r="V78" i="5" s="1"/>
  <c r="U77" i="5"/>
  <c r="V77" i="5" s="1"/>
  <c r="U76" i="5"/>
  <c r="V76" i="5" s="1"/>
  <c r="U75" i="5"/>
  <c r="V75" i="5" s="1"/>
  <c r="U74" i="5"/>
  <c r="V74" i="5" s="1"/>
  <c r="U73" i="5"/>
  <c r="V73" i="5" s="1"/>
  <c r="U72" i="5"/>
  <c r="V72" i="5" s="1"/>
  <c r="U71" i="5"/>
  <c r="V71" i="5" s="1"/>
  <c r="U70" i="5"/>
  <c r="V70" i="5" s="1"/>
  <c r="U69" i="5"/>
  <c r="V69" i="5" s="1"/>
  <c r="F81" i="5"/>
  <c r="F79" i="5"/>
  <c r="Z80" i="5"/>
  <c r="E79" i="5"/>
  <c r="E82" i="5" s="1"/>
  <c r="L79" i="5"/>
  <c r="S79" i="5"/>
  <c r="Z79" i="5"/>
  <c r="Z82" i="5" s="1"/>
  <c r="AN79" i="5"/>
  <c r="AN82" i="5" s="1"/>
  <c r="M79" i="5"/>
  <c r="T79" i="5"/>
  <c r="AO79" i="5"/>
  <c r="AO82" i="5" s="1"/>
  <c r="U72" i="4"/>
  <c r="V72" i="4" s="1"/>
  <c r="F81" i="4"/>
  <c r="M51" i="4"/>
  <c r="AP44" i="4"/>
  <c r="AQ44" i="4" s="1"/>
  <c r="AP43" i="4"/>
  <c r="AQ43" i="4" s="1"/>
  <c r="AP45" i="4"/>
  <c r="AQ45" i="4" s="1"/>
  <c r="G41" i="4"/>
  <c r="H41" i="4" s="1"/>
  <c r="AI41" i="4"/>
  <c r="AJ41" i="4" s="1"/>
  <c r="G43" i="4"/>
  <c r="H43" i="4" s="1"/>
  <c r="AI43" i="4"/>
  <c r="AJ43" i="4" s="1"/>
  <c r="AB46" i="4"/>
  <c r="AC46" i="4" s="1"/>
  <c r="AP46" i="4"/>
  <c r="AQ46" i="4" s="1"/>
  <c r="AB47" i="4"/>
  <c r="AC47" i="4" s="1"/>
  <c r="AP47" i="4"/>
  <c r="AQ47" i="4" s="1"/>
  <c r="AB48" i="4"/>
  <c r="AC48" i="4" s="1"/>
  <c r="AP48" i="4"/>
  <c r="AQ48" i="4" s="1"/>
  <c r="AB49" i="4"/>
  <c r="AC49" i="4" s="1"/>
  <c r="AP49" i="4"/>
  <c r="AQ49" i="4" s="1"/>
  <c r="AB50" i="4"/>
  <c r="AC50" i="4" s="1"/>
  <c r="AP50" i="4"/>
  <c r="AQ50" i="4" s="1"/>
  <c r="F52" i="4"/>
  <c r="AB41" i="4"/>
  <c r="AC41" i="4" s="1"/>
  <c r="N42" i="4"/>
  <c r="O42" i="4" s="1"/>
  <c r="AP42" i="4"/>
  <c r="AQ42" i="4" s="1"/>
  <c r="AB43" i="4"/>
  <c r="AC43" i="4" s="1"/>
  <c r="G44" i="4"/>
  <c r="H44" i="4" s="1"/>
  <c r="AI44" i="4"/>
  <c r="AJ44" i="4" s="1"/>
  <c r="G45" i="4"/>
  <c r="H45" i="4" s="1"/>
  <c r="AI45" i="4"/>
  <c r="AJ45" i="4" s="1"/>
  <c r="AB70" i="4"/>
  <c r="AC70" i="4" s="1"/>
  <c r="AB71" i="4"/>
  <c r="AC71" i="4" s="1"/>
  <c r="AP41" i="4"/>
  <c r="AQ41" i="4" s="1"/>
  <c r="G42" i="4"/>
  <c r="H42" i="4" s="1"/>
  <c r="AI42" i="4"/>
  <c r="AJ42" i="4" s="1"/>
  <c r="G46" i="4"/>
  <c r="H46" i="4" s="1"/>
  <c r="AI46" i="4"/>
  <c r="AJ46" i="4" s="1"/>
  <c r="G47" i="4"/>
  <c r="H47" i="4" s="1"/>
  <c r="AI47" i="4"/>
  <c r="AJ47" i="4" s="1"/>
  <c r="G48" i="4"/>
  <c r="H48" i="4" s="1"/>
  <c r="AI48" i="4"/>
  <c r="AJ48" i="4" s="1"/>
  <c r="G49" i="4"/>
  <c r="H49" i="4" s="1"/>
  <c r="AI49" i="4"/>
  <c r="AJ49" i="4" s="1"/>
  <c r="G50" i="4"/>
  <c r="H50" i="4" s="1"/>
  <c r="AI50" i="4"/>
  <c r="AJ50" i="4" s="1"/>
  <c r="E79" i="4"/>
  <c r="S79" i="4"/>
  <c r="E51" i="4"/>
  <c r="L51" i="4"/>
  <c r="S51" i="4"/>
  <c r="Z51" i="4"/>
  <c r="AG51" i="4"/>
  <c r="AN51" i="4"/>
  <c r="E53" i="4"/>
  <c r="L53" i="4"/>
  <c r="S53" i="4"/>
  <c r="Z53" i="4"/>
  <c r="AG53" i="4"/>
  <c r="AN53" i="4"/>
  <c r="E81" i="4"/>
  <c r="L81" i="4"/>
  <c r="S81" i="4"/>
  <c r="Z81" i="4"/>
  <c r="AN81" i="4"/>
  <c r="M81" i="4"/>
  <c r="G73" i="4"/>
  <c r="H73" i="4" s="1"/>
  <c r="U73" i="4"/>
  <c r="V73" i="4" s="1"/>
  <c r="G74" i="4"/>
  <c r="H74" i="4" s="1"/>
  <c r="U74" i="4"/>
  <c r="V74" i="4" s="1"/>
  <c r="G75" i="4"/>
  <c r="H75" i="4" s="1"/>
  <c r="U75" i="4"/>
  <c r="V75" i="4" s="1"/>
  <c r="G76" i="4"/>
  <c r="H76" i="4" s="1"/>
  <c r="U76" i="4"/>
  <c r="V76" i="4" s="1"/>
  <c r="G77" i="4"/>
  <c r="H77" i="4" s="1"/>
  <c r="U77" i="4"/>
  <c r="V77" i="4" s="1"/>
  <c r="G78" i="4"/>
  <c r="H78" i="4" s="1"/>
  <c r="U78" i="4"/>
  <c r="V78" i="4" s="1"/>
  <c r="F51" i="4"/>
  <c r="F54" i="4" s="1"/>
  <c r="AA51" i="4"/>
  <c r="AH51" i="4"/>
  <c r="AO51" i="4"/>
  <c r="M79" i="4"/>
  <c r="T81" i="4"/>
  <c r="T79" i="4"/>
  <c r="AA81" i="4"/>
  <c r="AA79" i="4"/>
  <c r="AO81" i="4"/>
  <c r="AO79" i="4"/>
  <c r="L79" i="4"/>
  <c r="Z79" i="4"/>
  <c r="AN79" i="4"/>
  <c r="G69" i="4"/>
  <c r="H69" i="4" s="1"/>
  <c r="N69" i="4"/>
  <c r="O69" i="4" s="1"/>
  <c r="U69" i="4"/>
  <c r="V69" i="4" s="1"/>
  <c r="AB69" i="4"/>
  <c r="AC69" i="4" s="1"/>
  <c r="AP69" i="4"/>
  <c r="AQ69" i="4" s="1"/>
  <c r="AB72" i="4"/>
  <c r="AC72" i="4" s="1"/>
  <c r="AP72" i="4"/>
  <c r="AQ72" i="4" s="1"/>
  <c r="N73" i="4"/>
  <c r="O73" i="4" s="1"/>
  <c r="AB73" i="4"/>
  <c r="AC73" i="4" s="1"/>
  <c r="AP73" i="4"/>
  <c r="AQ73" i="4" s="1"/>
  <c r="N74" i="4"/>
  <c r="O74" i="4" s="1"/>
  <c r="AB74" i="4"/>
  <c r="AC74" i="4" s="1"/>
  <c r="AP74" i="4"/>
  <c r="AQ74" i="4" s="1"/>
  <c r="N75" i="4"/>
  <c r="O75" i="4" s="1"/>
  <c r="AB75" i="4"/>
  <c r="AC75" i="4" s="1"/>
  <c r="AP75" i="4"/>
  <c r="AQ75" i="4" s="1"/>
  <c r="N76" i="4"/>
  <c r="O76" i="4" s="1"/>
  <c r="AB76" i="4"/>
  <c r="AC76" i="4" s="1"/>
  <c r="AP76" i="4"/>
  <c r="AQ76" i="4" s="1"/>
  <c r="N77" i="4"/>
  <c r="O77" i="4" s="1"/>
  <c r="AB77" i="4"/>
  <c r="AC77" i="4" s="1"/>
  <c r="AP77" i="4"/>
  <c r="AQ77" i="4" s="1"/>
  <c r="N78" i="4"/>
  <c r="O78" i="4" s="1"/>
  <c r="AB78" i="4"/>
  <c r="AC78" i="4" s="1"/>
  <c r="AP78" i="4"/>
  <c r="AQ78" i="4" s="1"/>
  <c r="AA81" i="5" l="1"/>
  <c r="AA80" i="5" s="1"/>
  <c r="L82" i="5"/>
  <c r="H81" i="3"/>
  <c r="H79" i="3"/>
  <c r="G81" i="3"/>
  <c r="G82" i="3" s="1"/>
  <c r="AN54" i="3"/>
  <c r="U79" i="3"/>
  <c r="V81" i="3"/>
  <c r="G79" i="3"/>
  <c r="Z54" i="3"/>
  <c r="AQ51" i="5"/>
  <c r="AC49" i="5"/>
  <c r="AC53" i="5" s="1"/>
  <c r="AC52" i="5" s="1"/>
  <c r="V79" i="3"/>
  <c r="AB53" i="5"/>
  <c r="AB54" i="5" s="1"/>
  <c r="AO54" i="4"/>
  <c r="AH54" i="4"/>
  <c r="V53" i="4"/>
  <c r="V52" i="4" s="1"/>
  <c r="M82" i="5"/>
  <c r="T82" i="5"/>
  <c r="S82" i="5"/>
  <c r="AB51" i="5"/>
  <c r="F79" i="4"/>
  <c r="F82" i="4" s="1"/>
  <c r="AA54" i="4"/>
  <c r="T53" i="4"/>
  <c r="T52" i="4" s="1"/>
  <c r="U53" i="4"/>
  <c r="V51" i="4"/>
  <c r="U51" i="4"/>
  <c r="N51" i="4"/>
  <c r="M53" i="4"/>
  <c r="M52" i="4" s="1"/>
  <c r="O53" i="4"/>
  <c r="O52" i="4" s="1"/>
  <c r="T51" i="4"/>
  <c r="U81" i="3"/>
  <c r="U82" i="3" s="1"/>
  <c r="L82" i="3"/>
  <c r="L80" i="3"/>
  <c r="T82" i="3"/>
  <c r="T80" i="3"/>
  <c r="AH54" i="3"/>
  <c r="AH52" i="3"/>
  <c r="G53" i="3"/>
  <c r="G51" i="3"/>
  <c r="H41" i="3"/>
  <c r="AA82" i="3"/>
  <c r="AA80" i="3"/>
  <c r="U53" i="3"/>
  <c r="U51" i="3"/>
  <c r="V41" i="3"/>
  <c r="E82" i="3"/>
  <c r="E80" i="3"/>
  <c r="AB53" i="3"/>
  <c r="AG54" i="3"/>
  <c r="AG52" i="3"/>
  <c r="S54" i="3"/>
  <c r="S52" i="3"/>
  <c r="AB51" i="3"/>
  <c r="N53" i="3"/>
  <c r="N51" i="3"/>
  <c r="O41" i="3"/>
  <c r="AN82" i="3"/>
  <c r="AN80" i="3"/>
  <c r="T54" i="3"/>
  <c r="T52" i="3"/>
  <c r="O69" i="3"/>
  <c r="N81" i="3"/>
  <c r="N79" i="3"/>
  <c r="V80" i="3"/>
  <c r="Z82" i="3"/>
  <c r="Z80" i="3"/>
  <c r="F82" i="3"/>
  <c r="F80" i="3"/>
  <c r="AO54" i="3"/>
  <c r="AO52" i="3"/>
  <c r="AA54" i="3"/>
  <c r="AA52" i="3"/>
  <c r="M54" i="3"/>
  <c r="M52" i="3"/>
  <c r="H82" i="3"/>
  <c r="H80" i="3"/>
  <c r="AQ69" i="3"/>
  <c r="AP81" i="3"/>
  <c r="AP79" i="3"/>
  <c r="L54" i="3"/>
  <c r="L52" i="3"/>
  <c r="AO82" i="3"/>
  <c r="AO80" i="3"/>
  <c r="M82" i="3"/>
  <c r="M80" i="3"/>
  <c r="AC53" i="3"/>
  <c r="AC51" i="3"/>
  <c r="AP51" i="3"/>
  <c r="AP53" i="3"/>
  <c r="AQ41" i="3"/>
  <c r="F54" i="3"/>
  <c r="F52" i="3"/>
  <c r="S82" i="3"/>
  <c r="S80" i="3"/>
  <c r="G80" i="3"/>
  <c r="E54" i="3"/>
  <c r="E52" i="3"/>
  <c r="AC69" i="3"/>
  <c r="AB81" i="3"/>
  <c r="AB79" i="3"/>
  <c r="AI53" i="3"/>
  <c r="AI51" i="3"/>
  <c r="AJ41" i="3"/>
  <c r="U80" i="3"/>
  <c r="U53" i="5"/>
  <c r="U51" i="5"/>
  <c r="F82" i="5"/>
  <c r="F80" i="5"/>
  <c r="AH53" i="5"/>
  <c r="AH51" i="5"/>
  <c r="F53" i="5"/>
  <c r="F51" i="5"/>
  <c r="AG54" i="5"/>
  <c r="AG52" i="5"/>
  <c r="S54" i="5"/>
  <c r="S52" i="5"/>
  <c r="E54" i="5"/>
  <c r="E52" i="5"/>
  <c r="AP81" i="5"/>
  <c r="AP79" i="5"/>
  <c r="N53" i="5"/>
  <c r="N51" i="5"/>
  <c r="M53" i="5"/>
  <c r="M51" i="5"/>
  <c r="U81" i="5"/>
  <c r="U79" i="5"/>
  <c r="AA53" i="5"/>
  <c r="AA51" i="5"/>
  <c r="AI53" i="5"/>
  <c r="AI51" i="5"/>
  <c r="AB81" i="5"/>
  <c r="AB79" i="5"/>
  <c r="AP53" i="5"/>
  <c r="AP51" i="5"/>
  <c r="AO53" i="5"/>
  <c r="AO51" i="5"/>
  <c r="T53" i="5"/>
  <c r="T51" i="5"/>
  <c r="AN54" i="5"/>
  <c r="AN52" i="5"/>
  <c r="Z54" i="5"/>
  <c r="Z52" i="5"/>
  <c r="L54" i="5"/>
  <c r="L52" i="5"/>
  <c r="G53" i="5"/>
  <c r="G51" i="5"/>
  <c r="G81" i="5"/>
  <c r="G79" i="5"/>
  <c r="N81" i="5"/>
  <c r="N79" i="5"/>
  <c r="AP79" i="4"/>
  <c r="AP81" i="4"/>
  <c r="E82" i="4"/>
  <c r="E80" i="4"/>
  <c r="S54" i="4"/>
  <c r="S52" i="4"/>
  <c r="G53" i="4"/>
  <c r="G51" i="4"/>
  <c r="G81" i="4"/>
  <c r="G79" i="4"/>
  <c r="T82" i="4"/>
  <c r="T80" i="4"/>
  <c r="F80" i="4"/>
  <c r="AN82" i="4"/>
  <c r="AN80" i="4"/>
  <c r="Z82" i="4"/>
  <c r="Z80" i="4"/>
  <c r="AN54" i="4"/>
  <c r="AN52" i="4"/>
  <c r="L54" i="4"/>
  <c r="L52" i="4"/>
  <c r="N53" i="4"/>
  <c r="N79" i="4"/>
  <c r="N81" i="4"/>
  <c r="AB79" i="4"/>
  <c r="AB81" i="4"/>
  <c r="S82" i="4"/>
  <c r="S80" i="4"/>
  <c r="AG54" i="4"/>
  <c r="AG52" i="4"/>
  <c r="E54" i="4"/>
  <c r="E52" i="4"/>
  <c r="U52" i="4"/>
  <c r="AB53" i="4"/>
  <c r="AB51" i="4"/>
  <c r="O51" i="4"/>
  <c r="U81" i="4"/>
  <c r="U79" i="4"/>
  <c r="AO82" i="4"/>
  <c r="AO80" i="4"/>
  <c r="AA82" i="4"/>
  <c r="AA80" i="4"/>
  <c r="M82" i="4"/>
  <c r="M80" i="4"/>
  <c r="L82" i="4"/>
  <c r="L80" i="4"/>
  <c r="Z54" i="4"/>
  <c r="Z52" i="4"/>
  <c r="AP53" i="4"/>
  <c r="AP51" i="4"/>
  <c r="AI53" i="4"/>
  <c r="AI51" i="4"/>
  <c r="AC51" i="5" l="1"/>
  <c r="AA82" i="5"/>
  <c r="V82" i="3"/>
  <c r="AB52" i="5"/>
  <c r="AC54" i="5"/>
  <c r="U54" i="4"/>
  <c r="T54" i="4"/>
  <c r="V54" i="4"/>
  <c r="O54" i="4"/>
  <c r="M54" i="4"/>
  <c r="AC81" i="3"/>
  <c r="AC79" i="3"/>
  <c r="AP52" i="3"/>
  <c r="AP54" i="3"/>
  <c r="AQ81" i="3"/>
  <c r="AQ79" i="3"/>
  <c r="G54" i="3"/>
  <c r="G52" i="3"/>
  <c r="AI54" i="3"/>
  <c r="AI52" i="3"/>
  <c r="V53" i="3"/>
  <c r="V51" i="3"/>
  <c r="N52" i="3"/>
  <c r="N54" i="3"/>
  <c r="N82" i="3"/>
  <c r="N80" i="3"/>
  <c r="O53" i="3"/>
  <c r="O51" i="3"/>
  <c r="AB52" i="3"/>
  <c r="AB54" i="3"/>
  <c r="H53" i="3"/>
  <c r="H51" i="3"/>
  <c r="AJ53" i="3"/>
  <c r="AJ51" i="3"/>
  <c r="AB82" i="3"/>
  <c r="AB80" i="3"/>
  <c r="AQ53" i="3"/>
  <c r="AQ51" i="3"/>
  <c r="AC54" i="3"/>
  <c r="AC52" i="3"/>
  <c r="AP82" i="3"/>
  <c r="AP80" i="3"/>
  <c r="O81" i="3"/>
  <c r="O79" i="3"/>
  <c r="U54" i="3"/>
  <c r="U52" i="3"/>
  <c r="H81" i="5"/>
  <c r="H79" i="5"/>
  <c r="AB82" i="5"/>
  <c r="AB80" i="5"/>
  <c r="AI54" i="5"/>
  <c r="AI52" i="5"/>
  <c r="V81" i="5"/>
  <c r="V79" i="5"/>
  <c r="O53" i="5"/>
  <c r="O51" i="5"/>
  <c r="F54" i="5"/>
  <c r="F52" i="5"/>
  <c r="G54" i="5"/>
  <c r="G52" i="5"/>
  <c r="AO54" i="5"/>
  <c r="AO52" i="5"/>
  <c r="AQ53" i="5"/>
  <c r="AP82" i="5"/>
  <c r="AP80" i="5"/>
  <c r="U54" i="5"/>
  <c r="U52" i="5"/>
  <c r="N82" i="5"/>
  <c r="N80" i="5"/>
  <c r="G82" i="5"/>
  <c r="G80" i="5"/>
  <c r="AC81" i="5"/>
  <c r="AC79" i="5"/>
  <c r="AJ53" i="5"/>
  <c r="AJ51" i="5"/>
  <c r="U82" i="5"/>
  <c r="U80" i="5"/>
  <c r="N54" i="5"/>
  <c r="N52" i="5"/>
  <c r="AH54" i="5"/>
  <c r="AH52" i="5"/>
  <c r="O81" i="5"/>
  <c r="O79" i="5"/>
  <c r="H53" i="5"/>
  <c r="H51" i="5"/>
  <c r="T54" i="5"/>
  <c r="T52" i="5"/>
  <c r="AP54" i="5"/>
  <c r="AP52" i="5"/>
  <c r="AA54" i="5"/>
  <c r="AA52" i="5"/>
  <c r="M54" i="5"/>
  <c r="M52" i="5"/>
  <c r="AQ81" i="5"/>
  <c r="AQ79" i="5"/>
  <c r="V53" i="5"/>
  <c r="V51" i="5"/>
  <c r="AQ53" i="4"/>
  <c r="AQ51" i="4"/>
  <c r="AB54" i="4"/>
  <c r="AB52" i="4"/>
  <c r="H51" i="4"/>
  <c r="H53" i="4"/>
  <c r="AJ53" i="4"/>
  <c r="AJ51" i="4"/>
  <c r="U82" i="4"/>
  <c r="U80" i="4"/>
  <c r="N80" i="4"/>
  <c r="N82" i="4"/>
  <c r="H81" i="4"/>
  <c r="H79" i="4"/>
  <c r="AQ81" i="4"/>
  <c r="AQ79" i="4"/>
  <c r="AB80" i="4"/>
  <c r="AB82" i="4"/>
  <c r="O81" i="4"/>
  <c r="O79" i="4"/>
  <c r="N54" i="4"/>
  <c r="N52" i="4"/>
  <c r="G54" i="4"/>
  <c r="G52" i="4"/>
  <c r="AP82" i="4"/>
  <c r="AP80" i="4"/>
  <c r="AP54" i="4"/>
  <c r="AP52" i="4"/>
  <c r="AC53" i="4"/>
  <c r="AC51" i="4"/>
  <c r="AI54" i="4"/>
  <c r="AI52" i="4"/>
  <c r="V81" i="4"/>
  <c r="V79" i="4"/>
  <c r="AC81" i="4"/>
  <c r="AC79" i="4"/>
  <c r="G82" i="4"/>
  <c r="G80" i="4"/>
  <c r="AQ54" i="3" l="1"/>
  <c r="AQ52" i="3"/>
  <c r="V54" i="3"/>
  <c r="V52" i="3"/>
  <c r="AQ82" i="3"/>
  <c r="AQ80" i="3"/>
  <c r="AC82" i="3"/>
  <c r="AC80" i="3"/>
  <c r="O54" i="3"/>
  <c r="O52" i="3"/>
  <c r="O82" i="3"/>
  <c r="O80" i="3"/>
  <c r="AJ54" i="3"/>
  <c r="AJ52" i="3"/>
  <c r="H54" i="3"/>
  <c r="H52" i="3"/>
  <c r="V54" i="5"/>
  <c r="V52" i="5"/>
  <c r="AQ82" i="5"/>
  <c r="AQ80" i="5"/>
  <c r="V82" i="5"/>
  <c r="V80" i="5"/>
  <c r="AJ54" i="5"/>
  <c r="AJ52" i="5"/>
  <c r="AQ54" i="5"/>
  <c r="AQ52" i="5"/>
  <c r="O82" i="5"/>
  <c r="O80" i="5"/>
  <c r="H54" i="5"/>
  <c r="H52" i="5"/>
  <c r="AC82" i="5"/>
  <c r="AC80" i="5"/>
  <c r="O54" i="5"/>
  <c r="O52" i="5"/>
  <c r="H82" i="5"/>
  <c r="H80" i="5"/>
  <c r="O82" i="4"/>
  <c r="O80" i="4"/>
  <c r="AC82" i="4"/>
  <c r="AC80" i="4"/>
  <c r="V82" i="4"/>
  <c r="V80" i="4"/>
  <c r="AC54" i="4"/>
  <c r="AC52" i="4"/>
  <c r="AQ82" i="4"/>
  <c r="AQ80" i="4"/>
  <c r="AQ54" i="4"/>
  <c r="AQ52" i="4"/>
  <c r="H52" i="4"/>
  <c r="H54" i="4"/>
  <c r="H82" i="4"/>
  <c r="H80" i="4"/>
  <c r="AJ52" i="4"/>
  <c r="AJ54" i="4"/>
</calcChain>
</file>

<file path=xl/sharedStrings.xml><?xml version="1.0" encoding="utf-8"?>
<sst xmlns="http://schemas.openxmlformats.org/spreadsheetml/2006/main" count="1169" uniqueCount="116">
  <si>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</si>
  <si>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</si>
  <si>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</si>
  <si>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</si>
  <si>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</si>
  <si>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</si>
  <si>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</si>
  <si>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</si>
  <si>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</si>
  <si>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</si>
  <si>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</si>
  <si>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</si>
  <si>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</si>
  <si>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</si>
  <si>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</si>
  <si>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</si>
  <si>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Empty</t>
  </si>
  <si>
    <t>OAZ1</t>
  </si>
  <si>
    <t>ACTB</t>
  </si>
  <si>
    <t>RPL27</t>
  </si>
  <si>
    <t>RPL30</t>
  </si>
  <si>
    <t>RPLP1</t>
  </si>
  <si>
    <t>CCSSER2</t>
  </si>
  <si>
    <t>GUSB</t>
  </si>
  <si>
    <t>PGK1</t>
  </si>
  <si>
    <t>EPAS1</t>
  </si>
  <si>
    <t>TBP</t>
  </si>
  <si>
    <t>TFRC</t>
  </si>
  <si>
    <t>Standard</t>
  </si>
  <si>
    <t xml:space="preserve">Normoxia </t>
  </si>
  <si>
    <t>Hypoxia 8 hours</t>
  </si>
  <si>
    <t>Hypoxia 48 hours</t>
  </si>
  <si>
    <r>
      <t>dH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</si>
  <si>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ng / ul</t>
  </si>
  <si>
    <t>Water</t>
  </si>
  <si>
    <t>0hr T1</t>
  </si>
  <si>
    <t>0hr T2</t>
  </si>
  <si>
    <t>0hr T3</t>
  </si>
  <si>
    <t>8hr T1</t>
  </si>
  <si>
    <t>8hr T2</t>
  </si>
  <si>
    <t>8hr T3</t>
  </si>
  <si>
    <t>48hr T1</t>
  </si>
  <si>
    <t>48hr T2</t>
  </si>
  <si>
    <t>48hr T3</t>
  </si>
  <si>
    <t>Avg Ct</t>
  </si>
  <si>
    <t>Log</t>
  </si>
  <si>
    <t>P. efficiency (%)</t>
  </si>
  <si>
    <t>cDNA Pool Standard</t>
  </si>
  <si>
    <t>CCSER2</t>
  </si>
  <si>
    <t>Undetermined</t>
  </si>
  <si>
    <t>P. efficiency</t>
  </si>
  <si>
    <t>TP</t>
  </si>
  <si>
    <t>Time point</t>
  </si>
  <si>
    <t>Ct</t>
  </si>
  <si>
    <t>Cycle threshold</t>
  </si>
  <si>
    <t>RE</t>
  </si>
  <si>
    <t>Relative expression</t>
  </si>
  <si>
    <t>ECCt</t>
  </si>
  <si>
    <t>Efficiency corrected cycle threshold</t>
  </si>
  <si>
    <t>ECRE</t>
  </si>
  <si>
    <t>Efficiency corrected relative expression</t>
  </si>
  <si>
    <t>Ct Mean</t>
  </si>
  <si>
    <t>Mean Ct for this gene</t>
  </si>
  <si>
    <t>Ct SD</t>
  </si>
  <si>
    <t>Standard deviation of Ct in this gene</t>
  </si>
  <si>
    <t>Ct CV</t>
  </si>
  <si>
    <t>Coefficient of variation for this gene</t>
  </si>
  <si>
    <t>Formulas</t>
  </si>
  <si>
    <r>
      <rPr>
        <sz val="11"/>
        <color theme="0"/>
        <rFont val="Calibri"/>
        <family val="2"/>
        <scheme val="minor"/>
      </rPr>
      <t xml:space="preserve"> *</t>
    </r>
    <r>
      <rPr>
        <sz val="11"/>
        <color theme="1"/>
        <rFont val="Calibri"/>
        <family val="2"/>
        <scheme val="minor"/>
      </rPr>
      <t>=SUM(Ct*(log(p.efficiency)/log(2)))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</si>
  <si>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=AVERAGE(0hrT1:48hrT3)</t>
    </r>
  </si>
  <si>
    <t>** Water samples not included in calculations **</t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</si>
  <si>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=STDEV(0hrT1:48hrT3)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</si>
  <si>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=SUM(Ct SD / Ct Mean)</t>
    </r>
  </si>
  <si>
    <t>Mean</t>
  </si>
  <si>
    <t>SE</t>
  </si>
  <si>
    <t>SD</t>
  </si>
  <si>
    <t>CV</t>
  </si>
  <si>
    <t>Experiment  information</t>
  </si>
  <si>
    <t>Seeded</t>
  </si>
  <si>
    <t>RNA extraction</t>
  </si>
  <si>
    <t>RNA integrity check</t>
  </si>
  <si>
    <t>cDNA synthesis</t>
  </si>
  <si>
    <t>RT-qPCR</t>
  </si>
  <si>
    <t>10^((Average Ct - 21.495)/-3.2708)</t>
  </si>
  <si>
    <t>10^((Average Ct - 21.359)/-3.4184)</t>
  </si>
  <si>
    <t>10^((Average Ct - 26.025)/-2.6141)</t>
  </si>
  <si>
    <t>10^((Average Ct - 21.951)/-3.2802)</t>
  </si>
  <si>
    <t>10^((Average Ct - 22.517)/-3.1896)</t>
  </si>
  <si>
    <t>10^((Average Ct - 22.347)/-3.3604)</t>
  </si>
  <si>
    <t>10^((Average Ct - 25.075)/-3.1399)</t>
  </si>
  <si>
    <t>10^((Average Ct - 26.715)/-3.2493)</t>
  </si>
  <si>
    <t>10^((Average Ct - 23.836)/-3.2997)</t>
  </si>
  <si>
    <t>10^((Average Ct - 21.961)/-3.3738)</t>
  </si>
  <si>
    <t>10^((Average Ct - 26.951)/-3.27)</t>
  </si>
  <si>
    <t>10^((Average Ct - 27.742)/-3.2981)</t>
  </si>
  <si>
    <t>10^((Average Ct - 30.609)/-4.1796)</t>
  </si>
  <si>
    <t>10^((Average Ct - 29.34)/-1.5376)</t>
  </si>
  <si>
    <t>10^((Average Ct - 25.057)/-3.237)</t>
  </si>
  <si>
    <t>10^((Average Ct - 23.988)/-3.272)</t>
  </si>
  <si>
    <t>10^((Average Ct - 28.392)/-1.9489)</t>
  </si>
  <si>
    <t>10^((Average Ct - 29.713)/-2.5831)</t>
  </si>
  <si>
    <t>10^((Average Ct - 26.303)/-3.1827)</t>
  </si>
  <si>
    <t>10^((Average Ct - 25.568)/-3.3429)</t>
  </si>
  <si>
    <t>10^((Average Ct - 32.656)/-0.844)</t>
  </si>
  <si>
    <t>10^((Average Ct - 26.725)/-3.4152)</t>
  </si>
  <si>
    <t>10^((Average Ct - 23.716)/-3.3343)</t>
  </si>
  <si>
    <t>10^((Average Ct - 23.766)/-5.5913)</t>
  </si>
  <si>
    <t>10^((Average Ct - 23.504)/-0.3264)</t>
  </si>
  <si>
    <t>10^((Average Ct - 20.987)/-3.3402)</t>
  </si>
  <si>
    <t>10^((Average Ct - 22.137)/-3.2321)</t>
  </si>
  <si>
    <t>10^((Average Ct - 21.6)/-3.5861)</t>
  </si>
  <si>
    <t>10^((Average Ct - 25.928)/-2.648)</t>
  </si>
  <si>
    <t>10^((Average Ct - 26.58)/-2.5133)</t>
  </si>
  <si>
    <t>10^((Average Ct - 22.98)/-2.9083)</t>
  </si>
  <si>
    <t>10^((Average Ct - 22.098)/-3.4172)</t>
  </si>
  <si>
    <t>10^((Average Ct - 27.945)/-1.494)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</si>
</sst>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 tint="0.79998168889431442"/>
        <bgColor theme="0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9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 wrapText="1"/>
    </xf>
    <xf numFmtId="0" fontId="5" fillId="12" borderId="38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vertical="center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vertical="center"/>
    </xf>
    <xf numFmtId="2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6" fillId="9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vertical="center" textRotation="90" wrapText="1"/>
    </xf>
    <xf numFmtId="0" fontId="5" fillId="12" borderId="0" xfId="0" applyFont="1" applyFill="1" applyAlignment="1">
      <alignment vertical="center"/>
    </xf>
    <xf numFmtId="2" fontId="5" fillId="13" borderId="7" xfId="0" applyNumberFormat="1" applyFont="1" applyFill="1" applyBorder="1" applyAlignment="1">
      <alignment horizontal="center" vertical="center"/>
    </xf>
    <xf numFmtId="2" fontId="5" fillId="13" borderId="8" xfId="0" applyNumberFormat="1" applyFont="1" applyFill="1" applyBorder="1" applyAlignment="1">
      <alignment horizontal="center" vertical="center"/>
    </xf>
    <xf numFmtId="2" fontId="5" fillId="13" borderId="9" xfId="0" applyNumberFormat="1" applyFont="1" applyFill="1" applyBorder="1" applyAlignment="1">
      <alignment horizontal="center" vertical="center"/>
    </xf>
    <xf numFmtId="2" fontId="5" fillId="14" borderId="8" xfId="0" applyNumberFormat="1" applyFont="1" applyFill="1" applyBorder="1" applyAlignment="1">
      <alignment horizontal="center" vertical="center"/>
    </xf>
    <xf numFmtId="2" fontId="5" fillId="15" borderId="47" xfId="0" applyNumberFormat="1" applyFont="1" applyFill="1" applyBorder="1" applyAlignment="1">
      <alignment horizontal="center" vertical="center"/>
    </xf>
    <xf numFmtId="2" fontId="5" fillId="15" borderId="8" xfId="0" applyNumberFormat="1" applyFont="1" applyFill="1" applyBorder="1" applyAlignment="1">
      <alignment horizontal="center" vertical="center"/>
    </xf>
    <xf numFmtId="2" fontId="5" fillId="15" borderId="9" xfId="0" applyNumberFormat="1" applyFont="1" applyFill="1" applyBorder="1" applyAlignment="1">
      <alignment horizontal="center" vertical="center"/>
    </xf>
    <xf numFmtId="2" fontId="5" fillId="13" borderId="48" xfId="0" applyNumberFormat="1" applyFont="1" applyFill="1" applyBorder="1" applyAlignment="1">
      <alignment horizontal="center" vertical="center"/>
    </xf>
    <xf numFmtId="2" fontId="5" fillId="13" borderId="10" xfId="0" applyNumberFormat="1" applyFont="1" applyFill="1" applyBorder="1" applyAlignment="1">
      <alignment horizontal="center" vertical="center"/>
    </xf>
    <xf numFmtId="2" fontId="5" fillId="13" borderId="5" xfId="0" applyNumberFormat="1" applyFont="1" applyFill="1" applyBorder="1" applyAlignment="1">
      <alignment horizontal="center" vertical="center"/>
    </xf>
    <xf numFmtId="2" fontId="5" fillId="14" borderId="10" xfId="0" applyNumberFormat="1" applyFont="1" applyFill="1" applyBorder="1" applyAlignment="1">
      <alignment horizontal="center" vertical="center"/>
    </xf>
    <xf numFmtId="2" fontId="5" fillId="15" borderId="48" xfId="0" applyNumberFormat="1" applyFont="1" applyFill="1" applyBorder="1" applyAlignment="1">
      <alignment horizontal="center" vertical="center"/>
    </xf>
    <xf numFmtId="2" fontId="5" fillId="15" borderId="10" xfId="0" applyNumberFormat="1" applyFont="1" applyFill="1" applyBorder="1" applyAlignment="1">
      <alignment horizontal="center" vertical="center"/>
    </xf>
    <xf numFmtId="2" fontId="5" fillId="15" borderId="5" xfId="0" applyNumberFormat="1" applyFont="1" applyFill="1" applyBorder="1" applyAlignment="1">
      <alignment horizontal="center" vertical="center"/>
    </xf>
    <xf numFmtId="2" fontId="5" fillId="16" borderId="1" xfId="0" applyNumberFormat="1" applyFont="1" applyFill="1" applyBorder="1" applyAlignment="1">
      <alignment horizontal="center" vertical="center"/>
    </xf>
    <xf numFmtId="2" fontId="5" fillId="16" borderId="45" xfId="0" applyNumberFormat="1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/>
    </xf>
    <xf numFmtId="2" fontId="5" fillId="17" borderId="40" xfId="0" applyNumberFormat="1" applyFont="1" applyFill="1" applyBorder="1" applyAlignment="1">
      <alignment horizontal="center"/>
    </xf>
    <xf numFmtId="2" fontId="5" fillId="17" borderId="41" xfId="0" applyNumberFormat="1" applyFont="1" applyFill="1" applyBorder="1" applyAlignment="1">
      <alignment horizontal="center"/>
    </xf>
    <xf numFmtId="0" fontId="5" fillId="17" borderId="42" xfId="0" applyFont="1" applyFill="1" applyBorder="1" applyAlignment="1">
      <alignment horizontal="center"/>
    </xf>
    <xf numFmtId="2" fontId="5" fillId="17" borderId="43" xfId="0" applyNumberFormat="1" applyFont="1" applyFill="1" applyBorder="1" applyAlignment="1">
      <alignment horizontal="center"/>
    </xf>
    <xf numFmtId="2" fontId="5" fillId="17" borderId="44" xfId="0" applyNumberFormat="1" applyFont="1" applyFill="1" applyBorder="1" applyAlignment="1">
      <alignment horizontal="center"/>
    </xf>
    <xf numFmtId="0" fontId="5" fillId="12" borderId="37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0" fillId="9" borderId="2" xfId="0" applyFill="1" applyBorder="1"/>
    <xf numFmtId="0" fontId="0" fillId="9" borderId="3" xfId="0" applyFill="1" applyBorder="1"/>
    <xf numFmtId="0" fontId="1" fillId="9" borderId="4" xfId="0" applyFont="1" applyFill="1" applyBorder="1" applyAlignment="1">
      <alignment horizontal="center" vertical="center"/>
    </xf>
    <xf numFmtId="0" fontId="0" fillId="9" borderId="6" xfId="0" applyFill="1" applyBorder="1"/>
    <xf numFmtId="0" fontId="1" fillId="9" borderId="10" xfId="0" applyFont="1" applyFill="1" applyBorder="1" applyAlignment="1">
      <alignment horizontal="center" vertical="center"/>
    </xf>
    <xf numFmtId="0" fontId="0" fillId="9" borderId="53" xfId="0" applyFill="1" applyBorder="1"/>
    <xf numFmtId="0" fontId="0" fillId="9" borderId="54" xfId="0" applyFill="1" applyBorder="1"/>
    <xf numFmtId="0" fontId="2" fillId="9" borderId="5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2" fontId="5" fillId="18" borderId="20" xfId="0" applyNumberFormat="1" applyFont="1" applyFill="1" applyBorder="1" applyAlignment="1">
      <alignment horizontal="center" vertical="center" wrapText="1"/>
    </xf>
    <xf numFmtId="0" fontId="0" fillId="9" borderId="15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54" xfId="0" applyFont="1" applyFill="1" applyBorder="1" applyAlignment="1">
      <alignment horizontal="center" vertical="center"/>
    </xf>
    <xf numFmtId="0" fontId="5" fillId="12" borderId="46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 wrapText="1"/>
    </xf>
    <xf numFmtId="0" fontId="6" fillId="9" borderId="51" xfId="0" applyFont="1" applyFill="1" applyBorder="1"/>
    <xf numFmtId="0" fontId="6" fillId="9" borderId="44" xfId="0" applyFont="1" applyFill="1" applyBorder="1"/>
    <xf numFmtId="0" fontId="5" fillId="12" borderId="35" xfId="0" applyFont="1" applyFill="1" applyBorder="1" applyAlignment="1">
      <alignment horizontal="center" vertical="center" wrapText="1"/>
    </xf>
    <xf numFmtId="0" fontId="6" fillId="9" borderId="36" xfId="0" applyFont="1" applyFill="1" applyBorder="1"/>
    <xf numFmtId="0" fontId="6" fillId="9" borderId="37" xfId="0" applyFont="1" applyFill="1" applyBorder="1"/>
    <xf numFmtId="0" fontId="6" fillId="9" borderId="36" xfId="0" applyFont="1" applyFill="1" applyBorder="1" applyAlignment="1">
      <alignment wrapText="1"/>
    </xf>
    <xf numFmtId="0" fontId="6" fillId="9" borderId="37" xfId="0" applyFont="1" applyFill="1" applyBorder="1" applyAlignment="1">
      <alignment wrapText="1"/>
    </xf>
    <xf numFmtId="0" fontId="5" fillId="12" borderId="46" xfId="0" applyFont="1" applyFill="1" applyBorder="1" applyAlignment="1">
      <alignment horizontal="center"/>
    </xf>
    <xf numFmtId="0" fontId="5" fillId="12" borderId="55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6" borderId="49" xfId="0" applyFont="1" applyFill="1" applyBorder="1" applyAlignment="1">
      <alignment horizontal="center" vertical="center" wrapText="1"/>
    </xf>
    <xf numFmtId="0" fontId="8" fillId="7" borderId="50" xfId="0" applyFont="1" applyFill="1" applyBorder="1"/>
    <xf numFmtId="0" fontId="5" fillId="16" borderId="53" xfId="0" applyFont="1" applyFill="1" applyBorder="1" applyAlignment="1">
      <alignment horizontal="center" vertical="center" wrapText="1"/>
    </xf>
    <xf numFmtId="0" fontId="5" fillId="16" borderId="50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textRotation="90" wrapText="1"/>
    </xf>
    <xf numFmtId="0" fontId="9" fillId="12" borderId="56" xfId="0" applyFont="1" applyFill="1" applyBorder="1" applyAlignment="1">
      <alignment horizontal="center" vertical="center" textRotation="90" wrapText="1"/>
    </xf>
    <xf numFmtId="0" fontId="9" fillId="12" borderId="8" xfId="0" applyFont="1" applyFill="1" applyBorder="1" applyAlignment="1">
      <alignment horizontal="center" vertical="center" textRotation="90" wrapText="1"/>
    </xf>
    <xf numFmtId="0" fontId="9" fillId="12" borderId="57" xfId="0" applyFont="1" applyFill="1" applyBorder="1" applyAlignment="1">
      <alignment horizontal="center" vertical="center" textRotation="90" wrapText="1"/>
    </xf>
    <xf numFmtId="0" fontId="9" fillId="12" borderId="7" xfId="0" applyFont="1" applyFill="1" applyBorder="1" applyAlignment="1">
      <alignment horizontal="center" vertical="center" textRotation="90" wrapText="1"/>
    </xf>
    <xf numFmtId="0" fontId="5" fillId="18" borderId="46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14" fontId="0" fillId="9" borderId="0" xfId="0" applyNumberFormat="1" applyFill="1" applyAlignment="1">
      <alignment horizontal="right" vertical="center"/>
    </xf>
    <xf numFmtId="14" fontId="0" fillId="9" borderId="16" xfId="0" applyNumberFormat="1" applyFill="1" applyBorder="1" applyAlignment="1">
      <alignment horizontal="right" vertical="center"/>
    </xf>
    <xf numFmtId="14" fontId="0" fillId="9" borderId="18" xfId="0" applyNumberFormat="1" applyFill="1" applyBorder="1" applyAlignment="1">
      <alignment horizontal="right" vertical="center"/>
    </xf>
    <xf numFmtId="14" fontId="0" fillId="9" borderId="19" xfId="0" applyNumberFormat="1" applyFill="1" applyBorder="1" applyAlignment="1">
      <alignment horizontal="right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58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9" borderId="59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5" fillId="12" borderId="52" xfId="0" applyFont="1" applyFill="1" applyBorder="1" applyAlignment="1">
      <alignment horizontal="center" vertical="center"/>
    </xf>
    <xf numFmtId="14" fontId="0" fillId="9" borderId="3" xfId="0" applyNumberFormat="1" applyFill="1" applyBorder="1" applyAlignment="1">
      <alignment horizontal="right" vertical="center"/>
    </xf>
    <xf numFmtId="14" fontId="0" fillId="9" borderId="60" xfId="0" applyNumberFormat="1" applyFill="1" applyBorder="1" applyAlignment="1">
      <alignment horizontal="right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12726914263045E-2"/>
                  <c:y val="-0.35578447378164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(R1)'!$E$31:$E$35</c:f>
              <c:numCache>
                <c:formatCode>0.00</c:formatCode>
                <c:ptCount val="5"/>
                <c:pt idx="0">
                  <c:v>26.520848534567548</c:v>
                </c:pt>
                <c:pt idx="1">
                  <c:v>23.981530021092201</c:v>
                </c:pt>
                <c:pt idx="2">
                  <c:v>21.708282040806651</c:v>
                </c:pt>
                <c:pt idx="3">
                  <c:v>19.535563571214652</c:v>
                </c:pt>
                <c:pt idx="4">
                  <c:v>17.312834929464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F-4D19-9177-D7B0A0D1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25375"/>
        <c:axId val="1470613631"/>
      </c:scatterChart>
      <c:valAx>
        <c:axId val="14653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3631"/>
        <c:crosses val="autoZero"/>
        <c:crossBetween val="midCat"/>
      </c:valAx>
      <c:valAx>
        <c:axId val="14706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8119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(R1)'!$T$59:$T$63</c:f>
              <c:numCache>
                <c:formatCode>0.00</c:formatCode>
                <c:ptCount val="5"/>
                <c:pt idx="0">
                  <c:v>26.936417750194249</c:v>
                </c:pt>
                <c:pt idx="1">
                  <c:v>24.693834395919851</c:v>
                </c:pt>
                <c:pt idx="2">
                  <c:v>22.34008230320865</c:v>
                </c:pt>
                <c:pt idx="3">
                  <c:v>19.953025257523599</c:v>
                </c:pt>
                <c:pt idx="4">
                  <c:v>17.515736500373901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7-4EEC-B171-B160A6C4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57871"/>
        <c:axId val="1469950831"/>
      </c:scatterChart>
      <c:valAx>
        <c:axId val="1644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0831"/>
        <c:crosses val="autoZero"/>
        <c:crossBetween val="midCat"/>
      </c:valAx>
      <c:valAx>
        <c:axId val="1469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32204687955672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(R1)'!$AD$59:$AD$63</c:f>
              <c:numCache>
                <c:formatCode>0.00</c:formatCode>
                <c:ptCount val="5"/>
                <c:pt idx="0">
                  <c:v>31.971645222554997</c:v>
                </c:pt>
                <c:pt idx="1">
                  <c:v>29.428380786654351</c:v>
                </c:pt>
                <c:pt idx="2">
                  <c:v>27.215625299104552</c:v>
                </c:pt>
                <c:pt idx="3">
                  <c:v>24.935397974527298</c:v>
                </c:pt>
                <c:pt idx="4">
                  <c:v>22.789825578003899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1-405E-A97F-6C42AFBE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0655"/>
        <c:axId val="1469955631"/>
      </c:scatterChart>
      <c:valAx>
        <c:axId val="1644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5631"/>
        <c:crosses val="autoZero"/>
        <c:crossBetween val="midCat"/>
      </c:valAx>
      <c:valAx>
        <c:axId val="14699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12726914263045E-2"/>
                  <c:y val="-0.35578447378164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(R1)'!$E$31:$E$35</c:f>
              <c:numCache>
                <c:formatCode>0.00</c:formatCode>
                <c:ptCount val="5"/>
                <c:pt idx="0">
                  <c:v>26.520848534567548</c:v>
                </c:pt>
                <c:pt idx="1">
                  <c:v>23.981530021092201</c:v>
                </c:pt>
                <c:pt idx="2">
                  <c:v>21.708282040806651</c:v>
                </c:pt>
                <c:pt idx="3">
                  <c:v>19.535563571214652</c:v>
                </c:pt>
                <c:pt idx="4">
                  <c:v>17.312834929464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F-47C5-8217-92D2F303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25375"/>
        <c:axId val="1470613631"/>
      </c:scatterChart>
      <c:valAx>
        <c:axId val="14653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3631"/>
        <c:crosses val="autoZero"/>
        <c:crossBetween val="midCat"/>
      </c:valAx>
      <c:valAx>
        <c:axId val="14706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8235965296004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(R1)'!$J$31:$J$35</c:f>
              <c:numCache>
                <c:formatCode>0.00</c:formatCode>
                <c:ptCount val="5"/>
                <c:pt idx="0">
                  <c:v>26.555156051787002</c:v>
                </c:pt>
                <c:pt idx="1">
                  <c:v>24.053447345932398</c:v>
                </c:pt>
                <c:pt idx="2">
                  <c:v>21.592328644564247</c:v>
                </c:pt>
                <c:pt idx="3">
                  <c:v>19.233451119311098</c:v>
                </c:pt>
                <c:pt idx="4">
                  <c:v>17.018503786986798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D-409B-9486-76A18454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88399"/>
        <c:axId val="1470631391"/>
      </c:scatterChart>
      <c:valAx>
        <c:axId val="14743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1391"/>
        <c:crosses val="autoZero"/>
        <c:crossBetween val="midCat"/>
      </c:valAx>
      <c:valAx>
        <c:axId val="1470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34776902887128E-2"/>
          <c:y val="0.17171296296296298"/>
          <c:w val="0.8907569991251094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4126483668708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(R1)'!$O$31:$O$35</c:f>
              <c:numCache>
                <c:formatCode>0.00</c:formatCode>
                <c:ptCount val="5"/>
                <c:pt idx="0">
                  <c:v>29.9164548037784</c:v>
                </c:pt>
                <c:pt idx="1">
                  <c:v>27.8482365403089</c:v>
                </c:pt>
                <c:pt idx="2">
                  <c:v>26.589564300650302</c:v>
                </c:pt>
                <c:pt idx="3">
                  <c:v>24.665009294117048</c:v>
                </c:pt>
                <c:pt idx="4">
                  <c:v>22.37222075172275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C-4192-8D84-0F30D73E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42255"/>
        <c:axId val="1470612671"/>
      </c:scatterChart>
      <c:valAx>
        <c:axId val="19217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2671"/>
        <c:crosses val="autoZero"/>
        <c:crossBetween val="midCat"/>
      </c:valAx>
      <c:valAx>
        <c:axId val="14706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23726778944298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(R1)'!$T$31:$T$35</c:f>
              <c:numCache>
                <c:formatCode>0.00</c:formatCode>
                <c:ptCount val="5"/>
                <c:pt idx="0">
                  <c:v>26.947003627636349</c:v>
                </c:pt>
                <c:pt idx="1">
                  <c:v>24.386304758562702</c:v>
                </c:pt>
                <c:pt idx="2">
                  <c:v>22.343225338579849</c:v>
                </c:pt>
                <c:pt idx="3">
                  <c:v>19.98074290094775</c:v>
                </c:pt>
                <c:pt idx="4">
                  <c:v>17.6860119325722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4-4937-A0BD-5ECAD52D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6271"/>
        <c:axId val="1470616031"/>
      </c:scatterChart>
      <c:valAx>
        <c:axId val="14594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6031"/>
        <c:crosses val="autoZero"/>
        <c:crossBetween val="midCat"/>
      </c:valAx>
      <c:valAx>
        <c:axId val="14706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40901137357827E-2"/>
                  <c:y val="-0.44065616797900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(R1)'!$Y$31:$Y$35</c:f>
              <c:numCache>
                <c:formatCode>0.00</c:formatCode>
                <c:ptCount val="5"/>
                <c:pt idx="0">
                  <c:v>27.27789369493965</c:v>
                </c:pt>
                <c:pt idx="1">
                  <c:v>25.018639474684051</c:v>
                </c:pt>
                <c:pt idx="2">
                  <c:v>22.9191573917699</c:v>
                </c:pt>
                <c:pt idx="3">
                  <c:v>20.545466753808348</c:v>
                </c:pt>
                <c:pt idx="4">
                  <c:v>18.367189193730699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1B-4774-8C77-56615BBE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10063"/>
        <c:axId val="1470633311"/>
      </c:scatterChart>
      <c:valAx>
        <c:axId val="14653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3311"/>
        <c:crosses val="autoZero"/>
        <c:crossBetween val="midCat"/>
      </c:valAx>
      <c:valAx>
        <c:axId val="1470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9396653543307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(R1)'!$AD$31:$AD$35</c:f>
              <c:numCache>
                <c:formatCode>0.00</c:formatCode>
                <c:ptCount val="5"/>
                <c:pt idx="0">
                  <c:v>27.39946635601865</c:v>
                </c:pt>
                <c:pt idx="1">
                  <c:v>25.064974374217499</c:v>
                </c:pt>
                <c:pt idx="2">
                  <c:v>22.570979729379353</c:v>
                </c:pt>
                <c:pt idx="3">
                  <c:v>20.276434740645151</c:v>
                </c:pt>
                <c:pt idx="4">
                  <c:v>18.049649154897551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4-480E-BEFB-E520C011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53583"/>
        <c:axId val="1470617951"/>
      </c:scatterChart>
      <c:valAx>
        <c:axId val="1913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7951"/>
        <c:crosses val="autoZero"/>
        <c:crossBetween val="midCat"/>
      </c:valAx>
      <c:valAx>
        <c:axId val="14706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6456692913391E-2"/>
                  <c:y val="-0.33648731408573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(R1)'!$E$59:$E$63</c:f>
              <c:numCache>
                <c:formatCode>0.00</c:formatCode>
                <c:ptCount val="5"/>
                <c:pt idx="0">
                  <c:v>29.553930263558151</c:v>
                </c:pt>
                <c:pt idx="1">
                  <c:v>27.668948596473797</c:v>
                </c:pt>
                <c:pt idx="2">
                  <c:v>25.606091828036398</c:v>
                </c:pt>
                <c:pt idx="3">
                  <c:v>23.30235315452115</c:v>
                </c:pt>
                <c:pt idx="4">
                  <c:v>20.763854462926499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1-45F6-B2C4-DF2C50ECC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52463"/>
        <c:axId val="1923563215"/>
      </c:scatterChart>
      <c:valAx>
        <c:axId val="19217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63215"/>
        <c:crosses val="autoZero"/>
        <c:crossBetween val="midCat"/>
      </c:valAx>
      <c:valAx>
        <c:axId val="1923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4847805482648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(R1)'!$J$59:$J$63</c:f>
              <c:numCache>
                <c:formatCode>0.00</c:formatCode>
                <c:ptCount val="5"/>
                <c:pt idx="0">
                  <c:v>31.498895276837899</c:v>
                </c:pt>
                <c:pt idx="1">
                  <c:v>29.268902743098749</c:v>
                </c:pt>
                <c:pt idx="2">
                  <c:v>27.194057889297149</c:v>
                </c:pt>
                <c:pt idx="3">
                  <c:v>24.819419702238548</c:v>
                </c:pt>
                <c:pt idx="4">
                  <c:v>22.367882551155851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4-4BE9-A07E-EC60BB67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34655"/>
        <c:axId val="1470627071"/>
      </c:scatterChart>
      <c:valAx>
        <c:axId val="16353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7071"/>
        <c:crosses val="autoZero"/>
        <c:crossBetween val="midCat"/>
      </c:valAx>
      <c:valAx>
        <c:axId val="14706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8235965296004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(R1)'!$J$31:$J$35</c:f>
              <c:numCache>
                <c:formatCode>0.00</c:formatCode>
                <c:ptCount val="5"/>
                <c:pt idx="0">
                  <c:v>26.555156051787002</c:v>
                </c:pt>
                <c:pt idx="1">
                  <c:v>24.053447345932398</c:v>
                </c:pt>
                <c:pt idx="2">
                  <c:v>21.592328644564247</c:v>
                </c:pt>
                <c:pt idx="3">
                  <c:v>19.233451119311098</c:v>
                </c:pt>
                <c:pt idx="4">
                  <c:v>17.018503786986798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4-44E0-B495-51EF9914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88399"/>
        <c:axId val="1470631391"/>
      </c:scatterChart>
      <c:valAx>
        <c:axId val="14743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1391"/>
        <c:crosses val="autoZero"/>
        <c:crossBetween val="midCat"/>
      </c:valAx>
      <c:valAx>
        <c:axId val="1470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359911781860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(R1)'!$O$59:$O$63</c:f>
              <c:numCache>
                <c:formatCode>0.00</c:formatCode>
                <c:ptCount val="5"/>
                <c:pt idx="0">
                  <c:v>28.735817189265553</c:v>
                </c:pt>
                <c:pt idx="1">
                  <c:v>26.412854220175952</c:v>
                </c:pt>
                <c:pt idx="2">
                  <c:v>24.3068656492486</c:v>
                </c:pt>
                <c:pt idx="3">
                  <c:v>21.821430615969799</c:v>
                </c:pt>
                <c:pt idx="4">
                  <c:v>19.4996538748326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0-43FC-BAE6-E0F03F2D8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49823"/>
        <c:axId val="1923549295"/>
      </c:scatterChart>
      <c:valAx>
        <c:axId val="16336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49295"/>
        <c:crosses val="autoZero"/>
        <c:crossBetween val="midCat"/>
      </c:valAx>
      <c:valAx>
        <c:axId val="1923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8119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(R1)'!$T$59:$T$63</c:f>
              <c:numCache>
                <c:formatCode>0.00</c:formatCode>
                <c:ptCount val="5"/>
                <c:pt idx="0">
                  <c:v>26.936417750194249</c:v>
                </c:pt>
                <c:pt idx="1">
                  <c:v>24.693834395919851</c:v>
                </c:pt>
                <c:pt idx="2">
                  <c:v>22.34008230320865</c:v>
                </c:pt>
                <c:pt idx="3">
                  <c:v>19.953025257523599</c:v>
                </c:pt>
                <c:pt idx="4">
                  <c:v>17.515736500373901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6-46DE-ACDD-4F265A4B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57871"/>
        <c:axId val="1469950831"/>
      </c:scatterChart>
      <c:valAx>
        <c:axId val="1644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0831"/>
        <c:crosses val="autoZero"/>
        <c:crossBetween val="midCat"/>
      </c:valAx>
      <c:valAx>
        <c:axId val="1469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32204687955672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(R1)'!$AD$59:$AD$63</c:f>
              <c:numCache>
                <c:formatCode>0.00</c:formatCode>
                <c:ptCount val="5"/>
                <c:pt idx="0">
                  <c:v>31.971645222554997</c:v>
                </c:pt>
                <c:pt idx="1">
                  <c:v>29.428380786654351</c:v>
                </c:pt>
                <c:pt idx="2">
                  <c:v>27.215625299104552</c:v>
                </c:pt>
                <c:pt idx="3">
                  <c:v>24.935397974527298</c:v>
                </c:pt>
                <c:pt idx="4">
                  <c:v>22.789825578003899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6-4CD0-84A1-D7DA38E6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0655"/>
        <c:axId val="1469955631"/>
      </c:scatterChart>
      <c:valAx>
        <c:axId val="1644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5631"/>
        <c:crosses val="autoZero"/>
        <c:crossBetween val="midCat"/>
      </c:valAx>
      <c:valAx>
        <c:axId val="14699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12726914263045E-2"/>
                  <c:y val="-0.35578447378164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(R1)'!$E$31:$E$35</c:f>
              <c:numCache>
                <c:formatCode>0.00</c:formatCode>
                <c:ptCount val="5"/>
                <c:pt idx="0">
                  <c:v>26.520848534567548</c:v>
                </c:pt>
                <c:pt idx="1">
                  <c:v>23.981530021092201</c:v>
                </c:pt>
                <c:pt idx="2">
                  <c:v>21.708282040806651</c:v>
                </c:pt>
                <c:pt idx="3">
                  <c:v>19.535563571214652</c:v>
                </c:pt>
                <c:pt idx="4">
                  <c:v>17.312834929464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4-41C1-973E-19B8ABDE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25375"/>
        <c:axId val="1470613631"/>
      </c:scatterChart>
      <c:valAx>
        <c:axId val="14653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3631"/>
        <c:crosses val="autoZero"/>
        <c:crossBetween val="midCat"/>
      </c:valAx>
      <c:valAx>
        <c:axId val="14706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8235965296004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(R1)'!$J$31:$J$35</c:f>
              <c:numCache>
                <c:formatCode>0.00</c:formatCode>
                <c:ptCount val="5"/>
                <c:pt idx="0">
                  <c:v>26.555156051787002</c:v>
                </c:pt>
                <c:pt idx="1">
                  <c:v>24.053447345932398</c:v>
                </c:pt>
                <c:pt idx="2">
                  <c:v>21.592328644564247</c:v>
                </c:pt>
                <c:pt idx="3">
                  <c:v>19.233451119311098</c:v>
                </c:pt>
                <c:pt idx="4">
                  <c:v>17.018503786986798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B-4621-B2DC-963191E1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88399"/>
        <c:axId val="1470631391"/>
      </c:scatterChart>
      <c:valAx>
        <c:axId val="14743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1391"/>
        <c:crosses val="autoZero"/>
        <c:crossBetween val="midCat"/>
      </c:valAx>
      <c:valAx>
        <c:axId val="14706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34776902887128E-2"/>
          <c:y val="0.17171296296296298"/>
          <c:w val="0.8907569991251094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4126483668708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(R1)'!$O$31:$O$35</c:f>
              <c:numCache>
                <c:formatCode>0.00</c:formatCode>
                <c:ptCount val="5"/>
                <c:pt idx="0">
                  <c:v>29.9164548037784</c:v>
                </c:pt>
                <c:pt idx="1">
                  <c:v>27.8482365403089</c:v>
                </c:pt>
                <c:pt idx="2">
                  <c:v>26.589564300650302</c:v>
                </c:pt>
                <c:pt idx="3">
                  <c:v>24.665009294117048</c:v>
                </c:pt>
                <c:pt idx="4">
                  <c:v>22.37222075172275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2-4363-B342-413A21D9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42255"/>
        <c:axId val="1470612671"/>
      </c:scatterChart>
      <c:valAx>
        <c:axId val="19217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2671"/>
        <c:crosses val="autoZero"/>
        <c:crossBetween val="midCat"/>
      </c:valAx>
      <c:valAx>
        <c:axId val="14706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23726778944298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(R1)'!$T$31:$T$35</c:f>
              <c:numCache>
                <c:formatCode>0.00</c:formatCode>
                <c:ptCount val="5"/>
                <c:pt idx="0">
                  <c:v>26.947003627636349</c:v>
                </c:pt>
                <c:pt idx="1">
                  <c:v>24.386304758562702</c:v>
                </c:pt>
                <c:pt idx="2">
                  <c:v>22.343225338579849</c:v>
                </c:pt>
                <c:pt idx="3">
                  <c:v>19.98074290094775</c:v>
                </c:pt>
                <c:pt idx="4">
                  <c:v>17.6860119325722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7-44CC-8066-436603D5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6271"/>
        <c:axId val="1470616031"/>
      </c:scatterChart>
      <c:valAx>
        <c:axId val="14594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6031"/>
        <c:crosses val="autoZero"/>
        <c:crossBetween val="midCat"/>
      </c:valAx>
      <c:valAx>
        <c:axId val="14706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40901137357827E-2"/>
                  <c:y val="-0.44065616797900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(R1)'!$Y$31:$Y$35</c:f>
              <c:numCache>
                <c:formatCode>0.00</c:formatCode>
                <c:ptCount val="5"/>
                <c:pt idx="0">
                  <c:v>27.27789369493965</c:v>
                </c:pt>
                <c:pt idx="1">
                  <c:v>25.018639474684051</c:v>
                </c:pt>
                <c:pt idx="2">
                  <c:v>22.9191573917699</c:v>
                </c:pt>
                <c:pt idx="3">
                  <c:v>20.545466753808348</c:v>
                </c:pt>
                <c:pt idx="4">
                  <c:v>18.367189193730699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0-4F21-8FEF-D99F6A62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10063"/>
        <c:axId val="1470633311"/>
      </c:scatterChart>
      <c:valAx>
        <c:axId val="14653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3311"/>
        <c:crosses val="autoZero"/>
        <c:crossBetween val="midCat"/>
      </c:valAx>
      <c:valAx>
        <c:axId val="1470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9396653543307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(R1)'!$AD$31:$AD$35</c:f>
              <c:numCache>
                <c:formatCode>0.00</c:formatCode>
                <c:ptCount val="5"/>
                <c:pt idx="0">
                  <c:v>27.39946635601865</c:v>
                </c:pt>
                <c:pt idx="1">
                  <c:v>25.064974374217499</c:v>
                </c:pt>
                <c:pt idx="2">
                  <c:v>22.570979729379353</c:v>
                </c:pt>
                <c:pt idx="3">
                  <c:v>20.276434740645151</c:v>
                </c:pt>
                <c:pt idx="4">
                  <c:v>18.049649154897551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C-485E-B7B2-C8CDF66E9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53583"/>
        <c:axId val="1470617951"/>
      </c:scatterChart>
      <c:valAx>
        <c:axId val="1913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7951"/>
        <c:crosses val="autoZero"/>
        <c:crossBetween val="midCat"/>
      </c:valAx>
      <c:valAx>
        <c:axId val="14706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6456692913391E-2"/>
                  <c:y val="-0.33648731408573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(R1)'!$E$59:$E$63</c:f>
              <c:numCache>
                <c:formatCode>0.00</c:formatCode>
                <c:ptCount val="5"/>
                <c:pt idx="0">
                  <c:v>29.553930263558151</c:v>
                </c:pt>
                <c:pt idx="1">
                  <c:v>27.668948596473797</c:v>
                </c:pt>
                <c:pt idx="2">
                  <c:v>25.606091828036398</c:v>
                </c:pt>
                <c:pt idx="3">
                  <c:v>23.30235315452115</c:v>
                </c:pt>
                <c:pt idx="4">
                  <c:v>20.763854462926499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0-4C75-84D3-267B8E4E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52463"/>
        <c:axId val="1923563215"/>
      </c:scatterChart>
      <c:valAx>
        <c:axId val="19217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63215"/>
        <c:crosses val="autoZero"/>
        <c:crossBetween val="midCat"/>
      </c:valAx>
      <c:valAx>
        <c:axId val="1923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34776902887128E-2"/>
          <c:y val="0.17171296296296298"/>
          <c:w val="0.8907569991251094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4126483668708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(R1)'!$O$31:$O$35</c:f>
              <c:numCache>
                <c:formatCode>0.00</c:formatCode>
                <c:ptCount val="5"/>
                <c:pt idx="0">
                  <c:v>29.9164548037784</c:v>
                </c:pt>
                <c:pt idx="1">
                  <c:v>27.8482365403089</c:v>
                </c:pt>
                <c:pt idx="2">
                  <c:v>26.589564300650302</c:v>
                </c:pt>
                <c:pt idx="3">
                  <c:v>24.665009294117048</c:v>
                </c:pt>
                <c:pt idx="4">
                  <c:v>22.37222075172275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1-48D9-8E95-B7B1FF7D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42255"/>
        <c:axId val="1470612671"/>
      </c:scatterChart>
      <c:valAx>
        <c:axId val="192174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2671"/>
        <c:crosses val="autoZero"/>
        <c:crossBetween val="midCat"/>
      </c:valAx>
      <c:valAx>
        <c:axId val="14706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4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4847805482648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(R1)'!$J$59:$J$63</c:f>
              <c:numCache>
                <c:formatCode>0.00</c:formatCode>
                <c:ptCount val="5"/>
                <c:pt idx="0">
                  <c:v>31.498895276837899</c:v>
                </c:pt>
                <c:pt idx="1">
                  <c:v>29.268902743098749</c:v>
                </c:pt>
                <c:pt idx="2">
                  <c:v>27.194057889297149</c:v>
                </c:pt>
                <c:pt idx="3">
                  <c:v>24.819419702238548</c:v>
                </c:pt>
                <c:pt idx="4">
                  <c:v>22.367882551155851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E-46DB-AA6D-BF1CB751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34655"/>
        <c:axId val="1470627071"/>
      </c:scatterChart>
      <c:valAx>
        <c:axId val="16353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7071"/>
        <c:crosses val="autoZero"/>
        <c:crossBetween val="midCat"/>
      </c:valAx>
      <c:valAx>
        <c:axId val="14706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359911781860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(R1)'!$O$59:$O$63</c:f>
              <c:numCache>
                <c:formatCode>0.00</c:formatCode>
                <c:ptCount val="5"/>
                <c:pt idx="0">
                  <c:v>28.735817189265553</c:v>
                </c:pt>
                <c:pt idx="1">
                  <c:v>26.412854220175952</c:v>
                </c:pt>
                <c:pt idx="2">
                  <c:v>24.3068656492486</c:v>
                </c:pt>
                <c:pt idx="3">
                  <c:v>21.821430615969799</c:v>
                </c:pt>
                <c:pt idx="4">
                  <c:v>19.4996538748326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7-43D6-8C6B-91E98926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49823"/>
        <c:axId val="1923549295"/>
      </c:scatterChart>
      <c:valAx>
        <c:axId val="16336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49295"/>
        <c:crosses val="autoZero"/>
        <c:crossBetween val="midCat"/>
      </c:valAx>
      <c:valAx>
        <c:axId val="1923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8119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(R1)'!$T$59:$T$63</c:f>
              <c:numCache>
                <c:formatCode>0.00</c:formatCode>
                <c:ptCount val="5"/>
                <c:pt idx="0">
                  <c:v>26.936417750194249</c:v>
                </c:pt>
                <c:pt idx="1">
                  <c:v>24.693834395919851</c:v>
                </c:pt>
                <c:pt idx="2">
                  <c:v>22.34008230320865</c:v>
                </c:pt>
                <c:pt idx="3">
                  <c:v>19.953025257523599</c:v>
                </c:pt>
                <c:pt idx="4">
                  <c:v>17.515736500373901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0-4229-BE99-814BC01F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57871"/>
        <c:axId val="1469950831"/>
      </c:scatterChart>
      <c:valAx>
        <c:axId val="16448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0831"/>
        <c:crosses val="autoZero"/>
        <c:crossBetween val="midCat"/>
      </c:valAx>
      <c:valAx>
        <c:axId val="14699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32204687955672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(R1)'!$AD$59:$AD$63</c:f>
              <c:numCache>
                <c:formatCode>0.00</c:formatCode>
                <c:ptCount val="5"/>
                <c:pt idx="0">
                  <c:v>31.971645222554997</c:v>
                </c:pt>
                <c:pt idx="1">
                  <c:v>29.428380786654351</c:v>
                </c:pt>
                <c:pt idx="2">
                  <c:v>27.215625299104552</c:v>
                </c:pt>
                <c:pt idx="3">
                  <c:v>24.935397974527298</c:v>
                </c:pt>
                <c:pt idx="4">
                  <c:v>22.789825578003899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1-414E-AD17-BEA2032D4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0655"/>
        <c:axId val="1469955631"/>
      </c:scatterChart>
      <c:valAx>
        <c:axId val="164486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55631"/>
        <c:crosses val="autoZero"/>
        <c:crossBetween val="midCat"/>
      </c:valAx>
      <c:valAx>
        <c:axId val="14699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05969141824212E-2"/>
                  <c:y val="-0.31434423191678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(R2)'!$E$31:$E$35</c:f>
              <c:numCache>
                <c:formatCode>0.00</c:formatCode>
                <c:ptCount val="5"/>
                <c:pt idx="0">
                  <c:v>32.6808122158468</c:v>
                </c:pt>
                <c:pt idx="1">
                  <c:v>30.304008469535098</c:v>
                </c:pt>
                <c:pt idx="2">
                  <c:v>28.146142610926198</c:v>
                </c:pt>
                <c:pt idx="3">
                  <c:v>25.737112690939249</c:v>
                </c:pt>
                <c:pt idx="4">
                  <c:v>23.437925298322099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4-4C2D-ACB7-4CB09C8B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60480"/>
        <c:axId val="1511875264"/>
      </c:scatterChart>
      <c:valAx>
        <c:axId val="13345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75264"/>
        <c:crosses val="autoZero"/>
        <c:crossBetween val="midCat"/>
      </c:valAx>
      <c:valAx>
        <c:axId val="15118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05969141824212E-2"/>
                  <c:y val="-0.33870660288712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(R2)'!$J$31:$J$35</c:f>
              <c:numCache>
                <c:formatCode>0.00</c:formatCode>
                <c:ptCount val="5"/>
                <c:pt idx="0">
                  <c:v>35.980982972116905</c:v>
                </c:pt>
                <c:pt idx="1">
                  <c:v>34.675000867331704</c:v>
                </c:pt>
                <c:pt idx="2">
                  <c:v>31.891509413486446</c:v>
                </c:pt>
                <c:pt idx="3">
                  <c:v>27.619119534978701</c:v>
                </c:pt>
                <c:pt idx="4">
                  <c:v>24.902007082866248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8-4316-8D2D-38574CDA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68640"/>
        <c:axId val="1502089312"/>
      </c:scatterChart>
      <c:valAx>
        <c:axId val="13345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89312"/>
        <c:crosses val="autoZero"/>
        <c:crossBetween val="midCat"/>
      </c:valAx>
      <c:valAx>
        <c:axId val="15020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80210460069284E-2"/>
                  <c:y val="-0.64142096821230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(R2)'!$O$31:$O$35</c:f>
              <c:numCache>
                <c:formatCode>0.00</c:formatCode>
                <c:ptCount val="5"/>
                <c:pt idx="0">
                  <c:v>30.968938241449301</c:v>
                </c:pt>
                <c:pt idx="1">
                  <c:v>30.657097132670252</c:v>
                </c:pt>
                <c:pt idx="2">
                  <c:v>30.5179372587871</c:v>
                </c:pt>
                <c:pt idx="3">
                  <c:v>28.756776091246699</c:v>
                </c:pt>
                <c:pt idx="4">
                  <c:v>26.5454441198371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E-47FA-99F3-0B638413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29152"/>
        <c:axId val="1502111136"/>
      </c:scatterChart>
      <c:valAx>
        <c:axId val="12128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1136"/>
        <c:crosses val="autoZero"/>
        <c:crossBetween val="midCat"/>
      </c:valAx>
      <c:valAx>
        <c:axId val="15021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80210460069284E-2"/>
                  <c:y val="-0.36841535433070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(R2)'!$T$31:$T$35</c:f>
              <c:numCache>
                <c:formatCode>0.00</c:formatCode>
                <c:ptCount val="5"/>
                <c:pt idx="0">
                  <c:v>29.9177673730569</c:v>
                </c:pt>
                <c:pt idx="1">
                  <c:v>27.502647498088049</c:v>
                </c:pt>
                <c:pt idx="2">
                  <c:v>25.447653694332999</c:v>
                </c:pt>
                <c:pt idx="3">
                  <c:v>23.255620523414947</c:v>
                </c:pt>
                <c:pt idx="4">
                  <c:v>20.728556947040151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EE4-909D-40800F98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29632"/>
        <c:axId val="1502114608"/>
      </c:scatterChart>
      <c:valAx>
        <c:axId val="12128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4608"/>
        <c:crosses val="autoZero"/>
        <c:crossBetween val="midCat"/>
      </c:valAx>
      <c:valAx>
        <c:axId val="15021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140100264406133E-2"/>
                  <c:y val="-0.3867435841353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(R2)'!$Y$31:$Y$35</c:f>
              <c:numCache>
                <c:formatCode>0.00</c:formatCode>
                <c:ptCount val="5"/>
                <c:pt idx="0">
                  <c:v>28.797900372471901</c:v>
                </c:pt>
                <c:pt idx="1">
                  <c:v>26.663410931774798</c:v>
                </c:pt>
                <c:pt idx="2">
                  <c:v>24.369783917141149</c:v>
                </c:pt>
                <c:pt idx="3">
                  <c:v>21.996604497226798</c:v>
                </c:pt>
                <c:pt idx="4">
                  <c:v>19.696183793442202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A-4B60-94B0-DEC300F6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8320"/>
        <c:axId val="1511896096"/>
      </c:scatterChart>
      <c:valAx>
        <c:axId val="13345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6096"/>
        <c:crosses val="autoZero"/>
        <c:crossBetween val="midCat"/>
      </c:valAx>
      <c:valAx>
        <c:axId val="15118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44552835917162E-2"/>
                  <c:y val="-0.3480604183986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(R2)'!$AD$31:$AD$35</c:f>
              <c:numCache>
                <c:formatCode>0.00</c:formatCode>
                <c:ptCount val="5"/>
                <c:pt idx="0">
                  <c:v>31.906749610576547</c:v>
                </c:pt>
                <c:pt idx="1">
                  <c:v>29.241632884420753</c:v>
                </c:pt>
                <c:pt idx="2">
                  <c:v>27.168792567193748</c:v>
                </c:pt>
                <c:pt idx="3">
                  <c:v>24.744560356505701</c:v>
                </c:pt>
                <c:pt idx="4">
                  <c:v>22.219651474665149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0B5-B874-96A80B17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61920"/>
        <c:axId val="1511892624"/>
      </c:scatterChart>
      <c:valAx>
        <c:axId val="13345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2624"/>
        <c:crosses val="autoZero"/>
        <c:crossBetween val="midCat"/>
      </c:valAx>
      <c:valAx>
        <c:axId val="15118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23726778944298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(R1)'!$T$31:$T$35</c:f>
              <c:numCache>
                <c:formatCode>0.00</c:formatCode>
                <c:ptCount val="5"/>
                <c:pt idx="0">
                  <c:v>26.947003627636349</c:v>
                </c:pt>
                <c:pt idx="1">
                  <c:v>24.386304758562702</c:v>
                </c:pt>
                <c:pt idx="2">
                  <c:v>22.343225338579849</c:v>
                </c:pt>
                <c:pt idx="3">
                  <c:v>19.98074290094775</c:v>
                </c:pt>
                <c:pt idx="4">
                  <c:v>17.6860119325722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C-4361-9068-1372CD4D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6271"/>
        <c:axId val="1470616031"/>
      </c:scatterChart>
      <c:valAx>
        <c:axId val="14594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6031"/>
        <c:crosses val="autoZero"/>
        <c:crossBetween val="midCat"/>
      </c:valAx>
      <c:valAx>
        <c:axId val="14706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480527553227222E-2"/>
                  <c:y val="-0.26055111607594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(R2)'!$E$59:$E$63</c:f>
              <c:numCache>
                <c:formatCode>0.00</c:formatCode>
                <c:ptCount val="5"/>
                <c:pt idx="0">
                  <c:v>30.628644802647401</c:v>
                </c:pt>
                <c:pt idx="1">
                  <c:v>30.232141974612802</c:v>
                </c:pt>
                <c:pt idx="2">
                  <c:v>29.2675088084547</c:v>
                </c:pt>
                <c:pt idx="3">
                  <c:v>27.686809265068248</c:v>
                </c:pt>
                <c:pt idx="4">
                  <c:v>25.090275720964598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D-44F8-8587-8C0E3A46B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827712"/>
        <c:axId val="1502110144"/>
      </c:scatterChart>
      <c:valAx>
        <c:axId val="1212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0144"/>
        <c:crosses val="autoZero"/>
        <c:crossBetween val="midCat"/>
      </c:valAx>
      <c:valAx>
        <c:axId val="15021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95233036472827E-2"/>
                  <c:y val="-0.31762765813506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(R2)'!$J$59:$J$63</c:f>
              <c:numCache>
                <c:formatCode>0.00</c:formatCode>
                <c:ptCount val="5"/>
                <c:pt idx="0">
                  <c:v>33.014561969269096</c:v>
                </c:pt>
                <c:pt idx="1">
                  <c:v>32.248171518306002</c:v>
                </c:pt>
                <c:pt idx="2">
                  <c:v>30.375758260759198</c:v>
                </c:pt>
                <c:pt idx="3">
                  <c:v>28.132143346928849</c:v>
                </c:pt>
                <c:pt idx="4">
                  <c:v>26.045103505011802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5-42A4-91F4-B2E4DFD7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47744"/>
        <c:axId val="1373351904"/>
      </c:scatterChart>
      <c:valAx>
        <c:axId val="12109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51904"/>
        <c:crosses val="autoZero"/>
        <c:crossBetween val="midCat"/>
      </c:valAx>
      <c:valAx>
        <c:axId val="13733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37880294850031E-2"/>
                  <c:y val="-0.34592191601049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(R2)'!$O$59:$O$63</c:f>
              <c:numCache>
                <c:formatCode>0.00</c:formatCode>
                <c:ptCount val="5"/>
                <c:pt idx="0">
                  <c:v>31.028634890992748</c:v>
                </c:pt>
                <c:pt idx="1">
                  <c:v>28.677710410007499</c:v>
                </c:pt>
                <c:pt idx="2">
                  <c:v>26.8735111399814</c:v>
                </c:pt>
                <c:pt idx="3">
                  <c:v>24.465103486640302</c:v>
                </c:pt>
                <c:pt idx="4">
                  <c:v>22.011993134832402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0-41D7-A41F-79C66C77D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62400"/>
        <c:axId val="1502119568"/>
      </c:scatterChart>
      <c:valAx>
        <c:axId val="13345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9568"/>
        <c:crosses val="autoZero"/>
        <c:crossBetween val="midCat"/>
      </c:valAx>
      <c:valAx>
        <c:axId val="15021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37880294850031E-2"/>
                  <c:y val="-0.3560899679206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(R2)'!$T$59:$T$63</c:f>
              <c:numCache>
                <c:formatCode>0.00</c:formatCode>
                <c:ptCount val="5"/>
                <c:pt idx="0">
                  <c:v>30.436257135925551</c:v>
                </c:pt>
                <c:pt idx="1">
                  <c:v>28.274136014150002</c:v>
                </c:pt>
                <c:pt idx="2">
                  <c:v>26.017650719730749</c:v>
                </c:pt>
                <c:pt idx="3">
                  <c:v>23.685149933413499</c:v>
                </c:pt>
                <c:pt idx="4">
                  <c:v>21.047771424949097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494F-9C16-4C2EF391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41504"/>
        <c:axId val="1511896592"/>
      </c:scatterChart>
      <c:valAx>
        <c:axId val="12109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96592"/>
        <c:crosses val="autoZero"/>
        <c:crossBetween val="midCat"/>
      </c:valAx>
      <c:valAx>
        <c:axId val="15118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79978503288182E-2"/>
                  <c:y val="-0.67340387817742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(R2)'!$AC$59:$AC$63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(R2)'!$AD$59:$AD$63</c:f>
              <c:numCache>
                <c:formatCode>0.00</c:formatCode>
                <c:ptCount val="5"/>
                <c:pt idx="0">
                  <c:v>33.525357059222998</c:v>
                </c:pt>
                <c:pt idx="1">
                  <c:v>33.60575823725155</c:v>
                </c:pt>
                <c:pt idx="2">
                  <c:v>33.040403095228598</c:v>
                </c:pt>
                <c:pt idx="3">
                  <c:v>32.274445158888</c:v>
                </c:pt>
                <c:pt idx="4">
                  <c:v>31.241304439548749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7-4108-B1E7-FBFE4BF0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62816"/>
        <c:axId val="1804319872"/>
      </c:scatterChart>
      <c:valAx>
        <c:axId val="18043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9872"/>
        <c:crosses val="autoZero"/>
        <c:crossBetween val="midCat"/>
      </c:valAx>
      <c:valAx>
        <c:axId val="18043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72959248634341E-2"/>
                  <c:y val="-0.40694632032205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(R3)'!$E$31:$E$35</c:f>
              <c:numCache>
                <c:formatCode>0.00</c:formatCode>
                <c:ptCount val="5"/>
                <c:pt idx="0">
                  <c:v>28.724096929567303</c:v>
                </c:pt>
                <c:pt idx="1">
                  <c:v>26.437321127642349</c:v>
                </c:pt>
                <c:pt idx="2">
                  <c:v>23.97650026913615</c:v>
                </c:pt>
                <c:pt idx="3">
                  <c:v>21.532871220074998</c:v>
                </c:pt>
                <c:pt idx="4">
                  <c:v>19.52341698395395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1-433C-A7F0-8602AE15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73856"/>
        <c:axId val="1804313920"/>
      </c:scatterChart>
      <c:valAx>
        <c:axId val="18043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3920"/>
        <c:crosses val="autoZero"/>
        <c:crossBetween val="midCat"/>
      </c:valAx>
      <c:valAx>
        <c:axId val="18043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272959248634341E-2"/>
                  <c:y val="-0.44691713707013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(R3)'!$J$31:$J$35</c:f>
              <c:numCache>
                <c:formatCode>0.00</c:formatCode>
                <c:ptCount val="5"/>
                <c:pt idx="0">
                  <c:v>32.78619148348465</c:v>
                </c:pt>
                <c:pt idx="1">
                  <c:v>28.009237760066551</c:v>
                </c:pt>
                <c:pt idx="2">
                  <c:v>23.582852058700901</c:v>
                </c:pt>
                <c:pt idx="3">
                  <c:v>19.8196285076347</c:v>
                </c:pt>
                <c:pt idx="4">
                  <c:v>17.340097862032351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4-4F20-A5C6-1F3925D2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69056"/>
        <c:axId val="1804307472"/>
      </c:scatterChart>
      <c:valAx>
        <c:axId val="180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07472"/>
        <c:crosses val="autoZero"/>
        <c:crossBetween val="midCat"/>
      </c:valAx>
      <c:valAx>
        <c:axId val="18043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48842631009115E-2"/>
                  <c:y val="-0.69228674540682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(R3)'!$O$31:$O$35</c:f>
              <c:numCache>
                <c:formatCode>0.00</c:formatCode>
                <c:ptCount val="5"/>
                <c:pt idx="0">
                  <c:v>24.61850431842085</c:v>
                </c:pt>
                <c:pt idx="1">
                  <c:v>23.073372206533598</c:v>
                </c:pt>
                <c:pt idx="2">
                  <c:v>23.0864857962417</c:v>
                </c:pt>
                <c:pt idx="3">
                  <c:v>23.775709556539951</c:v>
                </c:pt>
                <c:pt idx="4">
                  <c:v>23.126506907523201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0-4CA6-B034-2407D3B5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83936"/>
        <c:axId val="1804317392"/>
      </c:scatterChart>
      <c:valAx>
        <c:axId val="18043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7392"/>
        <c:crosses val="autoZero"/>
        <c:crossBetween val="midCat"/>
      </c:valAx>
      <c:valAx>
        <c:axId val="18043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636784322196489E-2"/>
                  <c:y val="-0.40251130067074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(R3)'!$T$31:$T$35</c:f>
              <c:numCache>
                <c:formatCode>0.00</c:formatCode>
                <c:ptCount val="5"/>
                <c:pt idx="0">
                  <c:v>26.128854243737699</c:v>
                </c:pt>
                <c:pt idx="1">
                  <c:v>23.5519647455132</c:v>
                </c:pt>
                <c:pt idx="2">
                  <c:v>21.174774796192601</c:v>
                </c:pt>
                <c:pt idx="3">
                  <c:v>18.933012919384602</c:v>
                </c:pt>
                <c:pt idx="4">
                  <c:v>16.7646839644724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F-4C61-B5C2-72C02CCD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80576"/>
        <c:axId val="1804305984"/>
      </c:scatterChart>
      <c:valAx>
        <c:axId val="18043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05984"/>
        <c:crosses val="autoZero"/>
        <c:crossBetween val="midCat"/>
      </c:valAx>
      <c:valAx>
        <c:axId val="18043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69707586625958E-2"/>
                  <c:y val="-0.3668642461358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(R3)'!$Y$31:$Y$35</c:f>
              <c:numCache>
                <c:formatCode>0.00</c:formatCode>
                <c:ptCount val="5"/>
                <c:pt idx="0">
                  <c:v>27.066061946732447</c:v>
                </c:pt>
                <c:pt idx="1">
                  <c:v>24.59634123790385</c:v>
                </c:pt>
                <c:pt idx="2">
                  <c:v>22.463918459217048</c:v>
                </c:pt>
                <c:pt idx="3">
                  <c:v>20.11308776950295</c:v>
                </c:pt>
                <c:pt idx="4">
                  <c:v>18.011997041192998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1-4AF1-914A-9D454BB6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73856"/>
        <c:axId val="1804296560"/>
      </c:scatterChart>
      <c:valAx>
        <c:axId val="18043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96560"/>
        <c:crosses val="autoZero"/>
        <c:crossBetween val="midCat"/>
      </c:valAx>
      <c:valAx>
        <c:axId val="18042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40901137357827E-2"/>
                  <c:y val="-0.44065616797900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(R1)'!$Y$31:$Y$35</c:f>
              <c:numCache>
                <c:formatCode>0.00</c:formatCode>
                <c:ptCount val="5"/>
                <c:pt idx="0">
                  <c:v>27.27789369493965</c:v>
                </c:pt>
                <c:pt idx="1">
                  <c:v>25.018639474684051</c:v>
                </c:pt>
                <c:pt idx="2">
                  <c:v>22.9191573917699</c:v>
                </c:pt>
                <c:pt idx="3">
                  <c:v>20.545466753808348</c:v>
                </c:pt>
                <c:pt idx="4">
                  <c:v>18.367189193730699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3-4612-90EE-DFD6E62A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310063"/>
        <c:axId val="1470633311"/>
      </c:scatterChart>
      <c:valAx>
        <c:axId val="14653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3311"/>
        <c:crosses val="autoZero"/>
        <c:crossBetween val="midCat"/>
      </c:valAx>
      <c:valAx>
        <c:axId val="14706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15046455450448E-2"/>
                  <c:y val="-0.39067372675976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(R3)'!$AD$31:$AD$35</c:f>
              <c:numCache>
                <c:formatCode>0.00</c:formatCode>
                <c:ptCount val="5"/>
                <c:pt idx="0">
                  <c:v>27.045521592080199</c:v>
                </c:pt>
                <c:pt idx="1">
                  <c:v>24.478827821913953</c:v>
                </c:pt>
                <c:pt idx="2">
                  <c:v>21.774270716017551</c:v>
                </c:pt>
                <c:pt idx="3">
                  <c:v>19.377866740461648</c:v>
                </c:pt>
                <c:pt idx="4">
                  <c:v>17.062986936260252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4B5-B594-79CB00F0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70496"/>
        <c:axId val="1804294080"/>
      </c:scatterChart>
      <c:valAx>
        <c:axId val="18043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94080"/>
        <c:crosses val="autoZero"/>
        <c:crossBetween val="midCat"/>
      </c:valAx>
      <c:valAx>
        <c:axId val="18042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448950680328136E-2"/>
                  <c:y val="-0.34834458859902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(R3)'!$E$59:$E$63</c:f>
              <c:numCache>
                <c:formatCode>0.00</c:formatCode>
                <c:ptCount val="5"/>
                <c:pt idx="0">
                  <c:v>29.595208255040248</c:v>
                </c:pt>
                <c:pt idx="1">
                  <c:v>28.1650282927897</c:v>
                </c:pt>
                <c:pt idx="2">
                  <c:v>26.52076482619065</c:v>
                </c:pt>
                <c:pt idx="3">
                  <c:v>24.4399617293052</c:v>
                </c:pt>
                <c:pt idx="4">
                  <c:v>22.203491990907199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928-8A97-72E84F7C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71936"/>
        <c:axId val="1502100720"/>
      </c:scatterChart>
      <c:valAx>
        <c:axId val="18043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00720"/>
        <c:crosses val="autoZero"/>
        <c:crossBetween val="midCat"/>
      </c:valAx>
      <c:valAx>
        <c:axId val="15021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7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448950680328136E-2"/>
                  <c:y val="-0.30778384907869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(R3)'!$J$59:$J$63</c:f>
              <c:numCache>
                <c:formatCode>0.00</c:formatCode>
                <c:ptCount val="5"/>
                <c:pt idx="0">
                  <c:v>30.550144706628501</c:v>
                </c:pt>
                <c:pt idx="1">
                  <c:v>28.052281480249398</c:v>
                </c:pt>
                <c:pt idx="2">
                  <c:v>27.074641670509251</c:v>
                </c:pt>
                <c:pt idx="3">
                  <c:v>25.292452105684351</c:v>
                </c:pt>
                <c:pt idx="4">
                  <c:v>23.146360048224651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D-4A31-995C-B1D40A4D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69536"/>
        <c:axId val="1804288624"/>
      </c:scatterChart>
      <c:valAx>
        <c:axId val="18043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288624"/>
        <c:crosses val="autoZero"/>
        <c:crossBetween val="midCat"/>
      </c:valAx>
      <c:valAx>
        <c:axId val="1804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87015012244808E-2"/>
                  <c:y val="-0.33648767862350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(R3)'!$O$59:$O$63</c:f>
              <c:numCache>
                <c:formatCode>0.00</c:formatCode>
                <c:ptCount val="5"/>
                <c:pt idx="0">
                  <c:v>27.061548346036147</c:v>
                </c:pt>
                <c:pt idx="1">
                  <c:v>25.508554256181199</c:v>
                </c:pt>
                <c:pt idx="2">
                  <c:v>23.470903462207048</c:v>
                </c:pt>
                <c:pt idx="3">
                  <c:v>21.2329016049747</c:v>
                </c:pt>
                <c:pt idx="4">
                  <c:v>19.03516969163455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0-4AE4-AE12-D42490CD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67136"/>
        <c:axId val="1502120064"/>
      </c:scatterChart>
      <c:valAx>
        <c:axId val="18043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20064"/>
        <c:crosses val="autoZero"/>
        <c:crossBetween val="midCat"/>
      </c:valAx>
      <c:valAx>
        <c:axId val="1502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221614557594526E-2"/>
                  <c:y val="-0.3689574219889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(R3)'!$T$59:$T$63</c:f>
              <c:numCache>
                <c:formatCode>0.00</c:formatCode>
                <c:ptCount val="5"/>
                <c:pt idx="0">
                  <c:v>27.284618050441601</c:v>
                </c:pt>
                <c:pt idx="1">
                  <c:v>24.830457301471149</c:v>
                </c:pt>
                <c:pt idx="2">
                  <c:v>22.2680144973822</c:v>
                </c:pt>
                <c:pt idx="3">
                  <c:v>20.01152425234455</c:v>
                </c:pt>
                <c:pt idx="4">
                  <c:v>17.751573329889251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5-4E4D-BB85-D6ECF7D6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77696"/>
        <c:axId val="1804318880"/>
      </c:scatterChart>
      <c:valAx>
        <c:axId val="180437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18880"/>
        <c:crosses val="autoZero"/>
        <c:crossBetween val="midCat"/>
      </c:valAx>
      <c:valAx>
        <c:axId val="18043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238350959268165E-2"/>
                  <c:y val="-0.69089924735017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(R3)'!$AC$59:$AC$63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(R3)'!$AD$59:$AD$63</c:f>
              <c:numCache>
                <c:formatCode>0.00</c:formatCode>
                <c:ptCount val="5"/>
                <c:pt idx="0">
                  <c:v>30.27493615784125</c:v>
                </c:pt>
                <c:pt idx="1">
                  <c:v>28.553166460355399</c:v>
                </c:pt>
                <c:pt idx="2">
                  <c:v>28.647849442101602</c:v>
                </c:pt>
                <c:pt idx="3">
                  <c:v>27.281368984163301</c:v>
                </c:pt>
                <c:pt idx="4">
                  <c:v>25.689650895470599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E-41A6-9C97-9311DF1A1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54656"/>
        <c:axId val="1502104688"/>
      </c:scatterChart>
      <c:valAx>
        <c:axId val="18043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04688"/>
        <c:crosses val="autoZero"/>
        <c:crossBetween val="midCat"/>
      </c:valAx>
      <c:valAx>
        <c:axId val="1502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9396653543307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(R1)'!$AD$31:$AD$35</c:f>
              <c:numCache>
                <c:formatCode>0.00</c:formatCode>
                <c:ptCount val="5"/>
                <c:pt idx="0">
                  <c:v>27.39946635601865</c:v>
                </c:pt>
                <c:pt idx="1">
                  <c:v>25.064974374217499</c:v>
                </c:pt>
                <c:pt idx="2">
                  <c:v>22.570979729379353</c:v>
                </c:pt>
                <c:pt idx="3">
                  <c:v>20.276434740645151</c:v>
                </c:pt>
                <c:pt idx="4">
                  <c:v>18.049649154897551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D-43C2-919A-82382F58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53583"/>
        <c:axId val="1470617951"/>
      </c:scatterChart>
      <c:valAx>
        <c:axId val="1913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7951"/>
        <c:crosses val="autoZero"/>
        <c:crossBetween val="midCat"/>
      </c:valAx>
      <c:valAx>
        <c:axId val="14706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6456692913391E-2"/>
                  <c:y val="-0.33648731408573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(R1)'!$E$59:$E$63</c:f>
              <c:numCache>
                <c:formatCode>0.00</c:formatCode>
                <c:ptCount val="5"/>
                <c:pt idx="0">
                  <c:v>29.553930263558151</c:v>
                </c:pt>
                <c:pt idx="1">
                  <c:v>27.668948596473797</c:v>
                </c:pt>
                <c:pt idx="2">
                  <c:v>25.606091828036398</c:v>
                </c:pt>
                <c:pt idx="3">
                  <c:v>23.30235315452115</c:v>
                </c:pt>
                <c:pt idx="4">
                  <c:v>20.763854462926499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4131-B58D-5818B7E3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52463"/>
        <c:axId val="1923563215"/>
      </c:scatterChart>
      <c:valAx>
        <c:axId val="19217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63215"/>
        <c:crosses val="autoZero"/>
        <c:crossBetween val="midCat"/>
      </c:valAx>
      <c:valAx>
        <c:axId val="1923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4847805482648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(R1)'!$J$59:$J$63</c:f>
              <c:numCache>
                <c:formatCode>0.00</c:formatCode>
                <c:ptCount val="5"/>
                <c:pt idx="0">
                  <c:v>31.498895276837899</c:v>
                </c:pt>
                <c:pt idx="1">
                  <c:v>29.268902743098749</c:v>
                </c:pt>
                <c:pt idx="2">
                  <c:v>27.194057889297149</c:v>
                </c:pt>
                <c:pt idx="3">
                  <c:v>24.819419702238548</c:v>
                </c:pt>
                <c:pt idx="4">
                  <c:v>22.367882551155851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B-469B-BBA4-F6E5BF4B6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34655"/>
        <c:axId val="1470627071"/>
      </c:scatterChart>
      <c:valAx>
        <c:axId val="16353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7071"/>
        <c:crosses val="autoZero"/>
        <c:crossBetween val="midCat"/>
      </c:valAx>
      <c:valAx>
        <c:axId val="14706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3599117818606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'M468 (R1)'!$N$59:$N$63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'M468 (R1)'!$O$59:$O$63</c:f>
              <c:numCache>
                <c:formatCode>0.00</c:formatCode>
                <c:ptCount val="5"/>
                <c:pt idx="0">
                  <c:v>28.735817189265553</c:v>
                </c:pt>
                <c:pt idx="1">
                  <c:v>26.412854220175952</c:v>
                </c:pt>
                <c:pt idx="2">
                  <c:v>24.3068656492486</c:v>
                </c:pt>
                <c:pt idx="3">
                  <c:v>21.821430615969799</c:v>
                </c:pt>
                <c:pt idx="4">
                  <c:v>19.4996538748326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4-4D36-A381-154F719C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49823"/>
        <c:axId val="1923549295"/>
      </c:scatterChart>
      <c:valAx>
        <c:axId val="16336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49295"/>
        <c:crosses val="autoZero"/>
        <c:crossBetween val="midCat"/>
      </c:valAx>
      <c:valAx>
        <c:axId val="19235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15875</xdr:colOff>
      <xdr:row>0</xdr:row>
      <xdr:rowOff>17462</xdr:rowOff>
    </xdr:from>
    <xdr:to>
      <xdr:col>51</xdr:col>
      <xdr:colOff>365125</xdr:colOff>
      <xdr:row>13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6E3489-4E3C-2767-56DA-C0CC6DA50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31750</xdr:colOff>
      <xdr:row>13</xdr:row>
      <xdr:rowOff>173568</xdr:rowOff>
    </xdr:from>
    <xdr:to>
      <xdr:col>51</xdr:col>
      <xdr:colOff>306917</xdr:colOff>
      <xdr:row>27</xdr:row>
      <xdr:rowOff>154518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BBA884-8E07-47C6-E6A8-574B4588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31750</xdr:colOff>
      <xdr:row>28</xdr:row>
      <xdr:rowOff>57150</xdr:rowOff>
    </xdr:from>
    <xdr:to>
      <xdr:col>51</xdr:col>
      <xdr:colOff>306917</xdr:colOff>
      <xdr:row>42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2F4833-0E58-2413-F457-9712CD3E6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26457</xdr:colOff>
      <xdr:row>43</xdr:row>
      <xdr:rowOff>25401</xdr:rowOff>
    </xdr:from>
    <xdr:to>
      <xdr:col>51</xdr:col>
      <xdr:colOff>301624</xdr:colOff>
      <xdr:row>57</xdr:row>
      <xdr:rowOff>101601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6182CA-3D46-1450-1558-919BEE7E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37040</xdr:colOff>
      <xdr:row>57</xdr:row>
      <xdr:rowOff>184150</xdr:rowOff>
    </xdr:from>
    <xdr:to>
      <xdr:col>51</xdr:col>
      <xdr:colOff>312207</xdr:colOff>
      <xdr:row>72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3196C0-ECC0-31AE-9E77-2822CCA7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47624</xdr:colOff>
      <xdr:row>72</xdr:row>
      <xdr:rowOff>131234</xdr:rowOff>
    </xdr:from>
    <xdr:to>
      <xdr:col>51</xdr:col>
      <xdr:colOff>322791</xdr:colOff>
      <xdr:row>83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70E0FD-5069-3CAA-3A7A-2475F9B1A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517071</xdr:colOff>
      <xdr:row>0</xdr:row>
      <xdr:rowOff>0</xdr:rowOff>
    </xdr:from>
    <xdr:to>
      <xdr:col>59</xdr:col>
      <xdr:colOff>190499</xdr:colOff>
      <xdr:row>13</xdr:row>
      <xdr:rowOff>103414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E9D2BB9-9B76-EE29-57A2-EDC89DF02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530679</xdr:colOff>
      <xdr:row>13</xdr:row>
      <xdr:rowOff>193220</xdr:rowOff>
    </xdr:from>
    <xdr:to>
      <xdr:col>59</xdr:col>
      <xdr:colOff>204107</xdr:colOff>
      <xdr:row>27</xdr:row>
      <xdr:rowOff>146956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AA760E-C4D9-BBF8-8B03-DE2DAFC3C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557893</xdr:colOff>
      <xdr:row>28</xdr:row>
      <xdr:rowOff>43542</xdr:rowOff>
    </xdr:from>
    <xdr:to>
      <xdr:col>59</xdr:col>
      <xdr:colOff>231321</xdr:colOff>
      <xdr:row>42</xdr:row>
      <xdr:rowOff>119742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99E12CB-3712-9432-CF65-CFC40A2DA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585108</xdr:colOff>
      <xdr:row>43</xdr:row>
      <xdr:rowOff>43542</xdr:rowOff>
    </xdr:from>
    <xdr:to>
      <xdr:col>59</xdr:col>
      <xdr:colOff>258536</xdr:colOff>
      <xdr:row>57</xdr:row>
      <xdr:rowOff>119742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61AC561-E357-B364-F0CA-87253E141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598715</xdr:colOff>
      <xdr:row>72</xdr:row>
      <xdr:rowOff>179614</xdr:rowOff>
    </xdr:from>
    <xdr:to>
      <xdr:col>59</xdr:col>
      <xdr:colOff>272143</xdr:colOff>
      <xdr:row>83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644D53F-D58E-CE1F-181B-44BF7F8CF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15875</xdr:colOff>
      <xdr:row>0</xdr:row>
      <xdr:rowOff>17462</xdr:rowOff>
    </xdr:from>
    <xdr:to>
      <xdr:col>51</xdr:col>
      <xdr:colOff>365125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60EF4-4721-46EE-B04A-C97306BA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31750</xdr:colOff>
      <xdr:row>13</xdr:row>
      <xdr:rowOff>173568</xdr:rowOff>
    </xdr:from>
    <xdr:to>
      <xdr:col>51</xdr:col>
      <xdr:colOff>306917</xdr:colOff>
      <xdr:row>27</xdr:row>
      <xdr:rowOff>154518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4A627-2201-4626-9C23-043AB5CB1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31750</xdr:colOff>
      <xdr:row>28</xdr:row>
      <xdr:rowOff>57150</xdr:rowOff>
    </xdr:from>
    <xdr:to>
      <xdr:col>51</xdr:col>
      <xdr:colOff>306917</xdr:colOff>
      <xdr:row>42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9BB0E-0715-4E02-BC93-BF9B918CB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26457</xdr:colOff>
      <xdr:row>43</xdr:row>
      <xdr:rowOff>25401</xdr:rowOff>
    </xdr:from>
    <xdr:to>
      <xdr:col>51</xdr:col>
      <xdr:colOff>301624</xdr:colOff>
      <xdr:row>57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3850F-3381-42DC-9D0A-BD7400CC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37040</xdr:colOff>
      <xdr:row>57</xdr:row>
      <xdr:rowOff>184150</xdr:rowOff>
    </xdr:from>
    <xdr:to>
      <xdr:col>51</xdr:col>
      <xdr:colOff>312207</xdr:colOff>
      <xdr:row>72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24A80A-04E1-4938-8431-359A0C41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47624</xdr:colOff>
      <xdr:row>72</xdr:row>
      <xdr:rowOff>131234</xdr:rowOff>
    </xdr:from>
    <xdr:to>
      <xdr:col>51</xdr:col>
      <xdr:colOff>322791</xdr:colOff>
      <xdr:row>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AB06B0-60BE-4C31-A502-5E067232C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517071</xdr:colOff>
      <xdr:row>0</xdr:row>
      <xdr:rowOff>0</xdr:rowOff>
    </xdr:from>
    <xdr:to>
      <xdr:col>59</xdr:col>
      <xdr:colOff>190499</xdr:colOff>
      <xdr:row>13</xdr:row>
      <xdr:rowOff>103414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87423E-1581-44A0-9708-1D7A63295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530679</xdr:colOff>
      <xdr:row>13</xdr:row>
      <xdr:rowOff>193220</xdr:rowOff>
    </xdr:from>
    <xdr:to>
      <xdr:col>59</xdr:col>
      <xdr:colOff>204107</xdr:colOff>
      <xdr:row>27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1A39E-7CA8-454C-8F09-57DDC1CB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557893</xdr:colOff>
      <xdr:row>28</xdr:row>
      <xdr:rowOff>43542</xdr:rowOff>
    </xdr:from>
    <xdr:to>
      <xdr:col>59</xdr:col>
      <xdr:colOff>231321</xdr:colOff>
      <xdr:row>42</xdr:row>
      <xdr:rowOff>119742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C88053-23DD-4336-A2A4-C58E4B06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51</xdr:col>
      <xdr:colOff>585108</xdr:colOff>
      <xdr:row>43</xdr:row>
      <xdr:rowOff>43542</xdr:rowOff>
    </xdr:from>
    <xdr:to>
      <xdr:col>59</xdr:col>
      <xdr:colOff>258536</xdr:colOff>
      <xdr:row>57</xdr:row>
      <xdr:rowOff>119742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679C2-148A-4820-B589-A056CEC79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598715</xdr:colOff>
      <xdr:row>72</xdr:row>
      <xdr:rowOff>179614</xdr:rowOff>
    </xdr:from>
    <xdr:to>
      <xdr:col>59</xdr:col>
      <xdr:colOff>272143</xdr:colOff>
      <xdr:row>83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EBEC95-084F-4AAE-BF6A-1995622B8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15875</xdr:colOff>
      <xdr:row>0</xdr:row>
      <xdr:rowOff>17462</xdr:rowOff>
    </xdr:from>
    <xdr:to>
      <xdr:col>51</xdr:col>
      <xdr:colOff>365125</xdr:colOff>
      <xdr:row>13</xdr:row>
      <xdr:rowOff>109537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E0CC1AC-5ACE-4FB6-967A-D36EB11C0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31750</xdr:colOff>
      <xdr:row>13</xdr:row>
      <xdr:rowOff>173568</xdr:rowOff>
    </xdr:from>
    <xdr:to>
      <xdr:col>51</xdr:col>
      <xdr:colOff>306917</xdr:colOff>
      <xdr:row>27</xdr:row>
      <xdr:rowOff>154518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A32394-3C1F-4763-A978-58F756E4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44</xdr:col>
      <xdr:colOff>31750</xdr:colOff>
      <xdr:row>28</xdr:row>
      <xdr:rowOff>57150</xdr:rowOff>
    </xdr:from>
    <xdr:to>
      <xdr:col>51</xdr:col>
      <xdr:colOff>306917</xdr:colOff>
      <xdr:row>42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FB3E10-A726-4475-9AD5-EEB547709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44</xdr:col>
      <xdr:colOff>26457</xdr:colOff>
      <xdr:row>43</xdr:row>
      <xdr:rowOff>25401</xdr:rowOff>
    </xdr:from>
    <xdr:to>
      <xdr:col>51</xdr:col>
      <xdr:colOff>301624</xdr:colOff>
      <xdr:row>57</xdr:row>
      <xdr:rowOff>101601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414FC33-653D-4FC9-8CF0-D826C2850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44</xdr:col>
      <xdr:colOff>37040</xdr:colOff>
      <xdr:row>57</xdr:row>
      <xdr:rowOff>184150</xdr:rowOff>
    </xdr:from>
    <xdr:to>
      <xdr:col>51</xdr:col>
      <xdr:colOff>312207</xdr:colOff>
      <xdr:row>72</xdr:row>
      <xdr:rowOff>69850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D1E4D1D-980F-43ED-B4C2-9AA19CD58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44</xdr:col>
      <xdr:colOff>47624</xdr:colOff>
      <xdr:row>72</xdr:row>
      <xdr:rowOff>131233</xdr:rowOff>
    </xdr:from>
    <xdr:to>
      <xdr:col>51</xdr:col>
      <xdr:colOff>322791</xdr:colOff>
      <xdr:row>87</xdr:row>
      <xdr:rowOff>136070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3804A15-0E59-4E16-93C8-B9927B2D4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51</xdr:col>
      <xdr:colOff>517071</xdr:colOff>
      <xdr:row>0</xdr:row>
      <xdr:rowOff>0</xdr:rowOff>
    </xdr:from>
    <xdr:to>
      <xdr:col>59</xdr:col>
      <xdr:colOff>190499</xdr:colOff>
      <xdr:row>13</xdr:row>
      <xdr:rowOff>103414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1E3B838-30E6-4956-96F4-32A150A3D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51</xdr:col>
      <xdr:colOff>530679</xdr:colOff>
      <xdr:row>13</xdr:row>
      <xdr:rowOff>193220</xdr:rowOff>
    </xdr:from>
    <xdr:to>
      <xdr:col>59</xdr:col>
      <xdr:colOff>204107</xdr:colOff>
      <xdr:row>27</xdr:row>
      <xdr:rowOff>146956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5415948-0344-4C4D-9C62-48ED0FB9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557893</xdr:colOff>
      <xdr:row>28</xdr:row>
      <xdr:rowOff>43542</xdr:rowOff>
    </xdr:from>
    <xdr:to>
      <xdr:col>59</xdr:col>
      <xdr:colOff>231321</xdr:colOff>
      <xdr:row>42</xdr:row>
      <xdr:rowOff>119742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5F5E83E-0E54-435C-8468-61947B40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585108</xdr:colOff>
      <xdr:row>43</xdr:row>
      <xdr:rowOff>43542</xdr:rowOff>
    </xdr:from>
    <xdr:to>
      <xdr:col>59</xdr:col>
      <xdr:colOff>258536</xdr:colOff>
      <xdr:row>57</xdr:row>
      <xdr:rowOff>119742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31C690C-A738-4E9D-9813-015D5A11C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598715</xdr:colOff>
      <xdr:row>72</xdr:row>
      <xdr:rowOff>179613</xdr:rowOff>
    </xdr:from>
    <xdr:to>
      <xdr:col>59</xdr:col>
      <xdr:colOff>272143</xdr:colOff>
      <xdr:row>87</xdr:row>
      <xdr:rowOff>108856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C783450-84C5-4015-9A24-94533F8D1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28574</xdr:colOff>
      <xdr:row>1</xdr:row>
      <xdr:rowOff>114300</xdr:rowOff>
    </xdr:from>
    <xdr:to>
      <xdr:col>51</xdr:col>
      <xdr:colOff>333374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CB63DC-C4FE-4967-A276-4BFC04AA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47624</xdr:colOff>
      <xdr:row>14</xdr:row>
      <xdr:rowOff>190500</xdr:rowOff>
    </xdr:from>
    <xdr:to>
      <xdr:col>51</xdr:col>
      <xdr:colOff>352424</xdr:colOff>
      <xdr:row>28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B38ECF-BF19-73FF-9E0D-2EDB47A7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66674</xdr:colOff>
      <xdr:row>28</xdr:row>
      <xdr:rowOff>133350</xdr:rowOff>
    </xdr:from>
    <xdr:to>
      <xdr:col>51</xdr:col>
      <xdr:colOff>371474</xdr:colOff>
      <xdr:row>43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FF44BF-1ACD-3386-33E8-79DF3F2A9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85724</xdr:colOff>
      <xdr:row>43</xdr:row>
      <xdr:rowOff>57150</xdr:rowOff>
    </xdr:from>
    <xdr:to>
      <xdr:col>51</xdr:col>
      <xdr:colOff>390524</xdr:colOff>
      <xdr:row>57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B4D0B6-2ED3-4618-4346-DFBE4A17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85724</xdr:colOff>
      <xdr:row>57</xdr:row>
      <xdr:rowOff>152400</xdr:rowOff>
    </xdr:from>
    <xdr:to>
      <xdr:col>51</xdr:col>
      <xdr:colOff>390524</xdr:colOff>
      <xdr:row>72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3F0E72-F35B-EC47-7EC7-690E46ABB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85724</xdr:colOff>
      <xdr:row>72</xdr:row>
      <xdr:rowOff>57150</xdr:rowOff>
    </xdr:from>
    <xdr:to>
      <xdr:col>51</xdr:col>
      <xdr:colOff>390524</xdr:colOff>
      <xdr:row>86</xdr:row>
      <xdr:rowOff>11906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773DFB-A7C6-7317-C7C2-E8D0727E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523874</xdr:colOff>
      <xdr:row>1</xdr:row>
      <xdr:rowOff>95250</xdr:rowOff>
    </xdr:from>
    <xdr:to>
      <xdr:col>59</xdr:col>
      <xdr:colOff>219074</xdr:colOff>
      <xdr:row>14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453AD02-5567-89CF-0086-E9A238076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542924</xdr:colOff>
      <xdr:row>14</xdr:row>
      <xdr:rowOff>171450</xdr:rowOff>
    </xdr:from>
    <xdr:to>
      <xdr:col>59</xdr:col>
      <xdr:colOff>238124</xdr:colOff>
      <xdr:row>28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BA6A1FD-7652-A58A-61E9-8956D757F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542924</xdr:colOff>
      <xdr:row>28</xdr:row>
      <xdr:rowOff>95250</xdr:rowOff>
    </xdr:from>
    <xdr:to>
      <xdr:col>59</xdr:col>
      <xdr:colOff>238124</xdr:colOff>
      <xdr:row>42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6E25EAE-6641-15FD-DFB8-8637D711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542924</xdr:colOff>
      <xdr:row>42</xdr:row>
      <xdr:rowOff>152400</xdr:rowOff>
    </xdr:from>
    <xdr:to>
      <xdr:col>59</xdr:col>
      <xdr:colOff>238124</xdr:colOff>
      <xdr:row>57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01939E3-6B90-4C08-B9D2-3340A2B0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9524</xdr:colOff>
      <xdr:row>71</xdr:row>
      <xdr:rowOff>152399</xdr:rowOff>
    </xdr:from>
    <xdr:to>
      <xdr:col>59</xdr:col>
      <xdr:colOff>314324</xdr:colOff>
      <xdr:row>86</xdr:row>
      <xdr:rowOff>23812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8C23C1A-66A5-C3B6-F5DE-BD5B8F5CE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28574</xdr:colOff>
      <xdr:row>0</xdr:row>
      <xdr:rowOff>0</xdr:rowOff>
    </xdr:from>
    <xdr:to>
      <xdr:col>51</xdr:col>
      <xdr:colOff>333374</xdr:colOff>
      <xdr:row>13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D6FE216-8404-4574-23B0-999A9A610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28574</xdr:colOff>
      <xdr:row>13</xdr:row>
      <xdr:rowOff>133350</xdr:rowOff>
    </xdr:from>
    <xdr:to>
      <xdr:col>51</xdr:col>
      <xdr:colOff>333374</xdr:colOff>
      <xdr:row>27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35F2FFE-0FD8-C9E0-92F8-7ED1C8E0B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47624</xdr:colOff>
      <xdr:row>27</xdr:row>
      <xdr:rowOff>76200</xdr:rowOff>
    </xdr:from>
    <xdr:to>
      <xdr:col>51</xdr:col>
      <xdr:colOff>352424</xdr:colOff>
      <xdr:row>41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F6AE2D-4308-1E4D-B1CF-C916D109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47624</xdr:colOff>
      <xdr:row>41</xdr:row>
      <xdr:rowOff>152400</xdr:rowOff>
    </xdr:from>
    <xdr:to>
      <xdr:col>51</xdr:col>
      <xdr:colOff>352424</xdr:colOff>
      <xdr:row>56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45381D3-9E51-B377-6435-709EBB88D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66674</xdr:colOff>
      <xdr:row>56</xdr:row>
      <xdr:rowOff>95250</xdr:rowOff>
    </xdr:from>
    <xdr:to>
      <xdr:col>51</xdr:col>
      <xdr:colOff>371474</xdr:colOff>
      <xdr:row>70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D3E96E2-61D8-EE40-6395-254A30934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104774</xdr:colOff>
      <xdr:row>71</xdr:row>
      <xdr:rowOff>38100</xdr:rowOff>
    </xdr:from>
    <xdr:to>
      <xdr:col>51</xdr:col>
      <xdr:colOff>409574</xdr:colOff>
      <xdr:row>84</xdr:row>
      <xdr:rowOff>95250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C01FEB4-A997-361A-2B1D-73E28D103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447674</xdr:colOff>
      <xdr:row>0</xdr:row>
      <xdr:rowOff>0</xdr:rowOff>
    </xdr:from>
    <xdr:to>
      <xdr:col>59</xdr:col>
      <xdr:colOff>142874</xdr:colOff>
      <xdr:row>13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1E3457C-0640-E6FB-2C3E-58742D11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466724</xdr:colOff>
      <xdr:row>13</xdr:row>
      <xdr:rowOff>114300</xdr:rowOff>
    </xdr:from>
    <xdr:to>
      <xdr:col>59</xdr:col>
      <xdr:colOff>161924</xdr:colOff>
      <xdr:row>27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997B1C-1F1F-459D-65D3-B17B915A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485774</xdr:colOff>
      <xdr:row>27</xdr:row>
      <xdr:rowOff>76200</xdr:rowOff>
    </xdr:from>
    <xdr:to>
      <xdr:col>59</xdr:col>
      <xdr:colOff>180974</xdr:colOff>
      <xdr:row>41</xdr:row>
      <xdr:rowOff>152400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89F1011-D897-1866-89EE-898B48D66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485774</xdr:colOff>
      <xdr:row>41</xdr:row>
      <xdr:rowOff>171450</xdr:rowOff>
    </xdr:from>
    <xdr:to>
      <xdr:col>59</xdr:col>
      <xdr:colOff>180974</xdr:colOff>
      <xdr:row>56</xdr:row>
      <xdr:rowOff>57150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737FFB1-8787-553B-738B-05D87D5B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504824</xdr:colOff>
      <xdr:row>71</xdr:row>
      <xdr:rowOff>19050</xdr:rowOff>
    </xdr:from>
    <xdr:to>
      <xdr:col>59</xdr:col>
      <xdr:colOff>200024</xdr:colOff>
      <xdr:row>84</xdr:row>
      <xdr:rowOff>95250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D884381-D430-928C-0C8B-D9C83B66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639C-3495-4986-B33D-778B115A1984}">
  <dimension ref="A1:CJ115"/>
  <sheetViews>
    <sheetView topLeftCell="A17" zoomScale="50" zoomScaleNormal="50" workbookViewId="0">
      <selection activeCell="BE91" sqref="BE91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4"/>
      <c r="C2" s="25">
        <v>1</v>
      </c>
      <c r="D2" s="8">
        <v>2</v>
      </c>
      <c r="E2" s="25">
        <v>3</v>
      </c>
      <c r="F2" s="8">
        <v>4</v>
      </c>
      <c r="G2" s="25">
        <v>5</v>
      </c>
      <c r="H2" s="8">
        <v>6</v>
      </c>
      <c r="I2" s="25">
        <v>7</v>
      </c>
      <c r="J2" s="8">
        <v>8</v>
      </c>
      <c r="K2" s="25">
        <v>9</v>
      </c>
      <c r="L2" s="8">
        <v>10</v>
      </c>
      <c r="M2" s="25">
        <v>11</v>
      </c>
      <c r="N2" s="8">
        <v>12</v>
      </c>
      <c r="O2" s="25">
        <v>13</v>
      </c>
      <c r="P2" s="8">
        <v>14</v>
      </c>
      <c r="Q2" s="25">
        <v>15</v>
      </c>
      <c r="R2" s="8">
        <v>16</v>
      </c>
      <c r="S2" s="25">
        <v>17</v>
      </c>
      <c r="T2" s="8">
        <v>18</v>
      </c>
      <c r="U2" s="25">
        <v>19</v>
      </c>
      <c r="V2" s="8">
        <v>20</v>
      </c>
      <c r="W2" s="25">
        <v>21</v>
      </c>
      <c r="X2" s="8">
        <v>22</v>
      </c>
      <c r="Y2" s="25">
        <v>23</v>
      </c>
      <c r="Z2" s="9">
        <v>24</v>
      </c>
      <c r="AA2" s="6"/>
      <c r="AB2" s="6"/>
      <c r="AC2" s="6"/>
      <c r="AD2" s="6"/>
      <c r="AE2" s="6"/>
      <c r="AF2" s="6"/>
      <c r="AG2" s="6"/>
      <c r="AH2" s="144" t="s">
        <v>77</v>
      </c>
      <c r="AI2" s="145"/>
      <c r="AJ2" s="145"/>
      <c r="AK2" s="145"/>
      <c r="AL2" s="14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4" t="s">
        <v>15</v>
      </c>
      <c r="C3" s="97" t="s">
        <v>17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  <c r="R3" s="97" t="s">
        <v>18</v>
      </c>
      <c r="S3" s="98"/>
      <c r="T3" s="98"/>
      <c r="U3" s="98"/>
      <c r="V3" s="98"/>
      <c r="W3" s="98"/>
      <c r="X3" s="98"/>
      <c r="Y3" s="98"/>
      <c r="Z3" s="99"/>
      <c r="AA3" s="6"/>
      <c r="AB3" s="6"/>
      <c r="AC3" s="6"/>
      <c r="AD3" s="6"/>
      <c r="AE3" s="6"/>
      <c r="AF3" s="6"/>
      <c r="AG3" s="6"/>
      <c r="AH3" s="147"/>
      <c r="AI3" s="148"/>
      <c r="AJ3" s="148"/>
      <c r="AK3" s="148"/>
      <c r="AL3" s="149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2" t="s">
        <v>0</v>
      </c>
      <c r="C4" s="92">
        <v>26.6758215126676</v>
      </c>
      <c r="D4" s="93">
        <v>23.981530021092201</v>
      </c>
      <c r="E4" s="93">
        <v>21.817223756699502</v>
      </c>
      <c r="F4" s="93">
        <v>19.4909675958123</v>
      </c>
      <c r="G4" s="93">
        <v>17.3327456185968</v>
      </c>
      <c r="H4" s="28">
        <v>18.588710950545199</v>
      </c>
      <c r="I4" s="28">
        <v>19.324363365045201</v>
      </c>
      <c r="J4" s="28">
        <v>17.8489821009255</v>
      </c>
      <c r="K4" s="29">
        <v>17.532808348543099</v>
      </c>
      <c r="L4" s="29">
        <v>18.2778636759483</v>
      </c>
      <c r="M4" s="29">
        <v>19.629734786737298</v>
      </c>
      <c r="N4" s="30">
        <v>18.530271454044701</v>
      </c>
      <c r="O4" s="30">
        <v>18.5260039933816</v>
      </c>
      <c r="P4" s="30">
        <v>18.860840329413001</v>
      </c>
      <c r="Q4" s="31">
        <v>35.601411960286804</v>
      </c>
      <c r="R4" s="92">
        <v>26.321241098007398</v>
      </c>
      <c r="S4" s="93">
        <v>24.0333851527669</v>
      </c>
      <c r="T4" s="93">
        <v>21.6598234833093</v>
      </c>
      <c r="U4" s="93">
        <v>19.0079607681438</v>
      </c>
      <c r="V4" s="93">
        <v>17.0701950777948</v>
      </c>
      <c r="W4" s="28">
        <v>18.0138726717346</v>
      </c>
      <c r="X4" s="28">
        <v>20.8109988186499</v>
      </c>
      <c r="Y4" s="28">
        <v>16.876205138575799</v>
      </c>
      <c r="Z4" s="31" t="s">
        <v>49</v>
      </c>
      <c r="AA4" s="6"/>
      <c r="AB4" s="1"/>
      <c r="AC4" s="6" t="s">
        <v>28</v>
      </c>
      <c r="AD4" s="6"/>
      <c r="AE4" s="6"/>
      <c r="AF4" s="6"/>
      <c r="AG4" s="6"/>
      <c r="AH4" s="88" t="s">
        <v>78</v>
      </c>
      <c r="AI4" s="89"/>
      <c r="AJ4" s="89"/>
      <c r="AK4" s="140">
        <v>45112</v>
      </c>
      <c r="AL4" s="141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3" t="s">
        <v>1</v>
      </c>
      <c r="C5" s="94">
        <v>26.3658755564675</v>
      </c>
      <c r="D5" s="95">
        <v>38</v>
      </c>
      <c r="E5" s="96">
        <v>21.599340324913801</v>
      </c>
      <c r="F5" s="96">
        <v>19.580159546617001</v>
      </c>
      <c r="G5" s="96">
        <v>17.2929242403312</v>
      </c>
      <c r="H5" s="10">
        <v>18.256140815988498</v>
      </c>
      <c r="I5" s="10">
        <v>19.175462492819399</v>
      </c>
      <c r="J5" s="10">
        <v>17.945259403187102</v>
      </c>
      <c r="K5" s="11">
        <v>17.4826808697334</v>
      </c>
      <c r="L5" s="11">
        <v>18.099984939137698</v>
      </c>
      <c r="M5" s="11">
        <v>19.728869755670502</v>
      </c>
      <c r="N5" s="12">
        <v>18.7464737711203</v>
      </c>
      <c r="O5" s="12">
        <v>18.254924942701798</v>
      </c>
      <c r="P5" s="12">
        <v>18.494808212804099</v>
      </c>
      <c r="Q5" s="13">
        <v>34.082547902239597</v>
      </c>
      <c r="R5" s="94">
        <v>26.789071005566601</v>
      </c>
      <c r="S5" s="96">
        <v>24.073509539097898</v>
      </c>
      <c r="T5" s="96">
        <v>21.524833805819199</v>
      </c>
      <c r="U5" s="96">
        <v>19.458941470478401</v>
      </c>
      <c r="V5" s="96">
        <v>16.9668124961788</v>
      </c>
      <c r="W5" s="10">
        <v>18.269181275390299</v>
      </c>
      <c r="X5" s="10">
        <v>21.192264974583999</v>
      </c>
      <c r="Y5" s="10">
        <v>17.115049882181999</v>
      </c>
      <c r="Z5" s="13">
        <v>37.458035239209799</v>
      </c>
      <c r="AA5" s="6"/>
      <c r="AB5" s="2"/>
      <c r="AC5" s="6" t="s">
        <v>29</v>
      </c>
      <c r="AD5" s="6"/>
      <c r="AE5" s="6"/>
      <c r="AF5" s="6"/>
      <c r="AG5" s="6"/>
      <c r="AH5" s="88" t="s">
        <v>79</v>
      </c>
      <c r="AI5" s="89"/>
      <c r="AJ5" s="89"/>
      <c r="AK5" s="140">
        <v>45127</v>
      </c>
      <c r="AL5" s="141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4" t="s">
        <v>15</v>
      </c>
      <c r="C6" s="100" t="s">
        <v>18</v>
      </c>
      <c r="D6" s="101"/>
      <c r="E6" s="101"/>
      <c r="F6" s="101"/>
      <c r="G6" s="101"/>
      <c r="H6" s="102"/>
      <c r="I6" s="100" t="s">
        <v>26</v>
      </c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2"/>
      <c r="X6" s="103"/>
      <c r="Y6" s="104"/>
      <c r="Z6" s="105"/>
      <c r="AA6" s="6"/>
      <c r="AB6" s="3"/>
      <c r="AC6" s="6" t="s">
        <v>30</v>
      </c>
      <c r="AD6" s="6"/>
      <c r="AE6" s="6"/>
      <c r="AF6" s="6"/>
      <c r="AG6" s="6"/>
      <c r="AH6" s="88" t="s">
        <v>80</v>
      </c>
      <c r="AI6" s="89"/>
      <c r="AJ6" s="89"/>
      <c r="AK6" s="140">
        <v>45157</v>
      </c>
      <c r="AL6" s="141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2" t="s">
        <v>2</v>
      </c>
      <c r="C7" s="32">
        <v>17.539355011257001</v>
      </c>
      <c r="D7" s="29">
        <v>18.238020407030199</v>
      </c>
      <c r="E7" s="29">
        <v>21.382708481736401</v>
      </c>
      <c r="F7" s="30">
        <v>17.958161142968901</v>
      </c>
      <c r="G7" s="30">
        <v>17.114090121379601</v>
      </c>
      <c r="H7" s="33">
        <v>18.0035040252531</v>
      </c>
      <c r="I7" s="92">
        <v>30.012536050192601</v>
      </c>
      <c r="J7" s="93">
        <v>28.027660744408401</v>
      </c>
      <c r="K7" s="93">
        <v>26.599416188526799</v>
      </c>
      <c r="L7" s="93">
        <v>24.714030993275198</v>
      </c>
      <c r="M7" s="93">
        <v>22.5004029882693</v>
      </c>
      <c r="N7" s="28">
        <v>23.803084423412201</v>
      </c>
      <c r="O7" s="28">
        <v>24.865062501412201</v>
      </c>
      <c r="P7" s="28">
        <v>22.6513857404757</v>
      </c>
      <c r="Q7" s="29">
        <v>22.635066785674098</v>
      </c>
      <c r="R7" s="29">
        <v>23.0736080723212</v>
      </c>
      <c r="S7" s="29">
        <v>25.2275409669632</v>
      </c>
      <c r="T7" s="30">
        <v>23.786241561163099</v>
      </c>
      <c r="U7" s="30">
        <v>23.0841647712145</v>
      </c>
      <c r="V7" s="30">
        <v>23.848087879121799</v>
      </c>
      <c r="W7" s="31">
        <v>34.613213886219498</v>
      </c>
      <c r="X7" s="106"/>
      <c r="Y7" s="107"/>
      <c r="Z7" s="108"/>
      <c r="AA7" s="6"/>
      <c r="AB7" s="4"/>
      <c r="AC7" s="6" t="s">
        <v>31</v>
      </c>
      <c r="AD7" s="6"/>
      <c r="AE7" s="6"/>
      <c r="AF7" s="6"/>
      <c r="AG7" s="6"/>
      <c r="AH7" s="88" t="s">
        <v>81</v>
      </c>
      <c r="AI7" s="89"/>
      <c r="AJ7" s="89"/>
      <c r="AK7" s="140">
        <v>45128</v>
      </c>
      <c r="AL7" s="141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3" t="s">
        <v>3</v>
      </c>
      <c r="C8" s="14">
        <v>17.565048310473099</v>
      </c>
      <c r="D8" s="11">
        <v>18.1195922971024</v>
      </c>
      <c r="E8" s="11">
        <v>21.367090042123799</v>
      </c>
      <c r="F8" s="12">
        <v>17.990796019370901</v>
      </c>
      <c r="G8" s="12">
        <v>16.974328731590202</v>
      </c>
      <c r="H8" s="15">
        <v>18.094896713128801</v>
      </c>
      <c r="I8" s="94">
        <v>29.820373557364199</v>
      </c>
      <c r="J8" s="96">
        <v>27.668812336209399</v>
      </c>
      <c r="K8" s="96">
        <v>26.579712412773802</v>
      </c>
      <c r="L8" s="96">
        <v>24.615987594958899</v>
      </c>
      <c r="M8" s="96">
        <v>22.2440385151762</v>
      </c>
      <c r="N8" s="10">
        <v>23.534233399516602</v>
      </c>
      <c r="O8" s="10">
        <v>24.7214379261655</v>
      </c>
      <c r="P8" s="10">
        <v>22.628583394791999</v>
      </c>
      <c r="Q8" s="11">
        <v>22.654415703706199</v>
      </c>
      <c r="R8" s="16">
        <v>23.002379669562998</v>
      </c>
      <c r="S8" s="16">
        <v>24.977381887412498</v>
      </c>
      <c r="T8" s="17">
        <v>23.897766417484</v>
      </c>
      <c r="U8" s="17">
        <v>23.083027414194198</v>
      </c>
      <c r="V8" s="17">
        <v>24.056920888560299</v>
      </c>
      <c r="W8" s="18">
        <v>34.238630171860699</v>
      </c>
      <c r="X8" s="109"/>
      <c r="Y8" s="110"/>
      <c r="Z8" s="111"/>
      <c r="AA8" s="6"/>
      <c r="AB8" s="5"/>
      <c r="AC8" s="6" t="s">
        <v>32</v>
      </c>
      <c r="AD8" s="6"/>
      <c r="AE8" s="6"/>
      <c r="AF8" s="6"/>
      <c r="AG8" s="6"/>
      <c r="AH8" s="90" t="s">
        <v>82</v>
      </c>
      <c r="AI8" s="91"/>
      <c r="AJ8" s="91"/>
      <c r="AK8" s="142">
        <v>45129</v>
      </c>
      <c r="AL8" s="14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4" t="s">
        <v>15</v>
      </c>
      <c r="C9" s="97" t="s">
        <v>19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97" t="s">
        <v>20</v>
      </c>
      <c r="S9" s="98"/>
      <c r="T9" s="98"/>
      <c r="U9" s="98"/>
      <c r="V9" s="98"/>
      <c r="W9" s="98"/>
      <c r="X9" s="98"/>
      <c r="Y9" s="98"/>
      <c r="Z9" s="99"/>
      <c r="AA9" s="6"/>
      <c r="AB9" s="21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2" t="s">
        <v>4</v>
      </c>
      <c r="C10" s="92">
        <v>26.989656206546499</v>
      </c>
      <c r="D10" s="93">
        <v>24.372342986856601</v>
      </c>
      <c r="E10" s="93">
        <v>22.3823390252543</v>
      </c>
      <c r="F10" s="93">
        <v>19.983090610644201</v>
      </c>
      <c r="G10" s="93">
        <v>17.676099921581599</v>
      </c>
      <c r="H10" s="28">
        <v>19.6451886133719</v>
      </c>
      <c r="I10" s="28">
        <v>19.970521282945398</v>
      </c>
      <c r="J10" s="28">
        <v>19.877857577873701</v>
      </c>
      <c r="K10" s="29">
        <v>17.7509495542627</v>
      </c>
      <c r="L10" s="29">
        <v>18.978826573244401</v>
      </c>
      <c r="M10" s="29">
        <v>19.9758690158435</v>
      </c>
      <c r="N10" s="30">
        <v>20.635485810874599</v>
      </c>
      <c r="O10" s="30">
        <v>20.594983568529301</v>
      </c>
      <c r="P10" s="30">
        <v>20.553482744822599</v>
      </c>
      <c r="Q10" s="31" t="s">
        <v>49</v>
      </c>
      <c r="R10" s="92">
        <v>27.413975578466601</v>
      </c>
      <c r="S10" s="93">
        <v>25.075294335577201</v>
      </c>
      <c r="T10" s="93">
        <v>22.880852651217801</v>
      </c>
      <c r="U10" s="93">
        <v>20.5633840298763</v>
      </c>
      <c r="V10" s="93">
        <v>18.315745199182299</v>
      </c>
      <c r="W10" s="28">
        <v>19.8673545987632</v>
      </c>
      <c r="X10" s="28">
        <v>20.298362615754002</v>
      </c>
      <c r="Y10" s="28">
        <v>19.040235504087502</v>
      </c>
      <c r="Z10" s="31" t="s">
        <v>49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3" t="s">
        <v>5</v>
      </c>
      <c r="C11" s="94">
        <v>26.904351048726198</v>
      </c>
      <c r="D11" s="96">
        <v>24.400266530268802</v>
      </c>
      <c r="E11" s="96">
        <v>22.304111651905401</v>
      </c>
      <c r="F11" s="96">
        <v>19.978395191251298</v>
      </c>
      <c r="G11" s="96">
        <v>17.6959239435628</v>
      </c>
      <c r="H11" s="10">
        <v>19.7128479286737</v>
      </c>
      <c r="I11" s="10">
        <v>19.8910839001482</v>
      </c>
      <c r="J11" s="10">
        <v>19.650587805030799</v>
      </c>
      <c r="K11" s="11">
        <v>17.6200279554586</v>
      </c>
      <c r="L11" s="11">
        <v>18.9533397829846</v>
      </c>
      <c r="M11" s="11">
        <v>20.048727862121002</v>
      </c>
      <c r="N11" s="12">
        <v>20.726340221384799</v>
      </c>
      <c r="O11" s="12">
        <v>20.702693307934702</v>
      </c>
      <c r="P11" s="12">
        <v>20.511454265904501</v>
      </c>
      <c r="Q11" s="13" t="s">
        <v>49</v>
      </c>
      <c r="R11" s="94">
        <v>27.141811811412701</v>
      </c>
      <c r="S11" s="96">
        <v>24.9619846137909</v>
      </c>
      <c r="T11" s="96">
        <v>22.957462132322</v>
      </c>
      <c r="U11" s="96">
        <v>20.527549477740401</v>
      </c>
      <c r="V11" s="96">
        <v>18.418633188279099</v>
      </c>
      <c r="W11" s="10">
        <v>19.9823345032374</v>
      </c>
      <c r="X11" s="10">
        <v>20.277712482656099</v>
      </c>
      <c r="Y11" s="10">
        <v>19.004163310654199</v>
      </c>
      <c r="Z11" s="13" t="s">
        <v>49</v>
      </c>
      <c r="AA11" s="6"/>
      <c r="AB11" s="6" t="s">
        <v>51</v>
      </c>
      <c r="AC11" s="6" t="s">
        <v>52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4" t="s">
        <v>15</v>
      </c>
      <c r="C12" s="97" t="s">
        <v>20</v>
      </c>
      <c r="D12" s="98"/>
      <c r="E12" s="98"/>
      <c r="F12" s="98"/>
      <c r="G12" s="98"/>
      <c r="H12" s="99"/>
      <c r="I12" s="97" t="s">
        <v>21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9"/>
      <c r="X12" s="103"/>
      <c r="Y12" s="104"/>
      <c r="Z12" s="105"/>
      <c r="AA12" s="6"/>
      <c r="AB12" s="6" t="s">
        <v>53</v>
      </c>
      <c r="AC12" s="6" t="s">
        <v>54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2" t="s">
        <v>6</v>
      </c>
      <c r="C13" s="32">
        <v>18.360025374673299</v>
      </c>
      <c r="D13" s="29">
        <v>19.054206646619999</v>
      </c>
      <c r="E13" s="29">
        <v>20.2517598797162</v>
      </c>
      <c r="F13" s="30">
        <v>19.950999789442399</v>
      </c>
      <c r="G13" s="30">
        <v>19.483999776411501</v>
      </c>
      <c r="H13" s="33">
        <v>20.271951968106102</v>
      </c>
      <c r="I13" s="92">
        <v>27.607412324856199</v>
      </c>
      <c r="J13" s="93">
        <v>25.128573936951199</v>
      </c>
      <c r="K13" s="93">
        <v>22.707150363025701</v>
      </c>
      <c r="L13" s="93">
        <v>20.2421715855453</v>
      </c>
      <c r="M13" s="93">
        <v>18.112527816791602</v>
      </c>
      <c r="N13" s="28">
        <v>19.54541408391</v>
      </c>
      <c r="O13" s="28">
        <v>19.975657381809</v>
      </c>
      <c r="P13" s="28">
        <v>19.422708994157301</v>
      </c>
      <c r="Q13" s="29">
        <v>17.700009744157398</v>
      </c>
      <c r="R13" s="29">
        <v>19.0124384642927</v>
      </c>
      <c r="S13" s="29">
        <v>20.304528747474102</v>
      </c>
      <c r="T13" s="30">
        <v>20.9871157207048</v>
      </c>
      <c r="U13" s="30">
        <v>20.704620204113098</v>
      </c>
      <c r="V13" s="30">
        <v>20.978356204076501</v>
      </c>
      <c r="W13" s="31">
        <v>36.991617715934403</v>
      </c>
      <c r="X13" s="106"/>
      <c r="Y13" s="107"/>
      <c r="Z13" s="108"/>
      <c r="AA13" s="6"/>
      <c r="AB13" s="6" t="s">
        <v>55</v>
      </c>
      <c r="AC13" s="6" t="s">
        <v>56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3" t="s">
        <v>7</v>
      </c>
      <c r="C14" s="14">
        <v>18.415411662472302</v>
      </c>
      <c r="D14" s="11">
        <v>19.109622526683498</v>
      </c>
      <c r="E14" s="11">
        <v>20.22260058645</v>
      </c>
      <c r="F14" s="12">
        <v>19.9541541377999</v>
      </c>
      <c r="G14" s="12">
        <v>19.5197950443042</v>
      </c>
      <c r="H14" s="15">
        <v>19.912782156379301</v>
      </c>
      <c r="I14" s="94">
        <v>27.1915203871811</v>
      </c>
      <c r="J14" s="96">
        <v>25.001374811483799</v>
      </c>
      <c r="K14" s="96">
        <v>22.434809095733002</v>
      </c>
      <c r="L14" s="96">
        <v>20.310697895745001</v>
      </c>
      <c r="M14" s="96">
        <v>17.986770493003501</v>
      </c>
      <c r="N14" s="10">
        <v>19.4871064406389</v>
      </c>
      <c r="O14" s="10">
        <v>20.181787703672601</v>
      </c>
      <c r="P14" s="10">
        <v>19.516764093254601</v>
      </c>
      <c r="Q14" s="11">
        <v>17.5814900003285</v>
      </c>
      <c r="R14" s="16">
        <v>19.078089056571802</v>
      </c>
      <c r="S14" s="16">
        <v>20.3029477286427</v>
      </c>
      <c r="T14" s="17">
        <v>20.938166197708401</v>
      </c>
      <c r="U14" s="17">
        <v>20.7350541764397</v>
      </c>
      <c r="V14" s="17">
        <v>20.8782366770651</v>
      </c>
      <c r="W14" s="18" t="s">
        <v>49</v>
      </c>
      <c r="X14" s="109"/>
      <c r="Y14" s="110"/>
      <c r="Z14" s="111"/>
      <c r="AA14" s="6"/>
      <c r="AB14" s="6" t="s">
        <v>57</v>
      </c>
      <c r="AC14" s="6" t="s">
        <v>58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4" t="s">
        <v>15</v>
      </c>
      <c r="C15" s="97" t="s">
        <v>22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  <c r="R15" s="97" t="s">
        <v>23</v>
      </c>
      <c r="S15" s="98"/>
      <c r="T15" s="98"/>
      <c r="U15" s="98"/>
      <c r="V15" s="98"/>
      <c r="W15" s="98"/>
      <c r="X15" s="98"/>
      <c r="Y15" s="98"/>
      <c r="Z15" s="99"/>
      <c r="AA15" s="6"/>
      <c r="AB15" s="6" t="s">
        <v>59</v>
      </c>
      <c r="AC15" s="6" t="s">
        <v>60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2" t="s">
        <v>8</v>
      </c>
      <c r="C16" s="92">
        <v>29.326265439719698</v>
      </c>
      <c r="D16" s="93">
        <v>27.782020529771199</v>
      </c>
      <c r="E16" s="93">
        <v>25.698145982918899</v>
      </c>
      <c r="F16" s="93">
        <v>23.293379633619899</v>
      </c>
      <c r="G16" s="93">
        <v>20.776656569928999</v>
      </c>
      <c r="H16" s="28">
        <v>22.018808294406</v>
      </c>
      <c r="I16" s="28">
        <v>23.526492369047499</v>
      </c>
      <c r="J16" s="28">
        <v>20.989280983209198</v>
      </c>
      <c r="K16" s="29">
        <v>21.288476733863</v>
      </c>
      <c r="L16" s="29">
        <v>21.702366448400401</v>
      </c>
      <c r="M16" s="29">
        <v>23.8658111923063</v>
      </c>
      <c r="N16" s="30">
        <v>22.217409406874602</v>
      </c>
      <c r="O16" s="30">
        <v>21.445961911799401</v>
      </c>
      <c r="P16" s="30">
        <v>22.3015108134793</v>
      </c>
      <c r="Q16" s="31">
        <v>31.366960676695602</v>
      </c>
      <c r="R16" s="92">
        <v>31.498895276837899</v>
      </c>
      <c r="S16" s="93">
        <v>29.281733621818201</v>
      </c>
      <c r="T16" s="93">
        <v>27.2602917443315</v>
      </c>
      <c r="U16" s="93">
        <v>24.816617755960401</v>
      </c>
      <c r="V16" s="93">
        <v>22.36956550667</v>
      </c>
      <c r="W16" s="28">
        <v>23.7008950295902</v>
      </c>
      <c r="X16" s="28">
        <v>25.010000482830399</v>
      </c>
      <c r="Y16" s="28">
        <v>22.804847124578298</v>
      </c>
      <c r="Z16" s="31">
        <v>37.910735752888399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3" t="s">
        <v>9</v>
      </c>
      <c r="C17" s="94">
        <v>29.7815950873966</v>
      </c>
      <c r="D17" s="96">
        <v>27.555876663176399</v>
      </c>
      <c r="E17" s="96">
        <v>25.514037673153901</v>
      </c>
      <c r="F17" s="96">
        <v>23.3113266754224</v>
      </c>
      <c r="G17" s="96">
        <v>20.751052355923999</v>
      </c>
      <c r="H17" s="10">
        <v>21.989318196560902</v>
      </c>
      <c r="I17" s="10">
        <v>23.5254992608462</v>
      </c>
      <c r="J17" s="10">
        <v>21.087737401575701</v>
      </c>
      <c r="K17" s="11">
        <v>21.179755773092499</v>
      </c>
      <c r="L17" s="11">
        <v>21.611502087562101</v>
      </c>
      <c r="M17" s="11">
        <v>23.893671128100198</v>
      </c>
      <c r="N17" s="12">
        <v>22.155463844015902</v>
      </c>
      <c r="O17" s="12">
        <v>21.425173854249</v>
      </c>
      <c r="P17" s="12">
        <v>22.1614298769532</v>
      </c>
      <c r="Q17" s="13">
        <v>28.943061333030599</v>
      </c>
      <c r="R17" s="94" t="s">
        <v>49</v>
      </c>
      <c r="S17" s="96">
        <v>29.256071864379301</v>
      </c>
      <c r="T17" s="96">
        <v>27.127824034262801</v>
      </c>
      <c r="U17" s="96">
        <v>24.822221648516699</v>
      </c>
      <c r="V17" s="96">
        <v>22.366199595641699</v>
      </c>
      <c r="W17" s="10">
        <v>23.6266540749189</v>
      </c>
      <c r="X17" s="10">
        <v>24.994039117442298</v>
      </c>
      <c r="Y17" s="10">
        <v>22.9655852322906</v>
      </c>
      <c r="Z17" s="13">
        <v>37.384003692566701</v>
      </c>
      <c r="AA17" s="6"/>
      <c r="AB17" s="6" t="s">
        <v>61</v>
      </c>
      <c r="AC17" s="6" t="s">
        <v>62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4" t="s">
        <v>15</v>
      </c>
      <c r="C18" s="97" t="s">
        <v>23</v>
      </c>
      <c r="D18" s="98"/>
      <c r="E18" s="98"/>
      <c r="F18" s="98"/>
      <c r="G18" s="98"/>
      <c r="H18" s="99"/>
      <c r="I18" s="97" t="s">
        <v>27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103"/>
      <c r="Y18" s="104"/>
      <c r="Z18" s="105"/>
      <c r="AA18" s="6"/>
      <c r="AB18" s="6" t="s">
        <v>63</v>
      </c>
      <c r="AC18" s="6" t="s">
        <v>64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2" t="s">
        <v>10</v>
      </c>
      <c r="C19" s="32">
        <v>22.582613036335299</v>
      </c>
      <c r="D19" s="29">
        <v>23.401931445603001</v>
      </c>
      <c r="E19" s="29">
        <v>25.275886409955699</v>
      </c>
      <c r="F19" s="30">
        <v>24.1197472829129</v>
      </c>
      <c r="G19" s="30">
        <v>23.522122647096801</v>
      </c>
      <c r="H19" s="33">
        <v>24.291991619533</v>
      </c>
      <c r="I19" s="92">
        <v>28.926015172548102</v>
      </c>
      <c r="J19" s="93">
        <v>26.4389425794418</v>
      </c>
      <c r="K19" s="93">
        <v>24.2564208915073</v>
      </c>
      <c r="L19" s="93">
        <v>21.8290625974184</v>
      </c>
      <c r="M19" s="93">
        <v>19.529744992642598</v>
      </c>
      <c r="N19" s="28">
        <v>20.819000231157101</v>
      </c>
      <c r="O19" s="28">
        <v>21.6509490597176</v>
      </c>
      <c r="P19" s="28">
        <v>19.7098981044503</v>
      </c>
      <c r="Q19" s="29">
        <v>19.413080994109102</v>
      </c>
      <c r="R19" s="29">
        <v>20.271938980339399</v>
      </c>
      <c r="S19" s="29">
        <v>21.8919422390073</v>
      </c>
      <c r="T19" s="30">
        <v>20.904233563384199</v>
      </c>
      <c r="U19" s="30">
        <v>19.976596434203302</v>
      </c>
      <c r="V19" s="30">
        <v>21.081961948928502</v>
      </c>
      <c r="W19" s="31">
        <v>35.916005133405299</v>
      </c>
      <c r="X19" s="106"/>
      <c r="Y19" s="107"/>
      <c r="Z19" s="108"/>
      <c r="AA19" s="6"/>
      <c r="AB19" s="6" t="s">
        <v>65</v>
      </c>
      <c r="AC19" s="6" t="s">
        <v>66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3" t="s">
        <v>11</v>
      </c>
      <c r="C20" s="14">
        <v>22.480422605292201</v>
      </c>
      <c r="D20" s="11">
        <v>23.387328928348499</v>
      </c>
      <c r="E20" s="11">
        <v>25.3085677284203</v>
      </c>
      <c r="F20" s="12">
        <v>24.166412345529</v>
      </c>
      <c r="G20" s="12">
        <v>23.496999523186101</v>
      </c>
      <c r="H20" s="15">
        <v>24.309220164719299</v>
      </c>
      <c r="I20" s="94">
        <v>28.545619205983002</v>
      </c>
      <c r="J20" s="96">
        <v>26.386765860910099</v>
      </c>
      <c r="K20" s="96">
        <v>24.3573104069899</v>
      </c>
      <c r="L20" s="96">
        <v>21.813798634521198</v>
      </c>
      <c r="M20" s="96">
        <v>19.469562757022601</v>
      </c>
      <c r="N20" s="10">
        <v>20.461234667593299</v>
      </c>
      <c r="O20" s="10">
        <v>21.708237054579602</v>
      </c>
      <c r="P20" s="10">
        <v>19.643198888097999</v>
      </c>
      <c r="Q20" s="11">
        <v>19.326964913552001</v>
      </c>
      <c r="R20" s="16">
        <v>20.257421951208901</v>
      </c>
      <c r="S20" s="16">
        <v>21.881387376378701</v>
      </c>
      <c r="T20" s="17">
        <v>20.756092283852599</v>
      </c>
      <c r="U20" s="17">
        <v>20.109895628912</v>
      </c>
      <c r="V20" s="17">
        <v>21.257131090778401</v>
      </c>
      <c r="W20" s="18">
        <v>35.252073731209997</v>
      </c>
      <c r="X20" s="109"/>
      <c r="Y20" s="110"/>
      <c r="Z20" s="111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4" t="s">
        <v>15</v>
      </c>
      <c r="C21" s="97" t="s">
        <v>24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/>
      <c r="R21" s="154"/>
      <c r="S21" s="155"/>
      <c r="T21" s="155"/>
      <c r="U21" s="155"/>
      <c r="V21" s="155"/>
      <c r="W21" s="155"/>
      <c r="X21" s="155"/>
      <c r="Y21" s="155"/>
      <c r="Z21" s="156"/>
      <c r="AA21" s="6"/>
      <c r="AB21" s="72" t="s">
        <v>67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2" t="s">
        <v>12</v>
      </c>
      <c r="C22" s="92">
        <v>26.954649694027498</v>
      </c>
      <c r="D22" s="93">
        <v>24.713421620151401</v>
      </c>
      <c r="E22" s="93">
        <v>22.410196019016102</v>
      </c>
      <c r="F22" s="93">
        <v>19.923243382011499</v>
      </c>
      <c r="G22" s="93">
        <v>17.462749559258501</v>
      </c>
      <c r="H22" s="28">
        <v>20.1592742247574</v>
      </c>
      <c r="I22" s="28">
        <v>21.2762271509824</v>
      </c>
      <c r="J22" s="28">
        <v>19.772323258834302</v>
      </c>
      <c r="K22" s="29">
        <v>17.077154148450202</v>
      </c>
      <c r="L22" s="29">
        <v>18.033513240859602</v>
      </c>
      <c r="M22" s="29">
        <v>19.863076088314401</v>
      </c>
      <c r="N22" s="30">
        <v>18.290057344856901</v>
      </c>
      <c r="O22" s="30">
        <v>17.730236461423999</v>
      </c>
      <c r="P22" s="30">
        <v>18.361593631981201</v>
      </c>
      <c r="Q22" s="31">
        <v>36.5657694223178</v>
      </c>
      <c r="R22" s="157"/>
      <c r="S22" s="158"/>
      <c r="T22" s="158"/>
      <c r="U22" s="158"/>
      <c r="V22" s="158"/>
      <c r="W22" s="158"/>
      <c r="X22" s="158"/>
      <c r="Y22" s="158"/>
      <c r="Z22" s="159"/>
      <c r="AA22" s="6"/>
      <c r="AB22" s="6" t="s">
        <v>59</v>
      </c>
      <c r="AC22" s="6" t="s">
        <v>68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3" t="s">
        <v>13</v>
      </c>
      <c r="C23" s="94">
        <v>26.918185806360999</v>
      </c>
      <c r="D23" s="96">
        <v>24.6742471716883</v>
      </c>
      <c r="E23" s="96">
        <v>22.269968587401198</v>
      </c>
      <c r="F23" s="96">
        <v>19.982807133035699</v>
      </c>
      <c r="G23" s="96">
        <v>17.568723441489301</v>
      </c>
      <c r="H23" s="10">
        <v>20.419732511567201</v>
      </c>
      <c r="I23" s="10">
        <v>21.0805270249292</v>
      </c>
      <c r="J23" s="10">
        <v>19.760836439582501</v>
      </c>
      <c r="K23" s="11">
        <v>17.011516502127801</v>
      </c>
      <c r="L23" s="11">
        <v>18.048136195547201</v>
      </c>
      <c r="M23" s="11">
        <v>19.883497230266698</v>
      </c>
      <c r="N23" s="12">
        <v>18.179944516272801</v>
      </c>
      <c r="O23" s="12">
        <v>17.510119650745199</v>
      </c>
      <c r="P23" s="12">
        <v>18.366559019116199</v>
      </c>
      <c r="Q23" s="13">
        <v>35.545912360460399</v>
      </c>
      <c r="R23" s="160"/>
      <c r="S23" s="161"/>
      <c r="T23" s="161"/>
      <c r="U23" s="161"/>
      <c r="V23" s="161"/>
      <c r="W23" s="161"/>
      <c r="X23" s="161"/>
      <c r="Y23" s="161"/>
      <c r="Z23" s="162"/>
      <c r="AA23" s="6"/>
      <c r="AB23" s="73" t="s">
        <v>61</v>
      </c>
      <c r="AC23" s="74" t="s">
        <v>69</v>
      </c>
      <c r="AD23" s="74"/>
      <c r="AE23" s="74"/>
      <c r="AF23" s="74"/>
      <c r="AG23" s="113" t="s">
        <v>70</v>
      </c>
      <c r="AH23" s="113"/>
      <c r="AI23" s="113"/>
      <c r="AJ23" s="113"/>
      <c r="AK23" s="113"/>
      <c r="AL23" s="75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4" t="s">
        <v>15</v>
      </c>
      <c r="C24" s="154"/>
      <c r="D24" s="155"/>
      <c r="E24" s="155"/>
      <c r="F24" s="155"/>
      <c r="G24" s="155"/>
      <c r="H24" s="156"/>
      <c r="I24" s="97" t="s">
        <v>25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9"/>
      <c r="X24" s="103"/>
      <c r="Y24" s="104"/>
      <c r="Z24" s="105"/>
      <c r="AA24" s="6"/>
      <c r="AB24" s="76" t="s">
        <v>63</v>
      </c>
      <c r="AC24" s="6" t="s">
        <v>71</v>
      </c>
      <c r="AD24" s="6"/>
      <c r="AE24" s="6"/>
      <c r="AF24" s="7"/>
      <c r="AG24" s="114"/>
      <c r="AH24" s="114"/>
      <c r="AI24" s="114"/>
      <c r="AJ24" s="114"/>
      <c r="AK24" s="114"/>
      <c r="AL24" s="7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2" t="s">
        <v>14</v>
      </c>
      <c r="C25" s="157"/>
      <c r="D25" s="158"/>
      <c r="E25" s="158"/>
      <c r="F25" s="158"/>
      <c r="G25" s="158"/>
      <c r="H25" s="159"/>
      <c r="I25" s="92">
        <v>31.806600858562501</v>
      </c>
      <c r="J25" s="93">
        <v>29.474287334847901</v>
      </c>
      <c r="K25" s="93">
        <v>27.325761436573899</v>
      </c>
      <c r="L25" s="93">
        <v>24.944939561745901</v>
      </c>
      <c r="M25" s="93">
        <v>22.7713218438642</v>
      </c>
      <c r="N25" s="28">
        <v>24.275688578156501</v>
      </c>
      <c r="O25" s="28">
        <v>25.919957412607602</v>
      </c>
      <c r="P25" s="28">
        <v>22.830424584970501</v>
      </c>
      <c r="Q25" s="29">
        <v>23.315000349252699</v>
      </c>
      <c r="R25" s="29">
        <v>23.961550167607601</v>
      </c>
      <c r="S25" s="29">
        <v>26.7786812879854</v>
      </c>
      <c r="T25" s="30">
        <v>24.249532113405301</v>
      </c>
      <c r="U25" s="30">
        <v>23.0658752737355</v>
      </c>
      <c r="V25" s="30">
        <v>24.1159794830048</v>
      </c>
      <c r="W25" s="31">
        <v>39.997535712061797</v>
      </c>
      <c r="X25" s="106"/>
      <c r="Y25" s="107"/>
      <c r="Z25" s="108"/>
      <c r="AA25" s="6"/>
      <c r="AB25" s="78" t="s">
        <v>65</v>
      </c>
      <c r="AC25" s="79" t="s">
        <v>72</v>
      </c>
      <c r="AD25" s="79"/>
      <c r="AE25" s="79"/>
      <c r="AF25" s="80"/>
      <c r="AG25" s="115"/>
      <c r="AH25" s="115"/>
      <c r="AI25" s="115"/>
      <c r="AJ25" s="115"/>
      <c r="AK25" s="115"/>
      <c r="AL25" s="81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3" t="s">
        <v>15</v>
      </c>
      <c r="C26" s="160"/>
      <c r="D26" s="161"/>
      <c r="E26" s="161"/>
      <c r="F26" s="161"/>
      <c r="G26" s="161"/>
      <c r="H26" s="162"/>
      <c r="I26" s="94">
        <v>32.136689586547497</v>
      </c>
      <c r="J26" s="96">
        <v>29.382474238460802</v>
      </c>
      <c r="K26" s="96">
        <v>27.105489161635202</v>
      </c>
      <c r="L26" s="96">
        <v>24.925856387308698</v>
      </c>
      <c r="M26" s="96">
        <v>22.808329312143599</v>
      </c>
      <c r="N26" s="10">
        <v>24.216955176200699</v>
      </c>
      <c r="O26" s="10">
        <v>26.0950525278874</v>
      </c>
      <c r="P26" s="10">
        <v>22.7817813708904</v>
      </c>
      <c r="Q26" s="11">
        <v>23.320743740893999</v>
      </c>
      <c r="R26" s="11">
        <v>23.9709902702158</v>
      </c>
      <c r="S26" s="11">
        <v>26.544036774317799</v>
      </c>
      <c r="T26" s="12">
        <v>24.270460973524401</v>
      </c>
      <c r="U26" s="12">
        <v>23.203361127245799</v>
      </c>
      <c r="V26" s="12">
        <v>24.253367841845801</v>
      </c>
      <c r="W26" s="13">
        <v>38.461076663524402</v>
      </c>
      <c r="X26" s="109"/>
      <c r="Y26" s="110"/>
      <c r="Z26" s="111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12" t="s">
        <v>17</v>
      </c>
      <c r="D28" s="112"/>
      <c r="E28" s="112"/>
      <c r="F28" s="6"/>
      <c r="G28" s="6"/>
      <c r="H28" s="112" t="s">
        <v>18</v>
      </c>
      <c r="I28" s="112"/>
      <c r="J28" s="112"/>
      <c r="K28" s="6"/>
      <c r="L28" s="6"/>
      <c r="M28" s="112" t="s">
        <v>26</v>
      </c>
      <c r="N28" s="112"/>
      <c r="O28" s="112"/>
      <c r="P28" s="6"/>
      <c r="Q28" s="6"/>
      <c r="R28" s="112" t="s">
        <v>19</v>
      </c>
      <c r="S28" s="112"/>
      <c r="T28" s="112"/>
      <c r="U28" s="6"/>
      <c r="V28" s="6"/>
      <c r="W28" s="112" t="s">
        <v>20</v>
      </c>
      <c r="X28" s="112"/>
      <c r="Y28" s="112"/>
      <c r="Z28" s="6"/>
      <c r="AA28" s="6"/>
      <c r="AB28" s="112" t="s">
        <v>21</v>
      </c>
      <c r="AC28" s="112"/>
      <c r="AD28" s="112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4"/>
      <c r="C29" s="118" t="s">
        <v>47</v>
      </c>
      <c r="D29" s="119"/>
      <c r="E29" s="120"/>
      <c r="F29" s="6"/>
      <c r="G29" s="6"/>
      <c r="H29" s="121" t="s">
        <v>47</v>
      </c>
      <c r="I29" s="122"/>
      <c r="J29" s="123"/>
      <c r="K29" s="6"/>
      <c r="L29" s="6"/>
      <c r="M29" s="121" t="s">
        <v>47</v>
      </c>
      <c r="N29" s="122"/>
      <c r="O29" s="123"/>
      <c r="P29" s="6"/>
      <c r="Q29" s="6"/>
      <c r="R29" s="121" t="s">
        <v>47</v>
      </c>
      <c r="S29" s="124"/>
      <c r="T29" s="125"/>
      <c r="U29" s="6"/>
      <c r="V29" s="6"/>
      <c r="W29" s="121" t="s">
        <v>47</v>
      </c>
      <c r="X29" s="122"/>
      <c r="Y29" s="123"/>
      <c r="Z29" s="6"/>
      <c r="AA29" s="6"/>
      <c r="AB29" s="121" t="s">
        <v>47</v>
      </c>
      <c r="AC29" s="122"/>
      <c r="AD29" s="123"/>
      <c r="AE29" s="6"/>
      <c r="AF29" s="4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8"/>
      <c r="C30" s="35" t="s">
        <v>33</v>
      </c>
      <c r="D30" s="36" t="s">
        <v>45</v>
      </c>
      <c r="E30" s="71" t="s">
        <v>44</v>
      </c>
      <c r="F30" s="6"/>
      <c r="G30" s="6"/>
      <c r="H30" s="35" t="s">
        <v>33</v>
      </c>
      <c r="I30" s="36" t="s">
        <v>45</v>
      </c>
      <c r="J30" s="71" t="s">
        <v>44</v>
      </c>
      <c r="K30" s="6"/>
      <c r="L30" s="6"/>
      <c r="M30" s="35" t="s">
        <v>33</v>
      </c>
      <c r="N30" s="36" t="s">
        <v>45</v>
      </c>
      <c r="O30" s="71" t="s">
        <v>44</v>
      </c>
      <c r="P30" s="6"/>
      <c r="Q30" s="6"/>
      <c r="R30" s="35" t="s">
        <v>33</v>
      </c>
      <c r="S30" s="36" t="s">
        <v>45</v>
      </c>
      <c r="T30" s="71" t="s">
        <v>44</v>
      </c>
      <c r="U30" s="6"/>
      <c r="V30" s="6"/>
      <c r="W30" s="35" t="s">
        <v>33</v>
      </c>
      <c r="X30" s="36" t="s">
        <v>45</v>
      </c>
      <c r="Y30" s="71" t="s">
        <v>44</v>
      </c>
      <c r="Z30" s="6"/>
      <c r="AA30" s="6"/>
      <c r="AB30" s="35" t="s">
        <v>33</v>
      </c>
      <c r="AC30" s="36" t="s">
        <v>45</v>
      </c>
      <c r="AD30" s="71" t="s">
        <v>44</v>
      </c>
      <c r="AE30" s="6"/>
      <c r="AF30" s="39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40"/>
      <c r="C31" s="65">
        <v>3.2000000000000001E-2</v>
      </c>
      <c r="D31" s="66">
        <f>LOG(C31)</f>
        <v>-1.494850021680094</v>
      </c>
      <c r="E31" s="67">
        <f>AVERAGE(C4:C5)</f>
        <v>26.520848534567548</v>
      </c>
      <c r="F31" s="6"/>
      <c r="G31" s="6"/>
      <c r="H31" s="65">
        <v>3.2000000000000001E-2</v>
      </c>
      <c r="I31" s="66">
        <f>LOG(H31)</f>
        <v>-1.494850021680094</v>
      </c>
      <c r="J31" s="67">
        <f>AVERAGE(R4:R5)</f>
        <v>26.555156051787002</v>
      </c>
      <c r="K31" s="6"/>
      <c r="L31" s="6"/>
      <c r="M31" s="65">
        <v>3.2000000000000001E-2</v>
      </c>
      <c r="N31" s="66">
        <f>LOG(M31)</f>
        <v>-1.494850021680094</v>
      </c>
      <c r="O31" s="67">
        <f>AVERAGE(I7:I8)</f>
        <v>29.9164548037784</v>
      </c>
      <c r="P31" s="6"/>
      <c r="Q31" s="6"/>
      <c r="R31" s="65">
        <v>3.2000000000000001E-2</v>
      </c>
      <c r="S31" s="66">
        <f>LOG(R31)</f>
        <v>-1.494850021680094</v>
      </c>
      <c r="T31" s="67">
        <f>AVERAGE(C10:C11)</f>
        <v>26.947003627636349</v>
      </c>
      <c r="U31" s="6"/>
      <c r="V31" s="6"/>
      <c r="W31" s="65">
        <v>3.2000000000000001E-2</v>
      </c>
      <c r="X31" s="66">
        <f>LOG(W31)</f>
        <v>-1.494850021680094</v>
      </c>
      <c r="Y31" s="67">
        <f>AVERAGE(R10:R11)</f>
        <v>27.27789369493965</v>
      </c>
      <c r="Z31" s="6"/>
      <c r="AA31" s="6"/>
      <c r="AB31" s="65">
        <v>3.2000000000000001E-2</v>
      </c>
      <c r="AC31" s="66">
        <f>LOG(AB31)</f>
        <v>-1.494850021680094</v>
      </c>
      <c r="AD31" s="67">
        <f>AVERAGE(I13:I14)</f>
        <v>27.39946635601865</v>
      </c>
      <c r="AE31" s="6"/>
      <c r="AF31" s="41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40"/>
      <c r="C32" s="65">
        <v>0.16</v>
      </c>
      <c r="D32" s="66">
        <f>LOG(C32)</f>
        <v>-0.79588001734407521</v>
      </c>
      <c r="E32" s="67">
        <f>AVERAGE(D4)</f>
        <v>23.981530021092201</v>
      </c>
      <c r="F32" s="6"/>
      <c r="G32" s="6"/>
      <c r="H32" s="65">
        <v>0.16</v>
      </c>
      <c r="I32" s="66">
        <f>LOG(H32)</f>
        <v>-0.79588001734407521</v>
      </c>
      <c r="J32" s="67">
        <f>AVERAGE(S4:S5)</f>
        <v>24.053447345932398</v>
      </c>
      <c r="K32" s="6"/>
      <c r="L32" s="6"/>
      <c r="M32" s="65">
        <v>0.16</v>
      </c>
      <c r="N32" s="66">
        <f>LOG(M32)</f>
        <v>-0.79588001734407521</v>
      </c>
      <c r="O32" s="67">
        <f>AVERAGE(J7:J8)</f>
        <v>27.8482365403089</v>
      </c>
      <c r="P32" s="6"/>
      <c r="Q32" s="6"/>
      <c r="R32" s="65">
        <v>0.16</v>
      </c>
      <c r="S32" s="66">
        <f>LOG(R32)</f>
        <v>-0.79588001734407521</v>
      </c>
      <c r="T32" s="67">
        <f>AVERAGE(D10:D11)</f>
        <v>24.386304758562702</v>
      </c>
      <c r="U32" s="6"/>
      <c r="V32" s="6"/>
      <c r="W32" s="65">
        <v>0.16</v>
      </c>
      <c r="X32" s="66">
        <f>LOG(W32)</f>
        <v>-0.79588001734407521</v>
      </c>
      <c r="Y32" s="67">
        <f>AVERAGE(S10:S11)</f>
        <v>25.018639474684051</v>
      </c>
      <c r="Z32" s="6"/>
      <c r="AA32" s="6"/>
      <c r="AB32" s="65">
        <v>0.16</v>
      </c>
      <c r="AC32" s="66">
        <f>LOG(AB32)</f>
        <v>-0.79588001734407521</v>
      </c>
      <c r="AD32" s="67">
        <f>AVERAGE(J13:J14)</f>
        <v>25.064974374217499</v>
      </c>
      <c r="AE32" s="6"/>
      <c r="AF32" s="4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40"/>
      <c r="C33" s="65">
        <v>0.8</v>
      </c>
      <c r="D33" s="66">
        <f>LOG(C33)</f>
        <v>-9.6910013008056392E-2</v>
      </c>
      <c r="E33" s="67">
        <f>AVERAGE(E4:E5)</f>
        <v>21.708282040806651</v>
      </c>
      <c r="F33" s="6"/>
      <c r="G33" s="6"/>
      <c r="H33" s="65">
        <v>0.8</v>
      </c>
      <c r="I33" s="66">
        <f>LOG(H33)</f>
        <v>-9.6910013008056392E-2</v>
      </c>
      <c r="J33" s="67">
        <f>AVERAGE(T4:T5)</f>
        <v>21.592328644564247</v>
      </c>
      <c r="K33" s="6"/>
      <c r="L33" s="6"/>
      <c r="M33" s="65">
        <v>0.8</v>
      </c>
      <c r="N33" s="66">
        <f>LOG(M33)</f>
        <v>-9.6910013008056392E-2</v>
      </c>
      <c r="O33" s="67">
        <f>AVERAGE(K7:K8)</f>
        <v>26.589564300650302</v>
      </c>
      <c r="P33" s="6"/>
      <c r="Q33" s="6"/>
      <c r="R33" s="65">
        <v>0.8</v>
      </c>
      <c r="S33" s="66">
        <f>LOG(R33)</f>
        <v>-9.6910013008056392E-2</v>
      </c>
      <c r="T33" s="67">
        <f>AVERAGE(E10:E11)</f>
        <v>22.343225338579849</v>
      </c>
      <c r="U33" s="6"/>
      <c r="V33" s="6"/>
      <c r="W33" s="65">
        <v>0.8</v>
      </c>
      <c r="X33" s="66">
        <f>LOG(W33)</f>
        <v>-9.6910013008056392E-2</v>
      </c>
      <c r="Y33" s="67">
        <f>AVERAGE(T10:T11)</f>
        <v>22.9191573917699</v>
      </c>
      <c r="Z33" s="6"/>
      <c r="AA33" s="6"/>
      <c r="AB33" s="65">
        <v>0.8</v>
      </c>
      <c r="AC33" s="66">
        <f>LOG(AB33)</f>
        <v>-9.6910013008056392E-2</v>
      </c>
      <c r="AD33" s="67">
        <f>AVERAGE(K13:K14)</f>
        <v>22.570979729379353</v>
      </c>
      <c r="AE33" s="6"/>
      <c r="AF33" s="41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40"/>
      <c r="C34" s="65">
        <v>4</v>
      </c>
      <c r="D34" s="66">
        <f>LOG(C34)</f>
        <v>0.6020599913279624</v>
      </c>
      <c r="E34" s="67">
        <f>AVERAGE(F4:F5)</f>
        <v>19.535563571214652</v>
      </c>
      <c r="F34" s="6"/>
      <c r="G34" s="6"/>
      <c r="H34" s="65">
        <v>4</v>
      </c>
      <c r="I34" s="66">
        <f>LOG(H34)</f>
        <v>0.6020599913279624</v>
      </c>
      <c r="J34" s="67">
        <f>AVERAGE(U4:U5)</f>
        <v>19.233451119311098</v>
      </c>
      <c r="K34" s="6"/>
      <c r="L34" s="6"/>
      <c r="M34" s="65">
        <v>4</v>
      </c>
      <c r="N34" s="66">
        <f>LOG(M34)</f>
        <v>0.6020599913279624</v>
      </c>
      <c r="O34" s="67">
        <f>AVERAGE(L7:L8)</f>
        <v>24.665009294117048</v>
      </c>
      <c r="P34" s="6"/>
      <c r="Q34" s="6"/>
      <c r="R34" s="65">
        <v>4</v>
      </c>
      <c r="S34" s="66">
        <f>LOG(R34)</f>
        <v>0.6020599913279624</v>
      </c>
      <c r="T34" s="67">
        <f>AVERAGE(F10:F11)</f>
        <v>19.98074290094775</v>
      </c>
      <c r="U34" s="6"/>
      <c r="V34" s="6"/>
      <c r="W34" s="65">
        <v>4</v>
      </c>
      <c r="X34" s="66">
        <f>LOG(W34)</f>
        <v>0.6020599913279624</v>
      </c>
      <c r="Y34" s="67">
        <f>AVERAGE(U10:U11)</f>
        <v>20.545466753808348</v>
      </c>
      <c r="Z34" s="6"/>
      <c r="AA34" s="6"/>
      <c r="AB34" s="65">
        <v>4</v>
      </c>
      <c r="AC34" s="66">
        <f>LOG(AB34)</f>
        <v>0.6020599913279624</v>
      </c>
      <c r="AD34" s="67">
        <f>AVERAGE(L13:L14)</f>
        <v>20.276434740645151</v>
      </c>
      <c r="AE34" s="6"/>
      <c r="AF34" s="41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40"/>
      <c r="C35" s="68">
        <v>20</v>
      </c>
      <c r="D35" s="69">
        <f>LOG(C35)</f>
        <v>1.3010299956639813</v>
      </c>
      <c r="E35" s="70">
        <f>AVERAGE(G4:G5)</f>
        <v>17.312834929464</v>
      </c>
      <c r="F35" s="6"/>
      <c r="G35" s="6"/>
      <c r="H35" s="68">
        <v>20</v>
      </c>
      <c r="I35" s="69">
        <f>LOG(H35)</f>
        <v>1.3010299956639813</v>
      </c>
      <c r="J35" s="70">
        <f>AVERAGE(V4:V5)</f>
        <v>17.018503786986798</v>
      </c>
      <c r="K35" s="6"/>
      <c r="L35" s="6"/>
      <c r="M35" s="68">
        <v>20</v>
      </c>
      <c r="N35" s="69">
        <f>LOG(M35)</f>
        <v>1.3010299956639813</v>
      </c>
      <c r="O35" s="70">
        <f>AVERAGE(M7:M8)</f>
        <v>22.37222075172275</v>
      </c>
      <c r="P35" s="6"/>
      <c r="Q35" s="6"/>
      <c r="R35" s="68">
        <v>20</v>
      </c>
      <c r="S35" s="69">
        <f>LOG(R35)</f>
        <v>1.3010299956639813</v>
      </c>
      <c r="T35" s="70">
        <f>AVERAGE(G10:G11)</f>
        <v>17.6860119325722</v>
      </c>
      <c r="U35" s="6"/>
      <c r="V35" s="6"/>
      <c r="W35" s="68">
        <v>20</v>
      </c>
      <c r="X35" s="69">
        <f>LOG(W35)</f>
        <v>1.3010299956639813</v>
      </c>
      <c r="Y35" s="70">
        <f>AVERAGE(V10:V11)</f>
        <v>18.367189193730699</v>
      </c>
      <c r="Z35" s="6"/>
      <c r="AA35" s="6"/>
      <c r="AB35" s="68">
        <v>20</v>
      </c>
      <c r="AC35" s="69">
        <f>LOG(AB35)</f>
        <v>1.3010299956639813</v>
      </c>
      <c r="AD35" s="70">
        <f>AVERAGE(M13:M14)</f>
        <v>18.049649154897551</v>
      </c>
      <c r="AE35" s="6"/>
      <c r="AF35" s="4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8"/>
      <c r="C36" s="116" t="s">
        <v>46</v>
      </c>
      <c r="D36" s="117"/>
      <c r="E36" s="37">
        <f>(10^(-1/-3.2708)-1)*100</f>
        <v>102.17879316729608</v>
      </c>
      <c r="F36" s="6"/>
      <c r="G36" s="6"/>
      <c r="H36" s="116" t="s">
        <v>46</v>
      </c>
      <c r="I36" s="117"/>
      <c r="J36" s="37">
        <f>(10^(-1/-3.4184)-1)*100</f>
        <v>96.125705607858919</v>
      </c>
      <c r="K36" s="6"/>
      <c r="L36" s="6"/>
      <c r="M36" s="116" t="s">
        <v>46</v>
      </c>
      <c r="N36" s="117"/>
      <c r="O36" s="37">
        <f>(10^(-1/-2.6141)-1)*100</f>
        <v>141.29084050586363</v>
      </c>
      <c r="P36" s="6"/>
      <c r="Q36" s="6"/>
      <c r="R36" s="116" t="s">
        <v>46</v>
      </c>
      <c r="S36" s="117"/>
      <c r="T36" s="37">
        <f>(10^(-1/-3.2802)-1)*100</f>
        <v>101.77133143013685</v>
      </c>
      <c r="U36" s="6"/>
      <c r="V36" s="6"/>
      <c r="W36" s="116" t="s">
        <v>46</v>
      </c>
      <c r="X36" s="117"/>
      <c r="Y36" s="37">
        <f>(10^(-1/-3.1896)-1)*100</f>
        <v>105.83486387680713</v>
      </c>
      <c r="Z36" s="6"/>
      <c r="AA36" s="6"/>
      <c r="AB36" s="116" t="s">
        <v>46</v>
      </c>
      <c r="AC36" s="117"/>
      <c r="AD36" s="37">
        <f>(10^(-1/-3.3604)-1)*100</f>
        <v>98.419166517581289</v>
      </c>
      <c r="AE36" s="6"/>
      <c r="AF36" s="42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8"/>
      <c r="C37" s="116" t="s">
        <v>50</v>
      </c>
      <c r="D37" s="117"/>
      <c r="E37" s="37">
        <f>SUM(E36/100)+1</f>
        <v>2.0217879316729608</v>
      </c>
      <c r="F37" s="6"/>
      <c r="G37" s="6"/>
      <c r="H37" s="116" t="s">
        <v>50</v>
      </c>
      <c r="I37" s="117"/>
      <c r="J37" s="37">
        <f>SUM(J36/100)+1</f>
        <v>1.9612570560785891</v>
      </c>
      <c r="K37" s="6"/>
      <c r="L37" s="6"/>
      <c r="M37" s="116" t="s">
        <v>50</v>
      </c>
      <c r="N37" s="117"/>
      <c r="O37" s="37">
        <f>SUM(O36/100)+1</f>
        <v>2.4129084050586362</v>
      </c>
      <c r="P37" s="6"/>
      <c r="Q37" s="6"/>
      <c r="R37" s="116" t="s">
        <v>50</v>
      </c>
      <c r="S37" s="117"/>
      <c r="T37" s="37">
        <f>SUM(T36/100)+1</f>
        <v>2.0177133143013686</v>
      </c>
      <c r="U37" s="6"/>
      <c r="V37" s="6"/>
      <c r="W37" s="116" t="s">
        <v>50</v>
      </c>
      <c r="X37" s="117"/>
      <c r="Y37" s="37">
        <f>SUM(Y36/100)+1</f>
        <v>2.0583486387680714</v>
      </c>
      <c r="Z37" s="6"/>
      <c r="AA37" s="6"/>
      <c r="AB37" s="116" t="s">
        <v>50</v>
      </c>
      <c r="AC37" s="117"/>
      <c r="AD37" s="37">
        <f>SUM(AD36/100)+1</f>
        <v>1.9841916651758129</v>
      </c>
      <c r="AE37" s="6"/>
      <c r="AF37" s="42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6"/>
      <c r="C38" s="45"/>
      <c r="E38" s="45"/>
      <c r="F38" s="6"/>
      <c r="G38" s="6"/>
      <c r="H38" s="45"/>
      <c r="I38" s="45"/>
      <c r="J38" s="45"/>
      <c r="K38" s="6"/>
      <c r="L38" s="6"/>
      <c r="M38" s="45"/>
      <c r="N38" s="45"/>
      <c r="O38" s="45"/>
      <c r="P38" s="6"/>
      <c r="Q38" s="6"/>
      <c r="R38" s="45"/>
      <c r="S38" s="45"/>
      <c r="T38" s="45"/>
      <c r="U38" s="6"/>
      <c r="V38" s="6"/>
      <c r="W38" s="45"/>
      <c r="X38" s="45"/>
      <c r="Y38" s="45"/>
      <c r="Z38" s="6"/>
      <c r="AA38" s="6"/>
      <c r="AB38" s="45"/>
      <c r="AC38" s="45"/>
      <c r="AD38" s="45"/>
      <c r="AE38" s="6"/>
      <c r="AF38" s="4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7"/>
      <c r="C39" s="126" t="s">
        <v>83</v>
      </c>
      <c r="D39" s="127"/>
      <c r="E39" s="127"/>
      <c r="F39" s="127"/>
      <c r="G39" s="127"/>
      <c r="H39" s="128"/>
      <c r="J39" s="126" t="s">
        <v>84</v>
      </c>
      <c r="K39" s="127"/>
      <c r="L39" s="127"/>
      <c r="M39" s="127"/>
      <c r="N39" s="127"/>
      <c r="O39" s="128"/>
      <c r="Q39" s="126" t="s">
        <v>85</v>
      </c>
      <c r="R39" s="127"/>
      <c r="S39" s="127"/>
      <c r="T39" s="127"/>
      <c r="U39" s="127"/>
      <c r="V39" s="128"/>
      <c r="X39" s="126" t="s">
        <v>86</v>
      </c>
      <c r="Y39" s="127"/>
      <c r="Z39" s="127"/>
      <c r="AA39" s="127"/>
      <c r="AB39" s="127"/>
      <c r="AC39" s="128"/>
      <c r="AE39" s="126" t="s">
        <v>87</v>
      </c>
      <c r="AF39" s="127"/>
      <c r="AG39" s="127"/>
      <c r="AH39" s="127"/>
      <c r="AI39" s="127"/>
      <c r="AJ39" s="128"/>
      <c r="AL39" s="126" t="s">
        <v>88</v>
      </c>
      <c r="AM39" s="127"/>
      <c r="AN39" s="127"/>
      <c r="AO39" s="127"/>
      <c r="AP39" s="127"/>
      <c r="AQ39" s="128"/>
      <c r="AR39" s="45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7"/>
      <c r="C40" s="133" t="s">
        <v>17</v>
      </c>
      <c r="D40" s="83" t="s">
        <v>51</v>
      </c>
      <c r="E40" s="83" t="s">
        <v>53</v>
      </c>
      <c r="F40" s="83" t="s">
        <v>55</v>
      </c>
      <c r="G40" s="84" t="s">
        <v>57</v>
      </c>
      <c r="H40" s="82" t="s">
        <v>59</v>
      </c>
      <c r="I40" s="6"/>
      <c r="J40" s="135" t="s">
        <v>18</v>
      </c>
      <c r="K40" s="83" t="s">
        <v>51</v>
      </c>
      <c r="L40" s="83" t="s">
        <v>53</v>
      </c>
      <c r="M40" s="83" t="s">
        <v>55</v>
      </c>
      <c r="N40" s="83" t="s">
        <v>57</v>
      </c>
      <c r="O40" s="85" t="s">
        <v>59</v>
      </c>
      <c r="P40" s="40"/>
      <c r="Q40" s="135" t="s">
        <v>26</v>
      </c>
      <c r="R40" s="83" t="s">
        <v>51</v>
      </c>
      <c r="S40" s="83" t="s">
        <v>53</v>
      </c>
      <c r="T40" s="83" t="s">
        <v>55</v>
      </c>
      <c r="U40" s="83" t="s">
        <v>57</v>
      </c>
      <c r="V40" s="85" t="s">
        <v>59</v>
      </c>
      <c r="W40" s="86"/>
      <c r="X40" s="135" t="s">
        <v>19</v>
      </c>
      <c r="Y40" s="83" t="s">
        <v>51</v>
      </c>
      <c r="Z40" s="83" t="s">
        <v>53</v>
      </c>
      <c r="AA40" s="83" t="s">
        <v>55</v>
      </c>
      <c r="AB40" s="83" t="s">
        <v>57</v>
      </c>
      <c r="AC40" s="85" t="s">
        <v>59</v>
      </c>
      <c r="AD40" s="86"/>
      <c r="AE40" s="137" t="s">
        <v>20</v>
      </c>
      <c r="AF40" s="83" t="s">
        <v>51</v>
      </c>
      <c r="AG40" s="83" t="s">
        <v>53</v>
      </c>
      <c r="AH40" s="83" t="s">
        <v>55</v>
      </c>
      <c r="AI40" s="83" t="s">
        <v>57</v>
      </c>
      <c r="AJ40" s="85" t="s">
        <v>59</v>
      </c>
      <c r="AK40" s="86"/>
      <c r="AL40" s="137" t="s">
        <v>21</v>
      </c>
      <c r="AM40" s="83" t="s">
        <v>51</v>
      </c>
      <c r="AN40" s="83" t="s">
        <v>53</v>
      </c>
      <c r="AO40" s="83" t="s">
        <v>55</v>
      </c>
      <c r="AP40" s="83" t="s">
        <v>57</v>
      </c>
      <c r="AQ40" s="85" t="s">
        <v>59</v>
      </c>
      <c r="AR40" s="45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7"/>
      <c r="C41" s="133"/>
      <c r="D41" s="49" t="s">
        <v>35</v>
      </c>
      <c r="E41" s="49">
        <f>AVERAGE(H4:H5)</f>
        <v>18.422425883266847</v>
      </c>
      <c r="F41" s="56">
        <f>10^((E41-21.495)/-3.2708)</f>
        <v>8.6975170878944237</v>
      </c>
      <c r="G41" s="57">
        <f>SUM(E41*(LOG(E37)/LOG(2)))</f>
        <v>18.71039932664922</v>
      </c>
      <c r="H41" s="56">
        <f>10^((G41-21.495)/-3.2708)</f>
        <v>7.1015239690935523</v>
      </c>
      <c r="I41" s="6"/>
      <c r="J41" s="135"/>
      <c r="K41" s="49" t="s">
        <v>35</v>
      </c>
      <c r="L41" s="49">
        <f>AVERAGE(W4:W5)</f>
        <v>18.141526973562449</v>
      </c>
      <c r="M41" s="56">
        <f t="shared" ref="M41:M50" si="0">10^((L41 - 21.359)/-3.4184)</f>
        <v>8.7341757063130991</v>
      </c>
      <c r="N41" s="56">
        <f>SUM(L41*(LOG($J$37)/LOG(2)))</f>
        <v>17.629548366965249</v>
      </c>
      <c r="O41" s="56">
        <f t="shared" ref="O41:O50" si="1">10^((N41 - 21.359)/-3.4184)</f>
        <v>12.330859230941638</v>
      </c>
      <c r="P41" s="6"/>
      <c r="Q41" s="135"/>
      <c r="R41" s="49" t="s">
        <v>35</v>
      </c>
      <c r="S41" s="49">
        <f>AVERAGE(N7:N8)</f>
        <v>23.668658911464401</v>
      </c>
      <c r="T41" s="56">
        <f t="shared" ref="T41:T50" si="2">10^((S41- 26.025)/-2.6141)</f>
        <v>7.9688690537934823</v>
      </c>
      <c r="U41" s="56">
        <f>SUM(S41*(LOG($O$37)/LOG(2)))</f>
        <v>30.077496272636747</v>
      </c>
      <c r="V41" s="56">
        <f t="shared" ref="V41:V50" si="3">10^((U41- 26.025)/-2.6141)</f>
        <v>2.8167914059538481E-2</v>
      </c>
      <c r="W41" s="6"/>
      <c r="X41" s="135" t="s">
        <v>19</v>
      </c>
      <c r="Y41" s="49" t="s">
        <v>35</v>
      </c>
      <c r="Z41" s="49">
        <f>AVERAGE(H10:H11)</f>
        <v>19.679018271022798</v>
      </c>
      <c r="AA41" s="56">
        <f t="shared" ref="AA41:AA50" si="4">10^((Z41- 21.951)/-3.2802)</f>
        <v>4.9275963237856661</v>
      </c>
      <c r="AB41" s="56">
        <f>SUM(Z41*(LOG($T$37)/LOG(2)))</f>
        <v>19.929359086126571</v>
      </c>
      <c r="AC41" s="56">
        <f t="shared" ref="AC41:AC50" si="5">10^((AB41- 21.951)/-3.2802)</f>
        <v>4.1334849137227501</v>
      </c>
      <c r="AD41" s="6"/>
      <c r="AE41" s="135"/>
      <c r="AF41" s="49" t="s">
        <v>35</v>
      </c>
      <c r="AG41" s="49">
        <f>AVERAGE(W10:W11)</f>
        <v>19.924844551000298</v>
      </c>
      <c r="AH41" s="56">
        <f t="shared" ref="AH41:AH50" si="6">10^((AG41 - 22.517)/-3.1896)</f>
        <v>6.4966552278589091</v>
      </c>
      <c r="AI41" s="56">
        <f>SUM(AG41*(LOG($Y$37)/LOG(2)))</f>
        <v>20.751473821241309</v>
      </c>
      <c r="AJ41" s="56">
        <f t="shared" ref="AJ41:AJ50" si="7">10^((AI41 - 22.517)/-3.1896)</f>
        <v>3.5770572418797797</v>
      </c>
      <c r="AK41" s="6"/>
      <c r="AL41" s="135" t="s">
        <v>21</v>
      </c>
      <c r="AM41" s="49" t="s">
        <v>35</v>
      </c>
      <c r="AN41" s="49">
        <f>AVERAGE(N13:N14)</f>
        <v>19.51626026227445</v>
      </c>
      <c r="AO41" s="56">
        <f t="shared" ref="AO41:AO50" si="8">10^((AN41- 22.347)/-3.3604)</f>
        <v>6.9563557085572576</v>
      </c>
      <c r="AP41" s="49">
        <f>SUM(AN41*(LOG($AD$37)/LOG(2)))</f>
        <v>19.292826232705426</v>
      </c>
      <c r="AQ41" s="56">
        <f t="shared" ref="AQ41:AQ50" si="9">10^((AP41- 22.347)/-3.3604)</f>
        <v>8.107222436156766</v>
      </c>
      <c r="AR41" s="43"/>
      <c r="AS41" s="43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7"/>
      <c r="C42" s="133"/>
      <c r="D42" s="50" t="s">
        <v>36</v>
      </c>
      <c r="E42" s="50">
        <f>AVERAGE(I4:I5)</f>
        <v>19.2499129289323</v>
      </c>
      <c r="F42" s="57">
        <f t="shared" ref="F42:F50" si="10">10^((E42- 21.495)/-3.2708)</f>
        <v>4.8573907606025539</v>
      </c>
      <c r="G42" s="57">
        <f>SUM(E42*(LOG(E37)/LOG(2)))</f>
        <v>19.550821383990364</v>
      </c>
      <c r="H42" s="57">
        <f t="shared" ref="H42:H50" si="11">10^((G42- 21.495)/-3.2708)</f>
        <v>3.930109179734699</v>
      </c>
      <c r="I42" s="6"/>
      <c r="J42" s="135"/>
      <c r="K42" s="50" t="s">
        <v>36</v>
      </c>
      <c r="L42" s="50">
        <f>AVERAGE(X4:X5)</f>
        <v>21.001631896616949</v>
      </c>
      <c r="M42" s="57">
        <f t="shared" si="0"/>
        <v>1.2721622559444594</v>
      </c>
      <c r="N42" s="57">
        <f t="shared" ref="N42:N48" si="12">SUM(L42*(LOG($J$37)/LOG(2)))</f>
        <v>20.408937232580861</v>
      </c>
      <c r="O42" s="57">
        <f t="shared" si="1"/>
        <v>1.8963834423181427</v>
      </c>
      <c r="P42" s="6"/>
      <c r="Q42" s="135"/>
      <c r="R42" s="50" t="s">
        <v>36</v>
      </c>
      <c r="S42" s="50">
        <f>AVERAGE(O7:O8)</f>
        <v>24.793250213788852</v>
      </c>
      <c r="T42" s="57">
        <f t="shared" si="2"/>
        <v>2.9593381528183569</v>
      </c>
      <c r="U42" s="57">
        <f>SUM(S42*(LOG($O$37)/LOG(2)))</f>
        <v>31.506596705848008</v>
      </c>
      <c r="V42" s="57">
        <f t="shared" si="3"/>
        <v>7.9995473292560539E-3</v>
      </c>
      <c r="W42" s="6"/>
      <c r="X42" s="135"/>
      <c r="Y42" s="50" t="s">
        <v>36</v>
      </c>
      <c r="Z42" s="50">
        <f>AVERAGE(I10:I11)</f>
        <v>19.930802591546801</v>
      </c>
      <c r="AA42" s="57">
        <f t="shared" si="4"/>
        <v>4.1292986158623091</v>
      </c>
      <c r="AB42" s="57">
        <f t="shared" ref="AB42:AB50" si="13">SUM(Z42*(LOG($T$37)/LOG(2)))</f>
        <v>20.184346406473139</v>
      </c>
      <c r="AC42" s="57">
        <f t="shared" si="5"/>
        <v>3.4560583016376807</v>
      </c>
      <c r="AD42" s="6"/>
      <c r="AE42" s="135"/>
      <c r="AF42" s="50" t="s">
        <v>36</v>
      </c>
      <c r="AG42" s="50">
        <f>AVERAGE(X10:X11)</f>
        <v>20.28803754920505</v>
      </c>
      <c r="AH42" s="57">
        <f t="shared" si="6"/>
        <v>4.9982956043073559</v>
      </c>
      <c r="AI42" s="57">
        <f t="shared" ref="AI42:AI50" si="14">SUM(AG42*(LOG($Y$37)/LOG(2)))</f>
        <v>21.129734739413724</v>
      </c>
      <c r="AJ42" s="57">
        <f t="shared" si="7"/>
        <v>2.722287125145507</v>
      </c>
      <c r="AK42" s="6"/>
      <c r="AL42" s="135"/>
      <c r="AM42" s="50" t="s">
        <v>36</v>
      </c>
      <c r="AN42" s="50">
        <f>AVERAGE(O13:O14)</f>
        <v>20.078722542740799</v>
      </c>
      <c r="AO42" s="57">
        <f t="shared" si="8"/>
        <v>4.7315367667623578</v>
      </c>
      <c r="AP42" s="50">
        <f t="shared" ref="AP42:AP50" si="15">SUM(AN42*(LOG($AD$37)/LOG(2)))</f>
        <v>19.848849102541035</v>
      </c>
      <c r="AQ42" s="57">
        <f t="shared" si="9"/>
        <v>5.5387120819027604</v>
      </c>
      <c r="AR42" s="43"/>
      <c r="AS42" s="43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7"/>
      <c r="C43" s="133"/>
      <c r="D43" s="51" t="s">
        <v>37</v>
      </c>
      <c r="E43" s="51">
        <f>AVERAGE(J4:J5)</f>
        <v>17.897120752056303</v>
      </c>
      <c r="F43" s="58">
        <f t="shared" si="10"/>
        <v>12.589247452760805</v>
      </c>
      <c r="G43" s="58">
        <f>SUM(E43*(LOG(E37)/LOG(2)))</f>
        <v>18.176882794376748</v>
      </c>
      <c r="H43" s="58">
        <f t="shared" si="11"/>
        <v>10.33871477718646</v>
      </c>
      <c r="I43" s="6"/>
      <c r="J43" s="135"/>
      <c r="K43" s="51" t="s">
        <v>37</v>
      </c>
      <c r="L43" s="51">
        <f>AVERAGE(Y4:Y5)</f>
        <v>16.995627510378899</v>
      </c>
      <c r="M43" s="58">
        <f t="shared" si="0"/>
        <v>18.898923749028636</v>
      </c>
      <c r="N43" s="58">
        <f t="shared" si="12"/>
        <v>16.515987747767443</v>
      </c>
      <c r="O43" s="58">
        <f t="shared" si="1"/>
        <v>26.10647647022957</v>
      </c>
      <c r="P43" s="6"/>
      <c r="Q43" s="135"/>
      <c r="R43" s="51" t="s">
        <v>37</v>
      </c>
      <c r="S43" s="51">
        <f>AVERAGE(P7:P8)</f>
        <v>22.639984567633849</v>
      </c>
      <c r="T43" s="58">
        <f t="shared" si="2"/>
        <v>19.719987447610748</v>
      </c>
      <c r="U43" s="58">
        <f t="shared" ref="U43:U50" si="16">SUM(S43*(LOG($O$37)/LOG(2)))</f>
        <v>28.770284535036605</v>
      </c>
      <c r="V43" s="58">
        <f t="shared" si="3"/>
        <v>8.9087456196441789E-2</v>
      </c>
      <c r="W43" s="6"/>
      <c r="X43" s="135"/>
      <c r="Y43" s="51" t="s">
        <v>37</v>
      </c>
      <c r="Z43" s="51">
        <f>AVERAGE(J10:J11)</f>
        <v>19.76422269145225</v>
      </c>
      <c r="AA43" s="58">
        <f t="shared" si="4"/>
        <v>4.641514900181269</v>
      </c>
      <c r="AB43" s="58">
        <f t="shared" si="13"/>
        <v>20.015647409409659</v>
      </c>
      <c r="AC43" s="58">
        <f t="shared" si="5"/>
        <v>3.8905459166137923</v>
      </c>
      <c r="AD43" s="6"/>
      <c r="AE43" s="135"/>
      <c r="AF43" s="51" t="s">
        <v>37</v>
      </c>
      <c r="AG43" s="51">
        <f>AVERAGE(Y10:Y11)</f>
        <v>19.022199407370849</v>
      </c>
      <c r="AH43" s="58">
        <f t="shared" si="6"/>
        <v>12.464824415397739</v>
      </c>
      <c r="AI43" s="58">
        <f t="shared" si="14"/>
        <v>19.811380310350817</v>
      </c>
      <c r="AJ43" s="58">
        <f t="shared" si="7"/>
        <v>7.051199588009311</v>
      </c>
      <c r="AK43" s="6"/>
      <c r="AL43" s="135"/>
      <c r="AM43" s="51" t="s">
        <v>37</v>
      </c>
      <c r="AN43" s="51">
        <f>AVERAGE(P13:P14)</f>
        <v>19.469736543705949</v>
      </c>
      <c r="AO43" s="58">
        <f t="shared" si="8"/>
        <v>7.1816870756384219</v>
      </c>
      <c r="AP43" s="51">
        <f t="shared" si="15"/>
        <v>19.246835145992137</v>
      </c>
      <c r="AQ43" s="58">
        <f t="shared" si="9"/>
        <v>8.3667787159702058</v>
      </c>
      <c r="AR43" s="43"/>
      <c r="AS43" s="43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7"/>
      <c r="C44" s="133"/>
      <c r="D44" s="52" t="s">
        <v>38</v>
      </c>
      <c r="E44" s="52">
        <f>AVERAGE(K4:K5)</f>
        <v>17.50774460913825</v>
      </c>
      <c r="F44" s="59">
        <f t="shared" si="10"/>
        <v>16.559450400954621</v>
      </c>
      <c r="G44" s="59">
        <f>SUM(E44*(LOG(E37)/LOG(2)))</f>
        <v>17.781420048675894</v>
      </c>
      <c r="H44" s="59">
        <f t="shared" si="11"/>
        <v>13.657574997420525</v>
      </c>
      <c r="I44" s="6"/>
      <c r="J44" s="135"/>
      <c r="K44" s="52" t="s">
        <v>38</v>
      </c>
      <c r="L44" s="52">
        <f>AVERAGE(C7:C8)</f>
        <v>17.552201660865052</v>
      </c>
      <c r="M44" s="59">
        <f t="shared" si="0"/>
        <v>12.990322149160365</v>
      </c>
      <c r="N44" s="59">
        <f t="shared" si="12"/>
        <v>17.056854617469064</v>
      </c>
      <c r="O44" s="59">
        <f t="shared" si="1"/>
        <v>18.135353711239787</v>
      </c>
      <c r="P44" s="6"/>
      <c r="Q44" s="135"/>
      <c r="R44" s="52" t="s">
        <v>38</v>
      </c>
      <c r="S44" s="52">
        <f>AVERAGE(Q7:Q8)</f>
        <v>22.644741244690149</v>
      </c>
      <c r="T44" s="59">
        <f t="shared" si="2"/>
        <v>19.637536756783202</v>
      </c>
      <c r="U44" s="59">
        <f t="shared" si="16"/>
        <v>28.776329192529289</v>
      </c>
      <c r="V44" s="59">
        <f t="shared" si="3"/>
        <v>8.8614385446648125E-2</v>
      </c>
      <c r="W44" s="6"/>
      <c r="X44" s="135"/>
      <c r="Y44" s="52" t="s">
        <v>38</v>
      </c>
      <c r="Z44" s="52">
        <f>AVERAGE(K10:K11)</f>
        <v>17.68548875486065</v>
      </c>
      <c r="AA44" s="59">
        <f t="shared" si="4"/>
        <v>19.970155837862031</v>
      </c>
      <c r="AB44" s="59">
        <f t="shared" si="13"/>
        <v>17.910469473381539</v>
      </c>
      <c r="AC44" s="59">
        <f t="shared" si="5"/>
        <v>17.052731483574711</v>
      </c>
      <c r="AD44" s="6"/>
      <c r="AE44" s="135"/>
      <c r="AF44" s="52" t="s">
        <v>38</v>
      </c>
      <c r="AG44" s="52">
        <f>AVERAGE(C13:C14)</f>
        <v>18.3877185185728</v>
      </c>
      <c r="AH44" s="59">
        <f t="shared" si="6"/>
        <v>19.70642926303789</v>
      </c>
      <c r="AI44" s="59">
        <f t="shared" si="14"/>
        <v>19.15057648223214</v>
      </c>
      <c r="AJ44" s="59">
        <f t="shared" si="7"/>
        <v>11.361548356681512</v>
      </c>
      <c r="AK44" s="6"/>
      <c r="AL44" s="135"/>
      <c r="AM44" s="52" t="s">
        <v>38</v>
      </c>
      <c r="AN44" s="52">
        <f>AVERAGE(Q13:Q14)</f>
        <v>17.640749872242949</v>
      </c>
      <c r="AO44" s="59">
        <f t="shared" si="8"/>
        <v>25.147971201324992</v>
      </c>
      <c r="AP44" s="52">
        <f t="shared" si="15"/>
        <v>17.438787827486166</v>
      </c>
      <c r="AQ44" s="59">
        <f t="shared" si="9"/>
        <v>28.88042306909206</v>
      </c>
      <c r="AR44" s="43"/>
      <c r="AS44" s="43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7"/>
      <c r="C45" s="133"/>
      <c r="D45" s="52" t="s">
        <v>39</v>
      </c>
      <c r="E45" s="52">
        <f>AVERAGE(L4:L5)</f>
        <v>18.188924307542997</v>
      </c>
      <c r="F45" s="59">
        <f t="shared" si="10"/>
        <v>10.251443795861631</v>
      </c>
      <c r="G45" s="59">
        <f>SUM(E45*(LOG(E37)/LOG(2)))</f>
        <v>18.473247729303761</v>
      </c>
      <c r="H45" s="59">
        <f t="shared" si="11"/>
        <v>8.3918409302902024</v>
      </c>
      <c r="I45" s="6"/>
      <c r="J45" s="135"/>
      <c r="K45" s="52" t="s">
        <v>39</v>
      </c>
      <c r="L45" s="52">
        <f>AVERAGE(D7:D8)</f>
        <v>18.178806352066299</v>
      </c>
      <c r="M45" s="59">
        <f t="shared" si="0"/>
        <v>8.5175838844032903</v>
      </c>
      <c r="N45" s="59">
        <f t="shared" si="12"/>
        <v>17.665775670619556</v>
      </c>
      <c r="O45" s="59">
        <f t="shared" si="1"/>
        <v>12.033600878110253</v>
      </c>
      <c r="P45" s="6"/>
      <c r="Q45" s="135"/>
      <c r="R45" s="52" t="s">
        <v>39</v>
      </c>
      <c r="S45" s="52">
        <f>AVERAGE(R7:R8)</f>
        <v>23.037993870942099</v>
      </c>
      <c r="T45" s="59">
        <f t="shared" si="2"/>
        <v>13.888387410194532</v>
      </c>
      <c r="U45" s="59">
        <f t="shared" si="16"/>
        <v>29.276064071659619</v>
      </c>
      <c r="V45" s="59">
        <f t="shared" si="3"/>
        <v>5.7060455128443502E-2</v>
      </c>
      <c r="W45" s="6"/>
      <c r="X45" s="135"/>
      <c r="Y45" s="52" t="s">
        <v>39</v>
      </c>
      <c r="Z45" s="52">
        <f>AVERAGE(L10:L11)</f>
        <v>18.966083178114502</v>
      </c>
      <c r="AA45" s="59">
        <f t="shared" si="4"/>
        <v>8.1279332778733551</v>
      </c>
      <c r="AB45" s="59">
        <f t="shared" si="13"/>
        <v>19.207354600130838</v>
      </c>
      <c r="AC45" s="59">
        <f t="shared" si="5"/>
        <v>6.8616135462319487</v>
      </c>
      <c r="AD45" s="6"/>
      <c r="AE45" s="135"/>
      <c r="AF45" s="52" t="s">
        <v>39</v>
      </c>
      <c r="AG45" s="52">
        <f>AVERAGE(D13:D14)</f>
        <v>19.081914586651749</v>
      </c>
      <c r="AH45" s="59">
        <f t="shared" si="6"/>
        <v>11.93890030676855</v>
      </c>
      <c r="AI45" s="59">
        <f t="shared" si="14"/>
        <v>19.873572914986024</v>
      </c>
      <c r="AJ45" s="59">
        <f t="shared" si="7"/>
        <v>6.7416227819280783</v>
      </c>
      <c r="AK45" s="6"/>
      <c r="AL45" s="135"/>
      <c r="AM45" s="52" t="s">
        <v>39</v>
      </c>
      <c r="AN45" s="52">
        <f>AVERAGE(R13:R14)</f>
        <v>19.045263760432249</v>
      </c>
      <c r="AO45" s="59">
        <f t="shared" si="8"/>
        <v>9.6060009609727555</v>
      </c>
      <c r="AP45" s="52">
        <f t="shared" si="15"/>
        <v>18.827221985573157</v>
      </c>
      <c r="AQ45" s="59">
        <f t="shared" si="9"/>
        <v>11.153939554757462</v>
      </c>
      <c r="AR45" s="43"/>
      <c r="AS45" s="43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7"/>
      <c r="C46" s="133"/>
      <c r="D46" s="52" t="s">
        <v>40</v>
      </c>
      <c r="E46" s="52">
        <f>AVERAGE(M4:M5)</f>
        <v>19.679302271203902</v>
      </c>
      <c r="F46" s="59">
        <f t="shared" si="10"/>
        <v>3.5902396118175206</v>
      </c>
      <c r="G46" s="59">
        <f>SUM(E46*(LOG(E37)/LOG(2)))</f>
        <v>19.98692280252321</v>
      </c>
      <c r="H46" s="59">
        <f t="shared" si="11"/>
        <v>2.8911650589109481</v>
      </c>
      <c r="I46" s="6"/>
      <c r="J46" s="135"/>
      <c r="K46" s="52" t="s">
        <v>40</v>
      </c>
      <c r="L46" s="52">
        <f>AVERAGE(E7:E8)</f>
        <v>21.3748992619301</v>
      </c>
      <c r="M46" s="59">
        <f t="shared" si="0"/>
        <v>0.98934762842639234</v>
      </c>
      <c r="N46" s="59">
        <f t="shared" si="12"/>
        <v>20.77167048431803</v>
      </c>
      <c r="O46" s="59">
        <f t="shared" si="1"/>
        <v>1.4852999191382048</v>
      </c>
      <c r="P46" s="6"/>
      <c r="Q46" s="135"/>
      <c r="R46" s="52" t="s">
        <v>40</v>
      </c>
      <c r="S46" s="52">
        <f>AVERAGE(S7:S8)</f>
        <v>25.102461427187848</v>
      </c>
      <c r="T46" s="59">
        <f t="shared" si="2"/>
        <v>2.2537652433973125</v>
      </c>
      <c r="U46" s="59">
        <f t="shared" si="16"/>
        <v>31.899534013925106</v>
      </c>
      <c r="V46" s="59">
        <f t="shared" si="3"/>
        <v>5.6591453146762971E-3</v>
      </c>
      <c r="W46" s="6"/>
      <c r="X46" s="135"/>
      <c r="Y46" s="52" t="s">
        <v>40</v>
      </c>
      <c r="Z46" s="52">
        <f>AVERAGE(M10:M11)</f>
        <v>20.012298438982249</v>
      </c>
      <c r="AA46" s="59">
        <f t="shared" si="4"/>
        <v>3.8997028025617704</v>
      </c>
      <c r="AB46" s="59">
        <f t="shared" si="13"/>
        <v>20.266878979246894</v>
      </c>
      <c r="AC46" s="59">
        <f t="shared" si="5"/>
        <v>3.2615213412572865</v>
      </c>
      <c r="AD46" s="6"/>
      <c r="AE46" s="135"/>
      <c r="AF46" s="52" t="s">
        <v>40</v>
      </c>
      <c r="AG46" s="52">
        <f>AVERAGE(E13:E14)</f>
        <v>20.237180233083102</v>
      </c>
      <c r="AH46" s="59">
        <f t="shared" si="6"/>
        <v>5.1852138076112233</v>
      </c>
      <c r="AI46" s="59">
        <f t="shared" si="14"/>
        <v>21.076767487326922</v>
      </c>
      <c r="AJ46" s="59">
        <f t="shared" si="7"/>
        <v>2.8283956832816997</v>
      </c>
      <c r="AK46" s="6"/>
      <c r="AL46" s="135"/>
      <c r="AM46" s="52" t="s">
        <v>40</v>
      </c>
      <c r="AN46" s="52">
        <f>AVERAGE(S13:S14)</f>
        <v>20.303738238058401</v>
      </c>
      <c r="AO46" s="59">
        <f t="shared" si="8"/>
        <v>4.0554703798033938</v>
      </c>
      <c r="AP46" s="52">
        <f t="shared" si="15"/>
        <v>20.071288681182313</v>
      </c>
      <c r="AQ46" s="59">
        <f t="shared" si="9"/>
        <v>4.7556996061984407</v>
      </c>
      <c r="AR46" s="43"/>
      <c r="AS46" s="4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7"/>
      <c r="C47" s="133"/>
      <c r="D47" s="53" t="s">
        <v>41</v>
      </c>
      <c r="E47" s="53">
        <f>AVERAGE(N4:N5)</f>
        <v>18.638372612582501</v>
      </c>
      <c r="F47" s="60">
        <f t="shared" si="10"/>
        <v>7.4708959496890834</v>
      </c>
      <c r="G47" s="60">
        <f>SUM(E47*(LOG(E37)/LOG(2)))</f>
        <v>18.929721665866754</v>
      </c>
      <c r="H47" s="60">
        <f t="shared" si="11"/>
        <v>6.0855090172090591</v>
      </c>
      <c r="I47" s="6"/>
      <c r="J47" s="135"/>
      <c r="K47" s="53" t="s">
        <v>41</v>
      </c>
      <c r="L47" s="53">
        <f>AVERAGE(F7:F8)</f>
        <v>17.974478581169901</v>
      </c>
      <c r="M47" s="60">
        <f t="shared" si="0"/>
        <v>9.7743828448056007</v>
      </c>
      <c r="N47" s="60">
        <f t="shared" si="12"/>
        <v>17.467214307787103</v>
      </c>
      <c r="O47" s="60">
        <f t="shared" si="1"/>
        <v>13.75566706398277</v>
      </c>
      <c r="P47" s="6"/>
      <c r="Q47" s="135"/>
      <c r="R47" s="53" t="s">
        <v>41</v>
      </c>
      <c r="S47" s="53">
        <f>AVERAGE(T7:T8)</f>
        <v>23.842003989323551</v>
      </c>
      <c r="T47" s="60">
        <f t="shared" si="2"/>
        <v>6.8404570348187432</v>
      </c>
      <c r="U47" s="60">
        <f t="shared" si="16"/>
        <v>30.29777854349507</v>
      </c>
      <c r="V47" s="60">
        <f t="shared" si="3"/>
        <v>2.3199986005929259E-2</v>
      </c>
      <c r="W47" s="6"/>
      <c r="X47" s="135"/>
      <c r="Y47" s="53" t="s">
        <v>41</v>
      </c>
      <c r="Z47" s="53">
        <f>AVERAGE(N10:N11)</f>
        <v>20.680913016129701</v>
      </c>
      <c r="AA47" s="60">
        <f t="shared" si="4"/>
        <v>2.4389226771145824</v>
      </c>
      <c r="AB47" s="60">
        <f t="shared" si="13"/>
        <v>20.943999139138775</v>
      </c>
      <c r="AC47" s="60">
        <f t="shared" si="5"/>
        <v>2.0276534851025683</v>
      </c>
      <c r="AD47" s="6"/>
      <c r="AE47" s="135"/>
      <c r="AF47" s="53" t="s">
        <v>41</v>
      </c>
      <c r="AG47" s="53">
        <f>AVERAGE(F13:F14)</f>
        <v>19.952576963621148</v>
      </c>
      <c r="AH47" s="60">
        <f t="shared" si="6"/>
        <v>6.367884582097413</v>
      </c>
      <c r="AI47" s="60">
        <f t="shared" si="14"/>
        <v>20.78035677854762</v>
      </c>
      <c r="AJ47" s="60">
        <f t="shared" si="7"/>
        <v>3.5032452025645897</v>
      </c>
      <c r="AK47" s="6"/>
      <c r="AL47" s="135"/>
      <c r="AM47" s="53" t="s">
        <v>41</v>
      </c>
      <c r="AN47" s="53">
        <f>AVERAGE(T13:T14)</f>
        <v>20.962640959206603</v>
      </c>
      <c r="AO47" s="60">
        <f t="shared" si="8"/>
        <v>2.5820376825528606</v>
      </c>
      <c r="AP47" s="53">
        <f t="shared" si="15"/>
        <v>20.722647882819007</v>
      </c>
      <c r="AQ47" s="60">
        <f t="shared" si="9"/>
        <v>3.0435510090749105</v>
      </c>
      <c r="AR47" s="43"/>
      <c r="AS47" s="43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7"/>
      <c r="C48" s="133"/>
      <c r="D48" s="54" t="s">
        <v>42</v>
      </c>
      <c r="E48" s="54">
        <f>AVERAGE(O4:O5)</f>
        <v>18.390464468041699</v>
      </c>
      <c r="F48" s="61">
        <f t="shared" si="10"/>
        <v>8.8954317749034537</v>
      </c>
      <c r="G48" s="61">
        <f>SUM(E48*(LOG(E37)/LOG(2)))</f>
        <v>18.677938300848567</v>
      </c>
      <c r="H48" s="61">
        <f t="shared" si="11"/>
        <v>7.2656763521836645</v>
      </c>
      <c r="I48" s="6"/>
      <c r="J48" s="135"/>
      <c r="K48" s="54" t="s">
        <v>42</v>
      </c>
      <c r="L48" s="54">
        <f>AVERAGE(G7:G8)</f>
        <v>17.044209426484901</v>
      </c>
      <c r="M48" s="61">
        <f t="shared" si="0"/>
        <v>18.290483471964446</v>
      </c>
      <c r="N48" s="61">
        <f t="shared" si="12"/>
        <v>16.563198616014574</v>
      </c>
      <c r="O48" s="61">
        <f t="shared" si="1"/>
        <v>25.289337445969483</v>
      </c>
      <c r="P48" s="6"/>
      <c r="Q48" s="135"/>
      <c r="R48" s="54" t="s">
        <v>42</v>
      </c>
      <c r="S48" s="54">
        <f>AVERAGE(U7:U8)</f>
        <v>23.083596092704347</v>
      </c>
      <c r="T48" s="61">
        <f t="shared" si="2"/>
        <v>13.341575259517892</v>
      </c>
      <c r="U48" s="61">
        <f t="shared" si="16"/>
        <v>29.334014150716005</v>
      </c>
      <c r="V48" s="61">
        <f t="shared" si="3"/>
        <v>5.4220929666139915E-2</v>
      </c>
      <c r="W48" s="6"/>
      <c r="X48" s="135"/>
      <c r="Y48" s="54" t="s">
        <v>42</v>
      </c>
      <c r="Z48" s="54">
        <f>AVERAGE(O10:O11)</f>
        <v>20.648838438232001</v>
      </c>
      <c r="AA48" s="61">
        <f t="shared" si="4"/>
        <v>2.4944584267525487</v>
      </c>
      <c r="AB48" s="61">
        <f t="shared" si="13"/>
        <v>20.911516533977498</v>
      </c>
      <c r="AC48" s="61">
        <f t="shared" si="5"/>
        <v>2.0744184571268445</v>
      </c>
      <c r="AD48" s="6"/>
      <c r="AE48" s="135"/>
      <c r="AF48" s="54" t="s">
        <v>42</v>
      </c>
      <c r="AG48" s="54">
        <f>AVERAGE(G13:G14)</f>
        <v>19.501897410357849</v>
      </c>
      <c r="AH48" s="61">
        <f t="shared" si="6"/>
        <v>8.8164095733804562</v>
      </c>
      <c r="AI48" s="61">
        <f t="shared" si="14"/>
        <v>20.310979718798233</v>
      </c>
      <c r="AJ48" s="61">
        <f t="shared" si="7"/>
        <v>4.9161953598268298</v>
      </c>
      <c r="AK48" s="6"/>
      <c r="AL48" s="135"/>
      <c r="AM48" s="54" t="s">
        <v>42</v>
      </c>
      <c r="AN48" s="54">
        <f>AVERAGE(U13:U14)</f>
        <v>20.719837190276401</v>
      </c>
      <c r="AO48" s="61">
        <f t="shared" si="8"/>
        <v>3.0494182904228757</v>
      </c>
      <c r="AP48" s="54">
        <f t="shared" si="15"/>
        <v>20.482623879261759</v>
      </c>
      <c r="AQ48" s="61">
        <f t="shared" si="9"/>
        <v>3.5876312387375511</v>
      </c>
      <c r="AR48" s="43"/>
      <c r="AS48" s="43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4"/>
      <c r="C49" s="134"/>
      <c r="D49" s="55" t="s">
        <v>43</v>
      </c>
      <c r="E49" s="55">
        <f>AVERAGE(P4:P5)</f>
        <v>18.677824271108548</v>
      </c>
      <c r="F49" s="62">
        <f t="shared" si="10"/>
        <v>7.2662596271184388</v>
      </c>
      <c r="G49" s="62">
        <f>SUM(E49*(LOG(E37)/LOG(2)))</f>
        <v>18.969790020045419</v>
      </c>
      <c r="H49" s="62">
        <f t="shared" si="11"/>
        <v>5.9162509604087266</v>
      </c>
      <c r="I49" s="6"/>
      <c r="J49" s="136"/>
      <c r="K49" s="55" t="s">
        <v>43</v>
      </c>
      <c r="L49" s="55">
        <f>AVERAGE(H7:H8)</f>
        <v>18.049200369190949</v>
      </c>
      <c r="M49" s="62">
        <f t="shared" si="0"/>
        <v>9.2945986924130395</v>
      </c>
      <c r="N49" s="62">
        <f>SUM(L49*(LOG($J$37)/LOG(2)))</f>
        <v>17.539827345151757</v>
      </c>
      <c r="O49" s="62">
        <f t="shared" si="1"/>
        <v>13.099051084855674</v>
      </c>
      <c r="P49" s="6"/>
      <c r="Q49" s="136"/>
      <c r="R49" s="55" t="s">
        <v>43</v>
      </c>
      <c r="S49" s="55">
        <f>AVERAGE(V7:V8)</f>
        <v>23.952504383841049</v>
      </c>
      <c r="T49" s="62">
        <f t="shared" si="2"/>
        <v>6.2060347937098612</v>
      </c>
      <c r="U49" s="62">
        <f t="shared" si="16"/>
        <v>30.438199478059097</v>
      </c>
      <c r="V49" s="62">
        <f t="shared" si="3"/>
        <v>2.0500808137748454E-2</v>
      </c>
      <c r="W49" s="6"/>
      <c r="X49" s="136"/>
      <c r="Y49" s="55" t="s">
        <v>43</v>
      </c>
      <c r="Z49" s="55">
        <f>AVERAGE(P10:P11)</f>
        <v>20.53246850536355</v>
      </c>
      <c r="AA49" s="62">
        <f t="shared" si="4"/>
        <v>2.7067786678679542</v>
      </c>
      <c r="AB49" s="62">
        <f t="shared" si="13"/>
        <v>20.793666235399403</v>
      </c>
      <c r="AC49" s="62">
        <f t="shared" si="5"/>
        <v>2.2533266145048136</v>
      </c>
      <c r="AD49" s="6"/>
      <c r="AE49" s="136"/>
      <c r="AF49" s="55" t="s">
        <v>43</v>
      </c>
      <c r="AG49" s="55">
        <f>AVERAGE(H13:H14)</f>
        <v>20.092367062242701</v>
      </c>
      <c r="AH49" s="62">
        <f t="shared" si="6"/>
        <v>5.7566303117946465</v>
      </c>
      <c r="AI49" s="62">
        <f t="shared" si="14"/>
        <v>20.925946399816119</v>
      </c>
      <c r="AJ49" s="62">
        <f t="shared" si="7"/>
        <v>3.1537367050792993</v>
      </c>
      <c r="AK49" s="6"/>
      <c r="AL49" s="136"/>
      <c r="AM49" s="55" t="s">
        <v>43</v>
      </c>
      <c r="AN49" s="55">
        <f>AVERAGE(V13:V14)</f>
        <v>20.928296440570801</v>
      </c>
      <c r="AO49" s="62">
        <f t="shared" si="8"/>
        <v>2.6435220808462665</v>
      </c>
      <c r="AP49" s="55">
        <f t="shared" si="15"/>
        <v>20.688696561142525</v>
      </c>
      <c r="AQ49" s="62">
        <f t="shared" si="9"/>
        <v>3.115185710471553</v>
      </c>
      <c r="AR49" s="43"/>
      <c r="AS49" s="43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29" t="s">
        <v>34</v>
      </c>
      <c r="D50" s="130"/>
      <c r="E50" s="64">
        <f>AVERAGE(Q4:Q5)</f>
        <v>34.841979931263197</v>
      </c>
      <c r="F50" s="63">
        <f t="shared" si="10"/>
        <v>8.3052571639072643E-5</v>
      </c>
      <c r="G50" s="63">
        <f>SUM(E50*(LOG(E37)/LOG(2)))</f>
        <v>35.386618568902065</v>
      </c>
      <c r="H50" s="63">
        <f t="shared" si="11"/>
        <v>5.6602767249299289E-5</v>
      </c>
      <c r="I50" s="6"/>
      <c r="J50" s="129" t="s">
        <v>34</v>
      </c>
      <c r="K50" s="130"/>
      <c r="L50" s="64">
        <f>AVERAGE(Z4:Z5)</f>
        <v>37.458035239209799</v>
      </c>
      <c r="M50" s="63">
        <f t="shared" si="0"/>
        <v>1.9519849673713906E-5</v>
      </c>
      <c r="N50" s="63">
        <f>SUM(L50*(LOG($J$37)/LOG(2)))</f>
        <v>36.40091845319796</v>
      </c>
      <c r="O50" s="63">
        <f t="shared" si="1"/>
        <v>3.9785023539466593E-5</v>
      </c>
      <c r="P50" s="6"/>
      <c r="Q50" s="129" t="s">
        <v>34</v>
      </c>
      <c r="R50" s="130"/>
      <c r="S50" s="64">
        <f>AVERAGE(W7:W8)</f>
        <v>34.425922029040095</v>
      </c>
      <c r="T50" s="63">
        <f t="shared" si="2"/>
        <v>6.1137019404464209E-4</v>
      </c>
      <c r="U50" s="63">
        <f t="shared" si="16"/>
        <v>43.747537424226323</v>
      </c>
      <c r="V50" s="63">
        <f t="shared" si="3"/>
        <v>1.6611380012544965E-7</v>
      </c>
      <c r="W50" s="6"/>
      <c r="X50" s="129" t="s">
        <v>34</v>
      </c>
      <c r="Y50" s="130"/>
      <c r="Z50" s="64" t="e">
        <f>AVERAGE(Q10:Q11)</f>
        <v>#DIV/0!</v>
      </c>
      <c r="AA50" s="63" t="e">
        <f t="shared" si="4"/>
        <v>#DIV/0!</v>
      </c>
      <c r="AB50" s="63" t="e">
        <f t="shared" si="13"/>
        <v>#DIV/0!</v>
      </c>
      <c r="AC50" s="63" t="e">
        <f t="shared" si="5"/>
        <v>#DIV/0!</v>
      </c>
      <c r="AD50" s="6"/>
      <c r="AE50" s="131" t="s">
        <v>34</v>
      </c>
      <c r="AF50" s="132"/>
      <c r="AG50" s="64" t="e">
        <f>AVERAGE(Z10:Z11)</f>
        <v>#DIV/0!</v>
      </c>
      <c r="AH50" s="63" t="e">
        <f t="shared" si="6"/>
        <v>#DIV/0!</v>
      </c>
      <c r="AI50" s="63" t="e">
        <f t="shared" si="14"/>
        <v>#DIV/0!</v>
      </c>
      <c r="AJ50" s="63" t="e">
        <f t="shared" si="7"/>
        <v>#DIV/0!</v>
      </c>
      <c r="AK50" s="6"/>
      <c r="AL50" s="131" t="s">
        <v>34</v>
      </c>
      <c r="AM50" s="132"/>
      <c r="AN50" s="64">
        <f>AVERAGE(W13:W14)</f>
        <v>36.991617715934403</v>
      </c>
      <c r="AO50" s="63">
        <f t="shared" si="8"/>
        <v>4.3853234566479991E-5</v>
      </c>
      <c r="AP50" s="64">
        <f t="shared" si="15"/>
        <v>36.568115154712416</v>
      </c>
      <c r="AQ50" s="63">
        <f t="shared" si="9"/>
        <v>5.861773829735113E-5</v>
      </c>
      <c r="AR50" s="43"/>
      <c r="AS50" s="43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38" t="s">
        <v>73</v>
      </c>
      <c r="D51" s="139"/>
      <c r="E51" s="87">
        <f>AVERAGE(E41:E49)</f>
        <v>18.516899122652596</v>
      </c>
      <c r="F51" s="87">
        <f>AVERAGE(F41:F49)</f>
        <v>8.9086529401780599</v>
      </c>
      <c r="G51" s="87">
        <f>AVERAGE(G41:G49)</f>
        <v>18.806349341364442</v>
      </c>
      <c r="H51" s="87">
        <f>AVERAGE(H41:H49)</f>
        <v>7.2864850269375374</v>
      </c>
      <c r="I51" s="6"/>
      <c r="J51" s="138" t="s">
        <v>73</v>
      </c>
      <c r="K51" s="139"/>
      <c r="L51" s="87">
        <f>AVERAGE(L41:L49)</f>
        <v>18.479175781362834</v>
      </c>
      <c r="M51" s="87">
        <f>AVERAGE(M41:M49)</f>
        <v>9.8624422647177017</v>
      </c>
      <c r="N51" s="87">
        <f>AVERAGE(N41:N49)</f>
        <v>17.957668265408181</v>
      </c>
      <c r="O51" s="87">
        <f>AVERAGE(O41:O49)</f>
        <v>13.792447694087279</v>
      </c>
      <c r="P51" s="6"/>
      <c r="Q51" s="138" t="s">
        <v>73</v>
      </c>
      <c r="R51" s="139"/>
      <c r="S51" s="87">
        <f>AVERAGE(S41:S49)</f>
        <v>23.640577189064018</v>
      </c>
      <c r="T51" s="87">
        <f>AVERAGE(T41:T49)</f>
        <v>10.312883461404903</v>
      </c>
      <c r="U51" s="87">
        <f>AVERAGE(U41:U49)</f>
        <v>30.041810773767288</v>
      </c>
      <c r="V51" s="87">
        <f>AVERAGE(V41:V49)</f>
        <v>4.1612291920535761E-2</v>
      </c>
      <c r="W51" s="6"/>
      <c r="X51" s="138" t="s">
        <v>73</v>
      </c>
      <c r="Y51" s="139"/>
      <c r="Z51" s="87">
        <f>AVERAGE(Z41:Z49)</f>
        <v>19.766681542856052</v>
      </c>
      <c r="AA51" s="87">
        <f>AVERAGE(AA41:AA49)</f>
        <v>5.9262623922068318</v>
      </c>
      <c r="AB51" s="87">
        <f>AVERAGE(AB41:AB49)</f>
        <v>20.018137540364926</v>
      </c>
      <c r="AC51" s="87">
        <f>AVERAGE(AC41:AC49)</f>
        <v>5.0012615621969339</v>
      </c>
      <c r="AD51" s="6"/>
      <c r="AE51" s="138" t="s">
        <v>73</v>
      </c>
      <c r="AF51" s="139"/>
      <c r="AG51" s="87">
        <f>AVERAGE(AG41:AG49)</f>
        <v>19.609859586900615</v>
      </c>
      <c r="AH51" s="87">
        <f>AVERAGE(AH41:AH49)</f>
        <v>9.0812492324726879</v>
      </c>
      <c r="AI51" s="87">
        <f>AVERAGE(AI41:AI49)</f>
        <v>20.423420961412546</v>
      </c>
      <c r="AJ51" s="87">
        <f>AVERAGE(AJ41:AJ49)</f>
        <v>5.0950320049329569</v>
      </c>
      <c r="AK51" s="6"/>
      <c r="AL51" s="138" t="s">
        <v>73</v>
      </c>
      <c r="AM51" s="139"/>
      <c r="AN51" s="87">
        <f>AVERAGE(AN41:AN49)</f>
        <v>19.851693978834287</v>
      </c>
      <c r="AO51" s="87">
        <f>AVERAGE(AO41:AO49)</f>
        <v>7.3282222385423541</v>
      </c>
      <c r="AP51" s="87">
        <f>AVERAGE(AP41:AP49)</f>
        <v>19.624419699855949</v>
      </c>
      <c r="AQ51" s="87">
        <f>AVERAGE(AQ41:AQ49)</f>
        <v>8.5054603802624129</v>
      </c>
      <c r="AR51" s="43"/>
      <c r="AS51" s="43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38" t="s">
        <v>74</v>
      </c>
      <c r="D52" s="139"/>
      <c r="E52" s="87">
        <f>(E53/SQRT(9))</f>
        <v>0.20680221024435944</v>
      </c>
      <c r="F52" s="87">
        <f>(F53/SQRT(9))</f>
        <v>1.2342447319134389</v>
      </c>
      <c r="G52" s="87">
        <f>(G53/SQRT(9))</f>
        <v>0.21003487596170378</v>
      </c>
      <c r="H52" s="87">
        <f>(H53/SQRT(9))</f>
        <v>1.0247994705937835</v>
      </c>
      <c r="I52" s="6"/>
      <c r="J52" s="138" t="s">
        <v>74</v>
      </c>
      <c r="K52" s="139"/>
      <c r="L52" s="87">
        <f>(L53/SQRT(9))</f>
        <v>0.50321375685030367</v>
      </c>
      <c r="M52" s="87">
        <f>(M53/SQRT(9))</f>
        <v>1.982672028270275</v>
      </c>
      <c r="N52" s="87">
        <f>(N53/SQRT(9))</f>
        <v>0.48901237907057155</v>
      </c>
      <c r="O52" s="87">
        <f>(O53/SQRT(9))</f>
        <v>2.7247579505302117</v>
      </c>
      <c r="P52" s="6"/>
      <c r="Q52" s="138" t="s">
        <v>74</v>
      </c>
      <c r="R52" s="139"/>
      <c r="S52" s="87">
        <f>(S53/SQRT(9))</f>
        <v>0.2782358436625782</v>
      </c>
      <c r="T52" s="87">
        <f>(T53/SQRT(9))</f>
        <v>2.0811984227096376</v>
      </c>
      <c r="U52" s="87">
        <f>(U53/SQRT(9))</f>
        <v>0.35357463986358817</v>
      </c>
      <c r="V52" s="87">
        <f>(V53/SQRT(9))</f>
        <v>1.0091321239862406E-2</v>
      </c>
      <c r="W52" s="6"/>
      <c r="X52" s="138" t="s">
        <v>74</v>
      </c>
      <c r="Y52" s="139"/>
      <c r="Z52" s="87">
        <f>(Z53/SQRT(9))</f>
        <v>0.29954131771772124</v>
      </c>
      <c r="AA52" s="87">
        <f>(AA53/SQRT(9))</f>
        <v>1.7440060405133719</v>
      </c>
      <c r="AB52" s="87">
        <f>(AB53/SQRT(9))</f>
        <v>0.30335184406623988</v>
      </c>
      <c r="AC52" s="87">
        <f>(AC53/SQRT(9))</f>
        <v>1.4950940905803851</v>
      </c>
      <c r="AD52" s="6"/>
      <c r="AE52" s="138" t="s">
        <v>74</v>
      </c>
      <c r="AF52" s="139"/>
      <c r="AG52" s="87">
        <f>(AG53/SQRT(9))</f>
        <v>0.20584951250578212</v>
      </c>
      <c r="AH52" s="87">
        <f>(AH53/SQRT(9))</f>
        <v>1.5296433403051271</v>
      </c>
      <c r="AI52" s="87">
        <f>(AI53/SQRT(9))</f>
        <v>0.2143896660746881</v>
      </c>
      <c r="AJ52" s="87">
        <f>(AJ53/SQRT(9))</f>
        <v>0.8972748939352635</v>
      </c>
      <c r="AK52" s="6"/>
      <c r="AL52" s="138" t="s">
        <v>74</v>
      </c>
      <c r="AM52" s="139"/>
      <c r="AN52" s="87">
        <f>(AN53/SQRT(9))</f>
        <v>0.33701385601059136</v>
      </c>
      <c r="AO52" s="87">
        <f>(AO53/SQRT(9))</f>
        <v>2.2308886926451925</v>
      </c>
      <c r="AP52" s="87">
        <f>(AP53/SQRT(9))</f>
        <v>0.33315551620280554</v>
      </c>
      <c r="AQ52" s="87">
        <f>(AQ53/SQRT(9))</f>
        <v>2.5537825549170363</v>
      </c>
      <c r="AR52" s="43"/>
      <c r="AS52" s="43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38" t="s">
        <v>75</v>
      </c>
      <c r="D53" s="139"/>
      <c r="E53" s="87">
        <f>_xlfn.STDEV.P(E41:E49)</f>
        <v>0.62040663073307833</v>
      </c>
      <c r="F53" s="87">
        <f>_xlfn.STDEV.P(F41:F49)</f>
        <v>3.7027341957403168</v>
      </c>
      <c r="G53" s="87">
        <f>_xlfn.STDEV.P(G41:G49)</f>
        <v>0.63010462788511135</v>
      </c>
      <c r="H53" s="87">
        <f>_xlfn.STDEV.P(H41:H49)</f>
        <v>3.0743984117813503</v>
      </c>
      <c r="I53" s="6"/>
      <c r="J53" s="138" t="s">
        <v>75</v>
      </c>
      <c r="K53" s="139"/>
      <c r="L53" s="87">
        <f>_xlfn.STDEV.P(L41:L49)</f>
        <v>1.509641270550911</v>
      </c>
      <c r="M53" s="87">
        <f>_xlfn.STDEV.P(M41:M49)</f>
        <v>5.948016084810825</v>
      </c>
      <c r="N53" s="87">
        <f>_xlfn.STDEV.P(N41:N49)</f>
        <v>1.4670371372117146</v>
      </c>
      <c r="O53" s="87">
        <f>_xlfn.STDEV.P(O41:O49)</f>
        <v>8.1742738515906357</v>
      </c>
      <c r="P53" s="6"/>
      <c r="Q53" s="138" t="s">
        <v>75</v>
      </c>
      <c r="R53" s="139"/>
      <c r="S53" s="87">
        <f>_xlfn.STDEV.P(S41:S49)</f>
        <v>0.83470753098773454</v>
      </c>
      <c r="T53" s="87">
        <f>_xlfn.STDEV.P(T41:T49)</f>
        <v>6.2435952681289129</v>
      </c>
      <c r="U53" s="87">
        <f>_xlfn.STDEV.P(U41:U49)</f>
        <v>1.0607239195907645</v>
      </c>
      <c r="V53" s="87">
        <f>_xlfn.STDEV.P(V41:V49)</f>
        <v>3.0273963719587217E-2</v>
      </c>
      <c r="W53" s="6"/>
      <c r="X53" s="138" t="s">
        <v>75</v>
      </c>
      <c r="Y53" s="139"/>
      <c r="Z53" s="87">
        <f>_xlfn.STDEV.P(Z41:Z49)</f>
        <v>0.89862395315316379</v>
      </c>
      <c r="AA53" s="87">
        <f>_xlfn.STDEV.P(AA41:AA49)</f>
        <v>5.2320181215401158</v>
      </c>
      <c r="AB53" s="87">
        <f>_xlfn.STDEV.P(AB41:AB49)</f>
        <v>0.9100555321987196</v>
      </c>
      <c r="AC53" s="87">
        <f>_xlfn.STDEV.P(AC41:AC49)</f>
        <v>4.4852822717411556</v>
      </c>
      <c r="AD53" s="6"/>
      <c r="AE53" s="138" t="s">
        <v>75</v>
      </c>
      <c r="AF53" s="139"/>
      <c r="AG53" s="87">
        <f>_xlfn.STDEV.P(AG41:AG49)</f>
        <v>0.6175485375173464</v>
      </c>
      <c r="AH53" s="87">
        <f>_xlfn.STDEV.P(AH41:AH49)</f>
        <v>4.5889300209153809</v>
      </c>
      <c r="AI53" s="87">
        <f>_xlfn.STDEV.P(AI41:AI49)</f>
        <v>0.64316899822406426</v>
      </c>
      <c r="AJ53" s="87">
        <f>_xlfn.STDEV.P(AJ41:AJ49)</f>
        <v>2.6918246818057905</v>
      </c>
      <c r="AK53" s="6"/>
      <c r="AL53" s="138" t="s">
        <v>75</v>
      </c>
      <c r="AM53" s="139"/>
      <c r="AN53" s="87">
        <f>_xlfn.STDEV.P(AN41:AN49)</f>
        <v>1.0110415680317741</v>
      </c>
      <c r="AO53" s="87">
        <f>_xlfn.STDEV.P(AO41:AO49)</f>
        <v>6.692666077935578</v>
      </c>
      <c r="AP53" s="87">
        <f>_xlfn.STDEV.P(AP41:AP49)</f>
        <v>0.99946654860841655</v>
      </c>
      <c r="AQ53" s="87">
        <f>_xlfn.STDEV.P(AQ41:AQ49)</f>
        <v>7.6613476647511094</v>
      </c>
      <c r="AR53" s="43"/>
      <c r="AS53" s="43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38" t="s">
        <v>76</v>
      </c>
      <c r="D54" s="139"/>
      <c r="E54" s="87">
        <f>SUM(E53/E51)</f>
        <v>3.3504887974148204E-2</v>
      </c>
      <c r="F54" s="87">
        <f>SUM(F53/F51)</f>
        <v>0.41563345441834099</v>
      </c>
      <c r="G54" s="87">
        <f>SUM(G53/G51)</f>
        <v>3.3504887974148197E-2</v>
      </c>
      <c r="H54" s="87">
        <f>SUM(H53/H51)</f>
        <v>0.42193161729085443</v>
      </c>
      <c r="I54" s="6"/>
      <c r="J54" s="138" t="s">
        <v>76</v>
      </c>
      <c r="K54" s="139"/>
      <c r="L54" s="87">
        <f>SUM(L53/L51)</f>
        <v>8.1694188551064015E-2</v>
      </c>
      <c r="M54" s="87">
        <f>SUM(M53/M51)</f>
        <v>0.60309768363253158</v>
      </c>
      <c r="N54" s="87">
        <f>SUM(N53/N51)</f>
        <v>8.1694188551064015E-2</v>
      </c>
      <c r="O54" s="87">
        <f>SUM(O53/O51)</f>
        <v>0.59266303073202053</v>
      </c>
      <c r="P54" s="6"/>
      <c r="Q54" s="138" t="s">
        <v>76</v>
      </c>
      <c r="R54" s="139"/>
      <c r="S54" s="87">
        <f>SUM(S53/S51)</f>
        <v>3.5308255137436531E-2</v>
      </c>
      <c r="T54" s="87">
        <f>SUM(T53/T51)</f>
        <v>0.60541702924260143</v>
      </c>
      <c r="U54" s="87">
        <f>SUM(U53/U51)</f>
        <v>3.5308255137436517E-2</v>
      </c>
      <c r="V54" s="87">
        <f>SUM(V53/V51)</f>
        <v>0.72752454436778924</v>
      </c>
      <c r="W54" s="6"/>
      <c r="X54" s="138" t="s">
        <v>76</v>
      </c>
      <c r="Y54" s="139"/>
      <c r="Z54" s="87">
        <f>SUM(Z53/Z51)</f>
        <v>4.5461548576318248E-2</v>
      </c>
      <c r="AA54" s="87">
        <f>SUM(AA53/AA51)</f>
        <v>0.88285293078152216</v>
      </c>
      <c r="AB54" s="87">
        <f>SUM(AB53/AB51)</f>
        <v>4.5461548576318227E-2</v>
      </c>
      <c r="AC54" s="87">
        <f>SUM(AC53/AC51)</f>
        <v>0.89683017293958112</v>
      </c>
      <c r="AD54" s="6"/>
      <c r="AE54" s="138" t="s">
        <v>76</v>
      </c>
      <c r="AF54" s="139"/>
      <c r="AG54" s="87">
        <f>SUM(AG53/AG51)</f>
        <v>3.1491736836803702E-2</v>
      </c>
      <c r="AH54" s="87">
        <f>SUM(AH53/AH51)</f>
        <v>0.50531924666336725</v>
      </c>
      <c r="AI54" s="87">
        <f>SUM(AI53/AI51)</f>
        <v>3.1491736836803695E-2</v>
      </c>
      <c r="AJ54" s="87">
        <f>SUM(AJ53/AJ51)</f>
        <v>0.52832340978419645</v>
      </c>
      <c r="AK54" s="6"/>
      <c r="AL54" s="138" t="s">
        <v>76</v>
      </c>
      <c r="AM54" s="139"/>
      <c r="AN54" s="87">
        <f>SUM(AN53/AN51)</f>
        <v>5.0929737739748474E-2</v>
      </c>
      <c r="AO54" s="87">
        <f>SUM(AO53/AO51)</f>
        <v>0.91327280479239481</v>
      </c>
      <c r="AP54" s="87">
        <f>SUM(AP53/AP51)</f>
        <v>5.0929737739748453E-2</v>
      </c>
      <c r="AQ54" s="87">
        <f>SUM(AQ53/AQ51)</f>
        <v>0.90075637557843036</v>
      </c>
      <c r="AR54" s="43"/>
      <c r="AS54" s="43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12" t="s">
        <v>48</v>
      </c>
      <c r="D56" s="112"/>
      <c r="E56" s="112"/>
      <c r="F56" s="6"/>
      <c r="G56" s="6"/>
      <c r="H56" s="112" t="s">
        <v>23</v>
      </c>
      <c r="I56" s="112"/>
      <c r="J56" s="112"/>
      <c r="K56" s="6"/>
      <c r="L56" s="6"/>
      <c r="M56" s="112" t="s">
        <v>27</v>
      </c>
      <c r="N56" s="112"/>
      <c r="O56" s="112"/>
      <c r="P56" s="6"/>
      <c r="Q56" s="6"/>
      <c r="R56" s="112" t="s">
        <v>24</v>
      </c>
      <c r="S56" s="112"/>
      <c r="T56" s="112"/>
      <c r="U56" s="6"/>
      <c r="V56" s="6"/>
      <c r="W56" s="112"/>
      <c r="X56" s="112"/>
      <c r="Y56" s="112"/>
      <c r="Z56" s="6"/>
      <c r="AA56" s="6"/>
      <c r="AB56" s="112" t="s">
        <v>25</v>
      </c>
      <c r="AC56" s="112"/>
      <c r="AD56" s="112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18" t="s">
        <v>47</v>
      </c>
      <c r="D57" s="119"/>
      <c r="E57" s="120"/>
      <c r="F57" s="6"/>
      <c r="G57" s="6"/>
      <c r="H57" s="121" t="s">
        <v>47</v>
      </c>
      <c r="I57" s="122"/>
      <c r="J57" s="123"/>
      <c r="K57" s="6"/>
      <c r="L57" s="6"/>
      <c r="M57" s="121" t="s">
        <v>47</v>
      </c>
      <c r="N57" s="122"/>
      <c r="O57" s="123"/>
      <c r="P57" s="6"/>
      <c r="Q57" s="6"/>
      <c r="R57" s="121" t="s">
        <v>47</v>
      </c>
      <c r="S57" s="124"/>
      <c r="T57" s="125"/>
      <c r="U57" s="6"/>
      <c r="V57" s="6"/>
      <c r="W57" s="121"/>
      <c r="X57" s="122"/>
      <c r="Y57" s="123"/>
      <c r="Z57" s="6"/>
      <c r="AA57" s="6"/>
      <c r="AB57" s="121" t="s">
        <v>47</v>
      </c>
      <c r="AC57" s="122"/>
      <c r="AD57" s="123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5" t="s">
        <v>33</v>
      </c>
      <c r="D58" s="36" t="s">
        <v>45</v>
      </c>
      <c r="E58" s="71" t="s">
        <v>44</v>
      </c>
      <c r="F58" s="6"/>
      <c r="G58" s="6"/>
      <c r="H58" s="35" t="s">
        <v>33</v>
      </c>
      <c r="I58" s="36" t="s">
        <v>45</v>
      </c>
      <c r="J58" s="71" t="s">
        <v>44</v>
      </c>
      <c r="K58" s="6"/>
      <c r="L58" s="6"/>
      <c r="M58" s="35" t="s">
        <v>33</v>
      </c>
      <c r="N58" s="36" t="s">
        <v>45</v>
      </c>
      <c r="O58" s="71" t="s">
        <v>44</v>
      </c>
      <c r="P58" s="6"/>
      <c r="Q58" s="6"/>
      <c r="R58" s="35" t="s">
        <v>33</v>
      </c>
      <c r="S58" s="36" t="s">
        <v>45</v>
      </c>
      <c r="T58" s="71" t="s">
        <v>44</v>
      </c>
      <c r="U58" s="6"/>
      <c r="V58" s="6"/>
      <c r="W58" s="35"/>
      <c r="X58" s="36"/>
      <c r="Y58" s="71"/>
      <c r="Z58" s="6"/>
      <c r="AA58" s="6"/>
      <c r="AB58" s="35" t="s">
        <v>33</v>
      </c>
      <c r="AC58" s="36" t="s">
        <v>45</v>
      </c>
      <c r="AD58" s="71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5">
        <v>3.2000000000000001E-2</v>
      </c>
      <c r="D59" s="66">
        <f>LOG(C59)</f>
        <v>-1.494850021680094</v>
      </c>
      <c r="E59" s="67">
        <f>AVERAGE(C16:C17)</f>
        <v>29.553930263558151</v>
      </c>
      <c r="F59" s="6"/>
      <c r="G59" s="6"/>
      <c r="H59" s="65">
        <v>3.2000000000000001E-2</v>
      </c>
      <c r="I59" s="66">
        <f>LOG(H59)</f>
        <v>-1.494850021680094</v>
      </c>
      <c r="J59" s="67">
        <f>AVERAGE(R16:R17)</f>
        <v>31.498895276837899</v>
      </c>
      <c r="K59" s="6"/>
      <c r="L59" s="6"/>
      <c r="M59" s="65">
        <v>3.2000000000000001E-2</v>
      </c>
      <c r="N59" s="66">
        <f>LOG(M59)</f>
        <v>-1.494850021680094</v>
      </c>
      <c r="O59" s="67">
        <f>AVERAGE(I19:I20)</f>
        <v>28.735817189265553</v>
      </c>
      <c r="P59" s="6"/>
      <c r="Q59" s="6"/>
      <c r="R59" s="65">
        <v>3.2000000000000001E-2</v>
      </c>
      <c r="S59" s="66">
        <f>LOG(R59)</f>
        <v>-1.494850021680094</v>
      </c>
      <c r="T59" s="67">
        <f>AVERAGE(C22:C23)</f>
        <v>26.936417750194249</v>
      </c>
      <c r="U59" s="6"/>
      <c r="V59" s="6"/>
      <c r="W59" s="65"/>
      <c r="X59" s="66"/>
      <c r="Y59" s="67"/>
      <c r="Z59" s="6"/>
      <c r="AA59" s="6"/>
      <c r="AB59" s="65">
        <v>3.2000000000000001E-2</v>
      </c>
      <c r="AC59" s="66">
        <f>LOG(AB59)</f>
        <v>-1.494850021680094</v>
      </c>
      <c r="AD59" s="67">
        <f>AVERAGE(I25:I26)</f>
        <v>31.971645222554997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5">
        <v>0.16</v>
      </c>
      <c r="D60" s="66">
        <f>LOG(C60)</f>
        <v>-0.79588001734407521</v>
      </c>
      <c r="E60" s="67">
        <f>AVERAGE(D16:D17)</f>
        <v>27.668948596473797</v>
      </c>
      <c r="F60" s="6"/>
      <c r="G60" s="6"/>
      <c r="H60" s="65">
        <v>0.16</v>
      </c>
      <c r="I60" s="66">
        <f>LOG(H60)</f>
        <v>-0.79588001734407521</v>
      </c>
      <c r="J60" s="67">
        <f>AVERAGE(S16:S17)</f>
        <v>29.268902743098749</v>
      </c>
      <c r="K60" s="6"/>
      <c r="L60" s="6"/>
      <c r="M60" s="65">
        <v>0.16</v>
      </c>
      <c r="N60" s="66">
        <f>LOG(M60)</f>
        <v>-0.79588001734407521</v>
      </c>
      <c r="O60" s="67">
        <f>AVERAGE(J19:J20)</f>
        <v>26.412854220175952</v>
      </c>
      <c r="P60" s="6"/>
      <c r="Q60" s="6"/>
      <c r="R60" s="65">
        <v>0.16</v>
      </c>
      <c r="S60" s="66">
        <f>LOG(R60)</f>
        <v>-0.79588001734407521</v>
      </c>
      <c r="T60" s="67">
        <f>AVERAGE(D22:D23)</f>
        <v>24.693834395919851</v>
      </c>
      <c r="U60" s="6"/>
      <c r="V60" s="6"/>
      <c r="W60" s="65"/>
      <c r="X60" s="66"/>
      <c r="Y60" s="67"/>
      <c r="Z60" s="6"/>
      <c r="AA60" s="6"/>
      <c r="AB60" s="65">
        <v>0.16</v>
      </c>
      <c r="AC60" s="66">
        <f>LOG(AB60)</f>
        <v>-0.79588001734407521</v>
      </c>
      <c r="AD60" s="67">
        <f>AVERAGE(J25:J26)</f>
        <v>29.428380786654351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5">
        <v>0.8</v>
      </c>
      <c r="D61" s="66">
        <f>LOG(C61)</f>
        <v>-9.6910013008056392E-2</v>
      </c>
      <c r="E61" s="67">
        <f>AVERAGE(E16:E17)</f>
        <v>25.606091828036398</v>
      </c>
      <c r="F61" s="6"/>
      <c r="G61" s="6"/>
      <c r="H61" s="65">
        <v>0.8</v>
      </c>
      <c r="I61" s="66">
        <f>LOG(H61)</f>
        <v>-9.6910013008056392E-2</v>
      </c>
      <c r="J61" s="67">
        <f>AVERAGE(T16:T17)</f>
        <v>27.194057889297149</v>
      </c>
      <c r="K61" s="6"/>
      <c r="L61" s="6"/>
      <c r="M61" s="65">
        <v>0.8</v>
      </c>
      <c r="N61" s="66">
        <f>LOG(M61)</f>
        <v>-9.6910013008056392E-2</v>
      </c>
      <c r="O61" s="67">
        <f>AVERAGE(K19:K20)</f>
        <v>24.3068656492486</v>
      </c>
      <c r="P61" s="6"/>
      <c r="Q61" s="6"/>
      <c r="R61" s="65">
        <v>0.8</v>
      </c>
      <c r="S61" s="66">
        <f>LOG(R61)</f>
        <v>-9.6910013008056392E-2</v>
      </c>
      <c r="T61" s="67">
        <f>AVERAGE(E22:E23)</f>
        <v>22.34008230320865</v>
      </c>
      <c r="U61" s="6"/>
      <c r="V61" s="6"/>
      <c r="W61" s="65"/>
      <c r="X61" s="66"/>
      <c r="Y61" s="67"/>
      <c r="Z61" s="6"/>
      <c r="AA61" s="6"/>
      <c r="AB61" s="65">
        <v>0.8</v>
      </c>
      <c r="AC61" s="66">
        <f>LOG(AB61)</f>
        <v>-9.6910013008056392E-2</v>
      </c>
      <c r="AD61" s="67">
        <f>AVERAGE(K25:K26)</f>
        <v>27.215625299104552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5">
        <v>4</v>
      </c>
      <c r="D62" s="66">
        <f>LOG(C62)</f>
        <v>0.6020599913279624</v>
      </c>
      <c r="E62" s="67">
        <f>AVERAGE(F16:F17)</f>
        <v>23.30235315452115</v>
      </c>
      <c r="F62" s="6"/>
      <c r="G62" s="6"/>
      <c r="H62" s="65">
        <v>4</v>
      </c>
      <c r="I62" s="66">
        <f>LOG(H62)</f>
        <v>0.6020599913279624</v>
      </c>
      <c r="J62" s="67">
        <f>AVERAGE(U16:U17)</f>
        <v>24.819419702238548</v>
      </c>
      <c r="L62" s="6"/>
      <c r="M62" s="65">
        <v>4</v>
      </c>
      <c r="N62" s="66">
        <f>LOG(M62)</f>
        <v>0.6020599913279624</v>
      </c>
      <c r="O62" s="67">
        <f>AVERAGE(L19:L20)</f>
        <v>21.821430615969799</v>
      </c>
      <c r="P62" s="6"/>
      <c r="Q62" s="6"/>
      <c r="R62" s="65">
        <v>4</v>
      </c>
      <c r="S62" s="66">
        <f>LOG(R62)</f>
        <v>0.6020599913279624</v>
      </c>
      <c r="T62" s="67">
        <f>AVERAGE(F22:F23)</f>
        <v>19.953025257523599</v>
      </c>
      <c r="U62" s="6"/>
      <c r="V62" s="6"/>
      <c r="W62" s="65"/>
      <c r="X62" s="66"/>
      <c r="Y62" s="67"/>
      <c r="Z62" s="6"/>
      <c r="AA62" s="6"/>
      <c r="AB62" s="65">
        <v>4</v>
      </c>
      <c r="AC62" s="66">
        <f>LOG(AB62)</f>
        <v>0.6020599913279624</v>
      </c>
      <c r="AD62" s="67">
        <f>AVERAGE(L25:L26)</f>
        <v>24.935397974527298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8">
        <v>20</v>
      </c>
      <c r="D63" s="69">
        <f>LOG(C63)</f>
        <v>1.3010299956639813</v>
      </c>
      <c r="E63" s="70">
        <f>AVERAGE(G16:G17)</f>
        <v>20.763854462926499</v>
      </c>
      <c r="F63" s="6"/>
      <c r="G63" s="6"/>
      <c r="H63" s="68">
        <v>20</v>
      </c>
      <c r="I63" s="69">
        <f>LOG(H63)</f>
        <v>1.3010299956639813</v>
      </c>
      <c r="J63" s="70">
        <f>AVERAGE(V16:V17)</f>
        <v>22.367882551155851</v>
      </c>
      <c r="K63" s="6"/>
      <c r="L63" s="6"/>
      <c r="M63" s="68">
        <v>20</v>
      </c>
      <c r="N63" s="69">
        <f>LOG(M63)</f>
        <v>1.3010299956639813</v>
      </c>
      <c r="O63" s="70">
        <f>AVERAGE(M19:M20)</f>
        <v>19.4996538748326</v>
      </c>
      <c r="P63" s="6"/>
      <c r="Q63" s="6"/>
      <c r="R63" s="68">
        <v>20</v>
      </c>
      <c r="S63" s="69">
        <f>LOG(R63)</f>
        <v>1.3010299956639813</v>
      </c>
      <c r="T63" s="70">
        <f>AVERAGE(G22:G23)</f>
        <v>17.515736500373901</v>
      </c>
      <c r="U63" s="6"/>
      <c r="V63" s="6"/>
      <c r="W63" s="68"/>
      <c r="X63" s="69"/>
      <c r="Y63" s="70"/>
      <c r="Z63" s="6"/>
      <c r="AA63" s="6"/>
      <c r="AB63" s="68">
        <v>20</v>
      </c>
      <c r="AC63" s="69">
        <f>LOG(AB63)</f>
        <v>1.3010299956639813</v>
      </c>
      <c r="AD63" s="70">
        <f>AVERAGE(M25:M26)</f>
        <v>22.789825578003899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16" t="s">
        <v>46</v>
      </c>
      <c r="D64" s="117"/>
      <c r="E64" s="37">
        <f>(10^(-1/-3.1399)-1)*100</f>
        <v>108.2003620070449</v>
      </c>
      <c r="F64" s="6"/>
      <c r="G64" s="6"/>
      <c r="H64" s="116" t="s">
        <v>46</v>
      </c>
      <c r="I64" s="117"/>
      <c r="J64" s="37">
        <f>(10^(-1/-3.2493)-1)*100</f>
        <v>103.12276239845856</v>
      </c>
      <c r="K64" s="6"/>
      <c r="L64" s="6"/>
      <c r="M64" s="116" t="s">
        <v>46</v>
      </c>
      <c r="N64" s="117"/>
      <c r="O64" s="37">
        <f>(10^(-1/-3.299)-1)*100</f>
        <v>100.96580091556331</v>
      </c>
      <c r="P64" s="6"/>
      <c r="Q64" s="6"/>
      <c r="R64" s="116" t="s">
        <v>46</v>
      </c>
      <c r="S64" s="117"/>
      <c r="T64" s="37">
        <f>(10^(-1/-3.3738)-1)*100</f>
        <v>97.879900611980304</v>
      </c>
      <c r="U64" s="6"/>
      <c r="V64" s="6"/>
      <c r="W64" s="116"/>
      <c r="X64" s="117"/>
      <c r="Y64" s="37"/>
      <c r="Z64" s="6"/>
      <c r="AA64" s="6"/>
      <c r="AB64" s="116" t="s">
        <v>46</v>
      </c>
      <c r="AC64" s="117"/>
      <c r="AD64" s="37">
        <f>(10^(-1/-3.27)-1)*100</f>
        <v>102.21361702930092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16" t="s">
        <v>50</v>
      </c>
      <c r="D65" s="117"/>
      <c r="E65" s="37">
        <f>SUM(E64/100)+1</f>
        <v>2.082003620070449</v>
      </c>
      <c r="F65" s="6"/>
      <c r="G65" s="6"/>
      <c r="H65" s="116" t="s">
        <v>50</v>
      </c>
      <c r="I65" s="117"/>
      <c r="J65" s="37">
        <f>SUM(J64/100)+1</f>
        <v>2.0312276239845857</v>
      </c>
      <c r="K65" s="6"/>
      <c r="L65" s="6"/>
      <c r="M65" s="116" t="s">
        <v>50</v>
      </c>
      <c r="N65" s="117"/>
      <c r="O65" s="37">
        <f>SUM(O64/100)+1</f>
        <v>2.0096580091556331</v>
      </c>
      <c r="P65" s="6"/>
      <c r="Q65" s="6"/>
      <c r="R65" s="116" t="s">
        <v>50</v>
      </c>
      <c r="S65" s="117"/>
      <c r="T65" s="37">
        <f>SUM(T64/100)+1</f>
        <v>1.9787990061198031</v>
      </c>
      <c r="U65" s="6"/>
      <c r="V65" s="6"/>
      <c r="W65" s="116"/>
      <c r="X65" s="117"/>
      <c r="Y65" s="37"/>
      <c r="Z65" s="6"/>
      <c r="AA65" s="6"/>
      <c r="AB65" s="116" t="s">
        <v>50</v>
      </c>
      <c r="AC65" s="117"/>
      <c r="AD65" s="37">
        <f>SUM(AD64/100)+1</f>
        <v>2.0221361702930092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5"/>
      <c r="D66" s="45"/>
      <c r="E66" s="45"/>
      <c r="F66" s="6"/>
      <c r="G66" s="6"/>
      <c r="H66" s="45"/>
      <c r="I66" s="45"/>
      <c r="J66" s="45"/>
      <c r="K66" s="6"/>
      <c r="L66" s="6"/>
      <c r="M66" s="45"/>
      <c r="N66" s="45"/>
      <c r="O66" s="45"/>
      <c r="P66" s="6"/>
      <c r="Q66" s="6"/>
      <c r="R66" s="45"/>
      <c r="S66" s="45"/>
      <c r="T66" s="45"/>
      <c r="U66" s="6"/>
      <c r="V66" s="6"/>
      <c r="W66" s="45"/>
      <c r="X66" s="45"/>
      <c r="Y66" s="45"/>
      <c r="Z66" s="6"/>
      <c r="AA66" s="6"/>
      <c r="AB66" s="45"/>
      <c r="AC66" s="45"/>
      <c r="AD66" s="45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26" t="s">
        <v>89</v>
      </c>
      <c r="D67" s="127"/>
      <c r="E67" s="127"/>
      <c r="F67" s="127"/>
      <c r="G67" s="127"/>
      <c r="H67" s="128"/>
      <c r="I67" s="6"/>
      <c r="J67" s="126" t="s">
        <v>90</v>
      </c>
      <c r="K67" s="127"/>
      <c r="L67" s="127"/>
      <c r="M67" s="127"/>
      <c r="N67" s="127"/>
      <c r="O67" s="128"/>
      <c r="P67" s="6"/>
      <c r="Q67" s="126" t="s">
        <v>91</v>
      </c>
      <c r="R67" s="127"/>
      <c r="S67" s="127"/>
      <c r="T67" s="127"/>
      <c r="U67" s="127"/>
      <c r="V67" s="128"/>
      <c r="W67" s="6"/>
      <c r="X67" s="126" t="s">
        <v>92</v>
      </c>
      <c r="Y67" s="127"/>
      <c r="Z67" s="127"/>
      <c r="AA67" s="127"/>
      <c r="AB67" s="127"/>
      <c r="AC67" s="128"/>
      <c r="AD67" s="6"/>
      <c r="AE67" s="126"/>
      <c r="AF67" s="127"/>
      <c r="AG67" s="127"/>
      <c r="AH67" s="127"/>
      <c r="AI67" s="127"/>
      <c r="AJ67" s="128"/>
      <c r="AK67" s="6"/>
      <c r="AL67" s="126" t="s">
        <v>93</v>
      </c>
      <c r="AM67" s="127"/>
      <c r="AN67" s="127"/>
      <c r="AO67" s="127"/>
      <c r="AP67" s="127"/>
      <c r="AQ67" s="128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37" t="s">
        <v>48</v>
      </c>
      <c r="D68" s="83" t="s">
        <v>51</v>
      </c>
      <c r="E68" s="83" t="s">
        <v>53</v>
      </c>
      <c r="F68" s="83" t="s">
        <v>55</v>
      </c>
      <c r="G68" s="84" t="s">
        <v>57</v>
      </c>
      <c r="H68" s="82" t="s">
        <v>59</v>
      </c>
      <c r="I68" s="6"/>
      <c r="J68" s="137" t="s">
        <v>23</v>
      </c>
      <c r="K68" s="83" t="s">
        <v>51</v>
      </c>
      <c r="L68" s="83" t="s">
        <v>53</v>
      </c>
      <c r="M68" s="83" t="s">
        <v>55</v>
      </c>
      <c r="N68" s="84" t="s">
        <v>57</v>
      </c>
      <c r="O68" s="82" t="s">
        <v>59</v>
      </c>
      <c r="P68" s="6"/>
      <c r="Q68" s="137" t="s">
        <v>27</v>
      </c>
      <c r="R68" s="83" t="s">
        <v>51</v>
      </c>
      <c r="S68" s="83" t="s">
        <v>53</v>
      </c>
      <c r="T68" s="83" t="s">
        <v>55</v>
      </c>
      <c r="U68" s="84" t="s">
        <v>57</v>
      </c>
      <c r="V68" s="82" t="s">
        <v>59</v>
      </c>
      <c r="W68" s="6"/>
      <c r="X68" s="137" t="s">
        <v>24</v>
      </c>
      <c r="Y68" s="83" t="s">
        <v>51</v>
      </c>
      <c r="Z68" s="83" t="s">
        <v>53</v>
      </c>
      <c r="AA68" s="83" t="s">
        <v>55</v>
      </c>
      <c r="AB68" s="84" t="s">
        <v>57</v>
      </c>
      <c r="AC68" s="82" t="s">
        <v>59</v>
      </c>
      <c r="AD68" s="6"/>
      <c r="AE68" s="137"/>
      <c r="AF68" s="83"/>
      <c r="AG68" s="83"/>
      <c r="AH68" s="83"/>
      <c r="AI68" s="84"/>
      <c r="AJ68" s="82"/>
      <c r="AK68" s="6"/>
      <c r="AL68" s="137" t="s">
        <v>25</v>
      </c>
      <c r="AM68" s="83" t="s">
        <v>51</v>
      </c>
      <c r="AN68" s="83" t="s">
        <v>53</v>
      </c>
      <c r="AO68" s="83" t="s">
        <v>55</v>
      </c>
      <c r="AP68" s="84" t="s">
        <v>57</v>
      </c>
      <c r="AQ68" s="82" t="s">
        <v>59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35"/>
      <c r="D69" s="49" t="s">
        <v>35</v>
      </c>
      <c r="E69" s="49">
        <f>AVERAGE(H16:H17)</f>
        <v>22.004063245483451</v>
      </c>
      <c r="F69" s="56">
        <f t="shared" ref="F69:F78" si="17">10^((E69- 25.075)/-3.1399)</f>
        <v>9.5068465384471139</v>
      </c>
      <c r="G69" s="57">
        <f>SUM(E69*(LOG(E65)/LOG(2)))</f>
        <v>23.279695498853425</v>
      </c>
      <c r="H69" s="56">
        <f t="shared" ref="H69:H78" si="18">10^((G69- 25.075)/-3.1399)</f>
        <v>3.7305359982144628</v>
      </c>
      <c r="I69" s="6"/>
      <c r="J69" s="135"/>
      <c r="K69" s="49" t="s">
        <v>35</v>
      </c>
      <c r="L69" s="49">
        <f>AVERAGE(W16:W17)</f>
        <v>23.663774552254552</v>
      </c>
      <c r="M69" s="56">
        <f t="shared" ref="M69:M78" si="19">10^((L69 - 26.715)/-3.2493)</f>
        <v>8.6904217659418652</v>
      </c>
      <c r="N69" s="57">
        <f>SUM(L69*(LOG($J$65)/LOG(2)))</f>
        <v>24.192705356912267</v>
      </c>
      <c r="O69" s="56">
        <f t="shared" ref="O69:O78" si="20">10^((N69 - 26.715)/-3.2493)</f>
        <v>5.973898692508647</v>
      </c>
      <c r="P69" s="6"/>
      <c r="Q69" s="135"/>
      <c r="R69" s="49" t="s">
        <v>35</v>
      </c>
      <c r="S69" s="49">
        <f>AVERAGE(N19:N20)</f>
        <v>20.6401174493752</v>
      </c>
      <c r="T69" s="56">
        <f t="shared" ref="T69:T78" si="21">10^((S69 - 23.836)/-3.2997)</f>
        <v>9.301164098535752</v>
      </c>
      <c r="U69" s="57">
        <f>SUM(S69*(LOG($O$65)/LOG(2)))</f>
        <v>20.783566546485108</v>
      </c>
      <c r="V69" s="56">
        <f t="shared" ref="V69:V78" si="22">10^((U69 - 23.836)/-3.2997)</f>
        <v>8.4151900988432242</v>
      </c>
      <c r="W69" s="6"/>
      <c r="X69" s="135"/>
      <c r="Y69" s="49" t="s">
        <v>35</v>
      </c>
      <c r="Z69" s="49">
        <f>AVERAGE(H22:H23)</f>
        <v>20.2895033681623</v>
      </c>
      <c r="AA69" s="56">
        <f t="shared" ref="AA69:AA78" si="23">10^((Z69- 21.961)/-3.3738)</f>
        <v>3.1292078837788817</v>
      </c>
      <c r="AB69" s="57">
        <f>SUM(Z69*(LOG($T$65)/LOG(2)))</f>
        <v>19.977553876937019</v>
      </c>
      <c r="AC69" s="56">
        <f t="shared" ref="AC69:AC78" si="24">10^((AB69- 21.961)/-3.3738)</f>
        <v>3.8716560643749154</v>
      </c>
      <c r="AD69" s="6"/>
      <c r="AE69" s="135"/>
      <c r="AF69" s="49"/>
      <c r="AG69" s="49"/>
      <c r="AH69" s="56"/>
      <c r="AI69" s="57"/>
      <c r="AJ69" s="56"/>
      <c r="AK69" s="6"/>
      <c r="AL69" s="135"/>
      <c r="AM69" s="49" t="s">
        <v>35</v>
      </c>
      <c r="AN69" s="49">
        <f>AVERAGE(N25:N26)</f>
        <v>24.246321877178602</v>
      </c>
      <c r="AO69" s="56">
        <f t="shared" ref="AO69:AO78" si="25">10^((AN69- 26.951)/-3.27)</f>
        <v>6.7161237844589845</v>
      </c>
      <c r="AP69" s="57">
        <f>SUM(AN69*(LOG($AD$65)/LOG(2)))</f>
        <v>24.631357138067791</v>
      </c>
      <c r="AQ69" s="56">
        <f t="shared" ref="AQ69:AQ78" si="26">10^((AP69- 26.951)/-3.27)</f>
        <v>5.1211902005167813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35"/>
      <c r="D70" s="50" t="s">
        <v>36</v>
      </c>
      <c r="E70" s="50">
        <f>AVERAGE(I16:I17)</f>
        <v>23.52599581494685</v>
      </c>
      <c r="F70" s="57">
        <f t="shared" si="17"/>
        <v>3.1140755582682931</v>
      </c>
      <c r="G70" s="57">
        <f>SUM(E70*(LOG(E65)/LOG(2)))</f>
        <v>24.889858421565798</v>
      </c>
      <c r="H70" s="57">
        <f t="shared" si="18"/>
        <v>1.1454184227496267</v>
      </c>
      <c r="I70" s="6"/>
      <c r="J70" s="135"/>
      <c r="K70" s="50" t="s">
        <v>36</v>
      </c>
      <c r="L70" s="50">
        <f>AVERAGE(X16:X17)</f>
        <v>25.002019800136349</v>
      </c>
      <c r="M70" s="57">
        <f t="shared" si="19"/>
        <v>3.3665446446052658</v>
      </c>
      <c r="N70" s="57">
        <f t="shared" ref="N70:N78" si="27">SUM(L70*(LOG($J$65)/LOG(2)))</f>
        <v>25.560862956022245</v>
      </c>
      <c r="O70" s="57">
        <f t="shared" si="20"/>
        <v>2.2656644699318504</v>
      </c>
      <c r="P70" s="6"/>
      <c r="Q70" s="135"/>
      <c r="R70" s="50" t="s">
        <v>36</v>
      </c>
      <c r="S70" s="50">
        <f>AVERAGE(O19:O20)</f>
        <v>21.679593057148601</v>
      </c>
      <c r="T70" s="57">
        <f t="shared" si="21"/>
        <v>4.503146332937642</v>
      </c>
      <c r="U70" s="57">
        <f t="shared" ref="U70:U78" si="28">SUM(S70*(LOG($O$65)/LOG(2)))</f>
        <v>21.830266523876009</v>
      </c>
      <c r="V70" s="57">
        <f t="shared" si="22"/>
        <v>4.0537156578863334</v>
      </c>
      <c r="W70" s="6"/>
      <c r="X70" s="135"/>
      <c r="Y70" s="50" t="s">
        <v>36</v>
      </c>
      <c r="Z70" s="50">
        <f>AVERAGE(I22:I23)</f>
        <v>21.178377087955802</v>
      </c>
      <c r="AA70" s="57">
        <f t="shared" si="23"/>
        <v>1.7059674821628659</v>
      </c>
      <c r="AB70" s="57">
        <f t="shared" ref="AB70:AB78" si="29">SUM(Z70*(LOG($T$65)/LOG(2)))</f>
        <v>20.852761234394212</v>
      </c>
      <c r="AC70" s="57">
        <f t="shared" si="24"/>
        <v>2.1305112701759432</v>
      </c>
      <c r="AD70" s="6"/>
      <c r="AE70" s="135"/>
      <c r="AF70" s="50"/>
      <c r="AG70" s="50"/>
      <c r="AH70" s="57"/>
      <c r="AI70" s="57"/>
      <c r="AJ70" s="57"/>
      <c r="AK70" s="6"/>
      <c r="AL70" s="135"/>
      <c r="AM70" s="50" t="s">
        <v>36</v>
      </c>
      <c r="AN70" s="50">
        <f>AVERAGE(O25:O26)</f>
        <v>26.007504970247503</v>
      </c>
      <c r="AO70" s="57">
        <f t="shared" si="25"/>
        <v>1.9432585631389017</v>
      </c>
      <c r="AP70" s="57">
        <f t="shared" ref="AP70:AP78" si="30">SUM(AN70*(LOG($AD$65)/LOG(2)))</f>
        <v>26.42050808519507</v>
      </c>
      <c r="AQ70" s="57">
        <f t="shared" si="26"/>
        <v>1.4528806622263173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35"/>
      <c r="D71" s="51" t="s">
        <v>37</v>
      </c>
      <c r="E71" s="51">
        <f>AVERAGE(J16:J17)</f>
        <v>21.03850919239245</v>
      </c>
      <c r="F71" s="58">
        <f t="shared" si="17"/>
        <v>19.299567099162527</v>
      </c>
      <c r="G71" s="58">
        <f>SUM(E71*(LOG(E65)/LOG(2)))</f>
        <v>22.258165788959683</v>
      </c>
      <c r="H71" s="58">
        <f t="shared" si="18"/>
        <v>7.8905909364582714</v>
      </c>
      <c r="I71" s="6"/>
      <c r="J71" s="135"/>
      <c r="K71" s="51" t="s">
        <v>37</v>
      </c>
      <c r="L71" s="51">
        <f>AVERAGE(Y16:Y17)</f>
        <v>22.885216178434447</v>
      </c>
      <c r="M71" s="58">
        <f t="shared" si="19"/>
        <v>15.088597892773505</v>
      </c>
      <c r="N71" s="58">
        <f t="shared" si="27"/>
        <v>23.396744708310163</v>
      </c>
      <c r="O71" s="58">
        <f t="shared" si="20"/>
        <v>10.500780577460132</v>
      </c>
      <c r="P71" s="6"/>
      <c r="Q71" s="135"/>
      <c r="R71" s="51" t="s">
        <v>37</v>
      </c>
      <c r="S71" s="51">
        <f>AVERAGE(P19:P20)</f>
        <v>19.676548496274151</v>
      </c>
      <c r="T71" s="58">
        <f t="shared" si="21"/>
        <v>18.220254776062614</v>
      </c>
      <c r="U71" s="58">
        <f t="shared" si="28"/>
        <v>19.813300776049346</v>
      </c>
      <c r="V71" s="58">
        <f t="shared" si="22"/>
        <v>16.561916589024527</v>
      </c>
      <c r="W71" s="6"/>
      <c r="X71" s="135"/>
      <c r="Y71" s="51" t="s">
        <v>37</v>
      </c>
      <c r="Z71" s="51">
        <f>AVERAGE(J22:J23)</f>
        <v>19.766579849208401</v>
      </c>
      <c r="AA71" s="58">
        <f t="shared" si="23"/>
        <v>4.4712589980020354</v>
      </c>
      <c r="AB71" s="58">
        <f t="shared" si="29"/>
        <v>19.462670265255735</v>
      </c>
      <c r="AC71" s="58">
        <f t="shared" si="24"/>
        <v>5.5018549871679756</v>
      </c>
      <c r="AD71" s="6"/>
      <c r="AE71" s="135"/>
      <c r="AF71" s="51"/>
      <c r="AG71" s="51"/>
      <c r="AH71" s="58"/>
      <c r="AI71" s="58"/>
      <c r="AJ71" s="58"/>
      <c r="AK71" s="6"/>
      <c r="AL71" s="135"/>
      <c r="AM71" s="51" t="s">
        <v>37</v>
      </c>
      <c r="AN71" s="51">
        <f>AVERAGE(P25:P26)</f>
        <v>22.80610297793045</v>
      </c>
      <c r="AO71" s="58">
        <f t="shared" si="25"/>
        <v>18.516231679360711</v>
      </c>
      <c r="AP71" s="58">
        <f t="shared" si="30"/>
        <v>23.168267344734399</v>
      </c>
      <c r="AQ71" s="58">
        <f t="shared" si="26"/>
        <v>14.34825138914591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35"/>
      <c r="D72" s="52" t="s">
        <v>38</v>
      </c>
      <c r="E72" s="52">
        <f>AVERAGE(K16:K17)</f>
        <v>21.234116253477751</v>
      </c>
      <c r="F72" s="59">
        <f t="shared" si="17"/>
        <v>16.720541621882241</v>
      </c>
      <c r="G72" s="59">
        <f>SUM(E72*(LOG(E65)/LOG(2)))</f>
        <v>22.46511269547824</v>
      </c>
      <c r="H72" s="59">
        <f t="shared" si="18"/>
        <v>6.7795485031075309</v>
      </c>
      <c r="I72" s="6"/>
      <c r="J72" s="135"/>
      <c r="K72" s="52" t="s">
        <v>38</v>
      </c>
      <c r="L72" s="52">
        <f>AVERAGE(C19:C20)</f>
        <v>22.53151782081375</v>
      </c>
      <c r="M72" s="59">
        <f t="shared" si="19"/>
        <v>19.38664216065953</v>
      </c>
      <c r="N72" s="59">
        <f t="shared" si="27"/>
        <v>23.035140513161757</v>
      </c>
      <c r="O72" s="59">
        <f t="shared" si="20"/>
        <v>13.567767173609271</v>
      </c>
      <c r="P72" s="6"/>
      <c r="Q72" s="135"/>
      <c r="R72" s="52" t="s">
        <v>38</v>
      </c>
      <c r="S72" s="52">
        <f>AVERAGE(Q19:Q20)</f>
        <v>19.370022953830549</v>
      </c>
      <c r="T72" s="59">
        <f t="shared" si="21"/>
        <v>22.565731610729593</v>
      </c>
      <c r="U72" s="59">
        <f t="shared" si="28"/>
        <v>19.504644876915066</v>
      </c>
      <c r="V72" s="59">
        <f t="shared" si="22"/>
        <v>20.542400278724468</v>
      </c>
      <c r="W72" s="6"/>
      <c r="X72" s="135"/>
      <c r="Y72" s="52" t="s">
        <v>38</v>
      </c>
      <c r="Z72" s="52">
        <f>AVERAGE(K22:K23)</f>
        <v>17.044335325289001</v>
      </c>
      <c r="AA72" s="59">
        <f t="shared" si="23"/>
        <v>28.662078894206743</v>
      </c>
      <c r="AB72" s="59">
        <f t="shared" si="29"/>
        <v>16.782280033125456</v>
      </c>
      <c r="AC72" s="59">
        <f t="shared" si="24"/>
        <v>34.275304117032057</v>
      </c>
      <c r="AD72" s="6"/>
      <c r="AE72" s="135"/>
      <c r="AF72" s="52"/>
      <c r="AG72" s="52"/>
      <c r="AH72" s="59"/>
      <c r="AI72" s="59"/>
      <c r="AJ72" s="59"/>
      <c r="AK72" s="6"/>
      <c r="AL72" s="135"/>
      <c r="AM72" s="52" t="s">
        <v>38</v>
      </c>
      <c r="AN72" s="52">
        <f>AVERAGE(Q25:Q26)</f>
        <v>23.317872045073351</v>
      </c>
      <c r="AO72" s="59">
        <f t="shared" si="25"/>
        <v>12.913628970337113</v>
      </c>
      <c r="AP72" s="59">
        <f t="shared" si="30"/>
        <v>23.68816338211553</v>
      </c>
      <c r="AQ72" s="59">
        <f t="shared" si="26"/>
        <v>9.9496857276357868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35"/>
      <c r="D73" s="52" t="s">
        <v>39</v>
      </c>
      <c r="E73" s="52">
        <f>AVERAGE(L16:L17)</f>
        <v>21.656934267981249</v>
      </c>
      <c r="F73" s="59">
        <f t="shared" si="17"/>
        <v>12.262827922838845</v>
      </c>
      <c r="G73" s="59">
        <f>SUM(E73*(LOG(E65)/LOG(2)))</f>
        <v>22.912442559933687</v>
      </c>
      <c r="H73" s="59">
        <f t="shared" si="18"/>
        <v>4.8835371378759067</v>
      </c>
      <c r="I73" s="6"/>
      <c r="J73" s="135"/>
      <c r="K73" s="52" t="s">
        <v>39</v>
      </c>
      <c r="L73" s="52">
        <f>AVERAGE(D19:D20)</f>
        <v>23.39463018697575</v>
      </c>
      <c r="M73" s="59">
        <f t="shared" si="19"/>
        <v>10.516527110717709</v>
      </c>
      <c r="N73" s="59">
        <f t="shared" si="27"/>
        <v>23.917545098210308</v>
      </c>
      <c r="O73" s="59">
        <f t="shared" si="20"/>
        <v>7.2600696607301103</v>
      </c>
      <c r="P73" s="6"/>
      <c r="Q73" s="135"/>
      <c r="R73" s="52" t="s">
        <v>39</v>
      </c>
      <c r="S73" s="52">
        <f>AVERAGE(R19:R20)</f>
        <v>20.264680465774148</v>
      </c>
      <c r="T73" s="59">
        <f t="shared" si="21"/>
        <v>12.086941859608221</v>
      </c>
      <c r="U73" s="59">
        <f t="shared" si="28"/>
        <v>20.4055202707397</v>
      </c>
      <c r="V73" s="59">
        <f t="shared" si="22"/>
        <v>10.955540888127596</v>
      </c>
      <c r="W73" s="6"/>
      <c r="X73" s="135"/>
      <c r="Y73" s="52" t="s">
        <v>39</v>
      </c>
      <c r="Z73" s="52">
        <f>AVERAGE(L22:L23)</f>
        <v>18.040824718203403</v>
      </c>
      <c r="AA73" s="59">
        <f t="shared" si="23"/>
        <v>14.519329239033519</v>
      </c>
      <c r="AB73" s="59">
        <f t="shared" si="29"/>
        <v>17.763448481338038</v>
      </c>
      <c r="AC73" s="59">
        <f t="shared" si="24"/>
        <v>17.545321756256193</v>
      </c>
      <c r="AD73" s="6"/>
      <c r="AE73" s="135"/>
      <c r="AF73" s="52"/>
      <c r="AG73" s="52"/>
      <c r="AH73" s="59"/>
      <c r="AI73" s="59"/>
      <c r="AJ73" s="59"/>
      <c r="AK73" s="6"/>
      <c r="AL73" s="135"/>
      <c r="AM73" s="52" t="s">
        <v>39</v>
      </c>
      <c r="AN73" s="52">
        <f>AVERAGE(R25:R26)</f>
        <v>23.966270218911703</v>
      </c>
      <c r="AO73" s="59">
        <f t="shared" si="25"/>
        <v>8.1801525147435203</v>
      </c>
      <c r="AP73" s="59">
        <f t="shared" si="30"/>
        <v>24.346858217084119</v>
      </c>
      <c r="AQ73" s="59">
        <f t="shared" si="26"/>
        <v>6.2571077520971503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35"/>
      <c r="D74" s="52" t="s">
        <v>40</v>
      </c>
      <c r="E74" s="52">
        <f>AVERAGE(M16:M17)</f>
        <v>23.879741160203249</v>
      </c>
      <c r="F74" s="59">
        <f t="shared" si="17"/>
        <v>2.4025243866762502</v>
      </c>
      <c r="G74" s="59">
        <f>SUM(E74*(LOG(E65)/LOG(2)))</f>
        <v>25.264111296129592</v>
      </c>
      <c r="H74" s="59">
        <f t="shared" si="18"/>
        <v>0.87050557027334519</v>
      </c>
      <c r="I74" s="6"/>
      <c r="J74" s="135"/>
      <c r="K74" s="52" t="s">
        <v>40</v>
      </c>
      <c r="L74" s="52">
        <f>AVERAGE(E19:E20)</f>
        <v>25.292227069188002</v>
      </c>
      <c r="M74" s="59">
        <f t="shared" si="19"/>
        <v>2.7407574102466308</v>
      </c>
      <c r="N74" s="59">
        <f t="shared" si="27"/>
        <v>25.857556914845134</v>
      </c>
      <c r="O74" s="59">
        <f t="shared" si="20"/>
        <v>1.8360541201246026</v>
      </c>
      <c r="P74" s="6"/>
      <c r="Q74" s="135"/>
      <c r="R74" s="52" t="s">
        <v>40</v>
      </c>
      <c r="S74" s="52">
        <f>AVERAGE(S19:S20)</f>
        <v>21.886664807693002</v>
      </c>
      <c r="T74" s="59">
        <f t="shared" si="21"/>
        <v>3.8972775844030592</v>
      </c>
      <c r="U74" s="59">
        <f t="shared" si="28"/>
        <v>22.038777425904183</v>
      </c>
      <c r="V74" s="59">
        <f t="shared" si="22"/>
        <v>3.5047933489212615</v>
      </c>
      <c r="W74" s="6"/>
      <c r="X74" s="135"/>
      <c r="Y74" s="52" t="s">
        <v>40</v>
      </c>
      <c r="Z74" s="52">
        <f>AVERAGE(M22:M23)</f>
        <v>19.873286659290549</v>
      </c>
      <c r="AA74" s="59">
        <f t="shared" si="23"/>
        <v>4.1572079485255964</v>
      </c>
      <c r="AB74" s="59">
        <f t="shared" si="29"/>
        <v>19.567736466668887</v>
      </c>
      <c r="AC74" s="59">
        <f t="shared" si="24"/>
        <v>5.1211481587113798</v>
      </c>
      <c r="AD74" s="6"/>
      <c r="AE74" s="135"/>
      <c r="AF74" s="52"/>
      <c r="AG74" s="52"/>
      <c r="AH74" s="59"/>
      <c r="AI74" s="59"/>
      <c r="AJ74" s="59"/>
      <c r="AK74" s="6"/>
      <c r="AL74" s="135"/>
      <c r="AM74" s="52" t="s">
        <v>40</v>
      </c>
      <c r="AN74" s="52">
        <f>AVERAGE(S25:S26)</f>
        <v>26.661359031151598</v>
      </c>
      <c r="AO74" s="59">
        <f t="shared" si="25"/>
        <v>1.2262392690042303</v>
      </c>
      <c r="AP74" s="59">
        <f t="shared" si="30"/>
        <v>27.084745447541707</v>
      </c>
      <c r="AQ74" s="59">
        <f t="shared" si="26"/>
        <v>0.91012124348173229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35"/>
      <c r="D75" s="53" t="s">
        <v>41</v>
      </c>
      <c r="E75" s="53">
        <f>AVERAGE(N16:N17)</f>
        <v>22.186436625445253</v>
      </c>
      <c r="F75" s="60">
        <f t="shared" si="17"/>
        <v>8.3167556034531653</v>
      </c>
      <c r="G75" s="60">
        <f>SUM(E75*(LOG(E65)/LOG(2)))</f>
        <v>23.472641533649018</v>
      </c>
      <c r="H75" s="60">
        <f t="shared" si="18"/>
        <v>3.238332931587292</v>
      </c>
      <c r="I75" s="6"/>
      <c r="J75" s="135"/>
      <c r="K75" s="53" t="s">
        <v>41</v>
      </c>
      <c r="L75" s="53">
        <f>AVERAGE(F19:F20)</f>
        <v>24.14307981422095</v>
      </c>
      <c r="M75" s="60">
        <f t="shared" si="19"/>
        <v>6.1877183959193074</v>
      </c>
      <c r="N75" s="60">
        <f t="shared" si="27"/>
        <v>24.682724011931356</v>
      </c>
      <c r="O75" s="60">
        <f t="shared" si="20"/>
        <v>4.2213406611925244</v>
      </c>
      <c r="P75" s="6"/>
      <c r="Q75" s="135"/>
      <c r="R75" s="53" t="s">
        <v>41</v>
      </c>
      <c r="S75" s="53">
        <f>AVERAGE(T19:T20)</f>
        <v>20.830162923618399</v>
      </c>
      <c r="T75" s="60">
        <f t="shared" si="21"/>
        <v>8.1459648745427771</v>
      </c>
      <c r="U75" s="60">
        <f t="shared" si="28"/>
        <v>20.974932839360122</v>
      </c>
      <c r="V75" s="60">
        <f t="shared" si="22"/>
        <v>7.3632385905616724</v>
      </c>
      <c r="W75" s="6"/>
      <c r="X75" s="135"/>
      <c r="Y75" s="53" t="s">
        <v>41</v>
      </c>
      <c r="Z75" s="53">
        <f>AVERAGE(N22:N23)</f>
        <v>18.235000930564851</v>
      </c>
      <c r="AA75" s="60">
        <f t="shared" si="23"/>
        <v>12.717226229907309</v>
      </c>
      <c r="AB75" s="60">
        <f t="shared" si="29"/>
        <v>17.954639249967567</v>
      </c>
      <c r="AC75" s="60">
        <f t="shared" si="24"/>
        <v>15.398984125120009</v>
      </c>
      <c r="AD75" s="6"/>
      <c r="AE75" s="135"/>
      <c r="AF75" s="53"/>
      <c r="AG75" s="53"/>
      <c r="AH75" s="60"/>
      <c r="AI75" s="60"/>
      <c r="AJ75" s="60"/>
      <c r="AK75" s="6"/>
      <c r="AL75" s="135"/>
      <c r="AM75" s="53" t="s">
        <v>41</v>
      </c>
      <c r="AN75" s="53">
        <f>AVERAGE(T25:T26)</f>
        <v>24.259996543464851</v>
      </c>
      <c r="AO75" s="60">
        <f t="shared" si="25"/>
        <v>6.6517640690584789</v>
      </c>
      <c r="AP75" s="60">
        <f t="shared" si="30"/>
        <v>24.645248960124214</v>
      </c>
      <c r="AQ75" s="60">
        <f t="shared" si="26"/>
        <v>5.0713389963527069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35"/>
      <c r="D76" s="54" t="s">
        <v>42</v>
      </c>
      <c r="E76" s="54">
        <f>AVERAGE(O16:O17)</f>
        <v>21.435567883024198</v>
      </c>
      <c r="F76" s="61">
        <f t="shared" si="17"/>
        <v>14.424199753187597</v>
      </c>
      <c r="G76" s="61">
        <f>SUM(E76*(LOG(E65)/LOG(2)))</f>
        <v>22.678242995153763</v>
      </c>
      <c r="H76" s="61">
        <f t="shared" si="18"/>
        <v>5.7985942269768076</v>
      </c>
      <c r="I76" s="6"/>
      <c r="J76" s="135"/>
      <c r="K76" s="54" t="s">
        <v>42</v>
      </c>
      <c r="L76" s="54">
        <f>AVERAGE(G19:G20)</f>
        <v>23.509561085141449</v>
      </c>
      <c r="M76" s="61">
        <f t="shared" si="19"/>
        <v>9.6939633644498802</v>
      </c>
      <c r="N76" s="61">
        <f t="shared" si="27"/>
        <v>24.035044922660887</v>
      </c>
      <c r="O76" s="61">
        <f t="shared" si="20"/>
        <v>6.6800422145617153</v>
      </c>
      <c r="P76" s="6"/>
      <c r="Q76" s="135"/>
      <c r="R76" s="54" t="s">
        <v>42</v>
      </c>
      <c r="S76" s="54">
        <f>AVERAGE(U19:U20)</f>
        <v>20.043246031557651</v>
      </c>
      <c r="T76" s="61">
        <f t="shared" si="21"/>
        <v>14.106649553600599</v>
      </c>
      <c r="U76" s="61">
        <f t="shared" si="28"/>
        <v>20.182546864192481</v>
      </c>
      <c r="V76" s="61">
        <f t="shared" si="22"/>
        <v>12.799932107305947</v>
      </c>
      <c r="W76" s="6"/>
      <c r="X76" s="135"/>
      <c r="Y76" s="54" t="s">
        <v>42</v>
      </c>
      <c r="Z76" s="54">
        <f>AVERAGE(O22:O23)</f>
        <v>17.620178056084598</v>
      </c>
      <c r="AA76" s="61">
        <f t="shared" si="23"/>
        <v>19.347592523955672</v>
      </c>
      <c r="AB76" s="61">
        <f t="shared" si="29"/>
        <v>17.349269227999649</v>
      </c>
      <c r="AC76" s="61">
        <f t="shared" si="24"/>
        <v>23.276879854830529</v>
      </c>
      <c r="AD76" s="6"/>
      <c r="AE76" s="135"/>
      <c r="AF76" s="54"/>
      <c r="AG76" s="54"/>
      <c r="AH76" s="61"/>
      <c r="AI76" s="61"/>
      <c r="AJ76" s="61"/>
      <c r="AK76" s="6"/>
      <c r="AL76" s="135"/>
      <c r="AM76" s="54" t="s">
        <v>42</v>
      </c>
      <c r="AN76" s="54">
        <f>AVERAGE(U25:U26)</f>
        <v>23.13461820049065</v>
      </c>
      <c r="AO76" s="61">
        <f t="shared" si="25"/>
        <v>14.692281317665563</v>
      </c>
      <c r="AP76" s="61">
        <f t="shared" si="30"/>
        <v>23.501999438746907</v>
      </c>
      <c r="AQ76" s="61">
        <f t="shared" si="26"/>
        <v>11.343321277413649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36"/>
      <c r="D77" s="55" t="s">
        <v>43</v>
      </c>
      <c r="E77" s="55">
        <f>AVERAGE(P16:P17)</f>
        <v>22.231470345216252</v>
      </c>
      <c r="F77" s="62">
        <f t="shared" si="17"/>
        <v>8.0465837110075853</v>
      </c>
      <c r="G77" s="62">
        <f>SUM(E77*(LOG(E65)/LOG(2)))</f>
        <v>23.520285974212271</v>
      </c>
      <c r="H77" s="62">
        <f t="shared" si="18"/>
        <v>3.1271421574357152</v>
      </c>
      <c r="I77" s="6"/>
      <c r="J77" s="136"/>
      <c r="K77" s="55" t="s">
        <v>43</v>
      </c>
      <c r="L77" s="55">
        <f>AVERAGE(H19:H20)</f>
        <v>24.30060589212615</v>
      </c>
      <c r="M77" s="62">
        <f t="shared" si="19"/>
        <v>5.534145031744055</v>
      </c>
      <c r="N77" s="62">
        <f t="shared" si="27"/>
        <v>24.843771100187503</v>
      </c>
      <c r="O77" s="62">
        <f t="shared" si="20"/>
        <v>3.7660560174505062</v>
      </c>
      <c r="P77" s="6"/>
      <c r="Q77" s="136"/>
      <c r="R77" s="55" t="s">
        <v>43</v>
      </c>
      <c r="S77" s="55">
        <f>AVERAGE(V19:V20)</f>
        <v>21.169546519853451</v>
      </c>
      <c r="T77" s="62">
        <f t="shared" si="21"/>
        <v>6.4282042678014344</v>
      </c>
      <c r="U77" s="62">
        <f t="shared" si="28"/>
        <v>21.316675156206784</v>
      </c>
      <c r="V77" s="62">
        <f t="shared" si="22"/>
        <v>5.8009774873498099</v>
      </c>
      <c r="W77" s="6"/>
      <c r="X77" s="136"/>
      <c r="Y77" s="55" t="s">
        <v>43</v>
      </c>
      <c r="Z77" s="55">
        <f>AVERAGE(P22:P23)</f>
        <v>18.364076325548702</v>
      </c>
      <c r="AA77" s="62">
        <f t="shared" si="23"/>
        <v>11.644858958058643</v>
      </c>
      <c r="AB77" s="62">
        <f t="shared" si="29"/>
        <v>18.081730121078937</v>
      </c>
      <c r="AC77" s="62">
        <f t="shared" si="24"/>
        <v>14.119591206275986</v>
      </c>
      <c r="AD77" s="6"/>
      <c r="AE77" s="136"/>
      <c r="AF77" s="55"/>
      <c r="AG77" s="55"/>
      <c r="AH77" s="62"/>
      <c r="AI77" s="62"/>
      <c r="AJ77" s="62"/>
      <c r="AK77" s="6"/>
      <c r="AL77" s="136"/>
      <c r="AM77" s="55" t="s">
        <v>43</v>
      </c>
      <c r="AN77" s="55">
        <f>AVERAGE(V25:V26)</f>
        <v>24.1846736624253</v>
      </c>
      <c r="AO77" s="62">
        <f t="shared" si="25"/>
        <v>7.0140903699416377</v>
      </c>
      <c r="AP77" s="62">
        <f t="shared" si="30"/>
        <v>24.568729940334261</v>
      </c>
      <c r="AQ77" s="62">
        <f t="shared" si="26"/>
        <v>5.3520844071583875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31" t="s">
        <v>34</v>
      </c>
      <c r="D78" s="132"/>
      <c r="E78" s="64">
        <f>AVERAGE(Q16:Q17)</f>
        <v>30.155011004863098</v>
      </c>
      <c r="F78" s="63">
        <f t="shared" si="17"/>
        <v>2.4105190900690753E-2</v>
      </c>
      <c r="G78" s="63">
        <f>SUM(E78*(LOG(E65)/LOG(2)))</f>
        <v>31.903174705784362</v>
      </c>
      <c r="H78" s="63">
        <f t="shared" si="18"/>
        <v>6.6888708707791922E-3</v>
      </c>
      <c r="I78" s="6"/>
      <c r="J78" s="131" t="s">
        <v>34</v>
      </c>
      <c r="K78" s="132"/>
      <c r="L78" s="64">
        <f>AVERAGE(Z16:Z17)</f>
        <v>37.647369722727547</v>
      </c>
      <c r="M78" s="63">
        <f t="shared" si="19"/>
        <v>4.3198559325492421E-4</v>
      </c>
      <c r="N78" s="63">
        <f t="shared" si="27"/>
        <v>38.488860733247321</v>
      </c>
      <c r="O78" s="63">
        <f t="shared" si="20"/>
        <v>2.3795408944123658E-4</v>
      </c>
      <c r="P78" s="6"/>
      <c r="Q78" s="131" t="s">
        <v>34</v>
      </c>
      <c r="R78" s="132"/>
      <c r="S78" s="64">
        <f>AVERAGE(W19:W20)</f>
        <v>35.584039432307648</v>
      </c>
      <c r="T78" s="63">
        <f t="shared" si="21"/>
        <v>2.7521011001915396E-4</v>
      </c>
      <c r="U78" s="63">
        <f t="shared" si="28"/>
        <v>35.831348990531232</v>
      </c>
      <c r="V78" s="63">
        <f t="shared" si="22"/>
        <v>2.3158758824965965E-4</v>
      </c>
      <c r="W78" s="6"/>
      <c r="X78" s="131" t="s">
        <v>34</v>
      </c>
      <c r="Y78" s="132"/>
      <c r="Z78" s="64">
        <f>AVERAGE(Q22:Q23)</f>
        <v>36.055840891389096</v>
      </c>
      <c r="AA78" s="63">
        <f t="shared" si="23"/>
        <v>6.6414885806837553E-5</v>
      </c>
      <c r="AB78" s="63">
        <f t="shared" si="29"/>
        <v>35.501485221973454</v>
      </c>
      <c r="AC78" s="63">
        <f t="shared" si="24"/>
        <v>9.6956601425363394E-5</v>
      </c>
      <c r="AD78" s="6"/>
      <c r="AE78" s="131"/>
      <c r="AF78" s="132"/>
      <c r="AG78" s="64"/>
      <c r="AH78" s="63"/>
      <c r="AI78" s="63"/>
      <c r="AJ78" s="63"/>
      <c r="AK78" s="6"/>
      <c r="AL78" s="131" t="s">
        <v>34</v>
      </c>
      <c r="AM78" s="132"/>
      <c r="AN78" s="64">
        <f>AVERAGE(W25:W26)</f>
        <v>39.2293061877931</v>
      </c>
      <c r="AO78" s="63">
        <f t="shared" si="25"/>
        <v>1.7585969006691816E-4</v>
      </c>
      <c r="AP78" s="63">
        <f t="shared" si="30"/>
        <v>39.852273507085172</v>
      </c>
      <c r="AQ78" s="63">
        <f t="shared" si="26"/>
        <v>1.1341132381403582E-4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38" t="s">
        <v>73</v>
      </c>
      <c r="D79" s="139"/>
      <c r="E79" s="87">
        <f>AVERAGE(E69:E77)</f>
        <v>22.132537198685633</v>
      </c>
      <c r="F79" s="87">
        <f>AVERAGE(F69:F77)</f>
        <v>10.454880243880401</v>
      </c>
      <c r="G79" s="87">
        <f>AVERAGE(G69:G77)</f>
        <v>23.415617418215053</v>
      </c>
      <c r="H79" s="87">
        <f>AVERAGE(H69:H77)</f>
        <v>4.1626895427421058</v>
      </c>
      <c r="I79" s="6"/>
      <c r="J79" s="138" t="s">
        <v>73</v>
      </c>
      <c r="K79" s="139"/>
      <c r="L79" s="87">
        <f>AVERAGE(L69:L77)</f>
        <v>23.858070266587937</v>
      </c>
      <c r="M79" s="87">
        <f>AVERAGE(M69:M77)</f>
        <v>9.0228130863397507</v>
      </c>
      <c r="N79" s="87">
        <f>AVERAGE(N69:N77)</f>
        <v>24.3913439535824</v>
      </c>
      <c r="O79" s="87">
        <f>AVERAGE(O69:O77)</f>
        <v>6.2301859541743729</v>
      </c>
      <c r="P79" s="6"/>
      <c r="Q79" s="138" t="s">
        <v>73</v>
      </c>
      <c r="R79" s="139"/>
      <c r="S79" s="87">
        <f>AVERAGE(S69:S77)</f>
        <v>20.617842522791683</v>
      </c>
      <c r="T79" s="87">
        <f>AVERAGE(T69:T77)</f>
        <v>11.02837055091352</v>
      </c>
      <c r="U79" s="87">
        <f>AVERAGE(U69:U77)</f>
        <v>20.761136808858755</v>
      </c>
      <c r="V79" s="87">
        <f>AVERAGE(V69:V77)</f>
        <v>9.9997450051938728</v>
      </c>
      <c r="W79" s="6"/>
      <c r="X79" s="138" t="s">
        <v>73</v>
      </c>
      <c r="Y79" s="139"/>
      <c r="Z79" s="87">
        <f>AVERAGE(Z69:Z77)</f>
        <v>18.934684702256401</v>
      </c>
      <c r="AA79" s="87">
        <f>AVERAGE(AA69:AA77)</f>
        <v>11.150525350847918</v>
      </c>
      <c r="AB79" s="87">
        <f>AVERAGE(AB69:AB77)</f>
        <v>18.643565439640614</v>
      </c>
      <c r="AC79" s="87">
        <f>AVERAGE(AC69:AC77)</f>
        <v>13.471250171104998</v>
      </c>
      <c r="AD79" s="6"/>
      <c r="AE79" s="138"/>
      <c r="AF79" s="139"/>
      <c r="AG79" s="87"/>
      <c r="AH79" s="87"/>
      <c r="AI79" s="87"/>
      <c r="AJ79" s="87"/>
      <c r="AK79" s="6"/>
      <c r="AL79" s="138" t="s">
        <v>73</v>
      </c>
      <c r="AM79" s="139"/>
      <c r="AN79" s="87">
        <f>AVERAGE(AN69:AN77)</f>
        <v>24.287191058541556</v>
      </c>
      <c r="AO79" s="87">
        <f>AVERAGE(AO69:AO77)</f>
        <v>8.6504189486343499</v>
      </c>
      <c r="AP79" s="87">
        <f>AVERAGE(AP69:AP77)</f>
        <v>24.672875328215998</v>
      </c>
      <c r="AQ79" s="87">
        <f>AVERAGE(AQ69:AQ77)</f>
        <v>6.6451090728920468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38" t="s">
        <v>74</v>
      </c>
      <c r="D80" s="139"/>
      <c r="E80" s="87">
        <f>(E81/SQRT(9))</f>
        <v>0.30911400507321246</v>
      </c>
      <c r="F80" s="87">
        <f>(F81/SQRT(9))</f>
        <v>1.8139012441534079</v>
      </c>
      <c r="G80" s="87">
        <f>(G81/SQRT(9))</f>
        <v>0.32703414057003688</v>
      </c>
      <c r="H80" s="87">
        <f>(H81/SQRT(9))</f>
        <v>0.75356728216731883</v>
      </c>
      <c r="I80" s="6"/>
      <c r="J80" s="138" t="s">
        <v>74</v>
      </c>
      <c r="K80" s="139"/>
      <c r="L80" s="87">
        <f>(L81/SQRT(9))</f>
        <v>0.28809007382680712</v>
      </c>
      <c r="M80" s="87">
        <f>(M81/SQRT(9))</f>
        <v>1.7165173238645159</v>
      </c>
      <c r="N80" s="87">
        <f>(N81/SQRT(9))</f>
        <v>0.29452944021895328</v>
      </c>
      <c r="O80" s="87">
        <f>(O81/SQRT(9))</f>
        <v>1.2097342417211079</v>
      </c>
      <c r="P80" s="6"/>
      <c r="Q80" s="138" t="s">
        <v>74</v>
      </c>
      <c r="R80" s="139"/>
      <c r="S80" s="87">
        <f>(S81/SQRT(9))</f>
        <v>0.27182852030391996</v>
      </c>
      <c r="T80" s="87">
        <f>(T81/SQRT(9))</f>
        <v>1.9916936964009606</v>
      </c>
      <c r="U80" s="87">
        <f>(U81/SQRT(9))</f>
        <v>0.27371773221862755</v>
      </c>
      <c r="V80" s="87">
        <f>(V81/SQRT(9))</f>
        <v>1.8175942609744384</v>
      </c>
      <c r="W80" s="6"/>
      <c r="X80" s="138" t="s">
        <v>74</v>
      </c>
      <c r="Y80" s="139"/>
      <c r="Z80" s="87">
        <f>(Z81/SQRT(9))</f>
        <v>0.43543929527253433</v>
      </c>
      <c r="AA80" s="87">
        <f>(AA81/SQRT(9))</f>
        <v>2.799811433869666</v>
      </c>
      <c r="AB80" s="87">
        <f>(AB81/SQRT(9))</f>
        <v>0.42874445094071562</v>
      </c>
      <c r="AC80" s="87">
        <f>(AC81/SQRT(9))</f>
        <v>3.3401663792074987</v>
      </c>
      <c r="AD80" s="6"/>
      <c r="AE80" s="138"/>
      <c r="AF80" s="139"/>
      <c r="AG80" s="87"/>
      <c r="AH80" s="87"/>
      <c r="AI80" s="87"/>
      <c r="AJ80" s="87"/>
      <c r="AK80" s="6"/>
      <c r="AL80" s="138" t="s">
        <v>74</v>
      </c>
      <c r="AM80" s="139"/>
      <c r="AN80" s="87">
        <f>(AN81/SQRT(9))</f>
        <v>0.40328418427113338</v>
      </c>
      <c r="AO80" s="87">
        <f>(AO81/SQRT(9))</f>
        <v>1.8010717200830371</v>
      </c>
      <c r="AP80" s="87">
        <f>(AP81/SQRT(9))</f>
        <v>0.40968839815107344</v>
      </c>
      <c r="AQ80" s="87">
        <f>(AQ81/SQRT(9))</f>
        <v>1.4001881989764637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38" t="s">
        <v>75</v>
      </c>
      <c r="D81" s="139"/>
      <c r="E81" s="87">
        <f>_xlfn.STDEV.P(E69:E77)</f>
        <v>0.92734201521963744</v>
      </c>
      <c r="F81" s="87">
        <f>_xlfn.STDEV.P(F69:F77)</f>
        <v>5.4417037324602235</v>
      </c>
      <c r="G81" s="87">
        <f>_xlfn.STDEV.P(G69:G77)</f>
        <v>0.98110242171011064</v>
      </c>
      <c r="H81" s="87">
        <f>_xlfn.STDEV.P(H69:H77)</f>
        <v>2.2607018465019566</v>
      </c>
      <c r="I81" s="6"/>
      <c r="J81" s="138" t="s">
        <v>75</v>
      </c>
      <c r="K81" s="139"/>
      <c r="L81" s="87">
        <f>_xlfn.STDEV.P(L69:L77)</f>
        <v>0.86427022148042132</v>
      </c>
      <c r="M81" s="87">
        <f>_xlfn.STDEV.P(M69:M77)</f>
        <v>5.1495519715935476</v>
      </c>
      <c r="N81" s="87">
        <f>_xlfn.STDEV.P(N69:N77)</f>
        <v>0.88358832065685977</v>
      </c>
      <c r="O81" s="87">
        <f>_xlfn.STDEV.P(O69:O77)</f>
        <v>3.6292027251633239</v>
      </c>
      <c r="P81" s="6"/>
      <c r="Q81" s="138" t="s">
        <v>75</v>
      </c>
      <c r="R81" s="139"/>
      <c r="S81" s="87">
        <f>_xlfn.STDEV.P(S69:S77)</f>
        <v>0.81548556091175994</v>
      </c>
      <c r="T81" s="87">
        <f>_xlfn.STDEV.P(T69:T77)</f>
        <v>5.9750810892028818</v>
      </c>
      <c r="U81" s="87">
        <f>_xlfn.STDEV.P(U69:U77)</f>
        <v>0.8211531966558826</v>
      </c>
      <c r="V81" s="87">
        <f>_xlfn.STDEV.P(V69:V77)</f>
        <v>5.4527827829233155</v>
      </c>
      <c r="W81" s="6"/>
      <c r="X81" s="138" t="s">
        <v>75</v>
      </c>
      <c r="Y81" s="139"/>
      <c r="Z81" s="87">
        <f>_xlfn.STDEV.P(Z69:Z77)</f>
        <v>1.306317885817603</v>
      </c>
      <c r="AA81" s="87">
        <f>_xlfn.STDEV.P(AA69:AA77)</f>
        <v>8.3994343016089985</v>
      </c>
      <c r="AB81" s="87">
        <f>_xlfn.STDEV.P(AB69:AB77)</f>
        <v>1.2862333528221468</v>
      </c>
      <c r="AC81" s="87">
        <f>_xlfn.STDEV.P(AC69:AC77)</f>
        <v>10.020499137622496</v>
      </c>
      <c r="AD81" s="6"/>
      <c r="AE81" s="138"/>
      <c r="AF81" s="139"/>
      <c r="AG81" s="87"/>
      <c r="AH81" s="87"/>
      <c r="AI81" s="87"/>
      <c r="AJ81" s="87"/>
      <c r="AK81" s="6"/>
      <c r="AL81" s="138" t="s">
        <v>75</v>
      </c>
      <c r="AM81" s="139"/>
      <c r="AN81" s="87">
        <f>_xlfn.STDEV.P(AN69:AN77)</f>
        <v>1.2098525528134001</v>
      </c>
      <c r="AO81" s="87">
        <f>_xlfn.STDEV.P(AO69:AO77)</f>
        <v>5.4032151602491112</v>
      </c>
      <c r="AP81" s="87">
        <f>_xlfn.STDEV.P(AP69:AP77)</f>
        <v>1.2290651944532203</v>
      </c>
      <c r="AQ81" s="87">
        <f>_xlfn.STDEV.P(AQ69:AQ77)</f>
        <v>4.2005645969293912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38" t="s">
        <v>76</v>
      </c>
      <c r="D82" s="139"/>
      <c r="E82" s="87">
        <f>SUM(E81/E79)</f>
        <v>4.1899489737430955E-2</v>
      </c>
      <c r="F82" s="87">
        <f>SUM(F81/F79)</f>
        <v>0.52049412384665417</v>
      </c>
      <c r="G82" s="87">
        <f>SUM(G81/G79)</f>
        <v>4.1899489737430934E-2</v>
      </c>
      <c r="H82" s="87">
        <f>SUM(H81/H79)</f>
        <v>0.54308682482546011</v>
      </c>
      <c r="I82" s="6"/>
      <c r="J82" s="138" t="s">
        <v>76</v>
      </c>
      <c r="K82" s="139"/>
      <c r="L82" s="87">
        <f>SUM(L81/L79)</f>
        <v>3.6225487301493518E-2</v>
      </c>
      <c r="M82" s="87">
        <f>SUM(M81/M79)</f>
        <v>0.57072577280690917</v>
      </c>
      <c r="N82" s="87">
        <f>SUM(N81/N79)</f>
        <v>3.6225487301493511E-2</v>
      </c>
      <c r="O82" s="87">
        <f>SUM(O81/O79)</f>
        <v>0.58251916585758912</v>
      </c>
      <c r="P82" s="6"/>
      <c r="Q82" s="138" t="s">
        <v>76</v>
      </c>
      <c r="R82" s="139"/>
      <c r="S82" s="87">
        <f>SUM(S81/S79)</f>
        <v>3.9552419706877368E-2</v>
      </c>
      <c r="T82" s="87">
        <f>SUM(T81/T79)</f>
        <v>0.54179183240337747</v>
      </c>
      <c r="U82" s="87">
        <f>SUM(U81/U79)</f>
        <v>3.9552419706877388E-2</v>
      </c>
      <c r="V82" s="87">
        <f>SUM(V81/V79)</f>
        <v>0.54529218295977921</v>
      </c>
      <c r="W82" s="6"/>
      <c r="X82" s="138" t="s">
        <v>76</v>
      </c>
      <c r="Y82" s="139"/>
      <c r="Z82" s="87">
        <f>SUM(Z81/Z79)</f>
        <v>6.899073876112298E-2</v>
      </c>
      <c r="AA82" s="87">
        <f>SUM(AA81/AA79)</f>
        <v>0.75327700151547405</v>
      </c>
      <c r="AB82" s="87">
        <f>SUM(AB81/AB79)</f>
        <v>6.8990738761122994E-2</v>
      </c>
      <c r="AC82" s="87">
        <f>SUM(AC81/AC79)</f>
        <v>0.74384329667604643</v>
      </c>
      <c r="AD82" s="6"/>
      <c r="AE82" s="138"/>
      <c r="AF82" s="139"/>
      <c r="AG82" s="87"/>
      <c r="AH82" s="87"/>
      <c r="AI82" s="87"/>
      <c r="AJ82" s="87"/>
      <c r="AK82" s="6"/>
      <c r="AL82" s="138" t="s">
        <v>76</v>
      </c>
      <c r="AM82" s="139"/>
      <c r="AN82" s="87">
        <f>SUM(AN81/AN79)</f>
        <v>4.9814428926638156E-2</v>
      </c>
      <c r="AO82" s="87">
        <f>SUM(AO81/AO79)</f>
        <v>0.6246188990768039</v>
      </c>
      <c r="AP82" s="87">
        <f>SUM(AP81/AP79)</f>
        <v>4.981442892663817E-2</v>
      </c>
      <c r="AQ82" s="87">
        <f>SUM(AQ81/AQ79)</f>
        <v>0.63212876581140076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</sheetData>
  <mergeCells count="159">
    <mergeCell ref="AK4:AL4"/>
    <mergeCell ref="AK5:AL5"/>
    <mergeCell ref="AK6:AL6"/>
    <mergeCell ref="AK7:AL7"/>
    <mergeCell ref="AK8:AL8"/>
    <mergeCell ref="AH2:AL3"/>
    <mergeCell ref="C67:H67"/>
    <mergeCell ref="J67:O67"/>
    <mergeCell ref="Q67:V67"/>
    <mergeCell ref="X67:AC67"/>
    <mergeCell ref="AE67:AJ67"/>
    <mergeCell ref="AL67:AQ67"/>
    <mergeCell ref="C65:D65"/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H65:I65"/>
    <mergeCell ref="M65:N65"/>
    <mergeCell ref="R65:S65"/>
    <mergeCell ref="W65:X65"/>
    <mergeCell ref="AB65:AC65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37:D37"/>
    <mergeCell ref="H37:I37"/>
    <mergeCell ref="M37:N37"/>
    <mergeCell ref="R37:S37"/>
    <mergeCell ref="W37:X37"/>
    <mergeCell ref="AB37:AC37"/>
    <mergeCell ref="AB28:AD28"/>
    <mergeCell ref="AG23:AK25"/>
    <mergeCell ref="I24:W24"/>
    <mergeCell ref="X24:Z26"/>
    <mergeCell ref="C36:D36"/>
    <mergeCell ref="H36:I36"/>
    <mergeCell ref="M36:N36"/>
    <mergeCell ref="R36:S36"/>
    <mergeCell ref="W36:X36"/>
    <mergeCell ref="AB36:AC36"/>
    <mergeCell ref="C29:E29"/>
    <mergeCell ref="H29:J29"/>
    <mergeCell ref="M29:O29"/>
    <mergeCell ref="R29:T29"/>
    <mergeCell ref="W29:Y29"/>
    <mergeCell ref="AB29:AD29"/>
    <mergeCell ref="C24:H26"/>
    <mergeCell ref="R21:Z23"/>
    <mergeCell ref="C3:Q3"/>
    <mergeCell ref="R3:Z3"/>
    <mergeCell ref="C6:H6"/>
    <mergeCell ref="I6:W6"/>
    <mergeCell ref="X6:Z8"/>
    <mergeCell ref="C9:Q9"/>
    <mergeCell ref="R9:Z9"/>
    <mergeCell ref="C28:E28"/>
    <mergeCell ref="H28:J28"/>
    <mergeCell ref="M28:O28"/>
    <mergeCell ref="R28:T28"/>
    <mergeCell ref="W28:Y28"/>
    <mergeCell ref="C21:Q21"/>
    <mergeCell ref="C12:H12"/>
    <mergeCell ref="I12:W12"/>
    <mergeCell ref="X12:Z14"/>
    <mergeCell ref="C15:Q15"/>
    <mergeCell ref="R15:Z15"/>
    <mergeCell ref="C18:H18"/>
    <mergeCell ref="I18:W18"/>
    <mergeCell ref="X18:Z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0049-B0C7-47D0-A835-5A2BA58E55FE}">
  <dimension ref="A1:CJ116"/>
  <sheetViews>
    <sheetView zoomScale="50" zoomScaleNormal="50" workbookViewId="0">
      <selection activeCell="BC89" sqref="BC89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  <col min="41" max="41" width="9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4"/>
      <c r="C2" s="25">
        <v>1</v>
      </c>
      <c r="D2" s="8">
        <v>2</v>
      </c>
      <c r="E2" s="25">
        <v>3</v>
      </c>
      <c r="F2" s="8">
        <v>4</v>
      </c>
      <c r="G2" s="25">
        <v>5</v>
      </c>
      <c r="H2" s="8">
        <v>6</v>
      </c>
      <c r="I2" s="25">
        <v>7</v>
      </c>
      <c r="J2" s="8">
        <v>8</v>
      </c>
      <c r="K2" s="25">
        <v>9</v>
      </c>
      <c r="L2" s="8">
        <v>10</v>
      </c>
      <c r="M2" s="25">
        <v>11</v>
      </c>
      <c r="N2" s="8">
        <v>12</v>
      </c>
      <c r="O2" s="25">
        <v>13</v>
      </c>
      <c r="P2" s="8">
        <v>14</v>
      </c>
      <c r="Q2" s="25">
        <v>15</v>
      </c>
      <c r="R2" s="8">
        <v>16</v>
      </c>
      <c r="S2" s="25">
        <v>17</v>
      </c>
      <c r="T2" s="8">
        <v>18</v>
      </c>
      <c r="U2" s="25">
        <v>19</v>
      </c>
      <c r="V2" s="8">
        <v>20</v>
      </c>
      <c r="W2" s="25">
        <v>21</v>
      </c>
      <c r="X2" s="8">
        <v>22</v>
      </c>
      <c r="Y2" s="25">
        <v>23</v>
      </c>
      <c r="Z2" s="9">
        <v>24</v>
      </c>
      <c r="AA2" s="6"/>
      <c r="AB2" s="6"/>
      <c r="AC2" s="6"/>
      <c r="AD2" s="6"/>
      <c r="AE2" s="6"/>
      <c r="AF2" s="6"/>
      <c r="AG2" s="6"/>
      <c r="AH2" s="144" t="s">
        <v>77</v>
      </c>
      <c r="AI2" s="145"/>
      <c r="AJ2" s="145"/>
      <c r="AK2" s="145"/>
      <c r="AL2" s="14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4" t="s">
        <v>15</v>
      </c>
      <c r="C3" s="97" t="s">
        <v>17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  <c r="R3" s="97" t="s">
        <v>18</v>
      </c>
      <c r="S3" s="98"/>
      <c r="T3" s="98"/>
      <c r="U3" s="98"/>
      <c r="V3" s="98"/>
      <c r="W3" s="98"/>
      <c r="X3" s="98"/>
      <c r="Y3" s="98"/>
      <c r="Z3" s="99"/>
      <c r="AA3" s="6"/>
      <c r="AB3" s="6"/>
      <c r="AC3" s="6"/>
      <c r="AD3" s="6"/>
      <c r="AE3" s="6"/>
      <c r="AF3" s="6"/>
      <c r="AG3" s="6"/>
      <c r="AH3" s="147"/>
      <c r="AI3" s="148"/>
      <c r="AJ3" s="148"/>
      <c r="AK3" s="148"/>
      <c r="AL3" s="149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2" t="s">
        <v>0</v>
      </c>
      <c r="C4" s="26">
        <v>32.6114499265246</v>
      </c>
      <c r="D4" s="27">
        <v>30.093847141820302</v>
      </c>
      <c r="E4" s="27">
        <v>27.994331027672199</v>
      </c>
      <c r="F4" s="27">
        <v>25.7574210087724</v>
      </c>
      <c r="G4" s="27">
        <v>23.519334581089801</v>
      </c>
      <c r="H4" s="28">
        <v>20.069309520829002</v>
      </c>
      <c r="I4" s="28">
        <v>18.653996821972498</v>
      </c>
      <c r="J4" s="28">
        <v>18.593038115760798</v>
      </c>
      <c r="K4" s="29">
        <v>19.8461936439369</v>
      </c>
      <c r="L4" s="29">
        <v>19.086025828009699</v>
      </c>
      <c r="M4" s="29">
        <v>19.037434204250602</v>
      </c>
      <c r="N4" s="30">
        <v>20.492537913489802</v>
      </c>
      <c r="O4" s="30">
        <v>19.820540846950699</v>
      </c>
      <c r="P4" s="30">
        <v>25.190787457470599</v>
      </c>
      <c r="Q4" s="31">
        <v>38.409138082326599</v>
      </c>
      <c r="R4" s="26">
        <v>35.401505211748301</v>
      </c>
      <c r="S4" s="27">
        <v>34.662911371870898</v>
      </c>
      <c r="T4" s="27">
        <v>32.025392692131597</v>
      </c>
      <c r="U4" s="27">
        <v>27.626656260077599</v>
      </c>
      <c r="V4" s="27">
        <v>24.934878161493302</v>
      </c>
      <c r="W4" s="28">
        <v>16.889326196526</v>
      </c>
      <c r="X4" s="28">
        <v>14.932309952566101</v>
      </c>
      <c r="Y4" s="28">
        <v>14.761438545215601</v>
      </c>
      <c r="Z4" s="31">
        <v>34.855319636917002</v>
      </c>
      <c r="AA4" s="6"/>
      <c r="AB4" s="1"/>
      <c r="AC4" s="6" t="s">
        <v>28</v>
      </c>
      <c r="AD4" s="6"/>
      <c r="AE4" s="6"/>
      <c r="AF4" s="6"/>
      <c r="AG4" s="6"/>
      <c r="AH4" s="88" t="s">
        <v>78</v>
      </c>
      <c r="AI4" s="89"/>
      <c r="AJ4" s="89"/>
      <c r="AK4" s="152">
        <v>45171</v>
      </c>
      <c r="AL4" s="153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3" t="s">
        <v>1</v>
      </c>
      <c r="C5" s="19">
        <v>32.750174505168999</v>
      </c>
      <c r="D5" s="20">
        <v>30.514169797249899</v>
      </c>
      <c r="E5" s="20">
        <v>28.2979541941802</v>
      </c>
      <c r="F5" s="20">
        <v>25.7168043731061</v>
      </c>
      <c r="G5" s="20">
        <v>23.356516015554401</v>
      </c>
      <c r="H5" s="10">
        <v>20.052119509149101</v>
      </c>
      <c r="I5" s="10">
        <v>18.867713280672898</v>
      </c>
      <c r="J5" s="10">
        <v>18.635004292293299</v>
      </c>
      <c r="K5" s="11">
        <v>19.982253683110301</v>
      </c>
      <c r="L5" s="11">
        <v>19.366381752175599</v>
      </c>
      <c r="M5" s="11">
        <v>18.974222480948001</v>
      </c>
      <c r="N5" s="12">
        <v>20.424889849280898</v>
      </c>
      <c r="O5" s="12">
        <v>19.674923046303199</v>
      </c>
      <c r="P5" s="12">
        <v>24.5256491815883</v>
      </c>
      <c r="Q5" s="13">
        <v>37.236622377106102</v>
      </c>
      <c r="R5" s="19">
        <v>36.560460732485502</v>
      </c>
      <c r="S5" s="20">
        <v>34.687090362792503</v>
      </c>
      <c r="T5" s="20">
        <v>31.757626134841299</v>
      </c>
      <c r="U5" s="20">
        <v>27.611582809879799</v>
      </c>
      <c r="V5" s="20">
        <v>24.869136004239198</v>
      </c>
      <c r="W5" s="10">
        <v>17.0102421657257</v>
      </c>
      <c r="X5" s="10">
        <v>14.8824796153263</v>
      </c>
      <c r="Y5" s="10">
        <v>15.2512501026471</v>
      </c>
      <c r="Z5" s="13">
        <v>35.501504155635303</v>
      </c>
      <c r="AA5" s="6"/>
      <c r="AB5" s="2"/>
      <c r="AC5" s="6" t="s">
        <v>29</v>
      </c>
      <c r="AD5" s="6"/>
      <c r="AE5" s="6"/>
      <c r="AF5" s="6"/>
      <c r="AG5" s="6"/>
      <c r="AH5" s="88" t="s">
        <v>79</v>
      </c>
      <c r="AI5" s="89"/>
      <c r="AJ5" s="89"/>
      <c r="AK5" s="140">
        <v>45183</v>
      </c>
      <c r="AL5" s="141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4" t="s">
        <v>15</v>
      </c>
      <c r="C6" s="100" t="s">
        <v>18</v>
      </c>
      <c r="D6" s="101"/>
      <c r="E6" s="101"/>
      <c r="F6" s="101"/>
      <c r="G6" s="101"/>
      <c r="H6" s="102"/>
      <c r="I6" s="100" t="s">
        <v>26</v>
      </c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2"/>
      <c r="X6" s="103"/>
      <c r="Y6" s="104"/>
      <c r="Z6" s="105"/>
      <c r="AA6" s="6"/>
      <c r="AB6" s="3"/>
      <c r="AC6" s="6" t="s">
        <v>30</v>
      </c>
      <c r="AD6" s="6"/>
      <c r="AE6" s="6"/>
      <c r="AF6" s="6"/>
      <c r="AG6" s="6"/>
      <c r="AH6" s="88" t="s">
        <v>80</v>
      </c>
      <c r="AI6" s="89"/>
      <c r="AJ6" s="89"/>
      <c r="AK6" s="140">
        <v>45190</v>
      </c>
      <c r="AL6" s="141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2" t="s">
        <v>2</v>
      </c>
      <c r="C7" s="32">
        <v>16.940483944017501</v>
      </c>
      <c r="D7" s="29">
        <v>15.217054113678801</v>
      </c>
      <c r="E7" s="29">
        <v>15.589607714084501</v>
      </c>
      <c r="F7" s="30">
        <v>18.2322039398953</v>
      </c>
      <c r="G7" s="30">
        <v>16.481520404649402</v>
      </c>
      <c r="H7" s="33">
        <v>22.481955802891001</v>
      </c>
      <c r="I7" s="26">
        <v>30.949816037526901</v>
      </c>
      <c r="J7" s="27">
        <v>30.7192714058863</v>
      </c>
      <c r="K7" s="27">
        <v>30.619740870195699</v>
      </c>
      <c r="L7" s="27">
        <v>28.8025370387146</v>
      </c>
      <c r="M7" s="27">
        <v>26.531948954421701</v>
      </c>
      <c r="N7" s="28">
        <v>23.648389502838</v>
      </c>
      <c r="O7" s="28">
        <v>22.177204192298799</v>
      </c>
      <c r="P7" s="28">
        <v>22.171325871473002</v>
      </c>
      <c r="Q7" s="29">
        <v>23.6008375589767</v>
      </c>
      <c r="R7" s="29">
        <v>22.417203139433099</v>
      </c>
      <c r="S7" s="29">
        <v>22.3382448575497</v>
      </c>
      <c r="T7" s="30">
        <v>23.894123671069799</v>
      </c>
      <c r="U7" s="30">
        <v>23.7627961419714</v>
      </c>
      <c r="V7" s="30">
        <v>27.971539043857099</v>
      </c>
      <c r="W7" s="31">
        <v>33.5166819982351</v>
      </c>
      <c r="X7" s="106"/>
      <c r="Y7" s="107"/>
      <c r="Z7" s="108"/>
      <c r="AA7" s="6"/>
      <c r="AB7" s="4"/>
      <c r="AC7" s="6" t="s">
        <v>31</v>
      </c>
      <c r="AD7" s="6"/>
      <c r="AE7" s="6"/>
      <c r="AF7" s="6"/>
      <c r="AG7" s="6"/>
      <c r="AH7" s="88" t="s">
        <v>81</v>
      </c>
      <c r="AI7" s="89"/>
      <c r="AJ7" s="89"/>
      <c r="AK7" s="140">
        <v>45203</v>
      </c>
      <c r="AL7" s="141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3" t="s">
        <v>3</v>
      </c>
      <c r="C8" s="14">
        <v>16.982698994439701</v>
      </c>
      <c r="D8" s="11">
        <v>15.235728473939901</v>
      </c>
      <c r="E8" s="11">
        <v>15.791267038149</v>
      </c>
      <c r="F8" s="12">
        <v>18.0625271076815</v>
      </c>
      <c r="G8" s="12">
        <v>16.507992127746999</v>
      </c>
      <c r="H8" s="15">
        <v>22.5714052897853</v>
      </c>
      <c r="I8" s="19">
        <v>30.988060445371701</v>
      </c>
      <c r="J8" s="20">
        <v>30.594922859454201</v>
      </c>
      <c r="K8" s="20">
        <v>30.416133647378501</v>
      </c>
      <c r="L8" s="20">
        <v>28.711015143778798</v>
      </c>
      <c r="M8" s="20">
        <v>26.558939285252499</v>
      </c>
      <c r="N8" s="10">
        <v>23.5864521178361</v>
      </c>
      <c r="O8" s="10">
        <v>22.100173175858501</v>
      </c>
      <c r="P8" s="10">
        <v>21.973705115924599</v>
      </c>
      <c r="Q8" s="11">
        <v>23.614752241299701</v>
      </c>
      <c r="R8" s="16">
        <v>22.534109556021399</v>
      </c>
      <c r="S8" s="16">
        <v>22.371099261436299</v>
      </c>
      <c r="T8" s="17">
        <v>24.068446644355699</v>
      </c>
      <c r="U8" s="17">
        <v>23.7378176320268</v>
      </c>
      <c r="V8" s="17">
        <v>28.101228246228199</v>
      </c>
      <c r="W8" s="18">
        <v>33.209547990748298</v>
      </c>
      <c r="X8" s="109"/>
      <c r="Y8" s="110"/>
      <c r="Z8" s="111"/>
      <c r="AA8" s="6"/>
      <c r="AB8" s="5"/>
      <c r="AC8" s="6" t="s">
        <v>32</v>
      </c>
      <c r="AD8" s="6"/>
      <c r="AE8" s="6"/>
      <c r="AF8" s="6"/>
      <c r="AG8" s="6"/>
      <c r="AH8" s="90" t="s">
        <v>82</v>
      </c>
      <c r="AI8" s="91"/>
      <c r="AJ8" s="91"/>
      <c r="AK8" s="142">
        <v>45204</v>
      </c>
      <c r="AL8" s="14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4" t="s">
        <v>15</v>
      </c>
      <c r="C9" s="100" t="s">
        <v>19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2"/>
      <c r="R9" s="97" t="s">
        <v>20</v>
      </c>
      <c r="S9" s="98"/>
      <c r="T9" s="98"/>
      <c r="U9" s="98"/>
      <c r="V9" s="98"/>
      <c r="W9" s="98"/>
      <c r="X9" s="98"/>
      <c r="Y9" s="98"/>
      <c r="Z9" s="99"/>
      <c r="AA9" s="6"/>
      <c r="AB9" s="21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2" t="s">
        <v>4</v>
      </c>
      <c r="C10" s="26">
        <v>29.627133371319701</v>
      </c>
      <c r="D10" s="27">
        <v>27.547295362973799</v>
      </c>
      <c r="E10" s="27">
        <v>25.494555465363899</v>
      </c>
      <c r="F10" s="27">
        <v>23.332202571093699</v>
      </c>
      <c r="G10" s="27">
        <v>20.596424149141001</v>
      </c>
      <c r="H10" s="28">
        <v>18.299784311074198</v>
      </c>
      <c r="I10" s="28">
        <v>19.4272502305679</v>
      </c>
      <c r="J10" s="28">
        <v>19.718457028947</v>
      </c>
      <c r="K10" s="29">
        <v>18.544929818198501</v>
      </c>
      <c r="L10" s="29">
        <v>19.3605876533911</v>
      </c>
      <c r="M10" s="29">
        <v>19.4524372312633</v>
      </c>
      <c r="N10" s="30">
        <v>20.267345636128098</v>
      </c>
      <c r="O10" s="30">
        <v>19.7975891771809</v>
      </c>
      <c r="P10" s="30">
        <v>22.298685365173899</v>
      </c>
      <c r="Q10" s="31" t="s">
        <v>49</v>
      </c>
      <c r="R10" s="26">
        <v>28.6594684024294</v>
      </c>
      <c r="S10" s="27">
        <v>26.607703519704799</v>
      </c>
      <c r="T10" s="27">
        <v>24.3542888800987</v>
      </c>
      <c r="U10" s="27">
        <v>22.1082101905446</v>
      </c>
      <c r="V10" s="27">
        <v>19.690795727780699</v>
      </c>
      <c r="W10" s="28">
        <v>18.106145723316601</v>
      </c>
      <c r="X10" s="28">
        <v>18.536789079970202</v>
      </c>
      <c r="Y10" s="28">
        <v>18.491416207615401</v>
      </c>
      <c r="Z10" s="31">
        <v>38.934672934007402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3" t="s">
        <v>5</v>
      </c>
      <c r="C11" s="19">
        <v>30.2084013747941</v>
      </c>
      <c r="D11" s="20">
        <v>27.457999633202299</v>
      </c>
      <c r="E11" s="20">
        <v>25.400751923302099</v>
      </c>
      <c r="F11" s="20">
        <v>23.179038475736199</v>
      </c>
      <c r="G11" s="20">
        <v>20.8606897449393</v>
      </c>
      <c r="H11" s="10">
        <v>18.326630581487699</v>
      </c>
      <c r="I11" s="10">
        <v>18.994721953235601</v>
      </c>
      <c r="J11" s="10">
        <v>19.0386931294709</v>
      </c>
      <c r="K11" s="11">
        <v>18.639745217654301</v>
      </c>
      <c r="L11" s="11">
        <v>19.3492419005022</v>
      </c>
      <c r="M11" s="11">
        <v>19.728784915375801</v>
      </c>
      <c r="N11" s="12">
        <v>20.1560829003372</v>
      </c>
      <c r="O11" s="12">
        <v>19.5748146924441</v>
      </c>
      <c r="P11" s="12">
        <v>22.1204372855399</v>
      </c>
      <c r="Q11" s="13" t="s">
        <v>49</v>
      </c>
      <c r="R11" s="19">
        <v>28.936332342514401</v>
      </c>
      <c r="S11" s="20">
        <v>26.719118343844801</v>
      </c>
      <c r="T11" s="20">
        <v>24.385278954183601</v>
      </c>
      <c r="U11" s="20">
        <v>21.884998803908999</v>
      </c>
      <c r="V11" s="20">
        <v>19.701571859103701</v>
      </c>
      <c r="W11" s="10">
        <v>18.146027306068301</v>
      </c>
      <c r="X11" s="10">
        <v>18.4766330440609</v>
      </c>
      <c r="Y11" s="10">
        <v>18.5034250787349</v>
      </c>
      <c r="Z11" s="13">
        <v>37.457046940516797</v>
      </c>
      <c r="AA11" s="6"/>
      <c r="AB11" s="6" t="s">
        <v>51</v>
      </c>
      <c r="AC11" s="6" t="s">
        <v>52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4" t="s">
        <v>15</v>
      </c>
      <c r="C12" s="97" t="s">
        <v>20</v>
      </c>
      <c r="D12" s="98"/>
      <c r="E12" s="98"/>
      <c r="F12" s="98"/>
      <c r="G12" s="98"/>
      <c r="H12" s="99"/>
      <c r="I12" s="97" t="s">
        <v>21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9"/>
      <c r="X12" s="103"/>
      <c r="Y12" s="104"/>
      <c r="Z12" s="105"/>
      <c r="AA12" s="6"/>
      <c r="AB12" s="6" t="s">
        <v>53</v>
      </c>
      <c r="AC12" s="6" t="s">
        <v>54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2" t="s">
        <v>6</v>
      </c>
      <c r="C13" s="32">
        <v>18.232734280095201</v>
      </c>
      <c r="D13" s="29">
        <v>18.191177581579201</v>
      </c>
      <c r="E13" s="29">
        <v>18.354154306407398</v>
      </c>
      <c r="F13" s="30">
        <v>19.119041032282102</v>
      </c>
      <c r="G13" s="30">
        <v>18.602379777711501</v>
      </c>
      <c r="H13" s="33">
        <v>24.186010953074099</v>
      </c>
      <c r="I13" s="26">
        <v>31.834128797656899</v>
      </c>
      <c r="J13" s="27">
        <v>29.281502338588702</v>
      </c>
      <c r="K13" s="27">
        <v>27.194866241311399</v>
      </c>
      <c r="L13" s="27">
        <v>24.493049065386401</v>
      </c>
      <c r="M13" s="27">
        <v>22.186975340843599</v>
      </c>
      <c r="N13" s="28">
        <v>19.132755148694098</v>
      </c>
      <c r="O13" s="28">
        <v>19.1211076840735</v>
      </c>
      <c r="P13" s="28">
        <v>19.356345173617601</v>
      </c>
      <c r="Q13" s="29">
        <v>19.0293164621357</v>
      </c>
      <c r="R13" s="29">
        <v>19.405894140986501</v>
      </c>
      <c r="S13" s="29">
        <v>19.289874120295099</v>
      </c>
      <c r="T13" s="30">
        <v>20.9197583684874</v>
      </c>
      <c r="U13" s="30">
        <v>20.0041033507121</v>
      </c>
      <c r="V13" s="30">
        <v>22.678850861489899</v>
      </c>
      <c r="W13" s="31">
        <v>36.343265947004802</v>
      </c>
      <c r="X13" s="106"/>
      <c r="Y13" s="107"/>
      <c r="Z13" s="108"/>
      <c r="AA13" s="6"/>
      <c r="AB13" s="6" t="s">
        <v>55</v>
      </c>
      <c r="AC13" s="6" t="s">
        <v>56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3" t="s">
        <v>7</v>
      </c>
      <c r="C14" s="14">
        <v>18.267443440600399</v>
      </c>
      <c r="D14" s="11">
        <v>18.293575001140098</v>
      </c>
      <c r="E14" s="11">
        <v>18.352795662933101</v>
      </c>
      <c r="F14" s="12">
        <v>19.056873222068599</v>
      </c>
      <c r="G14" s="12">
        <v>18.689843224935601</v>
      </c>
      <c r="H14" s="15">
        <v>23.999522520053699</v>
      </c>
      <c r="I14" s="19">
        <v>31.979370423496199</v>
      </c>
      <c r="J14" s="20">
        <v>29.2017634302528</v>
      </c>
      <c r="K14" s="20">
        <v>27.142718893076101</v>
      </c>
      <c r="L14" s="20">
        <v>24.996071647625001</v>
      </c>
      <c r="M14" s="20">
        <v>22.252327608486699</v>
      </c>
      <c r="N14" s="10">
        <v>19.156546455298599</v>
      </c>
      <c r="O14" s="10">
        <v>19.168003428142001</v>
      </c>
      <c r="P14" s="10">
        <v>19.012276806364198</v>
      </c>
      <c r="Q14" s="11">
        <v>18.9947861675669</v>
      </c>
      <c r="R14" s="16">
        <v>19.467793407776199</v>
      </c>
      <c r="S14" s="16">
        <v>19.389283861252199</v>
      </c>
      <c r="T14" s="17">
        <v>20.9416040734896</v>
      </c>
      <c r="U14" s="17">
        <v>20.042230292821699</v>
      </c>
      <c r="V14" s="17">
        <v>23.2912707723825</v>
      </c>
      <c r="W14" s="18">
        <v>38.719025180269902</v>
      </c>
      <c r="X14" s="109"/>
      <c r="Y14" s="110"/>
      <c r="Z14" s="111"/>
      <c r="AA14" s="6"/>
      <c r="AB14" s="6" t="s">
        <v>57</v>
      </c>
      <c r="AC14" s="6" t="s">
        <v>58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4" t="s">
        <v>15</v>
      </c>
      <c r="C15" s="97" t="s">
        <v>22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  <c r="R15" s="97" t="s">
        <v>23</v>
      </c>
      <c r="S15" s="98"/>
      <c r="T15" s="98"/>
      <c r="U15" s="98"/>
      <c r="V15" s="98"/>
      <c r="W15" s="98"/>
      <c r="X15" s="98"/>
      <c r="Y15" s="98"/>
      <c r="Z15" s="99"/>
      <c r="AA15" s="6"/>
      <c r="AB15" s="6" t="s">
        <v>59</v>
      </c>
      <c r="AC15" s="6" t="s">
        <v>60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2" t="s">
        <v>8</v>
      </c>
      <c r="C16" s="26">
        <v>30.721776254906001</v>
      </c>
      <c r="D16" s="27">
        <v>30.062117937873602</v>
      </c>
      <c r="E16" s="27">
        <v>29.347193494225898</v>
      </c>
      <c r="F16" s="27">
        <v>27.684664534879101</v>
      </c>
      <c r="G16" s="27">
        <v>25.0912434696547</v>
      </c>
      <c r="H16" s="28">
        <v>21.940582475618299</v>
      </c>
      <c r="I16" s="28">
        <v>20.034008011918601</v>
      </c>
      <c r="J16" s="28">
        <v>20.098102606784501</v>
      </c>
      <c r="K16" s="29">
        <v>21.920762929332</v>
      </c>
      <c r="L16" s="29">
        <v>20.737571529577298</v>
      </c>
      <c r="M16" s="29">
        <v>20.726735005859702</v>
      </c>
      <c r="N16" s="30">
        <v>22.086061880565701</v>
      </c>
      <c r="O16" s="30">
        <v>21.565520783333401</v>
      </c>
      <c r="P16" s="30">
        <v>25.661900059336698</v>
      </c>
      <c r="Q16" s="31">
        <v>30.8531881462767</v>
      </c>
      <c r="R16" s="26">
        <v>33.121931567629098</v>
      </c>
      <c r="S16" s="27">
        <v>31.679231182712101</v>
      </c>
      <c r="T16" s="27">
        <v>29.930261437159398</v>
      </c>
      <c r="U16" s="27">
        <v>28.1430709211885</v>
      </c>
      <c r="V16" s="27">
        <v>25.834859633738802</v>
      </c>
      <c r="W16" s="28">
        <v>22.707564953420999</v>
      </c>
      <c r="X16" s="28">
        <v>21.6473373778473</v>
      </c>
      <c r="Y16" s="28">
        <v>21.479751282380199</v>
      </c>
      <c r="Z16" s="31">
        <v>38.757384537505501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3" t="s">
        <v>9</v>
      </c>
      <c r="C17" s="19">
        <v>30.535513350388801</v>
      </c>
      <c r="D17" s="20">
        <v>30.402166011352001</v>
      </c>
      <c r="E17" s="20">
        <v>29.187824122683502</v>
      </c>
      <c r="F17" s="20">
        <v>27.6889539952574</v>
      </c>
      <c r="G17" s="20">
        <v>25.089307972274501</v>
      </c>
      <c r="H17" s="10">
        <v>21.702860572279199</v>
      </c>
      <c r="I17" s="10">
        <v>20.135111826049702</v>
      </c>
      <c r="J17" s="10">
        <v>20.099118086509101</v>
      </c>
      <c r="K17" s="11">
        <v>22.074883944149601</v>
      </c>
      <c r="L17" s="11">
        <v>20.8680059795647</v>
      </c>
      <c r="M17" s="11">
        <v>20.733503659463</v>
      </c>
      <c r="N17" s="12">
        <v>22.036920949594801</v>
      </c>
      <c r="O17" s="12">
        <v>21.559372175762999</v>
      </c>
      <c r="P17" s="12">
        <v>25.965902982714699</v>
      </c>
      <c r="Q17" s="13">
        <v>30.792840580290001</v>
      </c>
      <c r="R17" s="19">
        <v>32.907192370909101</v>
      </c>
      <c r="S17" s="20">
        <v>32.817111853899902</v>
      </c>
      <c r="T17" s="20">
        <v>30.821255084358999</v>
      </c>
      <c r="U17" s="20">
        <v>28.121215772669199</v>
      </c>
      <c r="V17" s="20">
        <v>26.255347376284799</v>
      </c>
      <c r="W17" s="10">
        <v>22.927488051636399</v>
      </c>
      <c r="X17" s="10">
        <v>21.556730338771398</v>
      </c>
      <c r="Y17" s="10">
        <v>21.396292040774799</v>
      </c>
      <c r="Z17" s="13">
        <v>37.543646436789402</v>
      </c>
      <c r="AA17" s="6"/>
      <c r="AB17" s="6" t="s">
        <v>61</v>
      </c>
      <c r="AC17" s="6" t="s">
        <v>62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4" t="s">
        <v>15</v>
      </c>
      <c r="C18" s="97" t="s">
        <v>23</v>
      </c>
      <c r="D18" s="98"/>
      <c r="E18" s="98"/>
      <c r="F18" s="98"/>
      <c r="G18" s="98"/>
      <c r="H18" s="99"/>
      <c r="I18" s="97" t="s">
        <v>27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103"/>
      <c r="Y18" s="104"/>
      <c r="Z18" s="105"/>
      <c r="AA18" s="6"/>
      <c r="AB18" s="6" t="s">
        <v>63</v>
      </c>
      <c r="AC18" s="6" t="s">
        <v>64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2" t="s">
        <v>10</v>
      </c>
      <c r="C19" s="32">
        <v>22.638893535698301</v>
      </c>
      <c r="D19" s="29">
        <v>21.841359560729199</v>
      </c>
      <c r="E19" s="29">
        <v>21.834652921098101</v>
      </c>
      <c r="F19" s="30">
        <v>23.476630112662001</v>
      </c>
      <c r="G19" s="30">
        <v>22.632855879594501</v>
      </c>
      <c r="H19" s="33">
        <v>27.8980814993316</v>
      </c>
      <c r="I19" s="26">
        <v>30.262090595861601</v>
      </c>
      <c r="J19" s="27">
        <v>28.722893344692402</v>
      </c>
      <c r="K19" s="27">
        <v>26.966830076992998</v>
      </c>
      <c r="L19" s="27">
        <v>24.358210849454501</v>
      </c>
      <c r="M19" s="27">
        <v>22.0310879274817</v>
      </c>
      <c r="N19" s="28">
        <v>19.786835742864699</v>
      </c>
      <c r="O19" s="28">
        <v>18.240518499279698</v>
      </c>
      <c r="P19" s="28">
        <v>18.257490981925798</v>
      </c>
      <c r="Q19" s="29">
        <v>19.2566064823761</v>
      </c>
      <c r="R19" s="29">
        <v>18.533870600393598</v>
      </c>
      <c r="S19" s="29">
        <v>18.401896372483701</v>
      </c>
      <c r="T19" s="30">
        <v>19.871393784293801</v>
      </c>
      <c r="U19" s="30">
        <v>19.121839712042402</v>
      </c>
      <c r="V19" s="30">
        <v>25.796138682862502</v>
      </c>
      <c r="W19" s="31">
        <v>33.867281144438998</v>
      </c>
      <c r="X19" s="106"/>
      <c r="Y19" s="107"/>
      <c r="Z19" s="108"/>
      <c r="AA19" s="6"/>
      <c r="AB19" s="6" t="s">
        <v>65</v>
      </c>
      <c r="AC19" s="6" t="s">
        <v>66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3" t="s">
        <v>11</v>
      </c>
      <c r="C20" s="14">
        <v>22.751345833403199</v>
      </c>
      <c r="D20" s="11">
        <v>21.421382537639001</v>
      </c>
      <c r="E20" s="11">
        <v>21.596985819094701</v>
      </c>
      <c r="F20" s="12">
        <v>23.305962738788701</v>
      </c>
      <c r="G20" s="12">
        <v>22.560779110365502</v>
      </c>
      <c r="H20" s="15">
        <v>28.008512658475698</v>
      </c>
      <c r="I20" s="19">
        <v>31.795179186123899</v>
      </c>
      <c r="J20" s="20">
        <v>28.6325274753226</v>
      </c>
      <c r="K20" s="20">
        <v>26.780192202969801</v>
      </c>
      <c r="L20" s="20">
        <v>24.5719961238261</v>
      </c>
      <c r="M20" s="20">
        <v>21.9928983421831</v>
      </c>
      <c r="N20" s="10">
        <v>19.7471975587701</v>
      </c>
      <c r="O20" s="10">
        <v>18.268749109756801</v>
      </c>
      <c r="P20" s="10">
        <v>18.311358830165101</v>
      </c>
      <c r="Q20" s="11">
        <v>19.2762792391989</v>
      </c>
      <c r="R20" s="16">
        <v>18.6372752119136</v>
      </c>
      <c r="S20" s="16">
        <v>18.798407155843101</v>
      </c>
      <c r="T20" s="17">
        <v>19.839656980128598</v>
      </c>
      <c r="U20" s="17">
        <v>19.343211978777202</v>
      </c>
      <c r="V20" s="17">
        <v>25.9175108613242</v>
      </c>
      <c r="W20" s="18">
        <v>34.464445037642101</v>
      </c>
      <c r="X20" s="109"/>
      <c r="Y20" s="110"/>
      <c r="Z20" s="111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4" t="s">
        <v>15</v>
      </c>
      <c r="C21" s="97" t="s">
        <v>24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/>
      <c r="R21" s="154"/>
      <c r="S21" s="155"/>
      <c r="T21" s="155"/>
      <c r="U21" s="155"/>
      <c r="V21" s="155"/>
      <c r="W21" s="155"/>
      <c r="X21" s="155"/>
      <c r="Y21" s="155"/>
      <c r="Z21" s="156"/>
      <c r="AA21" s="6"/>
      <c r="AB21" s="72" t="s">
        <v>67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2" t="s">
        <v>12</v>
      </c>
      <c r="C22" s="26">
        <v>30.5019077584972</v>
      </c>
      <c r="D22" s="27">
        <v>28.295434621527701</v>
      </c>
      <c r="E22" s="27">
        <v>25.9900531000016</v>
      </c>
      <c r="F22" s="27">
        <v>23.640646727560899</v>
      </c>
      <c r="G22" s="27">
        <v>21.029846643324099</v>
      </c>
      <c r="H22" s="28">
        <v>19.4415066096308</v>
      </c>
      <c r="I22" s="28">
        <v>18.850848008270098</v>
      </c>
      <c r="J22" s="28">
        <v>18.871927073039899</v>
      </c>
      <c r="K22" s="29">
        <v>17.749962998485099</v>
      </c>
      <c r="L22" s="29">
        <v>17.156855101476701</v>
      </c>
      <c r="M22" s="29">
        <v>17.377790560863701</v>
      </c>
      <c r="N22" s="30">
        <v>17.8067191286708</v>
      </c>
      <c r="O22" s="30">
        <v>17.177918666981501</v>
      </c>
      <c r="P22" s="30">
        <v>21.373811891771101</v>
      </c>
      <c r="Q22" s="31">
        <v>33.984465132756</v>
      </c>
      <c r="R22" s="157"/>
      <c r="S22" s="158"/>
      <c r="T22" s="158"/>
      <c r="U22" s="158"/>
      <c r="V22" s="158"/>
      <c r="W22" s="158"/>
      <c r="X22" s="158"/>
      <c r="Y22" s="158"/>
      <c r="Z22" s="159"/>
      <c r="AA22" s="6"/>
      <c r="AB22" s="6" t="s">
        <v>59</v>
      </c>
      <c r="AC22" s="6" t="s">
        <v>68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3" t="s">
        <v>13</v>
      </c>
      <c r="C23" s="19">
        <v>30.370606513353898</v>
      </c>
      <c r="D23" s="20">
        <v>28.252837406772301</v>
      </c>
      <c r="E23" s="20">
        <v>26.045248339459899</v>
      </c>
      <c r="F23" s="20">
        <v>23.729653139266102</v>
      </c>
      <c r="G23" s="20">
        <v>21.065696206574099</v>
      </c>
      <c r="H23" s="10">
        <v>19.416585278029199</v>
      </c>
      <c r="I23" s="10">
        <v>18.965771225619001</v>
      </c>
      <c r="J23" s="10">
        <v>18.737500970150499</v>
      </c>
      <c r="K23" s="11">
        <v>17.650603059715699</v>
      </c>
      <c r="L23" s="11">
        <v>17.340889444163501</v>
      </c>
      <c r="M23" s="11">
        <v>17.222228922480301</v>
      </c>
      <c r="N23" s="12">
        <v>17.889141472836702</v>
      </c>
      <c r="O23" s="12">
        <v>17.148528662189399</v>
      </c>
      <c r="P23" s="12">
        <v>21.2499576998595</v>
      </c>
      <c r="Q23" s="13">
        <v>34.361420344123601</v>
      </c>
      <c r="R23" s="160"/>
      <c r="S23" s="161"/>
      <c r="T23" s="161"/>
      <c r="U23" s="161"/>
      <c r="V23" s="161"/>
      <c r="W23" s="161"/>
      <c r="X23" s="161"/>
      <c r="Y23" s="161"/>
      <c r="Z23" s="162"/>
      <c r="AA23" s="6"/>
      <c r="AB23" s="73" t="s">
        <v>61</v>
      </c>
      <c r="AC23" s="74" t="s">
        <v>69</v>
      </c>
      <c r="AD23" s="74"/>
      <c r="AE23" s="74"/>
      <c r="AF23" s="74"/>
      <c r="AG23" s="113" t="s">
        <v>70</v>
      </c>
      <c r="AH23" s="113"/>
      <c r="AI23" s="113"/>
      <c r="AJ23" s="113"/>
      <c r="AK23" s="113"/>
      <c r="AL23" s="75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4" t="s">
        <v>15</v>
      </c>
      <c r="C24" s="154"/>
      <c r="D24" s="155"/>
      <c r="E24" s="155"/>
      <c r="F24" s="155"/>
      <c r="G24" s="155"/>
      <c r="H24" s="156"/>
      <c r="I24" s="97" t="s">
        <v>25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9"/>
      <c r="X24" s="103"/>
      <c r="Y24" s="104"/>
      <c r="Z24" s="105"/>
      <c r="AA24" s="6"/>
      <c r="AB24" s="76" t="s">
        <v>63</v>
      </c>
      <c r="AC24" s="6" t="s">
        <v>71</v>
      </c>
      <c r="AD24" s="6"/>
      <c r="AE24" s="6"/>
      <c r="AF24" s="7"/>
      <c r="AG24" s="114"/>
      <c r="AH24" s="114"/>
      <c r="AI24" s="114"/>
      <c r="AJ24" s="114"/>
      <c r="AK24" s="114"/>
      <c r="AL24" s="7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2" t="s">
        <v>14</v>
      </c>
      <c r="C25" s="157"/>
      <c r="D25" s="158"/>
      <c r="E25" s="158"/>
      <c r="F25" s="158"/>
      <c r="G25" s="158"/>
      <c r="H25" s="159"/>
      <c r="I25" s="26">
        <v>33.676591747508603</v>
      </c>
      <c r="J25" s="27">
        <v>33.671768322202503</v>
      </c>
      <c r="K25" s="27">
        <v>32.622147206714402</v>
      </c>
      <c r="L25" s="27">
        <v>32.684765330003401</v>
      </c>
      <c r="M25" s="27">
        <v>31.405771855516601</v>
      </c>
      <c r="N25" s="28">
        <v>26.9549274651418</v>
      </c>
      <c r="O25" s="28">
        <v>21.816393459264201</v>
      </c>
      <c r="P25" s="28">
        <v>21.8490504331313</v>
      </c>
      <c r="Q25" s="29">
        <v>25.829283529572798</v>
      </c>
      <c r="R25" s="29">
        <v>23.716911559368199</v>
      </c>
      <c r="S25" s="29">
        <v>23.4632221832412</v>
      </c>
      <c r="T25" s="30">
        <v>27.4125569784517</v>
      </c>
      <c r="U25" s="30">
        <v>25.1829634795461</v>
      </c>
      <c r="V25" s="30">
        <v>32.790337754204799</v>
      </c>
      <c r="W25" s="31" t="s">
        <v>49</v>
      </c>
      <c r="X25" s="106"/>
      <c r="Y25" s="107"/>
      <c r="Z25" s="108"/>
      <c r="AA25" s="6"/>
      <c r="AB25" s="78" t="s">
        <v>65</v>
      </c>
      <c r="AC25" s="79" t="s">
        <v>72</v>
      </c>
      <c r="AD25" s="79"/>
      <c r="AE25" s="79"/>
      <c r="AF25" s="80"/>
      <c r="AG25" s="115"/>
      <c r="AH25" s="115"/>
      <c r="AI25" s="115"/>
      <c r="AJ25" s="115"/>
      <c r="AK25" s="115"/>
      <c r="AL25" s="81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3" t="s">
        <v>15</v>
      </c>
      <c r="C26" s="160"/>
      <c r="D26" s="161"/>
      <c r="E26" s="161"/>
      <c r="F26" s="161"/>
      <c r="G26" s="161"/>
      <c r="H26" s="162"/>
      <c r="I26" s="19">
        <v>33.3741223709374</v>
      </c>
      <c r="J26" s="20">
        <v>33.539748152300596</v>
      </c>
      <c r="K26" s="20">
        <v>33.458658983742801</v>
      </c>
      <c r="L26" s="20">
        <v>31.864124987772598</v>
      </c>
      <c r="M26" s="20">
        <v>31.0768370235809</v>
      </c>
      <c r="N26" s="10">
        <v>27.126297152241602</v>
      </c>
      <c r="O26" s="10">
        <v>21.850378520649102</v>
      </c>
      <c r="P26" s="10">
        <v>22.155206169935202</v>
      </c>
      <c r="Q26" s="11">
        <v>25.804932946596299</v>
      </c>
      <c r="R26" s="11">
        <v>23.656251211682001</v>
      </c>
      <c r="S26" s="11">
        <v>23.5046762105532</v>
      </c>
      <c r="T26" s="12">
        <v>27.7105472546363</v>
      </c>
      <c r="U26" s="12">
        <v>25.1070001113874</v>
      </c>
      <c r="V26" s="12">
        <v>32.502953515048503</v>
      </c>
      <c r="W26" s="13">
        <v>38.1523138855176</v>
      </c>
      <c r="X26" s="109"/>
      <c r="Y26" s="110"/>
      <c r="Z26" s="111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12" t="s">
        <v>17</v>
      </c>
      <c r="D28" s="112"/>
      <c r="E28" s="112"/>
      <c r="F28" s="6"/>
      <c r="G28" s="6"/>
      <c r="H28" s="112" t="s">
        <v>18</v>
      </c>
      <c r="I28" s="112"/>
      <c r="J28" s="112"/>
      <c r="K28" s="6"/>
      <c r="L28" s="6"/>
      <c r="M28" s="112" t="s">
        <v>26</v>
      </c>
      <c r="N28" s="112"/>
      <c r="O28" s="112"/>
      <c r="P28" s="6"/>
      <c r="Q28" s="6"/>
      <c r="R28" s="112" t="s">
        <v>19</v>
      </c>
      <c r="S28" s="112"/>
      <c r="T28" s="112"/>
      <c r="U28" s="6"/>
      <c r="V28" s="6"/>
      <c r="W28" s="112" t="s">
        <v>20</v>
      </c>
      <c r="X28" s="112"/>
      <c r="Y28" s="112"/>
      <c r="Z28" s="6"/>
      <c r="AA28" s="6"/>
      <c r="AB28" s="112" t="s">
        <v>21</v>
      </c>
      <c r="AC28" s="112"/>
      <c r="AD28" s="112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4"/>
      <c r="C29" s="118" t="s">
        <v>47</v>
      </c>
      <c r="D29" s="119"/>
      <c r="E29" s="120"/>
      <c r="F29" s="6"/>
      <c r="G29" s="6"/>
      <c r="H29" s="121" t="s">
        <v>47</v>
      </c>
      <c r="I29" s="122"/>
      <c r="J29" s="123"/>
      <c r="K29" s="6"/>
      <c r="L29" s="6"/>
      <c r="M29" s="121" t="s">
        <v>47</v>
      </c>
      <c r="N29" s="122"/>
      <c r="O29" s="123"/>
      <c r="P29" s="6"/>
      <c r="Q29" s="6"/>
      <c r="R29" s="121" t="s">
        <v>47</v>
      </c>
      <c r="S29" s="124"/>
      <c r="T29" s="125"/>
      <c r="U29" s="6"/>
      <c r="V29" s="6"/>
      <c r="W29" s="121" t="s">
        <v>47</v>
      </c>
      <c r="X29" s="122"/>
      <c r="Y29" s="123"/>
      <c r="Z29" s="6"/>
      <c r="AA29" s="6"/>
      <c r="AB29" s="121" t="s">
        <v>47</v>
      </c>
      <c r="AC29" s="122"/>
      <c r="AD29" s="123"/>
      <c r="AE29" s="6"/>
      <c r="AF29" s="4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8"/>
      <c r="C30" s="35" t="s">
        <v>33</v>
      </c>
      <c r="D30" s="36" t="s">
        <v>45</v>
      </c>
      <c r="E30" s="71" t="s">
        <v>44</v>
      </c>
      <c r="F30" s="6"/>
      <c r="G30" s="6"/>
      <c r="H30" s="35" t="s">
        <v>33</v>
      </c>
      <c r="I30" s="36" t="s">
        <v>45</v>
      </c>
      <c r="J30" s="71" t="s">
        <v>44</v>
      </c>
      <c r="K30" s="6"/>
      <c r="L30" s="6"/>
      <c r="M30" s="35" t="s">
        <v>33</v>
      </c>
      <c r="N30" s="36" t="s">
        <v>45</v>
      </c>
      <c r="O30" s="71" t="s">
        <v>44</v>
      </c>
      <c r="P30" s="6"/>
      <c r="Q30" s="6"/>
      <c r="R30" s="35" t="s">
        <v>33</v>
      </c>
      <c r="S30" s="36" t="s">
        <v>45</v>
      </c>
      <c r="T30" s="71" t="s">
        <v>44</v>
      </c>
      <c r="U30" s="6"/>
      <c r="V30" s="6"/>
      <c r="W30" s="35" t="s">
        <v>33</v>
      </c>
      <c r="X30" s="36" t="s">
        <v>45</v>
      </c>
      <c r="Y30" s="71" t="s">
        <v>44</v>
      </c>
      <c r="Z30" s="6"/>
      <c r="AA30" s="6"/>
      <c r="AB30" s="35" t="s">
        <v>33</v>
      </c>
      <c r="AC30" s="36" t="s">
        <v>45</v>
      </c>
      <c r="AD30" s="71" t="s">
        <v>44</v>
      </c>
      <c r="AE30" s="6"/>
      <c r="AF30" s="39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40"/>
      <c r="C31" s="65">
        <v>3.2000000000000001E-2</v>
      </c>
      <c r="D31" s="66">
        <f>LOG(C31)</f>
        <v>-1.494850021680094</v>
      </c>
      <c r="E31" s="67">
        <f>AVERAGE(C4:C5)</f>
        <v>32.6808122158468</v>
      </c>
      <c r="F31" s="6"/>
      <c r="G31" s="6"/>
      <c r="H31" s="65">
        <v>3.2000000000000001E-2</v>
      </c>
      <c r="I31" s="66">
        <f>LOG(H31)</f>
        <v>-1.494850021680094</v>
      </c>
      <c r="J31" s="67">
        <f>AVERAGE(R4:R5)</f>
        <v>35.980982972116905</v>
      </c>
      <c r="K31" s="6"/>
      <c r="L31" s="6"/>
      <c r="M31" s="65">
        <v>3.2000000000000001E-2</v>
      </c>
      <c r="N31" s="66">
        <f>LOG(M31)</f>
        <v>-1.494850021680094</v>
      </c>
      <c r="O31" s="67">
        <f>AVERAGE(I7:I8)</f>
        <v>30.968938241449301</v>
      </c>
      <c r="P31" s="6"/>
      <c r="Q31" s="6"/>
      <c r="R31" s="65">
        <v>3.2000000000000001E-2</v>
      </c>
      <c r="S31" s="66">
        <f>LOG(R31)</f>
        <v>-1.494850021680094</v>
      </c>
      <c r="T31" s="67">
        <f>AVERAGE(C10:C11)</f>
        <v>29.9177673730569</v>
      </c>
      <c r="U31" s="6"/>
      <c r="V31" s="6"/>
      <c r="W31" s="65">
        <v>3.2000000000000001E-2</v>
      </c>
      <c r="X31" s="66">
        <f>LOG(W31)</f>
        <v>-1.494850021680094</v>
      </c>
      <c r="Y31" s="67">
        <f>AVERAGE(R10:R11)</f>
        <v>28.797900372471901</v>
      </c>
      <c r="Z31" s="6"/>
      <c r="AA31" s="6"/>
      <c r="AB31" s="65">
        <v>3.2000000000000001E-2</v>
      </c>
      <c r="AC31" s="66">
        <f>LOG(AB31)</f>
        <v>-1.494850021680094</v>
      </c>
      <c r="AD31" s="67">
        <f>AVERAGE(I13:I14)</f>
        <v>31.906749610576547</v>
      </c>
      <c r="AE31" s="6"/>
      <c r="AF31" s="41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40"/>
      <c r="C32" s="65">
        <v>0.16</v>
      </c>
      <c r="D32" s="66">
        <f>LOG(C32)</f>
        <v>-0.79588001734407521</v>
      </c>
      <c r="E32" s="67">
        <f>AVERAGE(D4:D5)</f>
        <v>30.304008469535098</v>
      </c>
      <c r="F32" s="6"/>
      <c r="G32" s="6"/>
      <c r="H32" s="65">
        <v>0.16</v>
      </c>
      <c r="I32" s="66">
        <f>LOG(H32)</f>
        <v>-0.79588001734407521</v>
      </c>
      <c r="J32" s="67">
        <f>AVERAGE(S4:S5)</f>
        <v>34.675000867331704</v>
      </c>
      <c r="K32" s="6"/>
      <c r="L32" s="6"/>
      <c r="M32" s="65">
        <v>0.16</v>
      </c>
      <c r="N32" s="66">
        <f>LOG(M32)</f>
        <v>-0.79588001734407521</v>
      </c>
      <c r="O32" s="67">
        <f>AVERAGE(J7:J8)</f>
        <v>30.657097132670252</v>
      </c>
      <c r="P32" s="6"/>
      <c r="Q32" s="6"/>
      <c r="R32" s="65">
        <v>0.16</v>
      </c>
      <c r="S32" s="66">
        <f>LOG(R32)</f>
        <v>-0.79588001734407521</v>
      </c>
      <c r="T32" s="67">
        <f>AVERAGE(D10:D11)</f>
        <v>27.502647498088049</v>
      </c>
      <c r="U32" s="6"/>
      <c r="V32" s="6"/>
      <c r="W32" s="65">
        <v>0.16</v>
      </c>
      <c r="X32" s="66">
        <f>LOG(W32)</f>
        <v>-0.79588001734407521</v>
      </c>
      <c r="Y32" s="67">
        <f>AVERAGE(S10:S11)</f>
        <v>26.663410931774798</v>
      </c>
      <c r="Z32" s="6"/>
      <c r="AA32" s="6"/>
      <c r="AB32" s="65">
        <v>0.16</v>
      </c>
      <c r="AC32" s="66">
        <f>LOG(AB32)</f>
        <v>-0.79588001734407521</v>
      </c>
      <c r="AD32" s="67">
        <f>AVERAGE(J13:J14)</f>
        <v>29.241632884420753</v>
      </c>
      <c r="AE32" s="6"/>
      <c r="AF32" s="4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40"/>
      <c r="C33" s="65">
        <v>0.8</v>
      </c>
      <c r="D33" s="66">
        <f>LOG(C33)</f>
        <v>-9.6910013008056392E-2</v>
      </c>
      <c r="E33" s="67">
        <f>AVERAGE(E4:E5)</f>
        <v>28.146142610926198</v>
      </c>
      <c r="F33" s="6"/>
      <c r="G33" s="6"/>
      <c r="H33" s="65">
        <v>0.8</v>
      </c>
      <c r="I33" s="66">
        <f>LOG(H33)</f>
        <v>-9.6910013008056392E-2</v>
      </c>
      <c r="J33" s="67">
        <f>AVERAGE(T4:T5)</f>
        <v>31.891509413486446</v>
      </c>
      <c r="K33" s="6"/>
      <c r="L33" s="6"/>
      <c r="M33" s="65">
        <v>0.8</v>
      </c>
      <c r="N33" s="66">
        <f>LOG(M33)</f>
        <v>-9.6910013008056392E-2</v>
      </c>
      <c r="O33" s="67">
        <f>AVERAGE(K7:K8)</f>
        <v>30.5179372587871</v>
      </c>
      <c r="P33" s="6"/>
      <c r="Q33" s="6"/>
      <c r="R33" s="65">
        <v>0.8</v>
      </c>
      <c r="S33" s="66">
        <f>LOG(R33)</f>
        <v>-9.6910013008056392E-2</v>
      </c>
      <c r="T33" s="67">
        <f>AVERAGE(E10:E11)</f>
        <v>25.447653694332999</v>
      </c>
      <c r="U33" s="6"/>
      <c r="V33" s="6"/>
      <c r="W33" s="65">
        <v>0.8</v>
      </c>
      <c r="X33" s="66">
        <f>LOG(W33)</f>
        <v>-9.6910013008056392E-2</v>
      </c>
      <c r="Y33" s="67">
        <f>AVERAGE(T10:T11)</f>
        <v>24.369783917141149</v>
      </c>
      <c r="Z33" s="6"/>
      <c r="AA33" s="6"/>
      <c r="AB33" s="65">
        <v>0.8</v>
      </c>
      <c r="AC33" s="66">
        <f>LOG(AB33)</f>
        <v>-9.6910013008056392E-2</v>
      </c>
      <c r="AD33" s="67">
        <f>AVERAGE(K13:K14)</f>
        <v>27.168792567193748</v>
      </c>
      <c r="AE33" s="6"/>
      <c r="AF33" s="41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40"/>
      <c r="C34" s="65">
        <v>4</v>
      </c>
      <c r="D34" s="66">
        <f>LOG(C34)</f>
        <v>0.6020599913279624</v>
      </c>
      <c r="E34" s="67">
        <f>AVERAGE(F4:F5)</f>
        <v>25.737112690939249</v>
      </c>
      <c r="F34" s="6"/>
      <c r="G34" s="6"/>
      <c r="H34" s="65">
        <v>4</v>
      </c>
      <c r="I34" s="66">
        <f>LOG(H34)</f>
        <v>0.6020599913279624</v>
      </c>
      <c r="J34" s="67">
        <f>AVERAGE(U4:U5)</f>
        <v>27.619119534978701</v>
      </c>
      <c r="K34" s="6"/>
      <c r="L34" s="6"/>
      <c r="M34" s="65">
        <v>4</v>
      </c>
      <c r="N34" s="66">
        <f>LOG(M34)</f>
        <v>0.6020599913279624</v>
      </c>
      <c r="O34" s="67">
        <f>AVERAGE(L7:L8)</f>
        <v>28.756776091246699</v>
      </c>
      <c r="P34" s="6"/>
      <c r="Q34" s="6"/>
      <c r="R34" s="65">
        <v>4</v>
      </c>
      <c r="S34" s="66">
        <f>LOG(R34)</f>
        <v>0.6020599913279624</v>
      </c>
      <c r="T34" s="67">
        <f>AVERAGE(F10:F11)</f>
        <v>23.255620523414947</v>
      </c>
      <c r="U34" s="6"/>
      <c r="V34" s="6"/>
      <c r="W34" s="65">
        <v>4</v>
      </c>
      <c r="X34" s="66">
        <f>LOG(W34)</f>
        <v>0.6020599913279624</v>
      </c>
      <c r="Y34" s="67">
        <f>AVERAGE(U10:U11)</f>
        <v>21.996604497226798</v>
      </c>
      <c r="Z34" s="6"/>
      <c r="AA34" s="6"/>
      <c r="AB34" s="65">
        <v>4</v>
      </c>
      <c r="AC34" s="66">
        <f>LOG(AB34)</f>
        <v>0.6020599913279624</v>
      </c>
      <c r="AD34" s="67">
        <f>AVERAGE(L13:L14)</f>
        <v>24.744560356505701</v>
      </c>
      <c r="AE34" s="6"/>
      <c r="AF34" s="41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40"/>
      <c r="C35" s="68">
        <v>20</v>
      </c>
      <c r="D35" s="69">
        <f>LOG(C35)</f>
        <v>1.3010299956639813</v>
      </c>
      <c r="E35" s="70">
        <f>AVERAGE(G4:G5)</f>
        <v>23.437925298322099</v>
      </c>
      <c r="F35" s="6"/>
      <c r="G35" s="6"/>
      <c r="H35" s="68">
        <v>20</v>
      </c>
      <c r="I35" s="69">
        <f>LOG(H35)</f>
        <v>1.3010299956639813</v>
      </c>
      <c r="J35" s="70">
        <f>AVERAGE(V4:V5)</f>
        <v>24.902007082866248</v>
      </c>
      <c r="K35" s="6"/>
      <c r="L35" s="6"/>
      <c r="M35" s="68">
        <v>20</v>
      </c>
      <c r="N35" s="69">
        <f>LOG(M35)</f>
        <v>1.3010299956639813</v>
      </c>
      <c r="O35" s="70">
        <f>AVERAGE(M7:M8)</f>
        <v>26.5454441198371</v>
      </c>
      <c r="P35" s="6"/>
      <c r="Q35" s="6"/>
      <c r="R35" s="68">
        <v>20</v>
      </c>
      <c r="S35" s="69">
        <f>LOG(R35)</f>
        <v>1.3010299956639813</v>
      </c>
      <c r="T35" s="70">
        <f>AVERAGE(G10:G11)</f>
        <v>20.728556947040151</v>
      </c>
      <c r="U35" s="6"/>
      <c r="V35" s="6"/>
      <c r="W35" s="68">
        <v>20</v>
      </c>
      <c r="X35" s="69">
        <f>LOG(W35)</f>
        <v>1.3010299956639813</v>
      </c>
      <c r="Y35" s="70">
        <f>AVERAGE(V10:V11)</f>
        <v>19.696183793442202</v>
      </c>
      <c r="Z35" s="6"/>
      <c r="AA35" s="6"/>
      <c r="AB35" s="68">
        <v>20</v>
      </c>
      <c r="AC35" s="69">
        <f>LOG(AB35)</f>
        <v>1.3010299956639813</v>
      </c>
      <c r="AD35" s="70">
        <f>AVERAGE(M13:M14)</f>
        <v>22.219651474665149</v>
      </c>
      <c r="AE35" s="6"/>
      <c r="AF35" s="4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8"/>
      <c r="C36" s="116" t="s">
        <v>46</v>
      </c>
      <c r="D36" s="117"/>
      <c r="E36" s="37">
        <f>(10^(-1/-3.2981)-1)*100</f>
        <v>101.00408123741853</v>
      </c>
      <c r="F36" s="6"/>
      <c r="G36" s="6"/>
      <c r="H36" s="116" t="s">
        <v>46</v>
      </c>
      <c r="I36" s="117"/>
      <c r="J36" s="37">
        <f>(10^(-1/-4.1796)-1)*100</f>
        <v>73.483168375521316</v>
      </c>
      <c r="K36" s="6"/>
      <c r="L36" s="6"/>
      <c r="M36" s="116" t="s">
        <v>46</v>
      </c>
      <c r="N36" s="117"/>
      <c r="O36" s="37">
        <f>(10^(-1/-1.5376)-1)*100</f>
        <v>347.05834285729765</v>
      </c>
      <c r="P36" s="6"/>
      <c r="Q36" s="6"/>
      <c r="R36" s="116" t="s">
        <v>46</v>
      </c>
      <c r="S36" s="117"/>
      <c r="T36" s="37">
        <f>(10^(-1/-3.237)-1)*100</f>
        <v>103.6704485103896</v>
      </c>
      <c r="U36" s="6"/>
      <c r="V36" s="6"/>
      <c r="W36" s="116" t="s">
        <v>46</v>
      </c>
      <c r="X36" s="117"/>
      <c r="Y36" s="37">
        <f>(10^(-1/-3.272)-1)*100</f>
        <v>102.12660053656002</v>
      </c>
      <c r="Z36" s="6"/>
      <c r="AA36" s="6"/>
      <c r="AB36" s="116" t="s">
        <v>46</v>
      </c>
      <c r="AC36" s="117"/>
      <c r="AD36" s="37">
        <f>(10^(-1/-3.4152)-1)*100</f>
        <v>96.249527724112596</v>
      </c>
      <c r="AE36" s="6"/>
      <c r="AF36" s="42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8"/>
      <c r="C37" s="116" t="s">
        <v>50</v>
      </c>
      <c r="D37" s="117"/>
      <c r="E37" s="37">
        <f>SUM(E36/100)+1</f>
        <v>2.0100408123741853</v>
      </c>
      <c r="F37" s="6"/>
      <c r="G37" s="6"/>
      <c r="H37" s="116" t="s">
        <v>50</v>
      </c>
      <c r="I37" s="117"/>
      <c r="J37" s="37">
        <f>SUM(J36/100)+1</f>
        <v>1.7348316837552131</v>
      </c>
      <c r="K37" s="6"/>
      <c r="L37" s="6"/>
      <c r="M37" s="116" t="s">
        <v>50</v>
      </c>
      <c r="N37" s="117"/>
      <c r="O37" s="37">
        <f>SUM(O36/100)+1</f>
        <v>4.4705834285729766</v>
      </c>
      <c r="P37" s="6"/>
      <c r="Q37" s="6"/>
      <c r="R37" s="116" t="s">
        <v>50</v>
      </c>
      <c r="S37" s="117"/>
      <c r="T37" s="37">
        <f>SUM(T36/100)+1</f>
        <v>2.036704485103896</v>
      </c>
      <c r="U37" s="6"/>
      <c r="V37" s="6"/>
      <c r="W37" s="116" t="s">
        <v>50</v>
      </c>
      <c r="X37" s="117"/>
      <c r="Y37" s="37">
        <f>SUM(Y36/100)+1</f>
        <v>2.0212660053656002</v>
      </c>
      <c r="Z37" s="6"/>
      <c r="AA37" s="6"/>
      <c r="AB37" s="116" t="s">
        <v>50</v>
      </c>
      <c r="AC37" s="117"/>
      <c r="AD37" s="37">
        <f>SUM(AD36/100)+1</f>
        <v>1.9624952772411259</v>
      </c>
      <c r="AE37" s="6"/>
      <c r="AF37" s="42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6"/>
      <c r="C38" s="45"/>
      <c r="E38" s="45"/>
      <c r="F38" s="6"/>
      <c r="G38" s="6"/>
      <c r="H38" s="45"/>
      <c r="I38" s="45"/>
      <c r="J38" s="45"/>
      <c r="K38" s="6"/>
      <c r="L38" s="6"/>
      <c r="M38" s="45"/>
      <c r="N38" s="45"/>
      <c r="O38" s="45"/>
      <c r="P38" s="6"/>
      <c r="Q38" s="6"/>
      <c r="R38" s="45"/>
      <c r="S38" s="45"/>
      <c r="T38" s="45"/>
      <c r="U38" s="6"/>
      <c r="V38" s="6"/>
      <c r="W38" s="45"/>
      <c r="X38" s="45"/>
      <c r="Y38" s="45"/>
      <c r="Z38" s="6"/>
      <c r="AA38" s="6"/>
      <c r="AB38" s="45"/>
      <c r="AC38" s="45"/>
      <c r="AD38" s="45"/>
      <c r="AE38" s="6"/>
      <c r="AF38" s="4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7"/>
      <c r="C39" s="126" t="s">
        <v>94</v>
      </c>
      <c r="D39" s="127"/>
      <c r="E39" s="127"/>
      <c r="F39" s="127"/>
      <c r="G39" s="127"/>
      <c r="H39" s="128"/>
      <c r="J39" s="126" t="s">
        <v>95</v>
      </c>
      <c r="K39" s="127"/>
      <c r="L39" s="127"/>
      <c r="M39" s="127"/>
      <c r="N39" s="127"/>
      <c r="O39" s="128"/>
      <c r="Q39" s="126" t="s">
        <v>96</v>
      </c>
      <c r="R39" s="127"/>
      <c r="S39" s="127"/>
      <c r="T39" s="127"/>
      <c r="U39" s="127"/>
      <c r="V39" s="128"/>
      <c r="X39" s="126" t="s">
        <v>97</v>
      </c>
      <c r="Y39" s="127"/>
      <c r="Z39" s="127"/>
      <c r="AA39" s="127"/>
      <c r="AB39" s="127"/>
      <c r="AC39" s="128"/>
      <c r="AE39" s="126" t="s">
        <v>98</v>
      </c>
      <c r="AF39" s="127"/>
      <c r="AG39" s="127"/>
      <c r="AH39" s="127"/>
      <c r="AI39" s="127"/>
      <c r="AJ39" s="128"/>
      <c r="AL39" s="126" t="s">
        <v>104</v>
      </c>
      <c r="AM39" s="127"/>
      <c r="AN39" s="127"/>
      <c r="AO39" s="127"/>
      <c r="AP39" s="127"/>
      <c r="AQ39" s="128"/>
      <c r="AR39" s="45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7"/>
      <c r="C40" s="133" t="s">
        <v>17</v>
      </c>
      <c r="D40" s="83" t="s">
        <v>51</v>
      </c>
      <c r="E40" s="83" t="s">
        <v>53</v>
      </c>
      <c r="F40" s="83" t="s">
        <v>55</v>
      </c>
      <c r="G40" s="84" t="s">
        <v>57</v>
      </c>
      <c r="H40" s="82" t="s">
        <v>59</v>
      </c>
      <c r="I40" s="6"/>
      <c r="J40" s="135" t="s">
        <v>18</v>
      </c>
      <c r="K40" s="83" t="s">
        <v>51</v>
      </c>
      <c r="L40" s="83" t="s">
        <v>53</v>
      </c>
      <c r="M40" s="83" t="s">
        <v>55</v>
      </c>
      <c r="N40" s="83" t="s">
        <v>57</v>
      </c>
      <c r="O40" s="85" t="s">
        <v>59</v>
      </c>
      <c r="P40" s="40"/>
      <c r="Q40" s="135" t="s">
        <v>26</v>
      </c>
      <c r="R40" s="83" t="s">
        <v>51</v>
      </c>
      <c r="S40" s="83" t="s">
        <v>53</v>
      </c>
      <c r="T40" s="83" t="s">
        <v>55</v>
      </c>
      <c r="U40" s="83" t="s">
        <v>57</v>
      </c>
      <c r="V40" s="85" t="s">
        <v>59</v>
      </c>
      <c r="W40" s="86"/>
      <c r="X40" s="135" t="s">
        <v>19</v>
      </c>
      <c r="Y40" s="83" t="s">
        <v>51</v>
      </c>
      <c r="Z40" s="83" t="s">
        <v>53</v>
      </c>
      <c r="AA40" s="83" t="s">
        <v>55</v>
      </c>
      <c r="AB40" s="83" t="s">
        <v>57</v>
      </c>
      <c r="AC40" s="85" t="s">
        <v>59</v>
      </c>
      <c r="AD40" s="86"/>
      <c r="AE40" s="137" t="s">
        <v>20</v>
      </c>
      <c r="AF40" s="83" t="s">
        <v>51</v>
      </c>
      <c r="AG40" s="83" t="s">
        <v>53</v>
      </c>
      <c r="AH40" s="83" t="s">
        <v>55</v>
      </c>
      <c r="AI40" s="83" t="s">
        <v>57</v>
      </c>
      <c r="AJ40" s="85" t="s">
        <v>59</v>
      </c>
      <c r="AK40" s="86"/>
      <c r="AL40" s="137" t="s">
        <v>21</v>
      </c>
      <c r="AM40" s="83" t="s">
        <v>51</v>
      </c>
      <c r="AN40" s="83" t="s">
        <v>53</v>
      </c>
      <c r="AO40" s="83" t="s">
        <v>55</v>
      </c>
      <c r="AP40" s="83" t="s">
        <v>57</v>
      </c>
      <c r="AQ40" s="85" t="s">
        <v>59</v>
      </c>
      <c r="AR40" s="45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7"/>
      <c r="C41" s="133"/>
      <c r="D41" s="49" t="s">
        <v>35</v>
      </c>
      <c r="E41" s="49">
        <f>AVERAGE(H4:H5)</f>
        <v>20.060714514989051</v>
      </c>
      <c r="F41" s="56">
        <f>10^((E41-27.742)/-3.2981)</f>
        <v>213.30606763610839</v>
      </c>
      <c r="G41" s="57">
        <f>SUM(E41*(LOG(E37)/LOG(2)))</f>
        <v>20.205649055776615</v>
      </c>
      <c r="H41" s="56">
        <f t="shared" ref="H41:H50" si="0">10^((G41-27.742)/-3.2981)</f>
        <v>192.77839049371977</v>
      </c>
      <c r="I41" s="6"/>
      <c r="J41" s="135"/>
      <c r="K41" s="49" t="s">
        <v>35</v>
      </c>
      <c r="L41" s="49">
        <f>AVERAGE(W4:W5)</f>
        <v>16.94978418112585</v>
      </c>
      <c r="M41" s="56">
        <f t="shared" ref="M41:M50" si="1">10^((L41-30.609)/-4.1796)</f>
        <v>1853.820644964165</v>
      </c>
      <c r="N41" s="56">
        <f>SUM(L41*(LOG($J$37)/LOG(2)))</f>
        <v>13.471615531045877</v>
      </c>
      <c r="O41" s="56">
        <f t="shared" ref="O41:O50" si="2">10^((N41-30.609)/-4.1796)</f>
        <v>12596.361380044769</v>
      </c>
      <c r="P41" s="6"/>
      <c r="Q41" s="135"/>
      <c r="R41" s="49" t="s">
        <v>35</v>
      </c>
      <c r="S41" s="49">
        <f>AVERAGE(N7:N8)</f>
        <v>23.617420810337052</v>
      </c>
      <c r="T41" s="56">
        <f t="shared" ref="T41:T50" si="3">10^((S41-29.34)/-1.5376)</f>
        <v>5269.3938380705022</v>
      </c>
      <c r="U41" s="56">
        <f>SUM(S41*(LOG($O$37)/LOG(2)))</f>
        <v>51.024566674451172</v>
      </c>
      <c r="V41" s="56">
        <f t="shared" ref="V41:V50" si="4">10^((U41-29.34)/-1.5376)</f>
        <v>7.891036581073999E-15</v>
      </c>
      <c r="W41" s="6"/>
      <c r="X41" s="135"/>
      <c r="Y41" s="49" t="s">
        <v>35</v>
      </c>
      <c r="Z41" s="49">
        <f>AVERAGE(H10:H11)</f>
        <v>18.313207446280948</v>
      </c>
      <c r="AA41" s="56">
        <f t="shared" ref="AA41:AA50" si="5">10^((Z41-25.057)/-3.237)</f>
        <v>121.15643319645994</v>
      </c>
      <c r="AB41" s="56">
        <f>SUM(Z41*(LOG($T$37)/LOG(2)))</f>
        <v>18.793684993296612</v>
      </c>
      <c r="AC41" s="56">
        <f t="shared" ref="AC41:AC50" si="6">10^((AB41-25.057)/-3.237)</f>
        <v>86.082228643791382</v>
      </c>
      <c r="AD41" s="6"/>
      <c r="AE41" s="135"/>
      <c r="AF41" s="49" t="s">
        <v>35</v>
      </c>
      <c r="AG41" s="49">
        <f>AVERAGE(W10:W11)</f>
        <v>18.126086514692453</v>
      </c>
      <c r="AH41" s="56">
        <f t="shared" ref="AH41:AH50" si="7">10^((AG41-23.988)/-3.272)</f>
        <v>61.878296802606812</v>
      </c>
      <c r="AI41" s="56">
        <f>SUM(AG41*(LOG($Y$37)/LOG(2)))</f>
        <v>18.40267605241926</v>
      </c>
      <c r="AJ41" s="56">
        <f t="shared" ref="AJ41:AJ50" si="8">10^((AI41-23.988)/-3.272)</f>
        <v>50.933802088650005</v>
      </c>
      <c r="AK41" s="6"/>
      <c r="AL41" s="135" t="s">
        <v>21</v>
      </c>
      <c r="AM41" s="49" t="s">
        <v>35</v>
      </c>
      <c r="AN41" s="49">
        <f>AVERAGE(N13:N14)</f>
        <v>19.144650801996349</v>
      </c>
      <c r="AO41" s="56">
        <f t="shared" ref="AO41:AO50" si="9">10^((AN41- 26.725)/-3.4152)</f>
        <v>165.80269673521343</v>
      </c>
      <c r="AP41" s="49">
        <f>SUM(AN41*(LOG($AD$37)/LOG(2)))</f>
        <v>18.621794731189841</v>
      </c>
      <c r="AQ41" s="56">
        <f t="shared" ref="AQ41:AQ50" si="10">10^((AP41- 26.725)/-3.4152)</f>
        <v>235.87849853699808</v>
      </c>
      <c r="AR41" s="43"/>
      <c r="AS41" s="43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7"/>
      <c r="C42" s="133"/>
      <c r="D42" s="50" t="s">
        <v>36</v>
      </c>
      <c r="E42" s="50">
        <f>AVERAGE(I4:I5)</f>
        <v>18.7608550513227</v>
      </c>
      <c r="F42" s="57">
        <f t="shared" ref="F42:F50" si="11">10^((E42-27.742)/-3.2981)</f>
        <v>528.59972921467875</v>
      </c>
      <c r="G42" s="57">
        <f>SUM(E42*(LOG(E37)/LOG(2)))</f>
        <v>18.89639837454849</v>
      </c>
      <c r="H42" s="57">
        <f t="shared" si="0"/>
        <v>480.87205532587484</v>
      </c>
      <c r="I42" s="6"/>
      <c r="J42" s="135"/>
      <c r="K42" s="50" t="s">
        <v>36</v>
      </c>
      <c r="L42" s="50">
        <f>AVERAGE(X4:X5)</f>
        <v>14.9073947839462</v>
      </c>
      <c r="M42" s="57">
        <f t="shared" si="1"/>
        <v>5711.1606857073102</v>
      </c>
      <c r="N42" s="57">
        <f t="shared" ref="N42:N48" si="12">SUM(L42*(LOG($J$37)/LOG(2)))</f>
        <v>11.848333226712652</v>
      </c>
      <c r="O42" s="57">
        <f t="shared" si="2"/>
        <v>30805.433621989105</v>
      </c>
      <c r="P42" s="6"/>
      <c r="Q42" s="135"/>
      <c r="R42" s="50" t="s">
        <v>36</v>
      </c>
      <c r="S42" s="50">
        <f>AVERAGE(O7:O8)</f>
        <v>22.138688684078652</v>
      </c>
      <c r="T42" s="57">
        <f t="shared" si="3"/>
        <v>48247.531841053882</v>
      </c>
      <c r="U42" s="57">
        <f>SUM(S42*(LOG($O$37)/LOG(2)))</f>
        <v>47.829820449795669</v>
      </c>
      <c r="V42" s="57">
        <f t="shared" si="4"/>
        <v>9.438058000290531E-13</v>
      </c>
      <c r="W42" s="6"/>
      <c r="X42" s="135"/>
      <c r="Y42" s="50" t="s">
        <v>36</v>
      </c>
      <c r="Z42" s="50">
        <f>AVERAGE(I10:I11)</f>
        <v>19.210986091901752</v>
      </c>
      <c r="AA42" s="57">
        <f t="shared" si="5"/>
        <v>63.973115315574766</v>
      </c>
      <c r="AB42" s="57">
        <f t="shared" ref="AB42:AB50" si="13">SUM(Z42*(LOG($T$37)/LOG(2)))</f>
        <v>19.715018359338522</v>
      </c>
      <c r="AC42" s="57">
        <f t="shared" si="6"/>
        <v>44.697971051219881</v>
      </c>
      <c r="AD42" s="6"/>
      <c r="AE42" s="135"/>
      <c r="AF42" s="50" t="s">
        <v>36</v>
      </c>
      <c r="AG42" s="50">
        <f>AVERAGE(X10:X11)</f>
        <v>18.506711062015551</v>
      </c>
      <c r="AH42" s="57">
        <f t="shared" si="7"/>
        <v>47.338070882616435</v>
      </c>
      <c r="AI42" s="57">
        <f t="shared" ref="AI42:AI50" si="14">SUM(AG42*(LOG($Y$37)/LOG(2)))</f>
        <v>18.789108624960942</v>
      </c>
      <c r="AJ42" s="57">
        <f t="shared" si="8"/>
        <v>38.80638892803983</v>
      </c>
      <c r="AK42" s="6"/>
      <c r="AL42" s="135"/>
      <c r="AM42" s="50" t="s">
        <v>36</v>
      </c>
      <c r="AN42" s="50">
        <f>AVERAGE(O13:O14)</f>
        <v>19.144555556107751</v>
      </c>
      <c r="AO42" s="57">
        <f t="shared" si="9"/>
        <v>165.81334432520291</v>
      </c>
      <c r="AP42" s="50">
        <f t="shared" ref="AP42:AP50" si="15">SUM(AN42*(LOG($AD$37)/LOG(2)))</f>
        <v>18.621702086544357</v>
      </c>
      <c r="AQ42" s="57">
        <f t="shared" si="10"/>
        <v>235.89323257511271</v>
      </c>
      <c r="AR42" s="43"/>
      <c r="AS42" s="43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7"/>
      <c r="C43" s="133"/>
      <c r="D43" s="51" t="s">
        <v>37</v>
      </c>
      <c r="E43" s="51">
        <f>AVERAGE(J4:J5)</f>
        <v>18.614021204027047</v>
      </c>
      <c r="F43" s="58">
        <f t="shared" si="11"/>
        <v>585.66284750942202</v>
      </c>
      <c r="G43" s="58">
        <f>SUM(E43*(LOG(E37)/LOG(2)))</f>
        <v>18.748503682873942</v>
      </c>
      <c r="H43" s="58">
        <f t="shared" si="0"/>
        <v>533.17764422641176</v>
      </c>
      <c r="I43" s="6"/>
      <c r="J43" s="135"/>
      <c r="K43" s="51" t="s">
        <v>37</v>
      </c>
      <c r="L43" s="51">
        <f>AVERAGE(Y4:Y5)</f>
        <v>15.006344323931351</v>
      </c>
      <c r="M43" s="58">
        <f t="shared" si="1"/>
        <v>5408.1655220618995</v>
      </c>
      <c r="N43" s="58">
        <f t="shared" si="12"/>
        <v>11.926977895306024</v>
      </c>
      <c r="O43" s="58">
        <f t="shared" si="2"/>
        <v>29499.252533138555</v>
      </c>
      <c r="P43" s="6"/>
      <c r="Q43" s="135"/>
      <c r="R43" s="51" t="s">
        <v>37</v>
      </c>
      <c r="S43" s="51">
        <f>AVERAGE(P7:P8)</f>
        <v>22.072515493698802</v>
      </c>
      <c r="T43" s="58">
        <f t="shared" si="3"/>
        <v>53273.566900368292</v>
      </c>
      <c r="U43" s="58">
        <f t="shared" ref="U43:U50" si="16">SUM(S43*(LOG($O$37)/LOG(2)))</f>
        <v>47.686855712379462</v>
      </c>
      <c r="V43" s="58">
        <f t="shared" si="4"/>
        <v>1.1691272672182842E-12</v>
      </c>
      <c r="W43" s="6"/>
      <c r="X43" s="135"/>
      <c r="Y43" s="51" t="s">
        <v>37</v>
      </c>
      <c r="Z43" s="51">
        <f>AVERAGE(J10:J11)</f>
        <v>19.37857507920895</v>
      </c>
      <c r="AA43" s="58">
        <f t="shared" si="5"/>
        <v>56.783814884069841</v>
      </c>
      <c r="AB43" s="58">
        <f t="shared" si="13"/>
        <v>19.887004323295738</v>
      </c>
      <c r="AC43" s="58">
        <f t="shared" si="6"/>
        <v>39.550914216125804</v>
      </c>
      <c r="AD43" s="6"/>
      <c r="AE43" s="135"/>
      <c r="AF43" s="51" t="s">
        <v>37</v>
      </c>
      <c r="AG43" s="51">
        <f>AVERAGE(Y10:Y11)</f>
        <v>18.49742064317515</v>
      </c>
      <c r="AH43" s="58">
        <f t="shared" si="7"/>
        <v>47.648575956726724</v>
      </c>
      <c r="AI43" s="58">
        <f t="shared" si="14"/>
        <v>18.779676441782705</v>
      </c>
      <c r="AJ43" s="58">
        <f t="shared" si="8"/>
        <v>39.064829085897024</v>
      </c>
      <c r="AK43" s="6"/>
      <c r="AL43" s="135"/>
      <c r="AM43" s="51" t="s">
        <v>37</v>
      </c>
      <c r="AN43" s="51">
        <f>AVERAGE(P13:P14)</f>
        <v>19.184310989990898</v>
      </c>
      <c r="AO43" s="58">
        <f t="shared" si="9"/>
        <v>161.42795498101097</v>
      </c>
      <c r="AP43" s="51">
        <f t="shared" si="15"/>
        <v>18.660371767014272</v>
      </c>
      <c r="AQ43" s="58">
        <f t="shared" si="10"/>
        <v>229.8225642653683</v>
      </c>
      <c r="AR43" s="43"/>
      <c r="AS43" s="43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7"/>
      <c r="C44" s="133"/>
      <c r="D44" s="52" t="s">
        <v>38</v>
      </c>
      <c r="E44" s="52">
        <f>AVERAGE(K4:K5)</f>
        <v>19.9142236635236</v>
      </c>
      <c r="F44" s="59">
        <f t="shared" si="11"/>
        <v>236.27618491540392</v>
      </c>
      <c r="G44" s="59">
        <f>SUM(E44*(LOG(E37)/LOG(2)))</f>
        <v>20.058099838006669</v>
      </c>
      <c r="H44" s="59">
        <f t="shared" si="0"/>
        <v>213.69580278401534</v>
      </c>
      <c r="I44" s="6"/>
      <c r="J44" s="135"/>
      <c r="K44" s="52" t="s">
        <v>38</v>
      </c>
      <c r="L44" s="52">
        <f>AVERAGE(C7:C8)</f>
        <v>16.961591469228601</v>
      </c>
      <c r="M44" s="59">
        <f t="shared" si="1"/>
        <v>1841.8011251334472</v>
      </c>
      <c r="N44" s="59">
        <f t="shared" si="12"/>
        <v>13.480999912822353</v>
      </c>
      <c r="O44" s="59">
        <f t="shared" si="2"/>
        <v>12531.406828314146</v>
      </c>
      <c r="P44" s="6"/>
      <c r="Q44" s="135"/>
      <c r="R44" s="52" t="s">
        <v>38</v>
      </c>
      <c r="S44" s="52">
        <f>AVERAGE(Q7:Q8)</f>
        <v>23.607794900138202</v>
      </c>
      <c r="T44" s="59">
        <f t="shared" si="3"/>
        <v>5345.9021671552664</v>
      </c>
      <c r="U44" s="59">
        <f t="shared" si="16"/>
        <v>51.003770250460263</v>
      </c>
      <c r="V44" s="59">
        <f t="shared" si="4"/>
        <v>8.1406541870245582E-15</v>
      </c>
      <c r="W44" s="6"/>
      <c r="X44" s="135"/>
      <c r="Y44" s="52" t="s">
        <v>38</v>
      </c>
      <c r="Z44" s="52">
        <f>AVERAGE(K10:K11)</f>
        <v>18.592337517926403</v>
      </c>
      <c r="AA44" s="59">
        <f t="shared" si="5"/>
        <v>99.33799247547104</v>
      </c>
      <c r="AB44" s="59">
        <f t="shared" si="13"/>
        <v>19.080138508009913</v>
      </c>
      <c r="AC44" s="59">
        <f t="shared" si="6"/>
        <v>70.213396998254851</v>
      </c>
      <c r="AD44" s="6"/>
      <c r="AE44" s="135"/>
      <c r="AF44" s="52" t="s">
        <v>38</v>
      </c>
      <c r="AG44" s="52">
        <f>AVERAGE(C13:C14)</f>
        <v>18.250088860347802</v>
      </c>
      <c r="AH44" s="59">
        <f t="shared" si="7"/>
        <v>56.707476810176786</v>
      </c>
      <c r="AI44" s="59">
        <f t="shared" si="14"/>
        <v>18.528570574382719</v>
      </c>
      <c r="AJ44" s="59">
        <f t="shared" si="8"/>
        <v>46.615438680069367</v>
      </c>
      <c r="AK44" s="6"/>
      <c r="AL44" s="135"/>
      <c r="AM44" s="52" t="s">
        <v>38</v>
      </c>
      <c r="AN44" s="52">
        <f>AVERAGE(Q13:Q14)</f>
        <v>19.012051314851298</v>
      </c>
      <c r="AO44" s="59">
        <f t="shared" si="9"/>
        <v>181.30837388757962</v>
      </c>
      <c r="AP44" s="52">
        <f t="shared" si="15"/>
        <v>18.492816644484872</v>
      </c>
      <c r="AQ44" s="59">
        <f t="shared" si="10"/>
        <v>257.30856944804179</v>
      </c>
      <c r="AR44" s="43"/>
      <c r="AS44" s="43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7"/>
      <c r="C45" s="133"/>
      <c r="D45" s="52" t="s">
        <v>39</v>
      </c>
      <c r="E45" s="52">
        <f>AVERAGE(L4:L5)</f>
        <v>19.226203790092647</v>
      </c>
      <c r="F45" s="59">
        <f t="shared" si="11"/>
        <v>381.9714733944387</v>
      </c>
      <c r="G45" s="59">
        <f>SUM(E45*(LOG(E37)/LOG(2)))</f>
        <v>19.365109162347615</v>
      </c>
      <c r="H45" s="59">
        <f t="shared" si="0"/>
        <v>346.668310397933</v>
      </c>
      <c r="I45" s="6"/>
      <c r="J45" s="135"/>
      <c r="K45" s="52" t="s">
        <v>39</v>
      </c>
      <c r="L45" s="52">
        <f>AVERAGE(D7:D8)</f>
        <v>15.22639129380935</v>
      </c>
      <c r="M45" s="59">
        <f t="shared" si="1"/>
        <v>4790.7347002051765</v>
      </c>
      <c r="N45" s="59">
        <f t="shared" si="12"/>
        <v>12.101870280087477</v>
      </c>
      <c r="O45" s="59">
        <f t="shared" si="2"/>
        <v>26789.630530214527</v>
      </c>
      <c r="P45" s="6"/>
      <c r="Q45" s="135"/>
      <c r="R45" s="52" t="s">
        <v>39</v>
      </c>
      <c r="S45" s="52">
        <f>AVERAGE(R7:R8)</f>
        <v>22.475656347727249</v>
      </c>
      <c r="T45" s="59">
        <f t="shared" si="3"/>
        <v>29128.853752942854</v>
      </c>
      <c r="U45" s="59">
        <f t="shared" si="16"/>
        <v>48.55782666008627</v>
      </c>
      <c r="V45" s="59">
        <f t="shared" si="4"/>
        <v>3.1725864312866834E-13</v>
      </c>
      <c r="W45" s="6"/>
      <c r="X45" s="135"/>
      <c r="Y45" s="52" t="s">
        <v>39</v>
      </c>
      <c r="Z45" s="52">
        <f>AVERAGE(L10:L11)</f>
        <v>19.35491477694665</v>
      </c>
      <c r="AA45" s="59">
        <f t="shared" si="5"/>
        <v>57.747594274139843</v>
      </c>
      <c r="AB45" s="59">
        <f t="shared" si="13"/>
        <v>19.862723253534025</v>
      </c>
      <c r="AC45" s="59">
        <f t="shared" si="6"/>
        <v>40.239968254433251</v>
      </c>
      <c r="AD45" s="6"/>
      <c r="AE45" s="135"/>
      <c r="AF45" s="52" t="s">
        <v>39</v>
      </c>
      <c r="AG45" s="52">
        <f>AVERAGE(D13:D14)</f>
        <v>18.242376291359648</v>
      </c>
      <c r="AH45" s="59">
        <f t="shared" si="7"/>
        <v>57.016094547931182</v>
      </c>
      <c r="AI45" s="59">
        <f t="shared" si="14"/>
        <v>18.52074031777957</v>
      </c>
      <c r="AJ45" s="59">
        <f t="shared" si="8"/>
        <v>46.873014605139595</v>
      </c>
      <c r="AK45" s="6"/>
      <c r="AL45" s="135"/>
      <c r="AM45" s="52" t="s">
        <v>39</v>
      </c>
      <c r="AN45" s="52">
        <f>AVERAGE(R13:R14)</f>
        <v>19.436843774381352</v>
      </c>
      <c r="AO45" s="59">
        <f t="shared" si="9"/>
        <v>136.15543087090714</v>
      </c>
      <c r="AP45" s="52">
        <f t="shared" si="15"/>
        <v>18.906007674529729</v>
      </c>
      <c r="AQ45" s="59">
        <f t="shared" si="10"/>
        <v>194.74591418772184</v>
      </c>
      <c r="AR45" s="43"/>
      <c r="AS45" s="43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7"/>
      <c r="C46" s="133"/>
      <c r="D46" s="52" t="s">
        <v>40</v>
      </c>
      <c r="E46" s="52">
        <f>AVERAGE(M4:M5)</f>
        <v>19.005828342599301</v>
      </c>
      <c r="F46" s="59">
        <f t="shared" si="11"/>
        <v>445.50218666206518</v>
      </c>
      <c r="G46" s="59">
        <f>SUM(E46*(LOG(E37)/LOG(2)))</f>
        <v>19.143141547523467</v>
      </c>
      <c r="H46" s="59">
        <f t="shared" si="0"/>
        <v>404.77698090561324</v>
      </c>
      <c r="I46" s="6"/>
      <c r="J46" s="135"/>
      <c r="K46" s="52" t="s">
        <v>40</v>
      </c>
      <c r="L46" s="52">
        <f>AVERAGE(E7:E8)</f>
        <v>15.690437376116751</v>
      </c>
      <c r="M46" s="59">
        <f t="shared" si="1"/>
        <v>3710.0151886089743</v>
      </c>
      <c r="N46" s="59">
        <f t="shared" si="12"/>
        <v>12.470692109482483</v>
      </c>
      <c r="O46" s="59">
        <f t="shared" si="2"/>
        <v>21863.686543608925</v>
      </c>
      <c r="P46" s="6"/>
      <c r="Q46" s="135"/>
      <c r="R46" s="52" t="s">
        <v>40</v>
      </c>
      <c r="S46" s="52">
        <f>AVERAGE(S7:S8)</f>
        <v>22.354672059492998</v>
      </c>
      <c r="T46" s="59">
        <f t="shared" si="3"/>
        <v>34914.614027696305</v>
      </c>
      <c r="U46" s="59">
        <f t="shared" si="16"/>
        <v>48.296444567132767</v>
      </c>
      <c r="V46" s="59">
        <f t="shared" si="4"/>
        <v>4.6925295838683313E-13</v>
      </c>
      <c r="W46" s="6"/>
      <c r="X46" s="135"/>
      <c r="Y46" s="52" t="s">
        <v>40</v>
      </c>
      <c r="Z46" s="52">
        <f>AVERAGE(M10:M11)</f>
        <v>19.59061107331955</v>
      </c>
      <c r="AA46" s="59">
        <f t="shared" si="5"/>
        <v>48.833820938714446</v>
      </c>
      <c r="AB46" s="59">
        <f t="shared" si="13"/>
        <v>20.104603435425293</v>
      </c>
      <c r="AC46" s="59">
        <f t="shared" si="6"/>
        <v>33.879271547999103</v>
      </c>
      <c r="AD46" s="6"/>
      <c r="AE46" s="135"/>
      <c r="AF46" s="52" t="s">
        <v>40</v>
      </c>
      <c r="AG46" s="52">
        <f>AVERAGE(E13:E14)</f>
        <v>18.35347498467025</v>
      </c>
      <c r="AH46" s="59">
        <f t="shared" si="7"/>
        <v>52.728218413767131</v>
      </c>
      <c r="AI46" s="59">
        <f t="shared" si="14"/>
        <v>18.633534288016051</v>
      </c>
      <c r="AJ46" s="59">
        <f t="shared" si="8"/>
        <v>43.296261799424229</v>
      </c>
      <c r="AK46" s="6"/>
      <c r="AL46" s="135"/>
      <c r="AM46" s="52" t="s">
        <v>40</v>
      </c>
      <c r="AN46" s="52">
        <f>AVERAGE(S13:S14)</f>
        <v>19.339578990773649</v>
      </c>
      <c r="AO46" s="59">
        <f t="shared" si="9"/>
        <v>145.3834383966784</v>
      </c>
      <c r="AP46" s="52">
        <f t="shared" si="15"/>
        <v>18.811399271710108</v>
      </c>
      <c r="AQ46" s="59">
        <f t="shared" si="10"/>
        <v>207.57283205949662</v>
      </c>
      <c r="AR46" s="43"/>
      <c r="AS46" s="4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7"/>
      <c r="C47" s="133"/>
      <c r="D47" s="53" t="s">
        <v>41</v>
      </c>
      <c r="E47" s="53">
        <f>AVERAGE(N4:N5)</f>
        <v>20.45871388138535</v>
      </c>
      <c r="F47" s="60">
        <f t="shared" si="11"/>
        <v>161.55777414856371</v>
      </c>
      <c r="G47" s="60">
        <f>SUM(E47*(LOG(E37)/LOG(2)))</f>
        <v>20.606523885823986</v>
      </c>
      <c r="H47" s="60">
        <f t="shared" si="0"/>
        <v>145.71731056499206</v>
      </c>
      <c r="I47" s="6"/>
      <c r="J47" s="135"/>
      <c r="K47" s="53" t="s">
        <v>41</v>
      </c>
      <c r="L47" s="53">
        <f>AVERAGE(F7:F8)</f>
        <v>18.147365523788402</v>
      </c>
      <c r="M47" s="60">
        <f t="shared" si="1"/>
        <v>958.3796460222527</v>
      </c>
      <c r="N47" s="60">
        <f t="shared" si="12"/>
        <v>14.423448028917361</v>
      </c>
      <c r="O47" s="60">
        <f t="shared" si="2"/>
        <v>7456.1080885765132</v>
      </c>
      <c r="P47" s="6"/>
      <c r="Q47" s="135"/>
      <c r="R47" s="53" t="s">
        <v>41</v>
      </c>
      <c r="S47" s="53">
        <f>AVERAGE(T7:T8)</f>
        <v>23.981285157712747</v>
      </c>
      <c r="T47" s="60">
        <f t="shared" si="3"/>
        <v>3055.7393908697554</v>
      </c>
      <c r="U47" s="60">
        <f t="shared" si="16"/>
        <v>51.810682178012037</v>
      </c>
      <c r="V47" s="60">
        <f t="shared" si="4"/>
        <v>2.4314910369157978E-15</v>
      </c>
      <c r="W47" s="6"/>
      <c r="X47" s="135"/>
      <c r="Y47" s="53" t="s">
        <v>41</v>
      </c>
      <c r="Z47" s="53">
        <f>AVERAGE(N10:N11)</f>
        <v>20.211714268232647</v>
      </c>
      <c r="AA47" s="60">
        <f t="shared" si="5"/>
        <v>31.393846202131261</v>
      </c>
      <c r="AB47" s="60">
        <f t="shared" si="13"/>
        <v>20.742002308766697</v>
      </c>
      <c r="AC47" s="60">
        <f t="shared" si="6"/>
        <v>21.528991786494398</v>
      </c>
      <c r="AD47" s="6"/>
      <c r="AE47" s="135"/>
      <c r="AF47" s="53" t="s">
        <v>41</v>
      </c>
      <c r="AG47" s="53">
        <f>AVERAGE(F13:F14)</f>
        <v>19.087957127175351</v>
      </c>
      <c r="AH47" s="60">
        <f t="shared" si="7"/>
        <v>31.446195867599258</v>
      </c>
      <c r="AI47" s="60">
        <f t="shared" si="14"/>
        <v>19.379224038743665</v>
      </c>
      <c r="AJ47" s="60">
        <f t="shared" si="8"/>
        <v>25.618288397605582</v>
      </c>
      <c r="AK47" s="6"/>
      <c r="AL47" s="135"/>
      <c r="AM47" s="53" t="s">
        <v>41</v>
      </c>
      <c r="AN47" s="53">
        <f>AVERAGE(T13:T14)</f>
        <v>20.9306812209885</v>
      </c>
      <c r="AO47" s="60">
        <f t="shared" si="9"/>
        <v>49.730919268992253</v>
      </c>
      <c r="AP47" s="53">
        <f t="shared" si="15"/>
        <v>20.359047198738878</v>
      </c>
      <c r="AQ47" s="60">
        <f t="shared" si="10"/>
        <v>73.114894309610335</v>
      </c>
      <c r="AR47" s="43"/>
      <c r="AS47" s="43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7"/>
      <c r="C48" s="133"/>
      <c r="D48" s="54" t="s">
        <v>42</v>
      </c>
      <c r="E48" s="54">
        <f>AVERAGE(O4:O5)</f>
        <v>19.747731946626949</v>
      </c>
      <c r="F48" s="61">
        <f t="shared" si="11"/>
        <v>265.40008041129329</v>
      </c>
      <c r="G48" s="61">
        <f>SUM(E48*(LOG(E37)/LOG(2)))</f>
        <v>19.89040525266207</v>
      </c>
      <c r="H48" s="61">
        <f t="shared" si="0"/>
        <v>240.23805777426722</v>
      </c>
      <c r="I48" s="6"/>
      <c r="J48" s="135"/>
      <c r="K48" s="54" t="s">
        <v>42</v>
      </c>
      <c r="L48" s="54">
        <f>AVERAGE(G7:G8)</f>
        <v>16.494756266198202</v>
      </c>
      <c r="M48" s="61">
        <f t="shared" si="1"/>
        <v>2381.9710851659979</v>
      </c>
      <c r="N48" s="61">
        <f t="shared" si="12"/>
        <v>13.10996130227849</v>
      </c>
      <c r="O48" s="61">
        <f t="shared" si="2"/>
        <v>15373.527971814461</v>
      </c>
      <c r="P48" s="6"/>
      <c r="Q48" s="135"/>
      <c r="R48" s="54" t="s">
        <v>42</v>
      </c>
      <c r="S48" s="54">
        <f>AVERAGE(U7:U8)</f>
        <v>23.750306886999098</v>
      </c>
      <c r="T48" s="61">
        <f t="shared" si="3"/>
        <v>4318.5336879560782</v>
      </c>
      <c r="U48" s="61">
        <f t="shared" si="16"/>
        <v>51.311662142377166</v>
      </c>
      <c r="V48" s="61">
        <f t="shared" si="4"/>
        <v>5.1335458023370114E-15</v>
      </c>
      <c r="W48" s="6"/>
      <c r="X48" s="135"/>
      <c r="Y48" s="54" t="s">
        <v>42</v>
      </c>
      <c r="Z48" s="54">
        <f>AVERAGE(O10:O11)</f>
        <v>19.686201934812502</v>
      </c>
      <c r="AA48" s="61">
        <f t="shared" si="5"/>
        <v>45.623648314252925</v>
      </c>
      <c r="AB48" s="61">
        <f t="shared" si="13"/>
        <v>20.202702282631943</v>
      </c>
      <c r="AC48" s="61">
        <f t="shared" si="6"/>
        <v>31.595743625206183</v>
      </c>
      <c r="AD48" s="6"/>
      <c r="AE48" s="135"/>
      <c r="AF48" s="54" t="s">
        <v>42</v>
      </c>
      <c r="AG48" s="54">
        <f>AVERAGE(G13:G14)</f>
        <v>18.646111501323553</v>
      </c>
      <c r="AH48" s="61">
        <f t="shared" si="7"/>
        <v>42.914742340948273</v>
      </c>
      <c r="AI48" s="61">
        <f t="shared" si="14"/>
        <v>18.930636203132366</v>
      </c>
      <c r="AJ48" s="61">
        <f t="shared" si="8"/>
        <v>35.127648804318937</v>
      </c>
      <c r="AK48" s="6"/>
      <c r="AL48" s="135"/>
      <c r="AM48" s="54" t="s">
        <v>42</v>
      </c>
      <c r="AN48" s="54">
        <f>AVERAGE(U13:U14)</f>
        <v>20.0231668217669</v>
      </c>
      <c r="AO48" s="61">
        <f t="shared" si="9"/>
        <v>91.696873099301442</v>
      </c>
      <c r="AP48" s="54">
        <f t="shared" si="15"/>
        <v>19.476317759968364</v>
      </c>
      <c r="AQ48" s="61">
        <f t="shared" si="10"/>
        <v>132.57958205000946</v>
      </c>
      <c r="AR48" s="43"/>
      <c r="AS48" s="43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4"/>
      <c r="C49" s="134"/>
      <c r="D49" s="55" t="s">
        <v>43</v>
      </c>
      <c r="E49" s="55">
        <f>AVERAGE(P4:P5)</f>
        <v>24.858218319529449</v>
      </c>
      <c r="F49" s="62">
        <f t="shared" si="11"/>
        <v>7.4881867265135078</v>
      </c>
      <c r="G49" s="62">
        <f>SUM(E49*(LOG(E37)/LOG(2)))</f>
        <v>25.037813839631486</v>
      </c>
      <c r="H49" s="62">
        <f t="shared" si="0"/>
        <v>6.6057544830718626</v>
      </c>
      <c r="I49" s="6"/>
      <c r="J49" s="136"/>
      <c r="K49" s="55" t="s">
        <v>43</v>
      </c>
      <c r="L49" s="55">
        <f>AVERAGE(H7:H8)</f>
        <v>22.526680546338149</v>
      </c>
      <c r="M49" s="62">
        <f t="shared" si="1"/>
        <v>85.85276674049183</v>
      </c>
      <c r="N49" s="62">
        <f>SUM(L49*(LOG($J$37)/LOG(2)))</f>
        <v>17.90410876433948</v>
      </c>
      <c r="O49" s="62">
        <f t="shared" si="2"/>
        <v>1095.8182982179619</v>
      </c>
      <c r="P49" s="6"/>
      <c r="Q49" s="136"/>
      <c r="R49" s="55" t="s">
        <v>43</v>
      </c>
      <c r="S49" s="55">
        <f>AVERAGE(V7:V8)</f>
        <v>28.036383645042648</v>
      </c>
      <c r="T49" s="62">
        <f t="shared" si="3"/>
        <v>7.0440983820821508</v>
      </c>
      <c r="U49" s="62">
        <f t="shared" si="16"/>
        <v>60.571572912010758</v>
      </c>
      <c r="V49" s="62">
        <f t="shared" si="4"/>
        <v>4.8764406719296461E-21</v>
      </c>
      <c r="W49" s="6"/>
      <c r="X49" s="136"/>
      <c r="Y49" s="55" t="s">
        <v>43</v>
      </c>
      <c r="Z49" s="55">
        <f>AVERAGE(P10:P11)</f>
        <v>22.209561325356901</v>
      </c>
      <c r="AA49" s="62">
        <f t="shared" si="5"/>
        <v>7.5797274765413807</v>
      </c>
      <c r="AB49" s="62">
        <f t="shared" si="13"/>
        <v>22.792266216196136</v>
      </c>
      <c r="AC49" s="62">
        <f t="shared" si="6"/>
        <v>5.0077163707904813</v>
      </c>
      <c r="AD49" s="6"/>
      <c r="AE49" s="136"/>
      <c r="AF49" s="55" t="s">
        <v>43</v>
      </c>
      <c r="AG49" s="55">
        <f>AVERAGE(H13:H14)</f>
        <v>24.092766736563899</v>
      </c>
      <c r="AH49" s="62">
        <f t="shared" si="7"/>
        <v>0.92892537453566193</v>
      </c>
      <c r="AI49" s="62">
        <f t="shared" si="14"/>
        <v>24.460403027432562</v>
      </c>
      <c r="AJ49" s="62">
        <f t="shared" si="8"/>
        <v>0.71717071398896426</v>
      </c>
      <c r="AK49" s="6"/>
      <c r="AL49" s="136"/>
      <c r="AM49" s="55" t="s">
        <v>43</v>
      </c>
      <c r="AN49" s="55">
        <f>AVERAGE(V13:V14)</f>
        <v>22.985060816936198</v>
      </c>
      <c r="AO49" s="62">
        <f t="shared" si="9"/>
        <v>12.447623164444396</v>
      </c>
      <c r="AP49" s="55">
        <f t="shared" si="15"/>
        <v>22.357320007752111</v>
      </c>
      <c r="AQ49" s="62">
        <f t="shared" si="10"/>
        <v>19.006158748565841</v>
      </c>
      <c r="AR49" s="43"/>
      <c r="AS49" s="43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29" t="s">
        <v>34</v>
      </c>
      <c r="D50" s="130"/>
      <c r="E50" s="64">
        <f>AVERAGE(Q4:Q5)</f>
        <v>37.822880229716347</v>
      </c>
      <c r="F50" s="63">
        <f t="shared" si="11"/>
        <v>8.7786546569335955E-4</v>
      </c>
      <c r="G50" s="63">
        <f>SUM(E50*(LOG(E37)/LOG(2)))</f>
        <v>38.096142768458968</v>
      </c>
      <c r="H50" s="63">
        <f t="shared" si="0"/>
        <v>7.2539311738004997E-4</v>
      </c>
      <c r="I50" s="6"/>
      <c r="J50" s="129" t="s">
        <v>34</v>
      </c>
      <c r="K50" s="130"/>
      <c r="L50" s="64">
        <f>AVERAGE(Z4:Z5)</f>
        <v>35.178411896276153</v>
      </c>
      <c r="M50" s="63">
        <f t="shared" si="1"/>
        <v>8.0674195007279709E-2</v>
      </c>
      <c r="N50" s="63">
        <f>SUM(L50*(LOG($J$37)/LOG(2)))</f>
        <v>27.959650399980756</v>
      </c>
      <c r="O50" s="63">
        <f t="shared" si="2"/>
        <v>4.3040405250040292</v>
      </c>
      <c r="P50" s="6"/>
      <c r="Q50" s="129" t="s">
        <v>34</v>
      </c>
      <c r="R50" s="130"/>
      <c r="S50" s="64">
        <f>AVERAGE(W7:W8)</f>
        <v>33.363114994491696</v>
      </c>
      <c r="T50" s="63">
        <f t="shared" si="3"/>
        <v>2.4182991275448957E-3</v>
      </c>
      <c r="U50" s="63">
        <f t="shared" si="16"/>
        <v>72.079779548100817</v>
      </c>
      <c r="V50" s="63">
        <f t="shared" si="4"/>
        <v>1.5980019208739097E-28</v>
      </c>
      <c r="W50" s="6"/>
      <c r="X50" s="129" t="s">
        <v>34</v>
      </c>
      <c r="Y50" s="130"/>
      <c r="Z50" s="64" t="e">
        <f>AVERAGE(Q10:Q11)</f>
        <v>#DIV/0!</v>
      </c>
      <c r="AA50" s="63" t="e">
        <f t="shared" si="5"/>
        <v>#DIV/0!</v>
      </c>
      <c r="AB50" s="63" t="e">
        <f t="shared" si="13"/>
        <v>#DIV/0!</v>
      </c>
      <c r="AC50" s="63" t="e">
        <f t="shared" si="6"/>
        <v>#DIV/0!</v>
      </c>
      <c r="AD50" s="6"/>
      <c r="AE50" s="131" t="s">
        <v>34</v>
      </c>
      <c r="AF50" s="132"/>
      <c r="AG50" s="64">
        <f>AVERAGE(Z10:Z11)</f>
        <v>38.195859937262099</v>
      </c>
      <c r="AH50" s="63">
        <f t="shared" si="7"/>
        <v>4.5472048341920495E-5</v>
      </c>
      <c r="AI50" s="63">
        <f t="shared" si="14"/>
        <v>38.778698115517614</v>
      </c>
      <c r="AJ50" s="63">
        <f t="shared" si="8"/>
        <v>3.01727914066069E-5</v>
      </c>
      <c r="AK50" s="6"/>
      <c r="AL50" s="131" t="s">
        <v>34</v>
      </c>
      <c r="AM50" s="132"/>
      <c r="AN50" s="64">
        <f>AVERAGE(W13:W14)</f>
        <v>37.531145563637352</v>
      </c>
      <c r="AO50" s="63">
        <f t="shared" si="9"/>
        <v>6.8527900567968655E-4</v>
      </c>
      <c r="AP50" s="64">
        <f t="shared" si="15"/>
        <v>36.506139283542431</v>
      </c>
      <c r="AQ50" s="63">
        <f t="shared" si="10"/>
        <v>1.3677228468381233E-3</v>
      </c>
      <c r="AR50" s="43"/>
      <c r="AS50" s="43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38" t="s">
        <v>73</v>
      </c>
      <c r="D51" s="139"/>
      <c r="E51" s="87">
        <f>AVERAGE(E41:E49)</f>
        <v>20.071834523788453</v>
      </c>
      <c r="F51" s="87">
        <f>AVERAGE(F41:F49)</f>
        <v>313.97383673538747</v>
      </c>
      <c r="G51" s="87">
        <f>AVERAGE(G41:G49)</f>
        <v>20.216849404354928</v>
      </c>
      <c r="H51" s="87">
        <f>AVERAGE(H41:H49)</f>
        <v>284.94781188398883</v>
      </c>
      <c r="I51" s="6"/>
      <c r="J51" s="138" t="s">
        <v>73</v>
      </c>
      <c r="K51" s="139"/>
      <c r="L51" s="87">
        <f>AVERAGE(L41:L49)</f>
        <v>16.878971751609207</v>
      </c>
      <c r="M51" s="87">
        <f>AVERAGE(M41:M49)</f>
        <v>2971.3223738455235</v>
      </c>
      <c r="N51" s="87">
        <f>AVERAGE(N41:N49)</f>
        <v>13.415334116776911</v>
      </c>
      <c r="O51" s="87">
        <f>AVERAGE(O41:O49)</f>
        <v>17556.80286621322</v>
      </c>
      <c r="P51" s="6"/>
      <c r="Q51" s="138" t="s">
        <v>73</v>
      </c>
      <c r="R51" s="139"/>
      <c r="S51" s="87">
        <f>AVERAGE(S41:S49)</f>
        <v>23.559413776136385</v>
      </c>
      <c r="T51" s="87">
        <f>AVERAGE(T41:T49)</f>
        <v>20395.686633832778</v>
      </c>
      <c r="U51" s="87">
        <f>AVERAGE(U41:U49)</f>
        <v>50.899244616300621</v>
      </c>
      <c r="V51" s="87">
        <f>AVERAGE(V41:V49)</f>
        <v>3.2478237791629231E-13</v>
      </c>
      <c r="W51" s="6"/>
      <c r="X51" s="138" t="s">
        <v>73</v>
      </c>
      <c r="Y51" s="139"/>
      <c r="Z51" s="87">
        <f>AVERAGE(Z41:Z49)</f>
        <v>19.616456612665147</v>
      </c>
      <c r="AA51" s="87">
        <f>AVERAGE(AA41:AA49)</f>
        <v>59.158888119706162</v>
      </c>
      <c r="AB51" s="87">
        <f>AVERAGE(AB41:AB49)</f>
        <v>20.131127075610543</v>
      </c>
      <c r="AC51" s="87">
        <f>AVERAGE(AC41:AC49)</f>
        <v>41.421800277146147</v>
      </c>
      <c r="AD51" s="6"/>
      <c r="AE51" s="138" t="s">
        <v>73</v>
      </c>
      <c r="AF51" s="139"/>
      <c r="AG51" s="87">
        <f>AVERAGE(AG41:AG49)</f>
        <v>19.089221524591515</v>
      </c>
      <c r="AH51" s="87">
        <f>AVERAGE(AH41:AH49)</f>
        <v>44.289621888545369</v>
      </c>
      <c r="AI51" s="87">
        <f>AVERAGE(AI41:AI49)</f>
        <v>19.380507729849981</v>
      </c>
      <c r="AJ51" s="87">
        <f>AVERAGE(AJ41:AJ49)</f>
        <v>36.339204789237066</v>
      </c>
      <c r="AK51" s="6"/>
      <c r="AL51" s="138" t="s">
        <v>73</v>
      </c>
      <c r="AM51" s="139"/>
      <c r="AN51" s="87">
        <f>AVERAGE(AN41:AN49)</f>
        <v>19.911211143088096</v>
      </c>
      <c r="AO51" s="87">
        <f>AVERAGE(AO41:AO49)</f>
        <v>123.30740608103673</v>
      </c>
      <c r="AP51" s="87">
        <f>AVERAGE(AP41:AP49)</f>
        <v>19.36741968243695</v>
      </c>
      <c r="AQ51" s="87">
        <f>AVERAGE(AQ41:AQ49)</f>
        <v>176.2135829089917</v>
      </c>
      <c r="AR51" s="43"/>
      <c r="AS51" s="43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38" t="s">
        <v>74</v>
      </c>
      <c r="D52" s="139"/>
      <c r="E52" s="87">
        <f>(E53/SQRT(9))</f>
        <v>0.59715891307298452</v>
      </c>
      <c r="F52" s="87">
        <f>(F53/SQRT(9))</f>
        <v>58.531095687907623</v>
      </c>
      <c r="G52" s="87">
        <f>(G53/SQRT(9))</f>
        <v>0.60147326353038033</v>
      </c>
      <c r="H52" s="87">
        <f>(H53/SQRT(9))</f>
        <v>53.356853041597269</v>
      </c>
      <c r="I52" s="6"/>
      <c r="J52" s="138" t="s">
        <v>74</v>
      </c>
      <c r="K52" s="139"/>
      <c r="L52" s="87">
        <f>(L53/SQRT(9))</f>
        <v>0.74703020830753541</v>
      </c>
      <c r="M52" s="87">
        <f>(M53/SQRT(9))</f>
        <v>633.92451334196824</v>
      </c>
      <c r="N52" s="87">
        <f>(N53/SQRT(9))</f>
        <v>0.59373639503932674</v>
      </c>
      <c r="O52" s="87">
        <f>(O53/SQRT(9))</f>
        <v>3238.5753553455961</v>
      </c>
      <c r="P52" s="6"/>
      <c r="Q52" s="138" t="s">
        <v>74</v>
      </c>
      <c r="R52" s="139"/>
      <c r="S52" s="87">
        <f>(S53/SQRT(9))</f>
        <v>0.57861733293299744</v>
      </c>
      <c r="T52" s="87">
        <f>(T53/SQRT(9))</f>
        <v>6642.4503332220447</v>
      </c>
      <c r="U52" s="87">
        <f>(U53/SQRT(9))</f>
        <v>1.2500814089873302</v>
      </c>
      <c r="V52" s="87">
        <f>(V53/SQRT(9))</f>
        <v>1.4182617633602356E-13</v>
      </c>
      <c r="W52" s="6"/>
      <c r="X52" s="138" t="s">
        <v>74</v>
      </c>
      <c r="Y52" s="139"/>
      <c r="Z52" s="87">
        <f>(Z53/SQRT(9))</f>
        <v>0.35347887530520472</v>
      </c>
      <c r="AA52" s="87">
        <f>(AA53/SQRT(9))</f>
        <v>10.663183819870037</v>
      </c>
      <c r="AB52" s="87">
        <f>(AB53/SQRT(9))</f>
        <v>0.36275298326399325</v>
      </c>
      <c r="AC52" s="87">
        <f>(AC53/SQRT(9))</f>
        <v>7.6289657612637738</v>
      </c>
      <c r="AD52" s="6"/>
      <c r="AE52" s="138" t="s">
        <v>74</v>
      </c>
      <c r="AF52" s="139"/>
      <c r="AG52" s="87">
        <f>(AG53/SQRT(9))</f>
        <v>0.59640488771664324</v>
      </c>
      <c r="AH52" s="87">
        <f>(AH53/SQRT(9))</f>
        <v>5.8418531701198306</v>
      </c>
      <c r="AI52" s="87">
        <f>(AI53/SQRT(9))</f>
        <v>0.60550554780992072</v>
      </c>
      <c r="AJ52" s="87">
        <f>(AJ53/SQRT(9))</f>
        <v>4.813581990617414</v>
      </c>
      <c r="AK52" s="6"/>
      <c r="AL52" s="138" t="s">
        <v>74</v>
      </c>
      <c r="AM52" s="139"/>
      <c r="AN52" s="87">
        <f>(AN53/SQRT(9))</f>
        <v>0.40922149250338608</v>
      </c>
      <c r="AO52" s="87">
        <f>(AO53/SQRT(9))</f>
        <v>18.52090332164903</v>
      </c>
      <c r="AP52" s="87">
        <f>(AP53/SQRT(9))</f>
        <v>0.39804531886236116</v>
      </c>
      <c r="AQ52" s="87">
        <f>(AQ53/SQRT(9))</f>
        <v>26.092469020854153</v>
      </c>
      <c r="AR52" s="43"/>
      <c r="AS52" s="43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38" t="s">
        <v>75</v>
      </c>
      <c r="D53" s="139"/>
      <c r="E53" s="87">
        <f>_xlfn.STDEV.P(E41:E49)</f>
        <v>1.7914767392189535</v>
      </c>
      <c r="F53" s="87">
        <f>_xlfn.STDEV.P(F41:F49)</f>
        <v>175.59328706372287</v>
      </c>
      <c r="G53" s="87">
        <f>_xlfn.STDEV.P(G41:G49)</f>
        <v>1.804419790591141</v>
      </c>
      <c r="H53" s="87">
        <f>_xlfn.STDEV.P(H41:H49)</f>
        <v>160.0705591247918</v>
      </c>
      <c r="I53" s="6"/>
      <c r="J53" s="138" t="s">
        <v>75</v>
      </c>
      <c r="K53" s="139"/>
      <c r="L53" s="87">
        <f>_xlfn.STDEV.P(L41:L49)</f>
        <v>2.2410906249226064</v>
      </c>
      <c r="M53" s="87">
        <f>_xlfn.STDEV.P(M41:M49)</f>
        <v>1901.7735400259046</v>
      </c>
      <c r="N53" s="87">
        <f>_xlfn.STDEV.P(N41:N49)</f>
        <v>1.7812091851179803</v>
      </c>
      <c r="O53" s="87">
        <f>_xlfn.STDEV.P(O41:O49)</f>
        <v>9715.7260660367883</v>
      </c>
      <c r="P53" s="6"/>
      <c r="Q53" s="138" t="s">
        <v>75</v>
      </c>
      <c r="R53" s="139"/>
      <c r="S53" s="87">
        <f>_xlfn.STDEV.P(S41:S49)</f>
        <v>1.7358519987989924</v>
      </c>
      <c r="T53" s="87">
        <f>_xlfn.STDEV.P(T41:T49)</f>
        <v>19927.350999666134</v>
      </c>
      <c r="U53" s="87">
        <f>_xlfn.STDEV.P(U41:U49)</f>
        <v>3.7502442269619909</v>
      </c>
      <c r="V53" s="87">
        <f>_xlfn.STDEV.P(V41:V49)</f>
        <v>4.2547852900807072E-13</v>
      </c>
      <c r="W53" s="6"/>
      <c r="X53" s="138" t="s">
        <v>75</v>
      </c>
      <c r="Y53" s="139"/>
      <c r="Z53" s="87">
        <f>_xlfn.STDEV.P(Z41:Z49)</f>
        <v>1.0604366259156142</v>
      </c>
      <c r="AA53" s="87">
        <f>_xlfn.STDEV.P(AA41:AA49)</f>
        <v>31.989551459610109</v>
      </c>
      <c r="AB53" s="87">
        <f>_xlfn.STDEV.P(AB41:AB49)</f>
        <v>1.0882589497919797</v>
      </c>
      <c r="AC53" s="87">
        <f>_xlfn.STDEV.P(AC41:AC49)</f>
        <v>22.88689728379132</v>
      </c>
      <c r="AD53" s="6"/>
      <c r="AE53" s="138" t="s">
        <v>75</v>
      </c>
      <c r="AF53" s="139"/>
      <c r="AG53" s="87">
        <f>_xlfn.STDEV.P(AG41:AG49)</f>
        <v>1.7892146631499297</v>
      </c>
      <c r="AH53" s="87">
        <f>_xlfn.STDEV.P(AH41:AH49)</f>
        <v>17.525559510359493</v>
      </c>
      <c r="AI53" s="87">
        <f>_xlfn.STDEV.P(AI41:AI49)</f>
        <v>1.8165166434297622</v>
      </c>
      <c r="AJ53" s="87">
        <f>_xlfn.STDEV.P(AJ41:AJ49)</f>
        <v>14.440745971852243</v>
      </c>
      <c r="AK53" s="6"/>
      <c r="AL53" s="138" t="s">
        <v>75</v>
      </c>
      <c r="AM53" s="139"/>
      <c r="AN53" s="87">
        <f>_xlfn.STDEV.P(AN41:AN49)</f>
        <v>1.2276644775101582</v>
      </c>
      <c r="AO53" s="87">
        <f>_xlfn.STDEV.P(AO41:AO49)</f>
        <v>55.562709964947089</v>
      </c>
      <c r="AP53" s="87">
        <f>_xlfn.STDEV.P(AP41:AP49)</f>
        <v>1.1941359565870835</v>
      </c>
      <c r="AQ53" s="87">
        <f>_xlfn.STDEV.P(AQ41:AQ49)</f>
        <v>78.27740706256246</v>
      </c>
      <c r="AR53" s="43"/>
      <c r="AS53" s="43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38" t="s">
        <v>76</v>
      </c>
      <c r="D54" s="139"/>
      <c r="E54" s="87">
        <f>SUM(E53/E51)</f>
        <v>8.9253263676310021E-2</v>
      </c>
      <c r="F54" s="87">
        <f>SUM(F53/F51)</f>
        <v>0.5592608890265921</v>
      </c>
      <c r="G54" s="87">
        <f>SUM(G53/G51)</f>
        <v>8.9253263676309993E-2</v>
      </c>
      <c r="H54" s="87">
        <f>SUM(H53/H51)</f>
        <v>0.56175395089526614</v>
      </c>
      <c r="I54" s="6"/>
      <c r="J54" s="138" t="s">
        <v>76</v>
      </c>
      <c r="K54" s="139"/>
      <c r="L54" s="87">
        <f>SUM(L53/L51)</f>
        <v>0.13277412024277754</v>
      </c>
      <c r="M54" s="87">
        <f>SUM(M53/M51)</f>
        <v>0.64004281621068426</v>
      </c>
      <c r="N54" s="87">
        <f>SUM(N53/N51)</f>
        <v>0.13277412024277804</v>
      </c>
      <c r="O54" s="87">
        <f>SUM(O53/O51)</f>
        <v>0.55338811628021356</v>
      </c>
      <c r="P54" s="6"/>
      <c r="Q54" s="138" t="s">
        <v>76</v>
      </c>
      <c r="R54" s="139"/>
      <c r="S54" s="87">
        <f>SUM(S53/S51)</f>
        <v>7.3679761953892836E-2</v>
      </c>
      <c r="T54" s="87">
        <f>SUM(T53/T51)</f>
        <v>0.97703751569757114</v>
      </c>
      <c r="U54" s="87">
        <f>SUM(U53/U51)</f>
        <v>7.3679761953892836E-2</v>
      </c>
      <c r="V54" s="87">
        <f>SUM(V53/V51)</f>
        <v>1.310041917107126</v>
      </c>
      <c r="W54" s="6"/>
      <c r="X54" s="138" t="s">
        <v>76</v>
      </c>
      <c r="Y54" s="139"/>
      <c r="Z54" s="87">
        <f>SUM(Z53/Z51)</f>
        <v>5.4058520703018052E-2</v>
      </c>
      <c r="AA54" s="87">
        <f>SUM(AA53/AA51)</f>
        <v>0.54073956553882907</v>
      </c>
      <c r="AB54" s="87">
        <f>SUM(AB53/AB51)</f>
        <v>5.4058520703018045E-2</v>
      </c>
      <c r="AC54" s="87">
        <f>SUM(AC53/AC51)</f>
        <v>0.55253265504297311</v>
      </c>
      <c r="AD54" s="6"/>
      <c r="AE54" s="138" t="s">
        <v>76</v>
      </c>
      <c r="AF54" s="139"/>
      <c r="AG54" s="87">
        <f>SUM(AG53/AG51)</f>
        <v>9.3729053374177168E-2</v>
      </c>
      <c r="AH54" s="87">
        <f>SUM(AH53/AH51)</f>
        <v>0.39570352518390162</v>
      </c>
      <c r="AI54" s="87">
        <f>SUM(AI53/AI51)</f>
        <v>9.3729053374177168E-2</v>
      </c>
      <c r="AJ54" s="87">
        <f>SUM(AJ53/AJ51)</f>
        <v>0.39738750629263353</v>
      </c>
      <c r="AK54" s="6"/>
      <c r="AL54" s="138" t="s">
        <v>76</v>
      </c>
      <c r="AM54" s="139"/>
      <c r="AN54" s="87">
        <f>SUM(AN53/AN51)</f>
        <v>6.1656946364928938E-2</v>
      </c>
      <c r="AO54" s="87">
        <f>SUM(AO53/AO51)</f>
        <v>0.45060318541152083</v>
      </c>
      <c r="AP54" s="87">
        <f>SUM(AP53/AP51)</f>
        <v>6.1656946364928911E-2</v>
      </c>
      <c r="AQ54" s="87">
        <f>SUM(AQ53/AQ51)</f>
        <v>0.44421891757907261</v>
      </c>
      <c r="AR54" s="43"/>
      <c r="AS54" s="43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12" t="s">
        <v>48</v>
      </c>
      <c r="D56" s="112"/>
      <c r="E56" s="112"/>
      <c r="F56" s="6"/>
      <c r="G56" s="6"/>
      <c r="H56" s="112" t="s">
        <v>23</v>
      </c>
      <c r="I56" s="112"/>
      <c r="J56" s="112"/>
      <c r="K56" s="6"/>
      <c r="L56" s="6"/>
      <c r="M56" s="112" t="s">
        <v>27</v>
      </c>
      <c r="N56" s="112"/>
      <c r="O56" s="112"/>
      <c r="P56" s="6"/>
      <c r="Q56" s="6"/>
      <c r="R56" s="112" t="s">
        <v>24</v>
      </c>
      <c r="S56" s="112"/>
      <c r="T56" s="112"/>
      <c r="U56" s="6"/>
      <c r="V56" s="6"/>
      <c r="W56" s="112"/>
      <c r="X56" s="112"/>
      <c r="Y56" s="112"/>
      <c r="Z56" s="6"/>
      <c r="AA56" s="6"/>
      <c r="AB56" s="112" t="s">
        <v>25</v>
      </c>
      <c r="AC56" s="112"/>
      <c r="AD56" s="112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18" t="s">
        <v>47</v>
      </c>
      <c r="D57" s="119"/>
      <c r="E57" s="120"/>
      <c r="F57" s="6"/>
      <c r="G57" s="6"/>
      <c r="H57" s="121" t="s">
        <v>47</v>
      </c>
      <c r="I57" s="122"/>
      <c r="J57" s="123"/>
      <c r="K57" s="6"/>
      <c r="L57" s="6"/>
      <c r="M57" s="121" t="s">
        <v>47</v>
      </c>
      <c r="N57" s="122"/>
      <c r="O57" s="123"/>
      <c r="P57" s="6"/>
      <c r="Q57" s="6"/>
      <c r="R57" s="121" t="s">
        <v>47</v>
      </c>
      <c r="S57" s="124"/>
      <c r="T57" s="125"/>
      <c r="U57" s="6"/>
      <c r="V57" s="6"/>
      <c r="W57" s="121"/>
      <c r="X57" s="122"/>
      <c r="Y57" s="123"/>
      <c r="Z57" s="6"/>
      <c r="AA57" s="6"/>
      <c r="AB57" s="121" t="s">
        <v>47</v>
      </c>
      <c r="AC57" s="122"/>
      <c r="AD57" s="123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5" t="s">
        <v>33</v>
      </c>
      <c r="D58" s="36" t="s">
        <v>45</v>
      </c>
      <c r="E58" s="71" t="s">
        <v>44</v>
      </c>
      <c r="F58" s="6"/>
      <c r="G58" s="6"/>
      <c r="H58" s="35" t="s">
        <v>33</v>
      </c>
      <c r="I58" s="36" t="s">
        <v>45</v>
      </c>
      <c r="J58" s="71" t="s">
        <v>44</v>
      </c>
      <c r="K58" s="6"/>
      <c r="L58" s="6"/>
      <c r="M58" s="35" t="s">
        <v>33</v>
      </c>
      <c r="N58" s="36" t="s">
        <v>45</v>
      </c>
      <c r="O58" s="71" t="s">
        <v>44</v>
      </c>
      <c r="P58" s="6"/>
      <c r="Q58" s="6"/>
      <c r="R58" s="35" t="s">
        <v>33</v>
      </c>
      <c r="S58" s="36" t="s">
        <v>45</v>
      </c>
      <c r="T58" s="71" t="s">
        <v>44</v>
      </c>
      <c r="U58" s="6"/>
      <c r="V58" s="6"/>
      <c r="W58" s="35"/>
      <c r="X58" s="36"/>
      <c r="Y58" s="71"/>
      <c r="Z58" s="6"/>
      <c r="AA58" s="6"/>
      <c r="AB58" s="35" t="s">
        <v>33</v>
      </c>
      <c r="AC58" s="36" t="s">
        <v>45</v>
      </c>
      <c r="AD58" s="71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5">
        <v>3.2000000000000001E-2</v>
      </c>
      <c r="D59" s="66">
        <f>LOG(C59)</f>
        <v>-1.494850021680094</v>
      </c>
      <c r="E59" s="67">
        <f>AVERAGE(C16:C17)</f>
        <v>30.628644802647401</v>
      </c>
      <c r="F59" s="6"/>
      <c r="G59" s="6"/>
      <c r="H59" s="65">
        <v>3.2000000000000001E-2</v>
      </c>
      <c r="I59" s="66">
        <f>LOG(H59)</f>
        <v>-1.494850021680094</v>
      </c>
      <c r="J59" s="67">
        <f>AVERAGE(R16:R17)</f>
        <v>33.014561969269096</v>
      </c>
      <c r="K59" s="6"/>
      <c r="L59" s="6"/>
      <c r="M59" s="65">
        <v>3.2000000000000001E-2</v>
      </c>
      <c r="N59" s="66">
        <f>LOG(M59)</f>
        <v>-1.494850021680094</v>
      </c>
      <c r="O59" s="67">
        <f>AVERAGE(I19:I20)</f>
        <v>31.028634890992748</v>
      </c>
      <c r="P59" s="6"/>
      <c r="Q59" s="6"/>
      <c r="R59" s="65">
        <v>3.2000000000000001E-2</v>
      </c>
      <c r="S59" s="66">
        <f>LOG(R59)</f>
        <v>-1.494850021680094</v>
      </c>
      <c r="T59" s="67">
        <f>AVERAGE(C22:C23)</f>
        <v>30.436257135925551</v>
      </c>
      <c r="U59" s="6"/>
      <c r="V59" s="6"/>
      <c r="W59" s="65"/>
      <c r="X59" s="66"/>
      <c r="Y59" s="67"/>
      <c r="Z59" s="6"/>
      <c r="AA59" s="6"/>
      <c r="AB59" s="65">
        <v>3.2000000000000001E-2</v>
      </c>
      <c r="AC59" s="66">
        <f>LOG(AB59)</f>
        <v>-1.494850021680094</v>
      </c>
      <c r="AD59" s="67">
        <f>AVERAGE(I25:I26)</f>
        <v>33.525357059222998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5">
        <v>0.16</v>
      </c>
      <c r="D60" s="66">
        <f>LOG(C60)</f>
        <v>-0.79588001734407521</v>
      </c>
      <c r="E60" s="67">
        <f>AVERAGE(D16:D17)</f>
        <v>30.232141974612802</v>
      </c>
      <c r="F60" s="6"/>
      <c r="G60" s="6"/>
      <c r="H60" s="65">
        <v>0.16</v>
      </c>
      <c r="I60" s="66">
        <f>LOG(H60)</f>
        <v>-0.79588001734407521</v>
      </c>
      <c r="J60" s="67">
        <f>AVERAGE(S16:S17)</f>
        <v>32.248171518306002</v>
      </c>
      <c r="K60" s="6"/>
      <c r="L60" s="6"/>
      <c r="M60" s="65">
        <v>0.16</v>
      </c>
      <c r="N60" s="66">
        <f>LOG(M60)</f>
        <v>-0.79588001734407521</v>
      </c>
      <c r="O60" s="67">
        <f>AVERAGE(J19:J20)</f>
        <v>28.677710410007499</v>
      </c>
      <c r="P60" s="6"/>
      <c r="Q60" s="6"/>
      <c r="R60" s="65">
        <v>0.16</v>
      </c>
      <c r="S60" s="66">
        <f>LOG(R60)</f>
        <v>-0.79588001734407521</v>
      </c>
      <c r="T60" s="67">
        <f>AVERAGE(D22:D23)</f>
        <v>28.274136014150002</v>
      </c>
      <c r="U60" s="6"/>
      <c r="V60" s="6"/>
      <c r="W60" s="65"/>
      <c r="X60" s="66"/>
      <c r="Y60" s="67"/>
      <c r="Z60" s="6"/>
      <c r="AA60" s="6"/>
      <c r="AB60" s="65">
        <v>0.16</v>
      </c>
      <c r="AC60" s="66">
        <f>LOG(AB60)</f>
        <v>-0.79588001734407521</v>
      </c>
      <c r="AD60" s="67">
        <f>AVERAGE(J25:J26)</f>
        <v>33.60575823725155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5">
        <v>0.8</v>
      </c>
      <c r="D61" s="66">
        <f>LOG(C61)</f>
        <v>-9.6910013008056392E-2</v>
      </c>
      <c r="E61" s="67">
        <f>AVERAGE(E16:E17)</f>
        <v>29.2675088084547</v>
      </c>
      <c r="F61" s="6"/>
      <c r="G61" s="6"/>
      <c r="H61" s="65">
        <v>0.8</v>
      </c>
      <c r="I61" s="66">
        <f>LOG(H61)</f>
        <v>-9.6910013008056392E-2</v>
      </c>
      <c r="J61" s="67">
        <f>AVERAGE(T16:T17)</f>
        <v>30.375758260759198</v>
      </c>
      <c r="K61" s="6"/>
      <c r="L61" s="6"/>
      <c r="M61" s="65">
        <v>0.8</v>
      </c>
      <c r="N61" s="66">
        <f>LOG(M61)</f>
        <v>-9.6910013008056392E-2</v>
      </c>
      <c r="O61" s="67">
        <f>AVERAGE(K19:K20)</f>
        <v>26.8735111399814</v>
      </c>
      <c r="P61" s="6"/>
      <c r="Q61" s="6"/>
      <c r="R61" s="65">
        <v>0.8</v>
      </c>
      <c r="S61" s="66">
        <f>LOG(R61)</f>
        <v>-9.6910013008056392E-2</v>
      </c>
      <c r="T61" s="67">
        <f>AVERAGE(E22:E23)</f>
        <v>26.017650719730749</v>
      </c>
      <c r="U61" s="6"/>
      <c r="V61" s="6"/>
      <c r="W61" s="65"/>
      <c r="X61" s="66"/>
      <c r="Y61" s="67"/>
      <c r="Z61" s="6"/>
      <c r="AA61" s="6"/>
      <c r="AB61" s="65">
        <v>0.8</v>
      </c>
      <c r="AC61" s="66">
        <f>LOG(AB61)</f>
        <v>-9.6910013008056392E-2</v>
      </c>
      <c r="AD61" s="67">
        <f>AVERAGE(K25:K26)</f>
        <v>33.040403095228598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5">
        <v>4</v>
      </c>
      <c r="D62" s="66">
        <f>LOG(C62)</f>
        <v>0.6020599913279624</v>
      </c>
      <c r="E62" s="67">
        <f>AVERAGE(F16:F17)</f>
        <v>27.686809265068248</v>
      </c>
      <c r="F62" s="6"/>
      <c r="G62" s="6"/>
      <c r="H62" s="65">
        <v>4</v>
      </c>
      <c r="I62" s="66">
        <f>LOG(H62)</f>
        <v>0.6020599913279624</v>
      </c>
      <c r="J62" s="67">
        <f>AVERAGE(U16:U17)</f>
        <v>28.132143346928849</v>
      </c>
      <c r="L62" s="6"/>
      <c r="M62" s="65">
        <v>4</v>
      </c>
      <c r="N62" s="66">
        <f>LOG(M62)</f>
        <v>0.6020599913279624</v>
      </c>
      <c r="O62" s="67">
        <f>AVERAGE(L19:L20)</f>
        <v>24.465103486640302</v>
      </c>
      <c r="P62" s="6"/>
      <c r="Q62" s="6"/>
      <c r="R62" s="65">
        <v>4</v>
      </c>
      <c r="S62" s="66">
        <f>LOG(R62)</f>
        <v>0.6020599913279624</v>
      </c>
      <c r="T62" s="67">
        <f>AVERAGE(F22:F23)</f>
        <v>23.685149933413499</v>
      </c>
      <c r="U62" s="6"/>
      <c r="V62" s="6"/>
      <c r="W62" s="65"/>
      <c r="X62" s="66"/>
      <c r="Y62" s="67"/>
      <c r="AA62" s="6"/>
      <c r="AB62" s="65">
        <v>4</v>
      </c>
      <c r="AC62" s="66">
        <f>LOG(AB62)</f>
        <v>0.6020599913279624</v>
      </c>
      <c r="AD62" s="67">
        <f>AVERAGE(L25:L26)</f>
        <v>32.274445158888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8">
        <v>20</v>
      </c>
      <c r="D63" s="69">
        <f>LOG(C63)</f>
        <v>1.3010299956639813</v>
      </c>
      <c r="E63" s="70">
        <f>AVERAGE(G16:G17)</f>
        <v>25.090275720964598</v>
      </c>
      <c r="F63" s="6"/>
      <c r="G63" s="6"/>
      <c r="H63" s="68">
        <v>20</v>
      </c>
      <c r="I63" s="69">
        <f>LOG(H63)</f>
        <v>1.3010299956639813</v>
      </c>
      <c r="J63" s="70">
        <f>AVERAGE(V16:V17)</f>
        <v>26.045103505011802</v>
      </c>
      <c r="K63" s="6"/>
      <c r="L63" s="6"/>
      <c r="M63" s="68">
        <v>20</v>
      </c>
      <c r="N63" s="69">
        <f>LOG(M63)</f>
        <v>1.3010299956639813</v>
      </c>
      <c r="O63" s="70">
        <f>AVERAGE(M19:M20)</f>
        <v>22.011993134832402</v>
      </c>
      <c r="P63" s="6"/>
      <c r="Q63" s="6"/>
      <c r="R63" s="68">
        <v>20</v>
      </c>
      <c r="S63" s="69">
        <f>LOG(R63)</f>
        <v>1.3010299956639813</v>
      </c>
      <c r="T63" s="70">
        <f>AVERAGE(G22:G23)</f>
        <v>21.047771424949097</v>
      </c>
      <c r="U63" s="6"/>
      <c r="V63" s="6"/>
      <c r="W63" s="68"/>
      <c r="X63" s="69"/>
      <c r="Y63" s="70"/>
      <c r="Z63" s="6"/>
      <c r="AA63" s="6"/>
      <c r="AB63" s="68">
        <v>20</v>
      </c>
      <c r="AC63" s="69">
        <f>LOG(AB63)</f>
        <v>1.3010299956639813</v>
      </c>
      <c r="AD63" s="70">
        <f>AVERAGE(M25:M26)</f>
        <v>31.241304439548749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16" t="s">
        <v>46</v>
      </c>
      <c r="D64" s="117"/>
      <c r="E64" s="37">
        <f>(10^(-1/-1.9489)-1)*100</f>
        <v>225.91921037465954</v>
      </c>
      <c r="F64" s="6"/>
      <c r="G64" s="6"/>
      <c r="H64" s="116" t="s">
        <v>46</v>
      </c>
      <c r="I64" s="117"/>
      <c r="J64" s="37">
        <f>(10^(-1/-2.5831)-1)*100</f>
        <v>143.85504275445683</v>
      </c>
      <c r="K64" s="6"/>
      <c r="L64" s="6"/>
      <c r="M64" s="116" t="s">
        <v>46</v>
      </c>
      <c r="N64" s="117"/>
      <c r="O64" s="37">
        <f>(10^(-1/-3.1827)-1)*100</f>
        <v>106.15726139015851</v>
      </c>
      <c r="P64" s="6"/>
      <c r="Q64" s="6"/>
      <c r="R64" s="116" t="s">
        <v>46</v>
      </c>
      <c r="S64" s="117"/>
      <c r="T64" s="37">
        <f>(10^(-1/-3.3429)-1)*100</f>
        <v>99.132187239297949</v>
      </c>
      <c r="U64" s="6"/>
      <c r="V64" s="6"/>
      <c r="W64" s="116"/>
      <c r="X64" s="117"/>
      <c r="Y64" s="37"/>
      <c r="Z64" s="6"/>
      <c r="AA64" s="6"/>
      <c r="AB64" s="150" t="s">
        <v>46</v>
      </c>
      <c r="AC64" s="151"/>
      <c r="AD64" s="37">
        <f>(10^(-1/-0.844)-1)*100</f>
        <v>1430.5027815424048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16" t="s">
        <v>50</v>
      </c>
      <c r="D65" s="117"/>
      <c r="E65" s="37">
        <f>SUM(E64/100)+1</f>
        <v>3.2591921037465954</v>
      </c>
      <c r="F65" s="6"/>
      <c r="G65" s="6"/>
      <c r="H65" s="116" t="s">
        <v>50</v>
      </c>
      <c r="I65" s="117"/>
      <c r="J65" s="37">
        <f>SUM(J64/100)+1</f>
        <v>2.4385504275445684</v>
      </c>
      <c r="K65" s="6"/>
      <c r="L65" s="6"/>
      <c r="M65" s="116" t="s">
        <v>50</v>
      </c>
      <c r="N65" s="117"/>
      <c r="O65" s="37">
        <f>SUM(O64/100)+1</f>
        <v>2.0615726139015851</v>
      </c>
      <c r="P65" s="6"/>
      <c r="Q65" s="6"/>
      <c r="R65" s="116" t="s">
        <v>50</v>
      </c>
      <c r="S65" s="117"/>
      <c r="T65" s="37">
        <f>SUM(T64/100)+1</f>
        <v>1.9913218723929795</v>
      </c>
      <c r="U65" s="6"/>
      <c r="V65" s="6"/>
      <c r="W65" s="116"/>
      <c r="X65" s="117"/>
      <c r="Y65" s="37"/>
      <c r="Z65" s="6"/>
      <c r="AA65" s="6"/>
      <c r="AB65" s="116" t="s">
        <v>50</v>
      </c>
      <c r="AC65" s="117"/>
      <c r="AD65" s="37">
        <f>SUM(AD64/100)+1</f>
        <v>15.305027815424047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5"/>
      <c r="D66" s="45"/>
      <c r="E66" s="45"/>
      <c r="F66" s="6"/>
      <c r="G66" s="6"/>
      <c r="H66" s="45"/>
      <c r="I66" s="45"/>
      <c r="J66" s="45"/>
      <c r="K66" s="6"/>
      <c r="L66" s="6"/>
      <c r="M66" s="45"/>
      <c r="N66" s="45"/>
      <c r="O66" s="45"/>
      <c r="P66" s="6"/>
      <c r="Q66" s="6"/>
      <c r="R66" s="45"/>
      <c r="S66" s="45"/>
      <c r="T66" s="45"/>
      <c r="U66" s="6"/>
      <c r="V66" s="6"/>
      <c r="W66" s="45"/>
      <c r="X66" s="45"/>
      <c r="Y66" s="45"/>
      <c r="Z66" s="6"/>
      <c r="AA66" s="6"/>
      <c r="AB66" s="45"/>
      <c r="AC66" s="45"/>
      <c r="AD66" s="45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26" t="s">
        <v>99</v>
      </c>
      <c r="D67" s="127"/>
      <c r="E67" s="127"/>
      <c r="F67" s="127"/>
      <c r="G67" s="127"/>
      <c r="H67" s="128"/>
      <c r="I67" s="6"/>
      <c r="J67" s="126" t="s">
        <v>100</v>
      </c>
      <c r="K67" s="127"/>
      <c r="L67" s="127"/>
      <c r="M67" s="127"/>
      <c r="N67" s="127"/>
      <c r="O67" s="128"/>
      <c r="P67" s="6"/>
      <c r="Q67" s="126" t="s">
        <v>101</v>
      </c>
      <c r="R67" s="127"/>
      <c r="S67" s="127"/>
      <c r="T67" s="127"/>
      <c r="U67" s="127"/>
      <c r="V67" s="128"/>
      <c r="W67" s="6"/>
      <c r="X67" s="126" t="s">
        <v>102</v>
      </c>
      <c r="Y67" s="127"/>
      <c r="Z67" s="127"/>
      <c r="AA67" s="127"/>
      <c r="AB67" s="127"/>
      <c r="AC67" s="128"/>
      <c r="AD67" s="6"/>
      <c r="AE67" s="126"/>
      <c r="AF67" s="127"/>
      <c r="AG67" s="127"/>
      <c r="AH67" s="127"/>
      <c r="AI67" s="127"/>
      <c r="AJ67" s="128"/>
      <c r="AK67" s="6"/>
      <c r="AL67" s="126" t="s">
        <v>103</v>
      </c>
      <c r="AM67" s="127"/>
      <c r="AN67" s="127"/>
      <c r="AO67" s="127"/>
      <c r="AP67" s="127"/>
      <c r="AQ67" s="128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37" t="s">
        <v>48</v>
      </c>
      <c r="D68" s="83" t="s">
        <v>51</v>
      </c>
      <c r="E68" s="83" t="s">
        <v>53</v>
      </c>
      <c r="F68" s="83" t="s">
        <v>55</v>
      </c>
      <c r="G68" s="84" t="s">
        <v>57</v>
      </c>
      <c r="H68" s="82" t="s">
        <v>59</v>
      </c>
      <c r="I68" s="6"/>
      <c r="J68" s="137" t="s">
        <v>23</v>
      </c>
      <c r="K68" s="83" t="s">
        <v>51</v>
      </c>
      <c r="L68" s="83" t="s">
        <v>53</v>
      </c>
      <c r="M68" s="83" t="s">
        <v>55</v>
      </c>
      <c r="N68" s="84" t="s">
        <v>57</v>
      </c>
      <c r="O68" s="82" t="s">
        <v>59</v>
      </c>
      <c r="P68" s="6"/>
      <c r="Q68" s="137" t="s">
        <v>27</v>
      </c>
      <c r="R68" s="83" t="s">
        <v>51</v>
      </c>
      <c r="S68" s="83" t="s">
        <v>53</v>
      </c>
      <c r="T68" s="83" t="s">
        <v>55</v>
      </c>
      <c r="U68" s="84" t="s">
        <v>57</v>
      </c>
      <c r="V68" s="82" t="s">
        <v>59</v>
      </c>
      <c r="W68" s="6"/>
      <c r="X68" s="137" t="s">
        <v>24</v>
      </c>
      <c r="Y68" s="83" t="s">
        <v>51</v>
      </c>
      <c r="Z68" s="83" t="s">
        <v>53</v>
      </c>
      <c r="AA68" s="83" t="s">
        <v>55</v>
      </c>
      <c r="AB68" s="84" t="s">
        <v>57</v>
      </c>
      <c r="AC68" s="82" t="s">
        <v>59</v>
      </c>
      <c r="AD68" s="6"/>
      <c r="AE68" s="137"/>
      <c r="AF68" s="83"/>
      <c r="AG68" s="83"/>
      <c r="AH68" s="83"/>
      <c r="AI68" s="84"/>
      <c r="AJ68" s="82"/>
      <c r="AK68" s="6"/>
      <c r="AL68" s="137" t="s">
        <v>25</v>
      </c>
      <c r="AM68" s="83" t="s">
        <v>51</v>
      </c>
      <c r="AN68" s="83" t="s">
        <v>53</v>
      </c>
      <c r="AO68" s="83" t="s">
        <v>55</v>
      </c>
      <c r="AP68" s="84" t="s">
        <v>57</v>
      </c>
      <c r="AQ68" s="82" t="s">
        <v>59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35"/>
      <c r="D69" s="49" t="s">
        <v>35</v>
      </c>
      <c r="E69" s="49">
        <f>AVERAGE(H16:H17)</f>
        <v>21.821721523948749</v>
      </c>
      <c r="F69" s="56">
        <f t="shared" ref="F69:F78" si="17">10^((E69- 28.392)/-1.9489)</f>
        <v>2351.1228511029467</v>
      </c>
      <c r="G69" s="57">
        <f>SUM(E69*(LOG(E65)/LOG(2)))</f>
        <v>37.195438354565965</v>
      </c>
      <c r="H69" s="56">
        <f t="shared" ref="H69:H78" si="18">10^((G69- 28.392)/-1.9489)</f>
        <v>3.0399616349498865E-5</v>
      </c>
      <c r="I69" s="6"/>
      <c r="J69" s="135"/>
      <c r="K69" s="49" t="s">
        <v>35</v>
      </c>
      <c r="L69" s="49">
        <f>AVERAGE(W16:W17)</f>
        <v>22.8175265025287</v>
      </c>
      <c r="M69" s="56">
        <f t="shared" ref="M69:M78" si="19">10^((L69-29.713)/-2.5831)</f>
        <v>467.15032962202525</v>
      </c>
      <c r="N69" s="57">
        <f>SUM(L69*(LOG($J$65)/LOG(2)))</f>
        <v>29.343882290498655</v>
      </c>
      <c r="O69" s="56">
        <f t="shared" ref="O69:O78" si="20">10^((N69-29.713)/-2.5831)</f>
        <v>1.3896236011391694</v>
      </c>
      <c r="P69" s="6"/>
      <c r="Q69" s="135"/>
      <c r="R69" s="49" t="s">
        <v>35</v>
      </c>
      <c r="S69" s="49">
        <f>AVERAGE(N19:N20)</f>
        <v>19.7670166508174</v>
      </c>
      <c r="T69" s="56">
        <f t="shared" ref="T69:T78" si="21">10^((S69-26.303)/-3.1827)</f>
        <v>113.13501941085487</v>
      </c>
      <c r="U69" s="57">
        <f>SUM(S69*(LOG($O$65)/LOG(2)))</f>
        <v>20.631730280722852</v>
      </c>
      <c r="V69" s="56">
        <f t="shared" ref="V69:V78" si="22">10^((U69-26.303)/-3.1827)</f>
        <v>60.520876948130471</v>
      </c>
      <c r="W69" s="6"/>
      <c r="X69" s="135"/>
      <c r="Y69" s="49" t="s">
        <v>35</v>
      </c>
      <c r="Z69" s="49">
        <f>AVERAGE(H22:H23)</f>
        <v>19.429045943829998</v>
      </c>
      <c r="AA69" s="56">
        <f t="shared" ref="AA69:AA78" si="23">10^((Z69-25.568)/-3.3429)</f>
        <v>68.614468533943651</v>
      </c>
      <c r="AB69" s="57">
        <f>SUM(Z69*(LOG($T$65)/LOG(2)))</f>
        <v>19.307156534047156</v>
      </c>
      <c r="AC69" s="56">
        <f t="shared" ref="AC69:AC78" si="24">10^((AB69-25.568)/-3.3429)</f>
        <v>74.623889319169706</v>
      </c>
      <c r="AD69" s="6"/>
      <c r="AE69" s="135"/>
      <c r="AF69" s="49"/>
      <c r="AG69" s="49"/>
      <c r="AH69" s="56"/>
      <c r="AI69" s="57"/>
      <c r="AJ69" s="56"/>
      <c r="AK69" s="6"/>
      <c r="AL69" s="135"/>
      <c r="AM69" s="49" t="s">
        <v>35</v>
      </c>
      <c r="AN69" s="49">
        <f>AVERAGE(N25:N26)</f>
        <v>27.040612308691699</v>
      </c>
      <c r="AO69" s="56">
        <f t="shared" ref="AO69:AO78" si="25">10^((AN69-32.656)/-0.844)</f>
        <v>4500937.1830562251</v>
      </c>
      <c r="AP69" s="57">
        <f>SUM(AN69*(LOG($AD$65)/LOG(2)))</f>
        <v>106.43005892322273</v>
      </c>
      <c r="AQ69" s="56">
        <f t="shared" ref="AQ69:AQ78" si="26">10^((AP69-32.656)/-0.844)</f>
        <v>3.8902506067424522E-88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35"/>
      <c r="D70" s="50" t="s">
        <v>36</v>
      </c>
      <c r="E70" s="50">
        <f>AVERAGE(I16:I17)</f>
        <v>20.084559918984151</v>
      </c>
      <c r="F70" s="57">
        <f t="shared" si="17"/>
        <v>18307.550602987038</v>
      </c>
      <c r="G70" s="57">
        <f>SUM(E70*(LOG(E65)/LOG(2)))</f>
        <v>34.234421400955462</v>
      </c>
      <c r="H70" s="57">
        <f t="shared" si="18"/>
        <v>1.005067874846517E-3</v>
      </c>
      <c r="I70" s="6"/>
      <c r="J70" s="135"/>
      <c r="K70" s="50" t="s">
        <v>36</v>
      </c>
      <c r="L70" s="50">
        <f>AVERAGE(X16:X17)</f>
        <v>21.602033858309348</v>
      </c>
      <c r="M70" s="57">
        <f t="shared" si="19"/>
        <v>1380.4238148687962</v>
      </c>
      <c r="N70" s="57">
        <f t="shared" ref="N70:N78" si="27">SUM(L70*(LOG($J$65)/LOG(2)))</f>
        <v>27.780729813257665</v>
      </c>
      <c r="O70" s="57">
        <f t="shared" si="20"/>
        <v>5.5981318290163635</v>
      </c>
      <c r="P70" s="6"/>
      <c r="Q70" s="135"/>
      <c r="R70" s="50" t="s">
        <v>36</v>
      </c>
      <c r="S70" s="50">
        <f>AVERAGE(O19:O20)</f>
        <v>18.254633804518249</v>
      </c>
      <c r="T70" s="57">
        <f t="shared" si="21"/>
        <v>337.8980486068649</v>
      </c>
      <c r="U70" s="57">
        <f t="shared" ref="U70:U78" si="28">SUM(S70*(LOG($O$65)/LOG(2)))</f>
        <v>19.053187827036716</v>
      </c>
      <c r="V70" s="57">
        <f t="shared" si="22"/>
        <v>189.61867116368728</v>
      </c>
      <c r="W70" s="6"/>
      <c r="X70" s="135"/>
      <c r="Y70" s="50" t="s">
        <v>36</v>
      </c>
      <c r="Z70" s="50">
        <f>AVERAGE(I22:I23)</f>
        <v>18.90830961694455</v>
      </c>
      <c r="AA70" s="57">
        <f t="shared" si="23"/>
        <v>98.217648229085285</v>
      </c>
      <c r="AB70" s="57">
        <f t="shared" ref="AB70:AB78" si="29">SUM(Z70*(LOG($T$65)/LOG(2)))</f>
        <v>18.789687081084391</v>
      </c>
      <c r="AC70" s="57">
        <f t="shared" si="24"/>
        <v>106.57968933612047</v>
      </c>
      <c r="AD70" s="6"/>
      <c r="AE70" s="135"/>
      <c r="AF70" s="50"/>
      <c r="AG70" s="50"/>
      <c r="AH70" s="57"/>
      <c r="AI70" s="57"/>
      <c r="AJ70" s="57"/>
      <c r="AK70" s="6"/>
      <c r="AL70" s="135"/>
      <c r="AM70" s="50" t="s">
        <v>36</v>
      </c>
      <c r="AN70" s="50">
        <f>AVERAGE(O25:O26)</f>
        <v>21.833385989956653</v>
      </c>
      <c r="AO70" s="57">
        <f t="shared" si="25"/>
        <v>6652768044119.6484</v>
      </c>
      <c r="AP70" s="57">
        <f t="shared" ref="AP70:AP78" si="30">SUM(AN70*(LOG($AD$65)/LOG(2)))</f>
        <v>85.934761050423162</v>
      </c>
      <c r="AQ70" s="57">
        <f t="shared" si="26"/>
        <v>7.4731872542450585E-64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35"/>
      <c r="D71" s="51" t="s">
        <v>37</v>
      </c>
      <c r="E71" s="51">
        <f>AVERAGE(J16:J17)</f>
        <v>20.098610346646801</v>
      </c>
      <c r="F71" s="58">
        <f t="shared" si="17"/>
        <v>18006.148554915686</v>
      </c>
      <c r="G71" s="58">
        <f>SUM(E71*(LOG(E65)/LOG(2)))</f>
        <v>34.258370557093656</v>
      </c>
      <c r="H71" s="58">
        <f t="shared" si="18"/>
        <v>9.7702762023273073E-4</v>
      </c>
      <c r="I71" s="6"/>
      <c r="J71" s="135"/>
      <c r="K71" s="51" t="s">
        <v>37</v>
      </c>
      <c r="L71" s="51">
        <f>AVERAGE(Y16:Y17)</f>
        <v>21.438021661577501</v>
      </c>
      <c r="M71" s="58">
        <f t="shared" si="19"/>
        <v>1597.7424364641402</v>
      </c>
      <c r="N71" s="58">
        <f t="shared" si="27"/>
        <v>27.569806223684008</v>
      </c>
      <c r="O71" s="58">
        <f t="shared" si="20"/>
        <v>6.7561352923183913</v>
      </c>
      <c r="P71" s="6"/>
      <c r="Q71" s="135"/>
      <c r="R71" s="51" t="s">
        <v>37</v>
      </c>
      <c r="S71" s="51">
        <f>AVERAGE(P19:P20)</f>
        <v>18.284424906045452</v>
      </c>
      <c r="T71" s="58">
        <f t="shared" si="21"/>
        <v>330.69327275513308</v>
      </c>
      <c r="U71" s="58">
        <f t="shared" si="28"/>
        <v>19.084282148569017</v>
      </c>
      <c r="V71" s="58">
        <f t="shared" si="22"/>
        <v>185.40067258447559</v>
      </c>
      <c r="W71" s="6"/>
      <c r="X71" s="135"/>
      <c r="Y71" s="51" t="s">
        <v>37</v>
      </c>
      <c r="Z71" s="51">
        <f>AVERAGE(J22:J23)</f>
        <v>18.804714021595199</v>
      </c>
      <c r="AA71" s="58">
        <f t="shared" si="23"/>
        <v>105.4822218344451</v>
      </c>
      <c r="AB71" s="58">
        <f t="shared" si="29"/>
        <v>18.686741399581027</v>
      </c>
      <c r="AC71" s="58">
        <f t="shared" si="24"/>
        <v>114.41152434009695</v>
      </c>
      <c r="AD71" s="6"/>
      <c r="AE71" s="135"/>
      <c r="AF71" s="51"/>
      <c r="AG71" s="51"/>
      <c r="AH71" s="58"/>
      <c r="AI71" s="58"/>
      <c r="AJ71" s="58"/>
      <c r="AK71" s="6"/>
      <c r="AL71" s="135"/>
      <c r="AM71" s="51" t="s">
        <v>37</v>
      </c>
      <c r="AN71" s="51">
        <f>AVERAGE(P25:P26)</f>
        <v>22.002128301533251</v>
      </c>
      <c r="AO71" s="58">
        <f t="shared" si="25"/>
        <v>4198273549680.4771</v>
      </c>
      <c r="AP71" s="58">
        <f t="shared" si="30"/>
        <v>86.598919611587291</v>
      </c>
      <c r="AQ71" s="58">
        <f t="shared" si="26"/>
        <v>1.2206415188034354E-64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35"/>
      <c r="D72" s="52" t="s">
        <v>38</v>
      </c>
      <c r="E72" s="52">
        <f>AVERAGE(K16:K17)</f>
        <v>21.997823436740802</v>
      </c>
      <c r="F72" s="59">
        <f t="shared" si="17"/>
        <v>1909.4824765668623</v>
      </c>
      <c r="G72" s="59">
        <f>SUM(E72*(LOG(E65)/LOG(2)))</f>
        <v>37.495606599046098</v>
      </c>
      <c r="H72" s="59">
        <f t="shared" si="18"/>
        <v>2.1323023570657784E-5</v>
      </c>
      <c r="I72" s="6"/>
      <c r="J72" s="135"/>
      <c r="K72" s="52" t="s">
        <v>38</v>
      </c>
      <c r="L72" s="52">
        <f>AVERAGE(C19:C20)</f>
        <v>22.69511968455075</v>
      </c>
      <c r="M72" s="59">
        <f t="shared" si="19"/>
        <v>521.00779880506389</v>
      </c>
      <c r="N72" s="59">
        <f t="shared" si="27"/>
        <v>29.186464208486068</v>
      </c>
      <c r="O72" s="59">
        <f t="shared" si="20"/>
        <v>1.5989641168302946</v>
      </c>
      <c r="P72" s="6"/>
      <c r="Q72" s="135"/>
      <c r="R72" s="52" t="s">
        <v>38</v>
      </c>
      <c r="S72" s="52">
        <f>AVERAGE(Q19:Q20)</f>
        <v>19.2664428607875</v>
      </c>
      <c r="T72" s="59">
        <f t="shared" si="21"/>
        <v>162.50871563552144</v>
      </c>
      <c r="U72" s="59">
        <f t="shared" si="28"/>
        <v>20.10925875130928</v>
      </c>
      <c r="V72" s="59">
        <f t="shared" si="22"/>
        <v>88.321218980456436</v>
      </c>
      <c r="W72" s="6"/>
      <c r="X72" s="135"/>
      <c r="Y72" s="52" t="s">
        <v>38</v>
      </c>
      <c r="Z72" s="52">
        <f>AVERAGE(K22:K23)</f>
        <v>17.700283029100397</v>
      </c>
      <c r="AA72" s="59">
        <f t="shared" si="23"/>
        <v>225.71497490324907</v>
      </c>
      <c r="AB72" s="59">
        <f t="shared" si="29"/>
        <v>17.589239128249904</v>
      </c>
      <c r="AC72" s="59">
        <f t="shared" si="24"/>
        <v>243.65661589161778</v>
      </c>
      <c r="AD72" s="6"/>
      <c r="AE72" s="135"/>
      <c r="AF72" s="52"/>
      <c r="AG72" s="52"/>
      <c r="AH72" s="59"/>
      <c r="AI72" s="59"/>
      <c r="AJ72" s="59"/>
      <c r="AK72" s="6"/>
      <c r="AL72" s="135"/>
      <c r="AM72" s="52" t="s">
        <v>38</v>
      </c>
      <c r="AN72" s="52">
        <f>AVERAGE(Q25:Q26)</f>
        <v>25.81710823808455</v>
      </c>
      <c r="AO72" s="59">
        <f t="shared" si="25"/>
        <v>126751271.47387427</v>
      </c>
      <c r="AP72" s="59">
        <f t="shared" si="30"/>
        <v>101.61442794412447</v>
      </c>
      <c r="AQ72" s="59">
        <f t="shared" si="26"/>
        <v>1.9756112383712808E-82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35"/>
      <c r="D73" s="52" t="s">
        <v>39</v>
      </c>
      <c r="E73" s="52">
        <f>AVERAGE(L16:L17)</f>
        <v>20.802788754570997</v>
      </c>
      <c r="F73" s="59">
        <f t="shared" si="17"/>
        <v>7836.0982844934433</v>
      </c>
      <c r="G73" s="59">
        <f>SUM(E73*(LOG(E65)/LOG(2)))</f>
        <v>35.458652786605917</v>
      </c>
      <c r="H73" s="59">
        <f t="shared" si="18"/>
        <v>2.3660835443149492E-4</v>
      </c>
      <c r="I73" s="6"/>
      <c r="J73" s="135"/>
      <c r="K73" s="52" t="s">
        <v>39</v>
      </c>
      <c r="L73" s="52">
        <f>AVERAGE(D19:D20)</f>
        <v>21.6313710491841</v>
      </c>
      <c r="M73" s="59">
        <f t="shared" si="19"/>
        <v>1344.7919021999746</v>
      </c>
      <c r="N73" s="59">
        <f t="shared" si="27"/>
        <v>27.818458139142034</v>
      </c>
      <c r="O73" s="59">
        <f t="shared" si="20"/>
        <v>5.412990798792638</v>
      </c>
      <c r="P73" s="6"/>
      <c r="Q73" s="135"/>
      <c r="R73" s="52" t="s">
        <v>39</v>
      </c>
      <c r="S73" s="52">
        <f>AVERAGE(R19:R20)</f>
        <v>18.585572906153601</v>
      </c>
      <c r="T73" s="59">
        <f t="shared" si="21"/>
        <v>265.95310754893762</v>
      </c>
      <c r="U73" s="59">
        <f t="shared" si="28"/>
        <v>19.398603951528266</v>
      </c>
      <c r="V73" s="59">
        <f t="shared" si="22"/>
        <v>147.69024925379739</v>
      </c>
      <c r="W73" s="6"/>
      <c r="X73" s="135"/>
      <c r="Y73" s="52" t="s">
        <v>39</v>
      </c>
      <c r="Z73" s="52">
        <f>AVERAGE(L22:L23)</f>
        <v>17.248872272820101</v>
      </c>
      <c r="AA73" s="59">
        <f t="shared" si="23"/>
        <v>308.0321502492215</v>
      </c>
      <c r="AB73" s="59">
        <f t="shared" si="29"/>
        <v>17.140660327322006</v>
      </c>
      <c r="AC73" s="59">
        <f t="shared" si="24"/>
        <v>331.86903101951839</v>
      </c>
      <c r="AD73" s="6"/>
      <c r="AE73" s="135"/>
      <c r="AF73" s="52"/>
      <c r="AG73" s="52"/>
      <c r="AH73" s="59"/>
      <c r="AI73" s="59"/>
      <c r="AJ73" s="59"/>
      <c r="AK73" s="6"/>
      <c r="AL73" s="135"/>
      <c r="AM73" s="52" t="s">
        <v>39</v>
      </c>
      <c r="AN73" s="52">
        <f>AVERAGE(R25:R26)</f>
        <v>23.686581385525102</v>
      </c>
      <c r="AO73" s="59">
        <f t="shared" si="25"/>
        <v>42390958832.602486</v>
      </c>
      <c r="AP73" s="59">
        <f t="shared" si="30"/>
        <v>93.228815374895589</v>
      </c>
      <c r="AQ73" s="59">
        <f t="shared" si="26"/>
        <v>1.7031833550286691E-72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35"/>
      <c r="D74" s="52" t="s">
        <v>40</v>
      </c>
      <c r="E74" s="52">
        <f>AVERAGE(M16:M17)</f>
        <v>20.730119332661353</v>
      </c>
      <c r="F74" s="59">
        <f t="shared" si="17"/>
        <v>8538.6119853155487</v>
      </c>
      <c r="G74" s="59">
        <f>SUM(E74*(LOG(E65)/LOG(2)))</f>
        <v>35.334786711239879</v>
      </c>
      <c r="H74" s="59">
        <f t="shared" si="18"/>
        <v>2.7389682125747807E-4</v>
      </c>
      <c r="I74" s="6"/>
      <c r="J74" s="135"/>
      <c r="K74" s="52" t="s">
        <v>40</v>
      </c>
      <c r="L74" s="52">
        <f>AVERAGE(E19:E20)</f>
        <v>21.715819370096401</v>
      </c>
      <c r="M74" s="59">
        <f t="shared" si="19"/>
        <v>1247.2756956830733</v>
      </c>
      <c r="N74" s="59">
        <f t="shared" si="27"/>
        <v>27.927060690264575</v>
      </c>
      <c r="O74" s="59">
        <f t="shared" si="20"/>
        <v>4.9135320608757258</v>
      </c>
      <c r="P74" s="6"/>
      <c r="Q74" s="135"/>
      <c r="R74" s="52" t="s">
        <v>40</v>
      </c>
      <c r="S74" s="52">
        <f>AVERAGE(S19:S20)</f>
        <v>18.6001517641634</v>
      </c>
      <c r="T74" s="59">
        <f t="shared" si="21"/>
        <v>263.16274750555635</v>
      </c>
      <c r="U74" s="59">
        <f t="shared" si="28"/>
        <v>19.413820565728198</v>
      </c>
      <c r="V74" s="59">
        <f t="shared" si="22"/>
        <v>146.07328093431596</v>
      </c>
      <c r="W74" s="6"/>
      <c r="X74" s="135"/>
      <c r="Y74" s="52" t="s">
        <v>40</v>
      </c>
      <c r="Z74" s="52">
        <f>AVERAGE(M22:M23)</f>
        <v>17.300009741672</v>
      </c>
      <c r="AA74" s="59">
        <f t="shared" si="23"/>
        <v>297.37106635103072</v>
      </c>
      <c r="AB74" s="59">
        <f t="shared" si="29"/>
        <v>17.191476981867627</v>
      </c>
      <c r="AC74" s="59">
        <f t="shared" si="24"/>
        <v>320.45375053708125</v>
      </c>
      <c r="AD74" s="6"/>
      <c r="AE74" s="135"/>
      <c r="AF74" s="52"/>
      <c r="AG74" s="52"/>
      <c r="AH74" s="59"/>
      <c r="AI74" s="59"/>
      <c r="AJ74" s="59"/>
      <c r="AK74" s="6"/>
      <c r="AL74" s="135"/>
      <c r="AM74" s="52" t="s">
        <v>40</v>
      </c>
      <c r="AN74" s="52">
        <f>AVERAGE(S25:S26)</f>
        <v>23.4839491968972</v>
      </c>
      <c r="AO74" s="59">
        <f t="shared" si="25"/>
        <v>73681553077.497421</v>
      </c>
      <c r="AP74" s="59">
        <f t="shared" si="30"/>
        <v>92.431268502464846</v>
      </c>
      <c r="AQ74" s="59">
        <f t="shared" si="26"/>
        <v>1.5004521614535247E-71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35"/>
      <c r="D75" s="53" t="s">
        <v>41</v>
      </c>
      <c r="E75" s="53">
        <f>AVERAGE(N16:N17)</f>
        <v>22.061491415080251</v>
      </c>
      <c r="F75" s="60">
        <f t="shared" si="17"/>
        <v>1771.1159876521901</v>
      </c>
      <c r="G75" s="60">
        <f>SUM(E75*(LOG(E65)/LOG(2)))</f>
        <v>37.604129584314961</v>
      </c>
      <c r="H75" s="60">
        <f t="shared" si="18"/>
        <v>1.8757051136534142E-5</v>
      </c>
      <c r="I75" s="6"/>
      <c r="J75" s="135"/>
      <c r="K75" s="53" t="s">
        <v>41</v>
      </c>
      <c r="L75" s="53">
        <f>AVERAGE(F19:F20)</f>
        <v>23.391296425725351</v>
      </c>
      <c r="M75" s="60">
        <f t="shared" si="19"/>
        <v>280.11225538756787</v>
      </c>
      <c r="N75" s="60">
        <f t="shared" si="27"/>
        <v>30.081764071253684</v>
      </c>
      <c r="O75" s="60">
        <f t="shared" si="20"/>
        <v>0.71984621111844704</v>
      </c>
      <c r="P75" s="6"/>
      <c r="Q75" s="135"/>
      <c r="R75" s="53" t="s">
        <v>41</v>
      </c>
      <c r="S75" s="53">
        <f>AVERAGE(T19:T20)</f>
        <v>19.855525382211198</v>
      </c>
      <c r="T75" s="60">
        <f t="shared" si="21"/>
        <v>106.11767666434915</v>
      </c>
      <c r="U75" s="60">
        <f t="shared" si="28"/>
        <v>20.724110851137876</v>
      </c>
      <c r="V75" s="60">
        <f t="shared" si="22"/>
        <v>56.608202275374097</v>
      </c>
      <c r="W75" s="6"/>
      <c r="X75" s="135"/>
      <c r="Y75" s="53" t="s">
        <v>41</v>
      </c>
      <c r="Z75" s="53">
        <f>AVERAGE(N22:N23)</f>
        <v>17.847930300753752</v>
      </c>
      <c r="AA75" s="60">
        <f t="shared" si="23"/>
        <v>203.88860385079357</v>
      </c>
      <c r="AB75" s="60">
        <f t="shared" si="29"/>
        <v>17.735960124941027</v>
      </c>
      <c r="AC75" s="60">
        <f t="shared" si="24"/>
        <v>220.23577872849896</v>
      </c>
      <c r="AD75" s="6"/>
      <c r="AE75" s="135"/>
      <c r="AF75" s="53"/>
      <c r="AG75" s="53"/>
      <c r="AH75" s="60"/>
      <c r="AI75" s="60"/>
      <c r="AJ75" s="60"/>
      <c r="AK75" s="6"/>
      <c r="AL75" s="135"/>
      <c r="AM75" s="53" t="s">
        <v>41</v>
      </c>
      <c r="AN75" s="53">
        <f>AVERAGE(T25:T26)</f>
        <v>27.561552116544</v>
      </c>
      <c r="AO75" s="60">
        <f t="shared" si="25"/>
        <v>1086614.9885206411</v>
      </c>
      <c r="AP75" s="60">
        <f t="shared" si="30"/>
        <v>108.48044350076987</v>
      </c>
      <c r="AQ75" s="60">
        <f t="shared" si="26"/>
        <v>1.4474779807996532E-90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35"/>
      <c r="D76" s="54" t="s">
        <v>42</v>
      </c>
      <c r="E76" s="54">
        <f>AVERAGE(O16:O17)</f>
        <v>21.5624464795482</v>
      </c>
      <c r="F76" s="61">
        <f t="shared" si="17"/>
        <v>3193.8309860810928</v>
      </c>
      <c r="G76" s="61">
        <f>SUM(E76*(LOG(E65)/LOG(2)))</f>
        <v>36.75350031038856</v>
      </c>
      <c r="H76" s="61">
        <f t="shared" si="18"/>
        <v>5.1242571371006289E-5</v>
      </c>
      <c r="I76" s="6"/>
      <c r="J76" s="135"/>
      <c r="K76" s="54" t="s">
        <v>42</v>
      </c>
      <c r="L76" s="54">
        <f>AVERAGE(G19:G20)</f>
        <v>22.596817494980002</v>
      </c>
      <c r="M76" s="61">
        <f t="shared" si="19"/>
        <v>568.72212239766588</v>
      </c>
      <c r="N76" s="61">
        <f t="shared" si="27"/>
        <v>29.060045252454938</v>
      </c>
      <c r="O76" s="61">
        <f t="shared" si="20"/>
        <v>1.7896969920134373</v>
      </c>
      <c r="P76" s="6"/>
      <c r="Q76" s="135"/>
      <c r="R76" s="54" t="s">
        <v>42</v>
      </c>
      <c r="S76" s="54">
        <f>AVERAGE(U19:U20)</f>
        <v>19.232525845409803</v>
      </c>
      <c r="T76" s="61">
        <f t="shared" si="21"/>
        <v>166.54566689813234</v>
      </c>
      <c r="U76" s="61">
        <f t="shared" si="28"/>
        <v>20.073858026679911</v>
      </c>
      <c r="V76" s="61">
        <f t="shared" si="22"/>
        <v>90.612458492851246</v>
      </c>
      <c r="W76" s="6"/>
      <c r="X76" s="135"/>
      <c r="Y76" s="54" t="s">
        <v>42</v>
      </c>
      <c r="Z76" s="54">
        <f>AVERAGE(O22:O23)</f>
        <v>17.163223664585452</v>
      </c>
      <c r="AA76" s="61">
        <f t="shared" si="23"/>
        <v>326.75112953590735</v>
      </c>
      <c r="AB76" s="61">
        <f t="shared" si="29"/>
        <v>17.055549041318034</v>
      </c>
      <c r="AC76" s="61">
        <f t="shared" si="24"/>
        <v>351.90630010975138</v>
      </c>
      <c r="AD76" s="6"/>
      <c r="AE76" s="135"/>
      <c r="AF76" s="54"/>
      <c r="AG76" s="54"/>
      <c r="AH76" s="61"/>
      <c r="AI76" s="61"/>
      <c r="AJ76" s="61"/>
      <c r="AK76" s="6"/>
      <c r="AL76" s="135"/>
      <c r="AM76" s="54" t="s">
        <v>42</v>
      </c>
      <c r="AN76" s="54">
        <f>AVERAGE(U25:U26)</f>
        <v>25.144981795466748</v>
      </c>
      <c r="AO76" s="61">
        <f t="shared" si="25"/>
        <v>793068442.40828478</v>
      </c>
      <c r="AP76" s="61">
        <f t="shared" si="30"/>
        <v>98.968982786483735</v>
      </c>
      <c r="AQ76" s="61">
        <f t="shared" si="26"/>
        <v>2.6922487369755536E-79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36"/>
      <c r="D77" s="55" t="s">
        <v>43</v>
      </c>
      <c r="E77" s="55">
        <f>AVERAGE(P16:P17)</f>
        <v>25.813901521025699</v>
      </c>
      <c r="F77" s="62">
        <f t="shared" si="17"/>
        <v>21.03042290269385</v>
      </c>
      <c r="G77" s="62">
        <f>SUM(E77*(LOG(E65)/LOG(2)))</f>
        <v>44.000166607496986</v>
      </c>
      <c r="H77" s="62">
        <f t="shared" si="18"/>
        <v>9.8015388288647281E-9</v>
      </c>
      <c r="I77" s="6"/>
      <c r="J77" s="136"/>
      <c r="K77" s="55" t="s">
        <v>43</v>
      </c>
      <c r="L77" s="55">
        <f>AVERAGE(H19:H20)</f>
        <v>27.953297078903649</v>
      </c>
      <c r="M77" s="62">
        <f t="shared" si="19"/>
        <v>4.799951568486434</v>
      </c>
      <c r="N77" s="62">
        <f t="shared" si="27"/>
        <v>35.948605517069751</v>
      </c>
      <c r="O77" s="62">
        <f t="shared" si="20"/>
        <v>3.8547763020559036E-3</v>
      </c>
      <c r="P77" s="6"/>
      <c r="Q77" s="136"/>
      <c r="R77" s="55" t="s">
        <v>43</v>
      </c>
      <c r="S77" s="55">
        <f>AVERAGE(V19:V20)</f>
        <v>25.856824772093351</v>
      </c>
      <c r="T77" s="62">
        <f t="shared" si="21"/>
        <v>1.3809808242934807</v>
      </c>
      <c r="U77" s="62">
        <f t="shared" si="28"/>
        <v>26.987938748545709</v>
      </c>
      <c r="V77" s="62">
        <f t="shared" si="22"/>
        <v>0.60924669117379249</v>
      </c>
      <c r="W77" s="6"/>
      <c r="X77" s="136"/>
      <c r="Y77" s="55" t="s">
        <v>43</v>
      </c>
      <c r="Z77" s="55">
        <f>AVERAGE(P22:P23)</f>
        <v>21.311884795815303</v>
      </c>
      <c r="AA77" s="62">
        <f t="shared" si="23"/>
        <v>18.757740919629725</v>
      </c>
      <c r="AB77" s="62">
        <f t="shared" si="29"/>
        <v>21.178183271477366</v>
      </c>
      <c r="AC77" s="62">
        <f t="shared" si="24"/>
        <v>20.567248853982825</v>
      </c>
      <c r="AD77" s="6"/>
      <c r="AE77" s="136"/>
      <c r="AF77" s="55"/>
      <c r="AG77" s="55"/>
      <c r="AH77" s="62"/>
      <c r="AI77" s="62"/>
      <c r="AJ77" s="62"/>
      <c r="AK77" s="6"/>
      <c r="AL77" s="136"/>
      <c r="AM77" s="55" t="s">
        <v>43</v>
      </c>
      <c r="AN77" s="55">
        <f>AVERAGE(V25:V26)</f>
        <v>32.646645634626651</v>
      </c>
      <c r="AO77" s="62">
        <f t="shared" si="25"/>
        <v>1.0258488390409908</v>
      </c>
      <c r="AP77" s="62">
        <f t="shared" si="30"/>
        <v>128.4950347600689</v>
      </c>
      <c r="AQ77" s="62">
        <f t="shared" si="26"/>
        <v>2.7966703593088765E-114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31" t="s">
        <v>34</v>
      </c>
      <c r="D78" s="132"/>
      <c r="E78" s="64">
        <f>AVERAGE(Q16:Q17)</f>
        <v>30.823014363283349</v>
      </c>
      <c r="F78" s="63">
        <f t="shared" si="17"/>
        <v>5.6574707673996617E-2</v>
      </c>
      <c r="G78" s="63">
        <f>SUM(E78*(LOG(E65)/LOG(2)))</f>
        <v>52.538271528815052</v>
      </c>
      <c r="H78" s="63">
        <f t="shared" si="18"/>
        <v>4.0766891231184786E-13</v>
      </c>
      <c r="I78" s="6"/>
      <c r="J78" s="131" t="s">
        <v>34</v>
      </c>
      <c r="K78" s="132"/>
      <c r="L78" s="64">
        <f>AVERAGE(Z16:Z17)</f>
        <v>38.150515487147452</v>
      </c>
      <c r="M78" s="63">
        <f t="shared" si="19"/>
        <v>5.4146444021666669E-4</v>
      </c>
      <c r="N78" s="63">
        <f t="shared" si="27"/>
        <v>49.062471151403571</v>
      </c>
      <c r="O78" s="63">
        <f t="shared" si="20"/>
        <v>3.2300224960042895E-8</v>
      </c>
      <c r="P78" s="6"/>
      <c r="Q78" s="131" t="s">
        <v>34</v>
      </c>
      <c r="R78" s="132"/>
      <c r="S78" s="64">
        <f>AVERAGE(W19:W20)</f>
        <v>34.165863091040549</v>
      </c>
      <c r="T78" s="63">
        <f t="shared" si="21"/>
        <v>3.3845360069247989E-3</v>
      </c>
      <c r="U78" s="63">
        <f t="shared" si="28"/>
        <v>35.660458255004492</v>
      </c>
      <c r="V78" s="63">
        <f t="shared" si="22"/>
        <v>1.1478876313197304E-3</v>
      </c>
      <c r="W78" s="6"/>
      <c r="X78" s="131" t="s">
        <v>34</v>
      </c>
      <c r="Y78" s="132"/>
      <c r="Z78" s="64">
        <f>AVERAGE(Q22:Q23)</f>
        <v>34.172942738439801</v>
      </c>
      <c r="AA78" s="63">
        <f t="shared" si="23"/>
        <v>2.666274330911446E-3</v>
      </c>
      <c r="AB78" s="63">
        <f t="shared" si="29"/>
        <v>33.95855651314735</v>
      </c>
      <c r="AC78" s="63">
        <f t="shared" si="24"/>
        <v>3.0905561679737447E-3</v>
      </c>
      <c r="AD78" s="6"/>
      <c r="AE78" s="131"/>
      <c r="AF78" s="132"/>
      <c r="AG78" s="64"/>
      <c r="AH78" s="63"/>
      <c r="AI78" s="63"/>
      <c r="AJ78" s="63"/>
      <c r="AK78" s="6"/>
      <c r="AL78" s="131" t="s">
        <v>34</v>
      </c>
      <c r="AM78" s="132"/>
      <c r="AN78" s="64">
        <f>AVERAGE(W25:W26)</f>
        <v>38.1523138855176</v>
      </c>
      <c r="AO78" s="63">
        <f t="shared" si="25"/>
        <v>3.0745372310674941E-7</v>
      </c>
      <c r="AP78" s="63">
        <f t="shared" si="30"/>
        <v>150.16498030955233</v>
      </c>
      <c r="AQ78" s="63">
        <f t="shared" si="26"/>
        <v>5.9067738580814038E-140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38" t="s">
        <v>73</v>
      </c>
      <c r="D79" s="139"/>
      <c r="E79" s="87">
        <f>AVERAGE(E69:E77)</f>
        <v>21.663718081022996</v>
      </c>
      <c r="F79" s="87">
        <f>AVERAGE(F69:F77)</f>
        <v>6881.6657946686109</v>
      </c>
      <c r="G79" s="87">
        <f>AVERAGE(G69:G77)</f>
        <v>36.926119212411933</v>
      </c>
      <c r="H79" s="87">
        <f>AVERAGE(H69:H77)</f>
        <v>2.9048141497052738E-4</v>
      </c>
      <c r="I79" s="6"/>
      <c r="J79" s="138" t="s">
        <v>73</v>
      </c>
      <c r="K79" s="139"/>
      <c r="L79" s="87">
        <f>AVERAGE(L69:L77)</f>
        <v>22.871255902872871</v>
      </c>
      <c r="M79" s="87">
        <f>AVERAGE(M69:M77)</f>
        <v>823.55847855519926</v>
      </c>
      <c r="N79" s="87">
        <f>AVERAGE(N69:N77)</f>
        <v>29.41297957845682</v>
      </c>
      <c r="O79" s="87">
        <f>AVERAGE(O69:O77)</f>
        <v>3.1314195198229466</v>
      </c>
      <c r="P79" s="6"/>
      <c r="Q79" s="138" t="s">
        <v>73</v>
      </c>
      <c r="R79" s="139"/>
      <c r="S79" s="87">
        <f>AVERAGE(S69:S77)</f>
        <v>19.744790988022217</v>
      </c>
      <c r="T79" s="87">
        <f>AVERAGE(T69:T77)</f>
        <v>194.1550262055159</v>
      </c>
      <c r="U79" s="87">
        <f>AVERAGE(U69:U77)</f>
        <v>20.608532350139757</v>
      </c>
      <c r="V79" s="87">
        <f>AVERAGE(V69:V77)</f>
        <v>107.27276414714026</v>
      </c>
      <c r="W79" s="6"/>
      <c r="X79" s="138" t="s">
        <v>73</v>
      </c>
      <c r="Y79" s="139"/>
      <c r="Z79" s="87">
        <f>AVERAGE(Z69:Z77)</f>
        <v>18.412697043012972</v>
      </c>
      <c r="AA79" s="87">
        <f>AVERAGE(AA69:AA77)</f>
        <v>183.64777826747843</v>
      </c>
      <c r="AB79" s="87">
        <f>AVERAGE(AB69:AB77)</f>
        <v>18.297183765543171</v>
      </c>
      <c r="AC79" s="87">
        <f>AVERAGE(AC69:AC77)</f>
        <v>198.25598090398196</v>
      </c>
      <c r="AD79" s="6"/>
      <c r="AE79" s="138"/>
      <c r="AF79" s="139"/>
      <c r="AG79" s="87"/>
      <c r="AH79" s="87"/>
      <c r="AI79" s="87"/>
      <c r="AJ79" s="87"/>
      <c r="AK79" s="6"/>
      <c r="AL79" s="138" t="s">
        <v>73</v>
      </c>
      <c r="AM79" s="139"/>
      <c r="AN79" s="87">
        <f>AVERAGE(AN69:AN77)</f>
        <v>25.468549440813987</v>
      </c>
      <c r="AO79" s="87">
        <f>AVERAGE(AO69:AO77)</f>
        <v>1218671056997.4783</v>
      </c>
      <c r="AP79" s="87">
        <f>AVERAGE(AP69:AP77)</f>
        <v>100.2425236060045</v>
      </c>
      <c r="AQ79" s="87">
        <f>AVERAGE(AQ69:AQ77)</f>
        <v>9.6598099334728288E-65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38" t="s">
        <v>74</v>
      </c>
      <c r="D80" s="139"/>
      <c r="E80" s="87">
        <f>(E81/SQRT(9))</f>
        <v>0.54529641134117057</v>
      </c>
      <c r="F80" s="87">
        <f>(F81/SQRT(9))</f>
        <v>2194.2572671632061</v>
      </c>
      <c r="G80" s="87">
        <f>(G81/SQRT(9))</f>
        <v>0.9294655800069217</v>
      </c>
      <c r="H80" s="87">
        <f>(H81/SQRT(9))</f>
        <v>1.2865346075152377E-4</v>
      </c>
      <c r="I80" s="6"/>
      <c r="J80" s="138" t="s">
        <v>74</v>
      </c>
      <c r="K80" s="139"/>
      <c r="L80" s="87">
        <f>(L81/SQRT(9))</f>
        <v>0.63580652519945646</v>
      </c>
      <c r="M80" s="87">
        <f>(M81/SQRT(9))</f>
        <v>179.50153681854431</v>
      </c>
      <c r="N80" s="87">
        <f>(N81/SQRT(9))</f>
        <v>0.81766232781262194</v>
      </c>
      <c r="O80" s="87">
        <f>(O81/SQRT(9))</f>
        <v>0.78868984681510368</v>
      </c>
      <c r="P80" s="6"/>
      <c r="Q80" s="138" t="s">
        <v>74</v>
      </c>
      <c r="R80" s="139"/>
      <c r="S80" s="87">
        <f>(S81/SQRT(9))</f>
        <v>0.74426339929547225</v>
      </c>
      <c r="T80" s="87">
        <f>(T81/SQRT(9))</f>
        <v>35.566351490407889</v>
      </c>
      <c r="U80" s="87">
        <f>(U81/SQRT(9))</f>
        <v>0.77682140827473034</v>
      </c>
      <c r="V80" s="87">
        <f>(V81/SQRT(9))</f>
        <v>20.120115011935543</v>
      </c>
      <c r="W80" s="6"/>
      <c r="X80" s="138" t="s">
        <v>74</v>
      </c>
      <c r="Y80" s="139"/>
      <c r="Z80" s="87">
        <f>(Z81/SQRT(9))</f>
        <v>0.42771000760707784</v>
      </c>
      <c r="AA80" s="87">
        <f>(AA81/SQRT(9))</f>
        <v>35.98557933718476</v>
      </c>
      <c r="AB80" s="87">
        <f>(AB81/SQRT(9))</f>
        <v>0.42502674047516803</v>
      </c>
      <c r="AC80" s="87">
        <f>(AC81/SQRT(9))</f>
        <v>38.686793408933163</v>
      </c>
      <c r="AD80" s="6"/>
      <c r="AE80" s="138"/>
      <c r="AF80" s="139"/>
      <c r="AG80" s="87"/>
      <c r="AH80" s="87"/>
      <c r="AI80" s="87"/>
      <c r="AJ80" s="87"/>
      <c r="AK80" s="6"/>
      <c r="AL80" s="138" t="s">
        <v>74</v>
      </c>
      <c r="AM80" s="139"/>
      <c r="AN80" s="87">
        <f>(AN81/SQRT(9))</f>
        <v>1.0596285931703431</v>
      </c>
      <c r="AO80" s="87">
        <f>(AO81/SQRT(9))</f>
        <v>774003682560.82874</v>
      </c>
      <c r="AP80" s="87">
        <f>(AP81/SQRT(9))</f>
        <v>4.170627954737621</v>
      </c>
      <c r="AQ80" s="87">
        <f>(AQ81/SQRT(9))</f>
        <v>7.7730477632304201E-65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38" t="s">
        <v>75</v>
      </c>
      <c r="D81" s="139"/>
      <c r="E81" s="87">
        <f>_xlfn.STDEV.P(E69:E77)</f>
        <v>1.6358892340235116</v>
      </c>
      <c r="F81" s="87">
        <f>_xlfn.STDEV.P(F69:F77)</f>
        <v>6582.7718014896182</v>
      </c>
      <c r="G81" s="87">
        <f>_xlfn.STDEV.P(G69:G77)</f>
        <v>2.7883967400207652</v>
      </c>
      <c r="H81" s="87">
        <f>_xlfn.STDEV.P(H69:H77)</f>
        <v>3.8596038225457128E-4</v>
      </c>
      <c r="I81" s="6"/>
      <c r="J81" s="138" t="s">
        <v>75</v>
      </c>
      <c r="K81" s="139"/>
      <c r="L81" s="87">
        <f>_xlfn.STDEV.P(L69:L77)</f>
        <v>1.9074195755983694</v>
      </c>
      <c r="M81" s="87">
        <f>_xlfn.STDEV.P(M69:M77)</f>
        <v>538.50461045563293</v>
      </c>
      <c r="N81" s="87">
        <f>_xlfn.STDEV.P(N69:N77)</f>
        <v>2.4529869834378659</v>
      </c>
      <c r="O81" s="87">
        <f>_xlfn.STDEV.P(O69:O77)</f>
        <v>2.3660695404453111</v>
      </c>
      <c r="P81" s="6"/>
      <c r="Q81" s="138" t="s">
        <v>75</v>
      </c>
      <c r="R81" s="139"/>
      <c r="S81" s="87">
        <f>_xlfn.STDEV.P(S69:S77)</f>
        <v>2.2327901978864166</v>
      </c>
      <c r="T81" s="87">
        <f>_xlfn.STDEV.P(T69:T77)</f>
        <v>106.69905447122366</v>
      </c>
      <c r="U81" s="87">
        <f>_xlfn.STDEV.P(U69:U77)</f>
        <v>2.3304642248241909</v>
      </c>
      <c r="V81" s="87">
        <f>_xlfn.STDEV.P(V69:V77)</f>
        <v>60.360345035806624</v>
      </c>
      <c r="W81" s="6"/>
      <c r="X81" s="138" t="s">
        <v>75</v>
      </c>
      <c r="Y81" s="139"/>
      <c r="Z81" s="87">
        <f>_xlfn.STDEV.P(Z69:Z77)</f>
        <v>1.2831300228212335</v>
      </c>
      <c r="AA81" s="87">
        <f>_xlfn.STDEV.P(AA69:AA77)</f>
        <v>107.95673801155428</v>
      </c>
      <c r="AB81" s="87">
        <f>_xlfn.STDEV.P(AB69:AB77)</f>
        <v>1.2750802214255041</v>
      </c>
      <c r="AC81" s="87">
        <f>_xlfn.STDEV.P(AC69:AC77)</f>
        <v>116.0603802267995</v>
      </c>
      <c r="AD81" s="6"/>
      <c r="AE81" s="138"/>
      <c r="AF81" s="139"/>
      <c r="AG81" s="87"/>
      <c r="AH81" s="87"/>
      <c r="AI81" s="87"/>
      <c r="AJ81" s="87"/>
      <c r="AK81" s="6"/>
      <c r="AL81" s="138" t="s">
        <v>75</v>
      </c>
      <c r="AM81" s="139"/>
      <c r="AN81" s="87">
        <f>_xlfn.STDEV.P(AN69:AN77)</f>
        <v>3.1788857795110292</v>
      </c>
      <c r="AO81" s="87">
        <f>_xlfn.STDEV.P(AO69:AO77)</f>
        <v>2322011047682.4863</v>
      </c>
      <c r="AP81" s="87">
        <f>_xlfn.STDEV.P(AP69:AP77)</f>
        <v>12.511883864212862</v>
      </c>
      <c r="AQ81" s="87">
        <f>_xlfn.STDEV.P(AQ69:AQ77)</f>
        <v>2.3319143289691259E-64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38" t="s">
        <v>76</v>
      </c>
      <c r="D82" s="139"/>
      <c r="E82" s="87">
        <f>SUM(E81/E79)</f>
        <v>7.5512856468369541E-2</v>
      </c>
      <c r="F82" s="87">
        <f>SUM(F81/F79)</f>
        <v>0.95656662178937069</v>
      </c>
      <c r="G82" s="87">
        <f>SUM(G81/G79)</f>
        <v>7.5512856468369541E-2</v>
      </c>
      <c r="H82" s="87">
        <f>SUM(H81/H79)</f>
        <v>1.3286921722469967</v>
      </c>
      <c r="I82" s="6"/>
      <c r="J82" s="138" t="s">
        <v>76</v>
      </c>
      <c r="K82" s="139"/>
      <c r="L82" s="87">
        <f>SUM(L81/L79)</f>
        <v>8.3398112622174683E-2</v>
      </c>
      <c r="M82" s="87">
        <f>SUM(M81/M79)</f>
        <v>0.65387537676784357</v>
      </c>
      <c r="N82" s="87">
        <f>SUM(N81/N79)</f>
        <v>8.3398112622174683E-2</v>
      </c>
      <c r="O82" s="87">
        <f>SUM(O81/O79)</f>
        <v>0.75559008477378686</v>
      </c>
      <c r="P82" s="6"/>
      <c r="Q82" s="138" t="s">
        <v>76</v>
      </c>
      <c r="R82" s="139"/>
      <c r="S82" s="87">
        <f>SUM(S81/S79)</f>
        <v>0.11308249346579026</v>
      </c>
      <c r="T82" s="87">
        <f>SUM(T81/T79)</f>
        <v>0.54955597367992515</v>
      </c>
      <c r="U82" s="87">
        <f>SUM(U81/U79)</f>
        <v>0.11308249346578951</v>
      </c>
      <c r="V82" s="87">
        <f>SUM(V81/V79)</f>
        <v>0.56268098911866948</v>
      </c>
      <c r="W82" s="6"/>
      <c r="X82" s="138" t="s">
        <v>76</v>
      </c>
      <c r="Y82" s="139"/>
      <c r="Z82" s="87">
        <f>SUM(Z81/Z79)</f>
        <v>6.9687239181950272E-2</v>
      </c>
      <c r="AA82" s="87">
        <f>SUM(AA81/AA79)</f>
        <v>0.58784668690256614</v>
      </c>
      <c r="AB82" s="87">
        <f>SUM(AB81/AB79)</f>
        <v>6.9687239181950258E-2</v>
      </c>
      <c r="AC82" s="87">
        <f>SUM(AC81/AC79)</f>
        <v>0.58540670348305457</v>
      </c>
      <c r="AD82" s="6"/>
      <c r="AE82" s="138"/>
      <c r="AF82" s="139"/>
      <c r="AG82" s="87"/>
      <c r="AH82" s="87"/>
      <c r="AI82" s="87"/>
      <c r="AJ82" s="87"/>
      <c r="AK82" s="6"/>
      <c r="AL82" s="138" t="s">
        <v>76</v>
      </c>
      <c r="AM82" s="139"/>
      <c r="AN82" s="87">
        <f>SUM(AN81/AN79)</f>
        <v>0.12481613006262482</v>
      </c>
      <c r="AO82" s="87">
        <f>SUM(AO81/AO79)</f>
        <v>1.9053632515105272</v>
      </c>
      <c r="AP82" s="87">
        <f>SUM(AP81/AP79)</f>
        <v>0.12481613006262549</v>
      </c>
      <c r="AQ82" s="87">
        <f>SUM(AQ81/AQ79)</f>
        <v>2.4140374862746103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s="6" customFormat="1" x14ac:dyDescent="0.25"/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</sheetData>
  <mergeCells count="159">
    <mergeCell ref="C3:Q3"/>
    <mergeCell ref="R3:Z3"/>
    <mergeCell ref="C6:H6"/>
    <mergeCell ref="I6:W6"/>
    <mergeCell ref="X6:Z8"/>
    <mergeCell ref="C9:Q9"/>
    <mergeCell ref="R9:Z9"/>
    <mergeCell ref="AH2:AL3"/>
    <mergeCell ref="AK4:AL4"/>
    <mergeCell ref="AK5:AL5"/>
    <mergeCell ref="AK6:AL6"/>
    <mergeCell ref="AK7:AL7"/>
    <mergeCell ref="AK8:AL8"/>
    <mergeCell ref="C21:Q21"/>
    <mergeCell ref="AG23:AK25"/>
    <mergeCell ref="I24:W24"/>
    <mergeCell ref="X24:Z26"/>
    <mergeCell ref="C12:H12"/>
    <mergeCell ref="I12:W12"/>
    <mergeCell ref="X12:Z14"/>
    <mergeCell ref="C15:Q15"/>
    <mergeCell ref="R15:Z15"/>
    <mergeCell ref="C18:H18"/>
    <mergeCell ref="I18:W18"/>
    <mergeCell ref="X18:Z20"/>
    <mergeCell ref="R21:Z23"/>
    <mergeCell ref="C24:H26"/>
    <mergeCell ref="C29:E29"/>
    <mergeCell ref="H29:J29"/>
    <mergeCell ref="M29:O29"/>
    <mergeCell ref="R29:T29"/>
    <mergeCell ref="W29:Y29"/>
    <mergeCell ref="AB29:AD29"/>
    <mergeCell ref="C28:E28"/>
    <mergeCell ref="H28:J28"/>
    <mergeCell ref="M28:O28"/>
    <mergeCell ref="R28:T28"/>
    <mergeCell ref="W28:Y28"/>
    <mergeCell ref="AB28:AD28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1F4E-CD6B-4D2D-A400-63ACFF2C707E}">
  <dimension ref="A1:CJ115"/>
  <sheetViews>
    <sheetView tabSelected="1" zoomScale="50" zoomScaleNormal="50" workbookViewId="0">
      <selection activeCell="BD87" sqref="BD87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4"/>
      <c r="C2" s="25">
        <v>1</v>
      </c>
      <c r="D2" s="8">
        <v>2</v>
      </c>
      <c r="E2" s="25">
        <v>3</v>
      </c>
      <c r="F2" s="8">
        <v>4</v>
      </c>
      <c r="G2" s="25">
        <v>5</v>
      </c>
      <c r="H2" s="8">
        <v>6</v>
      </c>
      <c r="I2" s="25">
        <v>7</v>
      </c>
      <c r="J2" s="8">
        <v>8</v>
      </c>
      <c r="K2" s="25">
        <v>9</v>
      </c>
      <c r="L2" s="8">
        <v>10</v>
      </c>
      <c r="M2" s="25">
        <v>11</v>
      </c>
      <c r="N2" s="8">
        <v>12</v>
      </c>
      <c r="O2" s="25">
        <v>13</v>
      </c>
      <c r="P2" s="8">
        <v>14</v>
      </c>
      <c r="Q2" s="25">
        <v>15</v>
      </c>
      <c r="R2" s="8">
        <v>16</v>
      </c>
      <c r="S2" s="25">
        <v>17</v>
      </c>
      <c r="T2" s="8">
        <v>18</v>
      </c>
      <c r="U2" s="25">
        <v>19</v>
      </c>
      <c r="V2" s="8">
        <v>20</v>
      </c>
      <c r="W2" s="25">
        <v>21</v>
      </c>
      <c r="X2" s="8">
        <v>22</v>
      </c>
      <c r="Y2" s="25">
        <v>23</v>
      </c>
      <c r="Z2" s="9">
        <v>24</v>
      </c>
      <c r="AA2" s="6"/>
      <c r="AB2" s="6"/>
      <c r="AC2" s="6"/>
      <c r="AD2" s="6"/>
      <c r="AE2" s="6"/>
      <c r="AF2" s="6"/>
      <c r="AG2" s="6"/>
      <c r="AH2" s="144" t="s">
        <v>77</v>
      </c>
      <c r="AI2" s="145"/>
      <c r="AJ2" s="145"/>
      <c r="AK2" s="145"/>
      <c r="AL2" s="14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4" t="s">
        <v>15</v>
      </c>
      <c r="C3" s="97" t="s">
        <v>17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  <c r="R3" s="97" t="s">
        <v>18</v>
      </c>
      <c r="S3" s="98"/>
      <c r="T3" s="98"/>
      <c r="U3" s="98"/>
      <c r="V3" s="98"/>
      <c r="W3" s="98"/>
      <c r="X3" s="98"/>
      <c r="Y3" s="98"/>
      <c r="Z3" s="99"/>
      <c r="AA3" s="6"/>
      <c r="AB3" s="6"/>
      <c r="AC3" s="6"/>
      <c r="AD3" s="6"/>
      <c r="AE3" s="6"/>
      <c r="AF3" s="6"/>
      <c r="AG3" s="6"/>
      <c r="AH3" s="147"/>
      <c r="AI3" s="148"/>
      <c r="AJ3" s="148"/>
      <c r="AK3" s="148"/>
      <c r="AL3" s="149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2" t="s">
        <v>0</v>
      </c>
      <c r="C4" s="26">
        <v>28.6712559232882</v>
      </c>
      <c r="D4" s="27">
        <v>26.410820383447099</v>
      </c>
      <c r="E4" s="27">
        <v>24.047608805095098</v>
      </c>
      <c r="F4" s="27">
        <v>21.611093925520098</v>
      </c>
      <c r="G4" s="27">
        <v>19.4803791157359</v>
      </c>
      <c r="H4" s="28" t="s">
        <v>49</v>
      </c>
      <c r="I4" s="28">
        <v>21.2424923213478</v>
      </c>
      <c r="J4" s="28">
        <v>19.613088215681501</v>
      </c>
      <c r="K4" s="29">
        <v>19.741279913006</v>
      </c>
      <c r="L4" s="29">
        <v>20.402302802968599</v>
      </c>
      <c r="M4" s="29">
        <v>20.669965774381499</v>
      </c>
      <c r="N4" s="30">
        <v>19.918988020612701</v>
      </c>
      <c r="O4" s="30">
        <v>21.341365521212701</v>
      </c>
      <c r="P4" s="30">
        <v>19.918869662137698</v>
      </c>
      <c r="Q4" s="31">
        <v>37.3878442664735</v>
      </c>
      <c r="R4" s="26">
        <v>32.910016924862802</v>
      </c>
      <c r="S4" s="27">
        <v>27.957044427576601</v>
      </c>
      <c r="T4" s="27">
        <v>23.524250124191099</v>
      </c>
      <c r="U4" s="27">
        <v>19.7771381713317</v>
      </c>
      <c r="V4" s="27">
        <v>17.458661627772901</v>
      </c>
      <c r="W4" s="28">
        <v>20.136934745423499</v>
      </c>
      <c r="X4" s="28">
        <v>20.407262214573699</v>
      </c>
      <c r="Y4" s="28">
        <v>17.5324353297225</v>
      </c>
      <c r="Z4" s="31">
        <v>36.618673580424499</v>
      </c>
      <c r="AA4" s="6"/>
      <c r="AB4" s="1"/>
      <c r="AC4" s="6" t="s">
        <v>28</v>
      </c>
      <c r="AD4" s="6"/>
      <c r="AE4" s="6"/>
      <c r="AF4" s="6"/>
      <c r="AG4" s="6"/>
      <c r="AH4" s="88" t="s">
        <v>78</v>
      </c>
      <c r="AI4" s="89"/>
      <c r="AJ4" s="89"/>
      <c r="AK4" s="140">
        <v>45192</v>
      </c>
      <c r="AL4" s="141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3" t="s">
        <v>1</v>
      </c>
      <c r="C5" s="19">
        <v>28.776937935846401</v>
      </c>
      <c r="D5" s="20">
        <v>26.463821871837599</v>
      </c>
      <c r="E5" s="20">
        <v>23.905391733177201</v>
      </c>
      <c r="F5" s="20">
        <v>21.454648514629898</v>
      </c>
      <c r="G5" s="20">
        <v>19.566454852172001</v>
      </c>
      <c r="H5" s="10">
        <v>20.581900471267399</v>
      </c>
      <c r="I5" s="10">
        <v>21.200852893853</v>
      </c>
      <c r="J5" s="10">
        <v>19.466278357300698</v>
      </c>
      <c r="K5" s="11">
        <v>19.6009272858768</v>
      </c>
      <c r="L5" s="11">
        <v>20.5578661292273</v>
      </c>
      <c r="M5" s="11">
        <v>20.628179518938499</v>
      </c>
      <c r="N5" s="12">
        <v>19.788506731178899</v>
      </c>
      <c r="O5" s="12">
        <v>21.305852921916699</v>
      </c>
      <c r="P5" s="12">
        <v>19.924528039189799</v>
      </c>
      <c r="Q5" s="13">
        <v>36.210871214492698</v>
      </c>
      <c r="R5" s="19">
        <v>32.662366042106498</v>
      </c>
      <c r="S5" s="20">
        <v>28.0614310925565</v>
      </c>
      <c r="T5" s="20">
        <v>23.6414539932107</v>
      </c>
      <c r="U5" s="20">
        <v>19.862118843937701</v>
      </c>
      <c r="V5" s="20">
        <v>17.221534096291801</v>
      </c>
      <c r="W5" s="10">
        <v>20.173732757041702</v>
      </c>
      <c r="X5" s="10">
        <v>20.430654869057701</v>
      </c>
      <c r="Y5" s="10">
        <v>17.648527446952301</v>
      </c>
      <c r="Z5" s="13">
        <v>36.998025736079697</v>
      </c>
      <c r="AA5" s="6"/>
      <c r="AB5" s="2"/>
      <c r="AC5" s="6" t="s">
        <v>29</v>
      </c>
      <c r="AD5" s="6"/>
      <c r="AE5" s="6"/>
      <c r="AF5" s="6"/>
      <c r="AG5" s="6"/>
      <c r="AH5" s="88" t="s">
        <v>79</v>
      </c>
      <c r="AI5" s="89"/>
      <c r="AJ5" s="89"/>
      <c r="AK5" s="140">
        <v>45198</v>
      </c>
      <c r="AL5" s="141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4" t="s">
        <v>15</v>
      </c>
      <c r="C6" s="100" t="s">
        <v>18</v>
      </c>
      <c r="D6" s="101"/>
      <c r="E6" s="101"/>
      <c r="F6" s="101"/>
      <c r="G6" s="101"/>
      <c r="H6" s="102"/>
      <c r="I6" s="100" t="s">
        <v>26</v>
      </c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2"/>
      <c r="X6" s="103"/>
      <c r="Y6" s="104"/>
      <c r="Z6" s="105"/>
      <c r="AA6" s="6"/>
      <c r="AB6" s="3"/>
      <c r="AC6" s="6" t="s">
        <v>30</v>
      </c>
      <c r="AD6" s="6"/>
      <c r="AE6" s="6"/>
      <c r="AF6" s="6"/>
      <c r="AG6" s="6"/>
      <c r="AH6" s="88" t="s">
        <v>80</v>
      </c>
      <c r="AI6" s="89"/>
      <c r="AJ6" s="89"/>
      <c r="AK6" s="140">
        <v>45202</v>
      </c>
      <c r="AL6" s="141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2" t="s">
        <v>2</v>
      </c>
      <c r="C7" s="32">
        <v>18.295392972778401</v>
      </c>
      <c r="D7" s="29">
        <v>19.8672818973067</v>
      </c>
      <c r="E7" s="29">
        <v>20.042010231307199</v>
      </c>
      <c r="F7" s="30">
        <v>17.600709854706899</v>
      </c>
      <c r="G7" s="30">
        <v>19.715468277805499</v>
      </c>
      <c r="H7" s="33">
        <v>17.655702591130598</v>
      </c>
      <c r="I7" s="26">
        <v>24.6891467851869</v>
      </c>
      <c r="J7" s="27">
        <v>23.067308333089699</v>
      </c>
      <c r="K7" s="27">
        <v>23.088875840958998</v>
      </c>
      <c r="L7" s="27">
        <v>23.521144734665999</v>
      </c>
      <c r="M7" s="27">
        <v>23.028448294381899</v>
      </c>
      <c r="N7" s="28">
        <v>24.076376304943501</v>
      </c>
      <c r="O7" s="28">
        <v>24.751743506648101</v>
      </c>
      <c r="P7" s="28">
        <v>23.266786549314599</v>
      </c>
      <c r="Q7" s="29">
        <v>23.2773765795929</v>
      </c>
      <c r="R7" s="29">
        <v>23.995740796232798</v>
      </c>
      <c r="S7" s="29">
        <v>24.065588159365401</v>
      </c>
      <c r="T7" s="30">
        <v>23.475640507875099</v>
      </c>
      <c r="U7" s="30">
        <v>24.506607444099402</v>
      </c>
      <c r="V7" s="30">
        <v>23.574086053860299</v>
      </c>
      <c r="W7" s="31">
        <v>31.917518325122799</v>
      </c>
      <c r="X7" s="106"/>
      <c r="Y7" s="107"/>
      <c r="Z7" s="108"/>
      <c r="AA7" s="6"/>
      <c r="AB7" s="4"/>
      <c r="AC7" s="6" t="s">
        <v>31</v>
      </c>
      <c r="AD7" s="6"/>
      <c r="AE7" s="6"/>
      <c r="AF7" s="6"/>
      <c r="AG7" s="6"/>
      <c r="AH7" s="88" t="s">
        <v>81</v>
      </c>
      <c r="AI7" s="89"/>
      <c r="AJ7" s="89"/>
      <c r="AK7" s="140">
        <v>45203</v>
      </c>
      <c r="AL7" s="141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3" t="s">
        <v>3</v>
      </c>
      <c r="C8" s="14">
        <v>18.208326529911801</v>
      </c>
      <c r="D8" s="11">
        <v>19.842103006628999</v>
      </c>
      <c r="E8" s="11">
        <v>20.131085056647098</v>
      </c>
      <c r="F8" s="12">
        <v>17.714969871138099</v>
      </c>
      <c r="G8" s="12">
        <v>19.6270646363987</v>
      </c>
      <c r="H8" s="15">
        <v>17.849551483563001</v>
      </c>
      <c r="I8" s="19">
        <v>24.547861851654801</v>
      </c>
      <c r="J8" s="20">
        <v>23.079436079977501</v>
      </c>
      <c r="K8" s="20">
        <v>23.084095751524401</v>
      </c>
      <c r="L8" s="20">
        <v>24.0302743784139</v>
      </c>
      <c r="M8" s="20">
        <v>23.224565520664498</v>
      </c>
      <c r="N8" s="10">
        <v>24.0940631607242</v>
      </c>
      <c r="O8" s="10">
        <v>24.772324833952499</v>
      </c>
      <c r="P8" s="10">
        <v>23.161623071388401</v>
      </c>
      <c r="Q8" s="11">
        <v>23.3108109782874</v>
      </c>
      <c r="R8" s="16">
        <v>24.072160018953198</v>
      </c>
      <c r="S8" s="16">
        <v>24.149013138161099</v>
      </c>
      <c r="T8" s="17">
        <v>23.565223809647499</v>
      </c>
      <c r="U8" s="17">
        <v>24.511518397771098</v>
      </c>
      <c r="V8" s="17">
        <v>23.8548566979666</v>
      </c>
      <c r="W8" s="18">
        <v>30.694989237085899</v>
      </c>
      <c r="X8" s="109"/>
      <c r="Y8" s="110"/>
      <c r="Z8" s="111"/>
      <c r="AA8" s="6"/>
      <c r="AB8" s="5"/>
      <c r="AC8" s="6" t="s">
        <v>32</v>
      </c>
      <c r="AD8" s="6"/>
      <c r="AE8" s="6"/>
      <c r="AF8" s="6"/>
      <c r="AG8" s="6"/>
      <c r="AH8" s="90" t="s">
        <v>82</v>
      </c>
      <c r="AI8" s="91"/>
      <c r="AJ8" s="91"/>
      <c r="AK8" s="142">
        <v>45204</v>
      </c>
      <c r="AL8" s="14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4" t="s">
        <v>15</v>
      </c>
      <c r="C9" s="100" t="s">
        <v>19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2"/>
      <c r="R9" s="97" t="s">
        <v>20</v>
      </c>
      <c r="S9" s="98"/>
      <c r="T9" s="98"/>
      <c r="U9" s="98"/>
      <c r="V9" s="98"/>
      <c r="W9" s="98"/>
      <c r="X9" s="98"/>
      <c r="Y9" s="98"/>
      <c r="Z9" s="99"/>
      <c r="AA9" s="6"/>
      <c r="AB9" s="21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2" t="s">
        <v>4</v>
      </c>
      <c r="C10" s="26">
        <v>26.302462248142501</v>
      </c>
      <c r="D10" s="27">
        <v>23.7504190793872</v>
      </c>
      <c r="E10" s="27">
        <v>21.173865023885899</v>
      </c>
      <c r="F10" s="27">
        <v>18.862601695464701</v>
      </c>
      <c r="G10" s="27">
        <v>16.864606784439999</v>
      </c>
      <c r="H10" s="28">
        <v>18.4028217212926</v>
      </c>
      <c r="I10" s="28">
        <v>19.552721321042998</v>
      </c>
      <c r="J10" s="28">
        <v>17.855394620150999</v>
      </c>
      <c r="K10" s="29">
        <v>17.717991881105501</v>
      </c>
      <c r="L10" s="29">
        <v>18.573558384499901</v>
      </c>
      <c r="M10" s="29">
        <v>18.2362862204807</v>
      </c>
      <c r="N10" s="30">
        <v>17.6765087584456</v>
      </c>
      <c r="O10" s="30">
        <v>18.790477093859899</v>
      </c>
      <c r="P10" s="30">
        <v>17.664742523510299</v>
      </c>
      <c r="Q10" s="31" t="s">
        <v>49</v>
      </c>
      <c r="R10" s="26">
        <v>26.948428559197598</v>
      </c>
      <c r="S10" s="27">
        <v>24.598734929569101</v>
      </c>
      <c r="T10" s="27">
        <v>22.462625932366201</v>
      </c>
      <c r="U10" s="27">
        <v>20.1244032757014</v>
      </c>
      <c r="V10" s="27">
        <v>18.0388805709335</v>
      </c>
      <c r="W10" s="28">
        <v>19.400834067716801</v>
      </c>
      <c r="X10" s="28">
        <v>20.3359685761794</v>
      </c>
      <c r="Y10" s="28">
        <v>19.006567428204601</v>
      </c>
      <c r="Z10" s="31">
        <v>38.892994807068099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3" t="s">
        <v>5</v>
      </c>
      <c r="C11" s="19">
        <v>25.955246239332901</v>
      </c>
      <c r="D11" s="20">
        <v>23.353510411639199</v>
      </c>
      <c r="E11" s="20">
        <v>21.1756845684993</v>
      </c>
      <c r="F11" s="20">
        <v>19.0034241433045</v>
      </c>
      <c r="G11" s="20">
        <v>16.664761144504801</v>
      </c>
      <c r="H11" s="10">
        <v>18.4043320713226</v>
      </c>
      <c r="I11" s="10">
        <v>19.666210020652599</v>
      </c>
      <c r="J11" s="10">
        <v>17.894332709108198</v>
      </c>
      <c r="K11" s="11">
        <v>17.8161600809505</v>
      </c>
      <c r="L11" s="11">
        <v>18.525348034083098</v>
      </c>
      <c r="M11" s="11">
        <v>18.230881938097401</v>
      </c>
      <c r="N11" s="12">
        <v>17.783621006217</v>
      </c>
      <c r="O11" s="12">
        <v>18.663971808367201</v>
      </c>
      <c r="P11" s="12">
        <v>17.636357898719901</v>
      </c>
      <c r="Q11" s="13" t="s">
        <v>49</v>
      </c>
      <c r="R11" s="19">
        <v>27.183695334267298</v>
      </c>
      <c r="S11" s="20">
        <v>24.593947546238599</v>
      </c>
      <c r="T11" s="20">
        <v>22.465210986067898</v>
      </c>
      <c r="U11" s="20">
        <v>20.1017722633045</v>
      </c>
      <c r="V11" s="20">
        <v>17.9851135114525</v>
      </c>
      <c r="W11" s="10">
        <v>19.346129711407698</v>
      </c>
      <c r="X11" s="10">
        <v>20.320819146458799</v>
      </c>
      <c r="Y11" s="10">
        <v>18.835534554354599</v>
      </c>
      <c r="Z11" s="13">
        <v>39.775598189969202</v>
      </c>
      <c r="AA11" s="6"/>
      <c r="AB11" s="6" t="s">
        <v>51</v>
      </c>
      <c r="AC11" s="6" t="s">
        <v>52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4" t="s">
        <v>15</v>
      </c>
      <c r="C12" s="97" t="s">
        <v>20</v>
      </c>
      <c r="D12" s="98"/>
      <c r="E12" s="98"/>
      <c r="F12" s="98"/>
      <c r="G12" s="98"/>
      <c r="H12" s="99"/>
      <c r="I12" s="97" t="s">
        <v>21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9"/>
      <c r="X12" s="103"/>
      <c r="Y12" s="104"/>
      <c r="Z12" s="105"/>
      <c r="AA12" s="6"/>
      <c r="AB12" s="6" t="s">
        <v>53</v>
      </c>
      <c r="AC12" s="6" t="s">
        <v>54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2" t="s">
        <v>6</v>
      </c>
      <c r="C13" s="32">
        <v>18.884274546677698</v>
      </c>
      <c r="D13" s="29">
        <v>19.6369712864545</v>
      </c>
      <c r="E13" s="29">
        <v>19.543252590045199</v>
      </c>
      <c r="F13" s="30">
        <v>19.060524326415699</v>
      </c>
      <c r="G13" s="30">
        <v>20.091914225580801</v>
      </c>
      <c r="H13" s="33">
        <v>18.9770191899533</v>
      </c>
      <c r="I13" s="26">
        <v>26.978368095840299</v>
      </c>
      <c r="J13" s="27">
        <v>24.632261190712001</v>
      </c>
      <c r="K13" s="27">
        <v>21.7409231572429</v>
      </c>
      <c r="L13" s="27">
        <v>19.416662714147101</v>
      </c>
      <c r="M13" s="27">
        <v>17.1345655728982</v>
      </c>
      <c r="N13" s="28">
        <v>18.940036021968499</v>
      </c>
      <c r="O13" s="28">
        <v>19.960885572825202</v>
      </c>
      <c r="P13" s="28">
        <v>18.1222042265779</v>
      </c>
      <c r="Q13" s="29">
        <v>17.809979305203498</v>
      </c>
      <c r="R13" s="29">
        <v>18.811963539264799</v>
      </c>
      <c r="S13" s="29">
        <v>18.384572393116599</v>
      </c>
      <c r="T13" s="30">
        <v>18.277503164418199</v>
      </c>
      <c r="U13" s="30">
        <v>19.395643826738599</v>
      </c>
      <c r="V13" s="30">
        <v>18.275328007468701</v>
      </c>
      <c r="W13" s="31">
        <v>34.458937296364198</v>
      </c>
      <c r="X13" s="106"/>
      <c r="Y13" s="107"/>
      <c r="Z13" s="108"/>
      <c r="AA13" s="6"/>
      <c r="AB13" s="6" t="s">
        <v>55</v>
      </c>
      <c r="AC13" s="6" t="s">
        <v>56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3" t="s">
        <v>7</v>
      </c>
      <c r="C14" s="14">
        <v>18.8908624915723</v>
      </c>
      <c r="D14" s="11">
        <v>19.715124625388899</v>
      </c>
      <c r="E14" s="11">
        <v>19.6811948206756</v>
      </c>
      <c r="F14" s="12">
        <v>19.074721305433599</v>
      </c>
      <c r="G14" s="12">
        <v>20.0375680834684</v>
      </c>
      <c r="H14" s="15">
        <v>19.136900956627098</v>
      </c>
      <c r="I14" s="19">
        <v>27.112675088320099</v>
      </c>
      <c r="J14" s="20">
        <v>24.325394453115901</v>
      </c>
      <c r="K14" s="20">
        <v>21.807618274792201</v>
      </c>
      <c r="L14" s="20">
        <v>19.339070766776199</v>
      </c>
      <c r="M14" s="20">
        <v>16.9914082996223</v>
      </c>
      <c r="N14" s="10">
        <v>18.905806830158699</v>
      </c>
      <c r="O14" s="10">
        <v>19.848463891832399</v>
      </c>
      <c r="P14" s="10">
        <v>18.1636464820421</v>
      </c>
      <c r="Q14" s="11">
        <v>17.905971253036</v>
      </c>
      <c r="R14" s="16">
        <v>18.768046104143199</v>
      </c>
      <c r="S14" s="16">
        <v>18.961373712344599</v>
      </c>
      <c r="T14" s="17">
        <v>18.153578486126101</v>
      </c>
      <c r="U14" s="17">
        <v>19.228381532796401</v>
      </c>
      <c r="V14" s="17">
        <v>18.3366127900001</v>
      </c>
      <c r="W14" s="18">
        <v>35.250048148945702</v>
      </c>
      <c r="X14" s="109"/>
      <c r="Y14" s="110"/>
      <c r="Z14" s="111"/>
      <c r="AA14" s="6"/>
      <c r="AB14" s="6" t="s">
        <v>57</v>
      </c>
      <c r="AC14" s="6" t="s">
        <v>58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4" t="s">
        <v>15</v>
      </c>
      <c r="C15" s="97" t="s">
        <v>22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9"/>
      <c r="R15" s="97" t="s">
        <v>23</v>
      </c>
      <c r="S15" s="98"/>
      <c r="T15" s="98"/>
      <c r="U15" s="98"/>
      <c r="V15" s="98"/>
      <c r="W15" s="98"/>
      <c r="X15" s="98"/>
      <c r="Y15" s="98"/>
      <c r="Z15" s="99"/>
      <c r="AA15" s="6"/>
      <c r="AB15" s="6" t="s">
        <v>59</v>
      </c>
      <c r="AC15" s="6" t="s">
        <v>60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2" t="s">
        <v>8</v>
      </c>
      <c r="C16" s="26">
        <v>29.5446698216284</v>
      </c>
      <c r="D16" s="27">
        <v>28.206720742016898</v>
      </c>
      <c r="E16" s="27">
        <v>26.525116387616801</v>
      </c>
      <c r="F16" s="27">
        <v>24.4264727367873</v>
      </c>
      <c r="G16" s="27">
        <v>22.206921888436099</v>
      </c>
      <c r="H16" s="28">
        <v>23.427742685518499</v>
      </c>
      <c r="I16" s="28">
        <v>24.2379018196138</v>
      </c>
      <c r="J16" s="28">
        <v>22.337406803614201</v>
      </c>
      <c r="K16" s="29">
        <v>22.729586790023699</v>
      </c>
      <c r="L16" s="29">
        <v>23.5125428496045</v>
      </c>
      <c r="M16" s="29">
        <v>23.610586292457199</v>
      </c>
      <c r="N16" s="30">
        <v>22.521639231128599</v>
      </c>
      <c r="O16" s="30">
        <v>23.772209309399798</v>
      </c>
      <c r="P16" s="30">
        <v>22.667342001229802</v>
      </c>
      <c r="Q16" s="31">
        <v>30.3607558312777</v>
      </c>
      <c r="R16" s="26">
        <v>30.6748251651671</v>
      </c>
      <c r="S16" s="27">
        <v>28.401832301528302</v>
      </c>
      <c r="T16" s="27">
        <v>27.000005206679202</v>
      </c>
      <c r="U16" s="27">
        <v>25.098788877825701</v>
      </c>
      <c r="V16" s="27">
        <v>23.209367444674701</v>
      </c>
      <c r="W16" s="28">
        <v>24.193799686882599</v>
      </c>
      <c r="X16" s="28">
        <v>25.0287818305898</v>
      </c>
      <c r="Y16" s="28">
        <v>23.292860209542599</v>
      </c>
      <c r="Z16" s="31">
        <v>35.721979652759899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3" t="s">
        <v>9</v>
      </c>
      <c r="C17" s="19">
        <v>29.6457466884521</v>
      </c>
      <c r="D17" s="20">
        <v>28.123335843562501</v>
      </c>
      <c r="E17" s="20">
        <v>26.516413264764498</v>
      </c>
      <c r="F17" s="20">
        <v>24.453450721823099</v>
      </c>
      <c r="G17" s="20">
        <v>22.2000620933783</v>
      </c>
      <c r="H17" s="10">
        <v>23.424688404282598</v>
      </c>
      <c r="I17" s="10">
        <v>24.134222427980401</v>
      </c>
      <c r="J17" s="10">
        <v>22.244244301032399</v>
      </c>
      <c r="K17" s="11">
        <v>22.618800688935899</v>
      </c>
      <c r="L17" s="11">
        <v>23.563496374408899</v>
      </c>
      <c r="M17" s="11">
        <v>23.566050248631701</v>
      </c>
      <c r="N17" s="12">
        <v>22.579829597782599</v>
      </c>
      <c r="O17" s="12">
        <v>23.7230178103372</v>
      </c>
      <c r="P17" s="12">
        <v>22.729999454429901</v>
      </c>
      <c r="Q17" s="13">
        <v>30.946610823380301</v>
      </c>
      <c r="R17" s="19">
        <v>30.425464248089899</v>
      </c>
      <c r="S17" s="20">
        <v>27.702730658970498</v>
      </c>
      <c r="T17" s="20">
        <v>27.149278134339301</v>
      </c>
      <c r="U17" s="20">
        <v>25.486115333543001</v>
      </c>
      <c r="V17" s="20">
        <v>23.0833526517746</v>
      </c>
      <c r="W17" s="10">
        <v>24.427543328247801</v>
      </c>
      <c r="X17" s="10">
        <v>25.0920430628173</v>
      </c>
      <c r="Y17" s="10">
        <v>23.316163743258699</v>
      </c>
      <c r="Z17" s="13">
        <v>35.6771234321359</v>
      </c>
      <c r="AA17" s="6"/>
      <c r="AB17" s="6" t="s">
        <v>61</v>
      </c>
      <c r="AC17" s="6" t="s">
        <v>62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4" t="s">
        <v>15</v>
      </c>
      <c r="C18" s="97" t="s">
        <v>23</v>
      </c>
      <c r="D18" s="98"/>
      <c r="E18" s="98"/>
      <c r="F18" s="98"/>
      <c r="G18" s="98"/>
      <c r="H18" s="99"/>
      <c r="I18" s="97" t="s">
        <v>27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9"/>
      <c r="X18" s="103"/>
      <c r="Y18" s="104"/>
      <c r="Z18" s="105"/>
      <c r="AA18" s="6"/>
      <c r="AB18" s="6" t="s">
        <v>63</v>
      </c>
      <c r="AC18" s="6" t="s">
        <v>64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2" t="s">
        <v>10</v>
      </c>
      <c r="C19" s="32">
        <v>23.6504749270396</v>
      </c>
      <c r="D19" s="29">
        <v>24.351852570260199</v>
      </c>
      <c r="E19" s="29">
        <v>24.399936701029802</v>
      </c>
      <c r="F19" s="30">
        <v>23.620045655976501</v>
      </c>
      <c r="G19" s="30">
        <v>24.728395545142298</v>
      </c>
      <c r="H19" s="33">
        <v>23.609561606195999</v>
      </c>
      <c r="I19" s="26">
        <v>26.9902888979755</v>
      </c>
      <c r="J19" s="27">
        <v>25.457535046101501</v>
      </c>
      <c r="K19" s="27">
        <v>23.6009207301604</v>
      </c>
      <c r="L19" s="27">
        <v>21.359833092814998</v>
      </c>
      <c r="M19" s="27">
        <v>18.951539472879801</v>
      </c>
      <c r="N19" s="28">
        <v>20.252692264351499</v>
      </c>
      <c r="O19" s="28">
        <v>20.9864808786478</v>
      </c>
      <c r="P19" s="28">
        <v>19.1423089670993</v>
      </c>
      <c r="Q19" s="29">
        <v>19.183821345932</v>
      </c>
      <c r="R19" s="29">
        <v>19.9782432528194</v>
      </c>
      <c r="S19" s="29">
        <v>19.963854886314</v>
      </c>
      <c r="T19" s="30">
        <v>19.065610816429199</v>
      </c>
      <c r="U19" s="30">
        <v>20.3651666327969</v>
      </c>
      <c r="V19" s="30">
        <v>19.393199170306001</v>
      </c>
      <c r="W19" s="31">
        <v>31.349025296630298</v>
      </c>
      <c r="X19" s="106"/>
      <c r="Y19" s="107"/>
      <c r="Z19" s="108"/>
      <c r="AA19" s="6"/>
      <c r="AB19" s="6" t="s">
        <v>65</v>
      </c>
      <c r="AC19" s="6" t="s">
        <v>66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3" t="s">
        <v>11</v>
      </c>
      <c r="C20" s="14">
        <v>23.604217037882201</v>
      </c>
      <c r="D20" s="11">
        <v>24.3378396641675</v>
      </c>
      <c r="E20" s="11">
        <v>24.388565792014099</v>
      </c>
      <c r="F20" s="12">
        <v>23.644103264369299</v>
      </c>
      <c r="G20" s="12">
        <v>24.721605181745598</v>
      </c>
      <c r="H20" s="15">
        <v>23.7536091462567</v>
      </c>
      <c r="I20" s="19">
        <v>27.132807794096799</v>
      </c>
      <c r="J20" s="20">
        <v>25.5595734662609</v>
      </c>
      <c r="K20" s="20">
        <v>23.340886194253699</v>
      </c>
      <c r="L20" s="20">
        <v>21.105970117134401</v>
      </c>
      <c r="M20" s="20">
        <v>19.118799910389299</v>
      </c>
      <c r="N20" s="10">
        <v>20.024749975572501</v>
      </c>
      <c r="O20" s="10">
        <v>20.992142357646401</v>
      </c>
      <c r="P20" s="10">
        <v>19.199368437362999</v>
      </c>
      <c r="Q20" s="11">
        <v>19.211652493965602</v>
      </c>
      <c r="R20" s="16">
        <v>20.023919371054902</v>
      </c>
      <c r="S20" s="16">
        <v>19.955051794674802</v>
      </c>
      <c r="T20" s="17">
        <v>19.150976317202201</v>
      </c>
      <c r="U20" s="17">
        <v>20.292673076684299</v>
      </c>
      <c r="V20" s="17">
        <v>19.429587906154602</v>
      </c>
      <c r="W20" s="18">
        <v>33.080062842666798</v>
      </c>
      <c r="X20" s="109"/>
      <c r="Y20" s="110"/>
      <c r="Z20" s="111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4" t="s">
        <v>15</v>
      </c>
      <c r="C21" s="97" t="s">
        <v>24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/>
      <c r="R21" s="154"/>
      <c r="S21" s="155"/>
      <c r="T21" s="155"/>
      <c r="U21" s="155"/>
      <c r="V21" s="155"/>
      <c r="W21" s="155"/>
      <c r="X21" s="155"/>
      <c r="Y21" s="155"/>
      <c r="Z21" s="156"/>
      <c r="AA21" s="6"/>
      <c r="AB21" s="72" t="s">
        <v>67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2" t="s">
        <v>12</v>
      </c>
      <c r="C22" s="26">
        <v>27.099533232506101</v>
      </c>
      <c r="D22" s="27">
        <v>24.7224994321856</v>
      </c>
      <c r="E22" s="27">
        <v>22.318002905408701</v>
      </c>
      <c r="F22" s="27">
        <v>20.138221115688001</v>
      </c>
      <c r="G22" s="27">
        <v>17.770373663668501</v>
      </c>
      <c r="H22" s="28">
        <v>20.974626592009901</v>
      </c>
      <c r="I22" s="28">
        <v>22.231525919255599</v>
      </c>
      <c r="J22" s="28">
        <v>19.607823851239299</v>
      </c>
      <c r="K22" s="29">
        <v>18.007305159210201</v>
      </c>
      <c r="L22" s="29">
        <v>19.244561721167099</v>
      </c>
      <c r="M22" s="29">
        <v>19.375023535075599</v>
      </c>
      <c r="N22" s="30">
        <v>17.5873299704453</v>
      </c>
      <c r="O22" s="30">
        <v>18.9414448572434</v>
      </c>
      <c r="P22" s="30">
        <v>17.455004050929801</v>
      </c>
      <c r="Q22" s="31">
        <v>34.337334621781103</v>
      </c>
      <c r="R22" s="157"/>
      <c r="S22" s="158"/>
      <c r="T22" s="158"/>
      <c r="U22" s="158"/>
      <c r="V22" s="158"/>
      <c r="W22" s="158"/>
      <c r="X22" s="158"/>
      <c r="Y22" s="158"/>
      <c r="Z22" s="159"/>
      <c r="AA22" s="6"/>
      <c r="AB22" s="6" t="s">
        <v>59</v>
      </c>
      <c r="AC22" s="6" t="s">
        <v>68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3" t="s">
        <v>13</v>
      </c>
      <c r="C23" s="19">
        <v>27.469702868377102</v>
      </c>
      <c r="D23" s="20">
        <v>24.938415170756699</v>
      </c>
      <c r="E23" s="20">
        <v>22.2180260893557</v>
      </c>
      <c r="F23" s="20">
        <v>19.884827389001099</v>
      </c>
      <c r="G23" s="20">
        <v>17.73277299611</v>
      </c>
      <c r="H23" s="10">
        <v>21.319353728263899</v>
      </c>
      <c r="I23" s="10">
        <v>21.9666826294605</v>
      </c>
      <c r="J23" s="10">
        <v>19.554290054151501</v>
      </c>
      <c r="K23" s="11">
        <v>17.988170947088101</v>
      </c>
      <c r="L23" s="11">
        <v>19.130598759134902</v>
      </c>
      <c r="M23" s="11">
        <v>19.4957607826341</v>
      </c>
      <c r="N23" s="12">
        <v>17.441049663277301</v>
      </c>
      <c r="O23" s="12">
        <v>19.1554539021237</v>
      </c>
      <c r="P23" s="12">
        <v>17.426889566150098</v>
      </c>
      <c r="Q23" s="13">
        <v>34.7919119918093</v>
      </c>
      <c r="R23" s="160"/>
      <c r="S23" s="161"/>
      <c r="T23" s="161"/>
      <c r="U23" s="161"/>
      <c r="V23" s="161"/>
      <c r="W23" s="161"/>
      <c r="X23" s="161"/>
      <c r="Y23" s="161"/>
      <c r="Z23" s="162"/>
      <c r="AA23" s="6"/>
      <c r="AB23" s="73" t="s">
        <v>61</v>
      </c>
      <c r="AC23" s="74" t="s">
        <v>69</v>
      </c>
      <c r="AD23" s="74"/>
      <c r="AE23" s="74"/>
      <c r="AF23" s="74"/>
      <c r="AG23" s="113" t="s">
        <v>70</v>
      </c>
      <c r="AH23" s="113"/>
      <c r="AI23" s="113"/>
      <c r="AJ23" s="113"/>
      <c r="AK23" s="113"/>
      <c r="AL23" s="75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4" t="s">
        <v>15</v>
      </c>
      <c r="C24" s="154"/>
      <c r="D24" s="155"/>
      <c r="E24" s="155"/>
      <c r="F24" s="155"/>
      <c r="G24" s="155"/>
      <c r="H24" s="156"/>
      <c r="I24" s="97" t="s">
        <v>25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9"/>
      <c r="X24" s="103"/>
      <c r="Y24" s="104"/>
      <c r="Z24" s="105"/>
      <c r="AA24" s="6"/>
      <c r="AB24" s="76" t="s">
        <v>63</v>
      </c>
      <c r="AC24" s="6" t="s">
        <v>71</v>
      </c>
      <c r="AD24" s="6"/>
      <c r="AE24" s="6"/>
      <c r="AF24" s="7"/>
      <c r="AG24" s="114"/>
      <c r="AH24" s="114"/>
      <c r="AI24" s="114"/>
      <c r="AJ24" s="114"/>
      <c r="AK24" s="114"/>
      <c r="AL24" s="7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2" t="s">
        <v>14</v>
      </c>
      <c r="C25" s="157"/>
      <c r="D25" s="158"/>
      <c r="E25" s="158"/>
      <c r="F25" s="158"/>
      <c r="G25" s="158"/>
      <c r="H25" s="159"/>
      <c r="I25" s="26">
        <v>30.6231546198565</v>
      </c>
      <c r="J25" s="27">
        <v>28.139011536933801</v>
      </c>
      <c r="K25" s="27">
        <v>28.8805722577731</v>
      </c>
      <c r="L25" s="27">
        <v>27.2829504849405</v>
      </c>
      <c r="M25" s="27">
        <v>25.726755890833299</v>
      </c>
      <c r="N25" s="28">
        <v>25.700383443698598</v>
      </c>
      <c r="O25" s="28">
        <v>26.462841109596798</v>
      </c>
      <c r="P25" s="28">
        <v>24.2837003561133</v>
      </c>
      <c r="Q25" s="29">
        <v>24.649652046015401</v>
      </c>
      <c r="R25" s="29">
        <v>25.748370886491202</v>
      </c>
      <c r="S25" s="29">
        <v>26.139131931095601</v>
      </c>
      <c r="T25" s="30">
        <v>24.996106855200999</v>
      </c>
      <c r="U25" s="30">
        <v>26.497195832748599</v>
      </c>
      <c r="V25" s="30">
        <v>25.170379106605001</v>
      </c>
      <c r="W25" s="31">
        <v>35.799349285202901</v>
      </c>
      <c r="X25" s="106"/>
      <c r="Y25" s="107"/>
      <c r="Z25" s="108"/>
      <c r="AA25" s="6"/>
      <c r="AB25" s="78" t="s">
        <v>65</v>
      </c>
      <c r="AC25" s="79" t="s">
        <v>72</v>
      </c>
      <c r="AD25" s="79"/>
      <c r="AE25" s="79"/>
      <c r="AF25" s="80"/>
      <c r="AG25" s="115"/>
      <c r="AH25" s="115"/>
      <c r="AI25" s="115"/>
      <c r="AJ25" s="115"/>
      <c r="AK25" s="115"/>
      <c r="AL25" s="81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3" t="s">
        <v>15</v>
      </c>
      <c r="C26" s="160"/>
      <c r="D26" s="161"/>
      <c r="E26" s="161"/>
      <c r="F26" s="161"/>
      <c r="G26" s="161"/>
      <c r="H26" s="162"/>
      <c r="I26" s="19">
        <v>29.926717695825999</v>
      </c>
      <c r="J26" s="20">
        <v>28.967321383777001</v>
      </c>
      <c r="K26" s="20">
        <v>28.415126626430101</v>
      </c>
      <c r="L26" s="20">
        <v>27.279787483386102</v>
      </c>
      <c r="M26" s="20">
        <v>25.652545900107899</v>
      </c>
      <c r="N26" s="10">
        <v>25.7071791684345</v>
      </c>
      <c r="O26" s="10">
        <v>26.404161102513498</v>
      </c>
      <c r="P26" s="10">
        <v>24.182520974426001</v>
      </c>
      <c r="Q26" s="11">
        <v>24.628237870932399</v>
      </c>
      <c r="R26" s="11">
        <v>25.6457990061865</v>
      </c>
      <c r="S26" s="11">
        <v>26.267443397514601</v>
      </c>
      <c r="T26" s="12">
        <v>25.087874847564802</v>
      </c>
      <c r="U26" s="12">
        <v>26.731458940244401</v>
      </c>
      <c r="V26" s="12">
        <v>25.086309779383701</v>
      </c>
      <c r="W26" s="13">
        <v>36.179989608870898</v>
      </c>
      <c r="X26" s="109"/>
      <c r="Y26" s="110"/>
      <c r="Z26" s="111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12" t="s">
        <v>17</v>
      </c>
      <c r="D28" s="112"/>
      <c r="E28" s="112"/>
      <c r="F28" s="6"/>
      <c r="G28" s="6"/>
      <c r="H28" s="112" t="s">
        <v>18</v>
      </c>
      <c r="I28" s="112"/>
      <c r="J28" s="112"/>
      <c r="K28" s="6"/>
      <c r="L28" s="6"/>
      <c r="M28" s="112" t="s">
        <v>26</v>
      </c>
      <c r="N28" s="112"/>
      <c r="O28" s="112"/>
      <c r="P28" s="6"/>
      <c r="Q28" s="6"/>
      <c r="R28" s="112" t="s">
        <v>19</v>
      </c>
      <c r="S28" s="112"/>
      <c r="T28" s="112"/>
      <c r="U28" s="6"/>
      <c r="V28" s="6"/>
      <c r="W28" s="112" t="s">
        <v>20</v>
      </c>
      <c r="X28" s="112"/>
      <c r="Y28" s="112"/>
      <c r="Z28" s="6"/>
      <c r="AA28" s="6"/>
      <c r="AB28" s="112" t="s">
        <v>21</v>
      </c>
      <c r="AC28" s="112"/>
      <c r="AD28" s="112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4"/>
      <c r="C29" s="118" t="s">
        <v>47</v>
      </c>
      <c r="D29" s="119"/>
      <c r="E29" s="120"/>
      <c r="F29" s="6"/>
      <c r="G29" s="6"/>
      <c r="H29" s="121" t="s">
        <v>47</v>
      </c>
      <c r="I29" s="122"/>
      <c r="J29" s="123"/>
      <c r="K29" s="6"/>
      <c r="L29" s="6"/>
      <c r="M29" s="121" t="s">
        <v>47</v>
      </c>
      <c r="N29" s="122"/>
      <c r="O29" s="123"/>
      <c r="P29" s="6"/>
      <c r="Q29" s="6"/>
      <c r="R29" s="121" t="s">
        <v>47</v>
      </c>
      <c r="S29" s="124"/>
      <c r="T29" s="125"/>
      <c r="U29" s="6"/>
      <c r="V29" s="6"/>
      <c r="W29" s="121" t="s">
        <v>47</v>
      </c>
      <c r="X29" s="122"/>
      <c r="Y29" s="123"/>
      <c r="Z29" s="6"/>
      <c r="AA29" s="6"/>
      <c r="AB29" s="121" t="s">
        <v>47</v>
      </c>
      <c r="AC29" s="122"/>
      <c r="AD29" s="123"/>
      <c r="AE29" s="6"/>
      <c r="AF29" s="4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8"/>
      <c r="C30" s="35" t="s">
        <v>33</v>
      </c>
      <c r="D30" s="36" t="s">
        <v>45</v>
      </c>
      <c r="E30" s="71" t="s">
        <v>44</v>
      </c>
      <c r="F30" s="6"/>
      <c r="G30" s="6"/>
      <c r="H30" s="35" t="s">
        <v>33</v>
      </c>
      <c r="I30" s="36" t="s">
        <v>45</v>
      </c>
      <c r="J30" s="71" t="s">
        <v>44</v>
      </c>
      <c r="K30" s="6"/>
      <c r="L30" s="6"/>
      <c r="M30" s="35" t="s">
        <v>33</v>
      </c>
      <c r="N30" s="36" t="s">
        <v>45</v>
      </c>
      <c r="O30" s="71" t="s">
        <v>44</v>
      </c>
      <c r="P30" s="6"/>
      <c r="Q30" s="6"/>
      <c r="R30" s="35" t="s">
        <v>33</v>
      </c>
      <c r="S30" s="36" t="s">
        <v>45</v>
      </c>
      <c r="T30" s="71" t="s">
        <v>44</v>
      </c>
      <c r="U30" s="6"/>
      <c r="V30" s="6"/>
      <c r="W30" s="35" t="s">
        <v>33</v>
      </c>
      <c r="X30" s="36" t="s">
        <v>45</v>
      </c>
      <c r="Y30" s="71" t="s">
        <v>44</v>
      </c>
      <c r="Z30" s="6"/>
      <c r="AA30" s="6"/>
      <c r="AB30" s="35" t="s">
        <v>33</v>
      </c>
      <c r="AC30" s="36" t="s">
        <v>45</v>
      </c>
      <c r="AD30" s="71" t="s">
        <v>44</v>
      </c>
      <c r="AE30" s="6"/>
      <c r="AF30" s="39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40"/>
      <c r="C31" s="65">
        <v>3.2000000000000001E-2</v>
      </c>
      <c r="D31" s="66">
        <f>LOG(C31)</f>
        <v>-1.494850021680094</v>
      </c>
      <c r="E31" s="67">
        <f>AVERAGE(C4:C5)</f>
        <v>28.724096929567303</v>
      </c>
      <c r="F31" s="6"/>
      <c r="G31" s="6"/>
      <c r="H31" s="65">
        <v>3.2000000000000001E-2</v>
      </c>
      <c r="I31" s="66">
        <f>LOG(H31)</f>
        <v>-1.494850021680094</v>
      </c>
      <c r="J31" s="67">
        <f>AVERAGE(R4:R5)</f>
        <v>32.78619148348465</v>
      </c>
      <c r="K31" s="6"/>
      <c r="L31" s="6"/>
      <c r="M31" s="65">
        <v>3.2000000000000001E-2</v>
      </c>
      <c r="N31" s="66">
        <f>LOG(M31)</f>
        <v>-1.494850021680094</v>
      </c>
      <c r="O31" s="67">
        <f>AVERAGE(I7:I8)</f>
        <v>24.61850431842085</v>
      </c>
      <c r="P31" s="6"/>
      <c r="Q31" s="6"/>
      <c r="R31" s="65">
        <v>3.2000000000000001E-2</v>
      </c>
      <c r="S31" s="66">
        <f>LOG(R31)</f>
        <v>-1.494850021680094</v>
      </c>
      <c r="T31" s="67">
        <f>AVERAGE(C10:C11)</f>
        <v>26.128854243737699</v>
      </c>
      <c r="U31" s="6"/>
      <c r="V31" s="6"/>
      <c r="W31" s="65">
        <v>3.2000000000000001E-2</v>
      </c>
      <c r="X31" s="66">
        <f>LOG(W31)</f>
        <v>-1.494850021680094</v>
      </c>
      <c r="Y31" s="67">
        <f>AVERAGE(R10:R11)</f>
        <v>27.066061946732447</v>
      </c>
      <c r="Z31" s="6"/>
      <c r="AA31" s="6"/>
      <c r="AB31" s="65">
        <v>3.2000000000000001E-2</v>
      </c>
      <c r="AC31" s="66">
        <f>LOG(AB31)</f>
        <v>-1.494850021680094</v>
      </c>
      <c r="AD31" s="67">
        <f>AVERAGE(I13:I14)</f>
        <v>27.045521592080199</v>
      </c>
      <c r="AE31" s="6"/>
      <c r="AF31" s="41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40"/>
      <c r="C32" s="65">
        <v>0.16</v>
      </c>
      <c r="D32" s="66">
        <f>LOG(C32)</f>
        <v>-0.79588001734407521</v>
      </c>
      <c r="E32" s="67">
        <f>AVERAGE(D4:D5)</f>
        <v>26.437321127642349</v>
      </c>
      <c r="F32" s="6"/>
      <c r="G32" s="6"/>
      <c r="H32" s="65">
        <v>0.16</v>
      </c>
      <c r="I32" s="66">
        <f>LOG(H32)</f>
        <v>-0.79588001734407521</v>
      </c>
      <c r="J32" s="67">
        <f>AVERAGE(S4:S5)</f>
        <v>28.009237760066551</v>
      </c>
      <c r="K32" s="6"/>
      <c r="L32" s="6"/>
      <c r="M32" s="65">
        <v>0.16</v>
      </c>
      <c r="N32" s="66">
        <f>LOG(M32)</f>
        <v>-0.79588001734407521</v>
      </c>
      <c r="O32" s="67">
        <f>AVERAGE(J7:J8)</f>
        <v>23.073372206533598</v>
      </c>
      <c r="P32" s="6"/>
      <c r="Q32" s="6"/>
      <c r="R32" s="65">
        <v>0.16</v>
      </c>
      <c r="S32" s="66">
        <f>LOG(R32)</f>
        <v>-0.79588001734407521</v>
      </c>
      <c r="T32" s="67">
        <f>AVERAGE(D10:D11)</f>
        <v>23.5519647455132</v>
      </c>
      <c r="U32" s="6"/>
      <c r="V32" s="6"/>
      <c r="W32" s="65">
        <v>0.16</v>
      </c>
      <c r="X32" s="66">
        <f>LOG(W32)</f>
        <v>-0.79588001734407521</v>
      </c>
      <c r="Y32" s="67">
        <f>AVERAGE(S10:S11)</f>
        <v>24.59634123790385</v>
      </c>
      <c r="Z32" s="6"/>
      <c r="AA32" s="6"/>
      <c r="AB32" s="65">
        <v>0.16</v>
      </c>
      <c r="AC32" s="66">
        <f>LOG(AB32)</f>
        <v>-0.79588001734407521</v>
      </c>
      <c r="AD32" s="67">
        <f>AVERAGE(J13:J14)</f>
        <v>24.478827821913953</v>
      </c>
      <c r="AE32" s="6"/>
      <c r="AF32" s="41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40"/>
      <c r="C33" s="65">
        <v>0.8</v>
      </c>
      <c r="D33" s="66">
        <f>LOG(C33)</f>
        <v>-9.6910013008056392E-2</v>
      </c>
      <c r="E33" s="67">
        <f>AVERAGE(E4:E5)</f>
        <v>23.97650026913615</v>
      </c>
      <c r="F33" s="6"/>
      <c r="G33" s="6"/>
      <c r="H33" s="65">
        <v>0.8</v>
      </c>
      <c r="I33" s="66">
        <f>LOG(H33)</f>
        <v>-9.6910013008056392E-2</v>
      </c>
      <c r="J33" s="67">
        <f>AVERAGE(T4:T5)</f>
        <v>23.582852058700901</v>
      </c>
      <c r="K33" s="6"/>
      <c r="L33" s="6"/>
      <c r="M33" s="65">
        <v>0.8</v>
      </c>
      <c r="N33" s="66">
        <f>LOG(M33)</f>
        <v>-9.6910013008056392E-2</v>
      </c>
      <c r="O33" s="67">
        <f>AVERAGE(K7:K8)</f>
        <v>23.0864857962417</v>
      </c>
      <c r="P33" s="6"/>
      <c r="Q33" s="6"/>
      <c r="R33" s="65">
        <v>0.8</v>
      </c>
      <c r="S33" s="66">
        <f>LOG(R33)</f>
        <v>-9.6910013008056392E-2</v>
      </c>
      <c r="T33" s="67">
        <f>AVERAGE(E10:E11)</f>
        <v>21.174774796192601</v>
      </c>
      <c r="U33" s="6"/>
      <c r="V33" s="6"/>
      <c r="W33" s="65">
        <v>0.8</v>
      </c>
      <c r="X33" s="66">
        <f>LOG(W33)</f>
        <v>-9.6910013008056392E-2</v>
      </c>
      <c r="Y33" s="67">
        <f>AVERAGE(T10:T11)</f>
        <v>22.463918459217048</v>
      </c>
      <c r="Z33" s="6"/>
      <c r="AA33" s="6"/>
      <c r="AB33" s="65">
        <v>0.8</v>
      </c>
      <c r="AC33" s="66">
        <f>LOG(AB33)</f>
        <v>-9.6910013008056392E-2</v>
      </c>
      <c r="AD33" s="67">
        <f>AVERAGE(K13:K14)</f>
        <v>21.774270716017551</v>
      </c>
      <c r="AE33" s="6"/>
      <c r="AF33" s="41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40"/>
      <c r="C34" s="65">
        <v>4</v>
      </c>
      <c r="D34" s="66">
        <f>LOG(C34)</f>
        <v>0.6020599913279624</v>
      </c>
      <c r="E34" s="67">
        <f>AVERAGE(F4:F5)</f>
        <v>21.532871220074998</v>
      </c>
      <c r="F34" s="6"/>
      <c r="G34" s="6"/>
      <c r="H34" s="65">
        <v>4</v>
      </c>
      <c r="I34" s="66">
        <f>LOG(H34)</f>
        <v>0.6020599913279624</v>
      </c>
      <c r="J34" s="67">
        <f>AVERAGE(U4:U5)</f>
        <v>19.8196285076347</v>
      </c>
      <c r="K34" s="6"/>
      <c r="L34" s="6"/>
      <c r="M34" s="65">
        <v>4</v>
      </c>
      <c r="N34" s="66">
        <f>LOG(M34)</f>
        <v>0.6020599913279624</v>
      </c>
      <c r="O34" s="67">
        <f>AVERAGE(L7:L8)</f>
        <v>23.775709556539951</v>
      </c>
      <c r="P34" s="6"/>
      <c r="Q34" s="6"/>
      <c r="R34" s="65">
        <v>4</v>
      </c>
      <c r="S34" s="66">
        <f>LOG(R34)</f>
        <v>0.6020599913279624</v>
      </c>
      <c r="T34" s="67">
        <f>AVERAGE(F10:F11)</f>
        <v>18.933012919384602</v>
      </c>
      <c r="U34" s="6"/>
      <c r="V34" s="6"/>
      <c r="W34" s="65">
        <v>4</v>
      </c>
      <c r="X34" s="66">
        <f>LOG(W34)</f>
        <v>0.6020599913279624</v>
      </c>
      <c r="Y34" s="67">
        <f>AVERAGE(U10:U11)</f>
        <v>20.11308776950295</v>
      </c>
      <c r="Z34" s="6"/>
      <c r="AA34" s="6"/>
      <c r="AB34" s="65">
        <v>4</v>
      </c>
      <c r="AC34" s="66">
        <f>LOG(AB34)</f>
        <v>0.6020599913279624</v>
      </c>
      <c r="AD34" s="67">
        <f>AVERAGE(L13:L14)</f>
        <v>19.377866740461648</v>
      </c>
      <c r="AE34" s="6"/>
      <c r="AF34" s="41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40"/>
      <c r="C35" s="68">
        <v>20</v>
      </c>
      <c r="D35" s="69">
        <f>LOG(C35)</f>
        <v>1.3010299956639813</v>
      </c>
      <c r="E35" s="70">
        <f>AVERAGE(G4:G5)</f>
        <v>19.52341698395395</v>
      </c>
      <c r="F35" s="6"/>
      <c r="G35" s="6"/>
      <c r="H35" s="68">
        <v>20</v>
      </c>
      <c r="I35" s="69">
        <f>LOG(H35)</f>
        <v>1.3010299956639813</v>
      </c>
      <c r="J35" s="70">
        <f>AVERAGE(V4:V5)</f>
        <v>17.340097862032351</v>
      </c>
      <c r="K35" s="6"/>
      <c r="L35" s="6"/>
      <c r="M35" s="68">
        <v>20</v>
      </c>
      <c r="N35" s="69">
        <f>LOG(M35)</f>
        <v>1.3010299956639813</v>
      </c>
      <c r="O35" s="70">
        <f>AVERAGE(M7:M8)</f>
        <v>23.126506907523201</v>
      </c>
      <c r="P35" s="6"/>
      <c r="Q35" s="6"/>
      <c r="R35" s="68">
        <v>20</v>
      </c>
      <c r="S35" s="69">
        <f>LOG(R35)</f>
        <v>1.3010299956639813</v>
      </c>
      <c r="T35" s="70">
        <f>AVERAGE(G10:G11)</f>
        <v>16.7646839644724</v>
      </c>
      <c r="U35" s="6"/>
      <c r="V35" s="6"/>
      <c r="W35" s="68">
        <v>20</v>
      </c>
      <c r="X35" s="69">
        <f>LOG(W35)</f>
        <v>1.3010299956639813</v>
      </c>
      <c r="Y35" s="70">
        <f>AVERAGE(V10:V11)</f>
        <v>18.011997041192998</v>
      </c>
      <c r="Z35" s="6"/>
      <c r="AA35" s="6"/>
      <c r="AB35" s="68">
        <v>20</v>
      </c>
      <c r="AC35" s="69">
        <f>LOG(AB35)</f>
        <v>1.3010299956639813</v>
      </c>
      <c r="AD35" s="70">
        <f>AVERAGE(M13:M14)</f>
        <v>17.062986936260252</v>
      </c>
      <c r="AE35" s="6"/>
      <c r="AF35" s="41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8"/>
      <c r="C36" s="116" t="s">
        <v>46</v>
      </c>
      <c r="D36" s="117"/>
      <c r="E36" s="37">
        <f>(10^(-1/-3.3343)-1)*100</f>
        <v>99.486277012772391</v>
      </c>
      <c r="F36" s="6"/>
      <c r="G36" s="6"/>
      <c r="H36" s="116" t="s">
        <v>46</v>
      </c>
      <c r="I36" s="117"/>
      <c r="J36" s="37">
        <f>(10^(-1/-5.5913)-1)*100</f>
        <v>50.955619127065056</v>
      </c>
      <c r="K36" s="6"/>
      <c r="L36" s="6"/>
      <c r="M36" s="116" t="s">
        <v>46</v>
      </c>
      <c r="N36" s="117"/>
      <c r="O36" s="37">
        <f>(10^(-1/-0.3264)-1)*100</f>
        <v>115704.51450681126</v>
      </c>
      <c r="P36" s="6"/>
      <c r="Q36" s="6"/>
      <c r="R36" s="116" t="s">
        <v>46</v>
      </c>
      <c r="S36" s="117"/>
      <c r="T36" s="37">
        <f>(10^(-1/-3.3402)-1)*100</f>
        <v>99.24309092227179</v>
      </c>
      <c r="U36" s="6"/>
      <c r="V36" s="6"/>
      <c r="W36" s="116" t="s">
        <v>46</v>
      </c>
      <c r="X36" s="117"/>
      <c r="Y36" s="37">
        <f>(10^(-1/-3.2321)-1)*100</f>
        <v>103.89020742167973</v>
      </c>
      <c r="Z36" s="6"/>
      <c r="AA36" s="6"/>
      <c r="AB36" s="116" t="s">
        <v>46</v>
      </c>
      <c r="AC36" s="117"/>
      <c r="AD36" s="37">
        <f>(10^(-1/-3.5861)-1)*100</f>
        <v>90.044132628212026</v>
      </c>
      <c r="AE36" s="6"/>
      <c r="AF36" s="42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8"/>
      <c r="C37" s="116" t="s">
        <v>50</v>
      </c>
      <c r="D37" s="117"/>
      <c r="E37" s="37">
        <f>SUM(E36/100)+1</f>
        <v>1.9948627701277239</v>
      </c>
      <c r="F37" s="6"/>
      <c r="G37" s="6"/>
      <c r="H37" s="116" t="s">
        <v>50</v>
      </c>
      <c r="I37" s="117"/>
      <c r="J37" s="37">
        <f>SUM(J36/100)+1</f>
        <v>1.5095561912706505</v>
      </c>
      <c r="K37" s="6"/>
      <c r="L37" s="6"/>
      <c r="M37" s="116" t="s">
        <v>50</v>
      </c>
      <c r="N37" s="117"/>
      <c r="O37" s="37">
        <f>SUM(O36/100)+1</f>
        <v>1158.0451450681126</v>
      </c>
      <c r="P37" s="6"/>
      <c r="Q37" s="6"/>
      <c r="R37" s="116" t="s">
        <v>50</v>
      </c>
      <c r="S37" s="117"/>
      <c r="T37" s="37">
        <f>SUM(T36/100)+1</f>
        <v>1.9924309092227179</v>
      </c>
      <c r="U37" s="6"/>
      <c r="V37" s="6"/>
      <c r="W37" s="116" t="s">
        <v>50</v>
      </c>
      <c r="X37" s="117"/>
      <c r="Y37" s="37">
        <f>SUM(Y36/100)+1</f>
        <v>2.0389020742167974</v>
      </c>
      <c r="Z37" s="6"/>
      <c r="AA37" s="6"/>
      <c r="AB37" s="116" t="s">
        <v>50</v>
      </c>
      <c r="AC37" s="117"/>
      <c r="AD37" s="37">
        <f>SUM(AD36/100)+1</f>
        <v>1.9004413262821203</v>
      </c>
      <c r="AE37" s="6"/>
      <c r="AF37" s="42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6"/>
      <c r="C38" s="45"/>
      <c r="E38" s="45"/>
      <c r="F38" s="6"/>
      <c r="G38" s="6"/>
      <c r="H38" s="45"/>
      <c r="I38" s="45"/>
      <c r="J38" s="45"/>
      <c r="K38" s="6"/>
      <c r="L38" s="6"/>
      <c r="M38" s="45"/>
      <c r="N38" s="45"/>
      <c r="O38" s="45"/>
      <c r="P38" s="6"/>
      <c r="Q38" s="6"/>
      <c r="R38" s="45"/>
      <c r="S38" s="45"/>
      <c r="T38" s="45"/>
      <c r="U38" s="6"/>
      <c r="V38" s="6"/>
      <c r="W38" s="45"/>
      <c r="X38" s="45"/>
      <c r="Y38" s="45"/>
      <c r="Z38" s="6"/>
      <c r="AA38" s="6"/>
      <c r="AB38" s="45"/>
      <c r="AC38" s="45"/>
      <c r="AD38" s="45"/>
      <c r="AE38" s="6"/>
      <c r="AF38" s="4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7"/>
      <c r="C39" s="126" t="s">
        <v>105</v>
      </c>
      <c r="D39" s="127"/>
      <c r="E39" s="127"/>
      <c r="F39" s="127"/>
      <c r="G39" s="127"/>
      <c r="H39" s="128"/>
      <c r="J39" s="126" t="s">
        <v>106</v>
      </c>
      <c r="K39" s="127"/>
      <c r="L39" s="127"/>
      <c r="M39" s="127"/>
      <c r="N39" s="127"/>
      <c r="O39" s="128"/>
      <c r="Q39" s="126" t="s">
        <v>107</v>
      </c>
      <c r="R39" s="127"/>
      <c r="S39" s="127"/>
      <c r="T39" s="127"/>
      <c r="U39" s="127"/>
      <c r="V39" s="128"/>
      <c r="X39" s="126" t="s">
        <v>108</v>
      </c>
      <c r="Y39" s="127"/>
      <c r="Z39" s="127"/>
      <c r="AA39" s="127"/>
      <c r="AB39" s="127"/>
      <c r="AC39" s="128"/>
      <c r="AE39" s="126" t="s">
        <v>109</v>
      </c>
      <c r="AF39" s="127"/>
      <c r="AG39" s="127"/>
      <c r="AH39" s="127"/>
      <c r="AI39" s="127"/>
      <c r="AJ39" s="128"/>
      <c r="AL39" s="126" t="s">
        <v>110</v>
      </c>
      <c r="AM39" s="127"/>
      <c r="AN39" s="127"/>
      <c r="AO39" s="127"/>
      <c r="AP39" s="127"/>
      <c r="AQ39" s="128"/>
      <c r="AR39" s="45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7"/>
      <c r="C40" s="133" t="s">
        <v>17</v>
      </c>
      <c r="D40" s="83" t="s">
        <v>51</v>
      </c>
      <c r="E40" s="83" t="s">
        <v>53</v>
      </c>
      <c r="F40" s="83" t="s">
        <v>55</v>
      </c>
      <c r="G40" s="84" t="s">
        <v>57</v>
      </c>
      <c r="H40" s="82" t="s">
        <v>59</v>
      </c>
      <c r="I40" s="6"/>
      <c r="J40" s="135" t="s">
        <v>18</v>
      </c>
      <c r="K40" s="83" t="s">
        <v>51</v>
      </c>
      <c r="L40" s="83" t="s">
        <v>53</v>
      </c>
      <c r="M40" s="83" t="s">
        <v>55</v>
      </c>
      <c r="N40" s="83" t="s">
        <v>57</v>
      </c>
      <c r="O40" s="85" t="s">
        <v>59</v>
      </c>
      <c r="P40" s="40"/>
      <c r="Q40" s="135" t="s">
        <v>26</v>
      </c>
      <c r="R40" s="83" t="s">
        <v>51</v>
      </c>
      <c r="S40" s="83" t="s">
        <v>53</v>
      </c>
      <c r="T40" s="83" t="s">
        <v>55</v>
      </c>
      <c r="U40" s="83" t="s">
        <v>57</v>
      </c>
      <c r="V40" s="85" t="s">
        <v>59</v>
      </c>
      <c r="W40" s="86"/>
      <c r="X40" s="135" t="s">
        <v>19</v>
      </c>
      <c r="Y40" s="83" t="s">
        <v>51</v>
      </c>
      <c r="Z40" s="83" t="s">
        <v>53</v>
      </c>
      <c r="AA40" s="83" t="s">
        <v>55</v>
      </c>
      <c r="AB40" s="83" t="s">
        <v>57</v>
      </c>
      <c r="AC40" s="85" t="s">
        <v>59</v>
      </c>
      <c r="AD40" s="86"/>
      <c r="AE40" s="137" t="s">
        <v>20</v>
      </c>
      <c r="AF40" s="83" t="s">
        <v>51</v>
      </c>
      <c r="AG40" s="83" t="s">
        <v>53</v>
      </c>
      <c r="AH40" s="83" t="s">
        <v>55</v>
      </c>
      <c r="AI40" s="83" t="s">
        <v>57</v>
      </c>
      <c r="AJ40" s="85" t="s">
        <v>59</v>
      </c>
      <c r="AK40" s="86"/>
      <c r="AL40" s="137" t="s">
        <v>21</v>
      </c>
      <c r="AM40" s="83" t="s">
        <v>51</v>
      </c>
      <c r="AN40" s="83" t="s">
        <v>53</v>
      </c>
      <c r="AO40" s="83" t="s">
        <v>55</v>
      </c>
      <c r="AP40" s="83" t="s">
        <v>57</v>
      </c>
      <c r="AQ40" s="85" t="s">
        <v>59</v>
      </c>
      <c r="AR40" s="45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7"/>
      <c r="C41" s="133"/>
      <c r="D41" s="49" t="s">
        <v>35</v>
      </c>
      <c r="E41" s="49">
        <f>AVERAGE(H4:H5)</f>
        <v>20.581900471267399</v>
      </c>
      <c r="F41" s="56">
        <f t="shared" ref="F41:F50" si="0">10^((E41-23.716)/-3.3343)</f>
        <v>8.7087790256113529</v>
      </c>
      <c r="G41" s="57">
        <f>SUM(E41*(LOG(E37)/LOG(2)))</f>
        <v>20.505531422391091</v>
      </c>
      <c r="H41" s="56">
        <f t="shared" ref="H41:H50" si="1">10^((G41-23.716)/-3.3343)</f>
        <v>9.1803944869829479</v>
      </c>
      <c r="I41" s="6"/>
      <c r="J41" s="135"/>
      <c r="K41" s="49" t="s">
        <v>35</v>
      </c>
      <c r="L41" s="49">
        <f>AVERAGE(W4:W5)</f>
        <v>20.1553337512326</v>
      </c>
      <c r="M41" s="56">
        <f t="shared" ref="M41:M50" si="2">10^((L41-23.766)/-5.5913)</f>
        <v>4.4234902290285882</v>
      </c>
      <c r="N41" s="56">
        <f>SUM(L41*(LOG($J$37)/LOG(2)))</f>
        <v>11.974776787160602</v>
      </c>
      <c r="O41" s="56">
        <f t="shared" ref="O41:O50" si="3">10^((N41-23.766)/-5.5913)</f>
        <v>128.48482154793106</v>
      </c>
      <c r="P41" s="6"/>
      <c r="Q41" s="135"/>
      <c r="R41" s="49" t="s">
        <v>35</v>
      </c>
      <c r="S41" s="49">
        <f>AVERAGE(N7:N8)</f>
        <v>24.085219732833849</v>
      </c>
      <c r="T41" s="56">
        <f t="shared" ref="T41:T50" si="4">10^((S41- 23.504)/-0.3264)</f>
        <v>1.6569228573841365E-2</v>
      </c>
      <c r="U41" s="56">
        <f>SUM(S41*(LOG($O$37)/LOG(2)))</f>
        <v>245.12674050868952</v>
      </c>
      <c r="V41" s="56">
        <f t="shared" ref="V41:V50" si="5">10^((U41- 23.504)/-0.3264)</f>
        <v>0</v>
      </c>
      <c r="W41" s="6"/>
      <c r="X41" s="135"/>
      <c r="Y41" s="49" t="s">
        <v>35</v>
      </c>
      <c r="Z41" s="49">
        <f>AVERAGE(H10:H11)</f>
        <v>18.403576896307598</v>
      </c>
      <c r="AA41" s="56">
        <f t="shared" ref="AA41:AA50" si="6">10^((Z41- 20.987)/-3.3402)</f>
        <v>5.9351767632277577</v>
      </c>
      <c r="AB41" s="56">
        <f>SUM(Z41*(LOG($T$37)/LOG(2)))</f>
        <v>18.302903759734207</v>
      </c>
      <c r="AC41" s="56">
        <f t="shared" ref="AC41:AC50" si="7">10^((AB41- 20.987)/-3.3402)</f>
        <v>6.3617047681602674</v>
      </c>
      <c r="AD41" s="6"/>
      <c r="AE41" s="135"/>
      <c r="AF41" s="49" t="s">
        <v>35</v>
      </c>
      <c r="AG41" s="49">
        <f>AVERAGE(W10:W11)</f>
        <v>19.37348188956225</v>
      </c>
      <c r="AH41" s="56">
        <f t="shared" ref="AH41:AH50" si="8">10^((AG41-22.137)/-3.2321)</f>
        <v>7.1618045620137432</v>
      </c>
      <c r="AI41" s="56">
        <f>SUM(AG41*(LOG($Y$37)/LOG(2)))</f>
        <v>19.911919119064489</v>
      </c>
      <c r="AJ41" s="56">
        <f t="shared" ref="AJ41:AJ50" si="9">10^((AI41-22.137)/-3.2321)</f>
        <v>4.8801361938094052</v>
      </c>
      <c r="AK41" s="6"/>
      <c r="AL41" s="135" t="s">
        <v>21</v>
      </c>
      <c r="AM41" s="49" t="s">
        <v>35</v>
      </c>
      <c r="AN41" s="49">
        <f>AVERAGE(N13:N14)</f>
        <v>18.922921426063599</v>
      </c>
      <c r="AO41" s="56">
        <f t="shared" ref="AO41:AO50" si="10">10^((AN41-21.6)/-3.5861)</f>
        <v>5.578472747794649</v>
      </c>
      <c r="AP41" s="49">
        <f>SUM(AN41*(LOG($AD$37)/LOG(2)))</f>
        <v>17.52895466456226</v>
      </c>
      <c r="AQ41" s="56">
        <f t="shared" ref="AQ41:AQ50" si="11">10^((AP41-21.6)/-3.5861)</f>
        <v>13.653034023133142</v>
      </c>
      <c r="AR41" s="43"/>
      <c r="AS41" s="43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7"/>
      <c r="C42" s="133"/>
      <c r="D42" s="50" t="s">
        <v>36</v>
      </c>
      <c r="E42" s="50">
        <f>AVERAGE(I4:I5)</f>
        <v>21.2216726076004</v>
      </c>
      <c r="F42" s="57">
        <f t="shared" si="0"/>
        <v>5.5986236469729596</v>
      </c>
      <c r="G42" s="57">
        <f>SUM(E42*(LOG(E37)/LOG(2)))</f>
        <v>21.142929687097539</v>
      </c>
      <c r="H42" s="57">
        <f t="shared" si="1"/>
        <v>5.9114946605552712</v>
      </c>
      <c r="I42" s="6"/>
      <c r="J42" s="135"/>
      <c r="K42" s="50" t="s">
        <v>36</v>
      </c>
      <c r="L42" s="50">
        <f>AVERAGE(X4:X5)</f>
        <v>20.418958541815698</v>
      </c>
      <c r="M42" s="57">
        <f t="shared" si="2"/>
        <v>3.9684048098231717</v>
      </c>
      <c r="N42" s="57">
        <f t="shared" ref="N42:N48" si="12">SUM(L42*(LOG($J$37)/LOG(2)))</f>
        <v>12.131402723588049</v>
      </c>
      <c r="O42" s="57">
        <f t="shared" si="3"/>
        <v>120.45903761245194</v>
      </c>
      <c r="P42" s="6"/>
      <c r="Q42" s="135"/>
      <c r="R42" s="50" t="s">
        <v>36</v>
      </c>
      <c r="S42" s="50">
        <f>AVERAGE(O7:O8)</f>
        <v>24.7620341703003</v>
      </c>
      <c r="T42" s="57">
        <f t="shared" si="4"/>
        <v>1.3987131081134014E-4</v>
      </c>
      <c r="U42" s="57">
        <f>SUM(S42*(LOG($O$37)/LOG(2)))</f>
        <v>252.0150030541711</v>
      </c>
      <c r="V42" s="57">
        <f t="shared" si="5"/>
        <v>0</v>
      </c>
      <c r="W42" s="6"/>
      <c r="X42" s="135"/>
      <c r="Y42" s="50" t="s">
        <v>36</v>
      </c>
      <c r="Z42" s="50">
        <f>AVERAGE(I10:I11)</f>
        <v>19.609465670847797</v>
      </c>
      <c r="AA42" s="57">
        <f t="shared" si="6"/>
        <v>2.5847035102638491</v>
      </c>
      <c r="AB42" s="57">
        <f t="shared" ref="AB42:AB50" si="13">SUM(Z42*(LOG($T$37)/LOG(2)))</f>
        <v>19.502195957642829</v>
      </c>
      <c r="AC42" s="57">
        <f t="shared" si="7"/>
        <v>2.7830787172678115</v>
      </c>
      <c r="AD42" s="6"/>
      <c r="AE42" s="135"/>
      <c r="AF42" s="50" t="s">
        <v>36</v>
      </c>
      <c r="AG42" s="50">
        <f>AVERAGE(X10:X11)</f>
        <v>20.3283938613191</v>
      </c>
      <c r="AH42" s="57">
        <f t="shared" si="8"/>
        <v>3.6272389795429536</v>
      </c>
      <c r="AI42" s="57">
        <f t="shared" ref="AI42:AI50" si="14">SUM(AG42*(LOG($Y$37)/LOG(2)))</f>
        <v>20.893370468689618</v>
      </c>
      <c r="AJ42" s="57">
        <f t="shared" si="9"/>
        <v>2.4253502213847113</v>
      </c>
      <c r="AK42" s="6"/>
      <c r="AL42" s="135"/>
      <c r="AM42" s="50" t="s">
        <v>36</v>
      </c>
      <c r="AN42" s="50">
        <f>AVERAGE(O13:O14)</f>
        <v>19.9046747323288</v>
      </c>
      <c r="AO42" s="57">
        <f t="shared" si="10"/>
        <v>2.9699492071709903</v>
      </c>
      <c r="AP42" s="50">
        <f t="shared" ref="AP42:AP50" si="15">SUM(AN42*(LOG($AD$37)/LOG(2)))</f>
        <v>18.438386607433603</v>
      </c>
      <c r="AQ42" s="57">
        <f t="shared" si="11"/>
        <v>7.6143005259570593</v>
      </c>
      <c r="AR42" s="43"/>
      <c r="AS42" s="43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7"/>
      <c r="C43" s="133"/>
      <c r="D43" s="51" t="s">
        <v>37</v>
      </c>
      <c r="E43" s="51">
        <f>AVERAGE(J4:J5)</f>
        <v>19.539683286491098</v>
      </c>
      <c r="F43" s="58">
        <f t="shared" si="0"/>
        <v>17.886764121067145</v>
      </c>
      <c r="G43" s="58">
        <f>SUM(E43*(LOG(E37)/LOG(2)))</f>
        <v>19.467181379778605</v>
      </c>
      <c r="H43" s="58">
        <f t="shared" si="1"/>
        <v>18.805117268097451</v>
      </c>
      <c r="I43" s="6"/>
      <c r="J43" s="135"/>
      <c r="K43" s="51" t="s">
        <v>37</v>
      </c>
      <c r="L43" s="51">
        <f>AVERAGE(Y4:Y5)</f>
        <v>17.590481388337402</v>
      </c>
      <c r="M43" s="58">
        <f t="shared" si="2"/>
        <v>12.719999089487878</v>
      </c>
      <c r="N43" s="58">
        <f t="shared" si="12"/>
        <v>10.45093526130082</v>
      </c>
      <c r="O43" s="58">
        <f t="shared" si="3"/>
        <v>240.65217493987947</v>
      </c>
      <c r="P43" s="6"/>
      <c r="Q43" s="135"/>
      <c r="R43" s="51" t="s">
        <v>37</v>
      </c>
      <c r="S43" s="51">
        <f>AVERAGE(P7:P8)</f>
        <v>23.2142048103515</v>
      </c>
      <c r="T43" s="58">
        <f t="shared" si="4"/>
        <v>7.7241893139533548</v>
      </c>
      <c r="U43" s="58">
        <f t="shared" ref="U43:U50" si="16">SUM(S43*(LOG($O$37)/LOG(2)))</f>
        <v>236.26200723031866</v>
      </c>
      <c r="V43" s="58">
        <f t="shared" si="5"/>
        <v>0</v>
      </c>
      <c r="W43" s="6"/>
      <c r="X43" s="135"/>
      <c r="Y43" s="51" t="s">
        <v>37</v>
      </c>
      <c r="Z43" s="51">
        <f>AVERAGE(J10:J11)</f>
        <v>17.874863664629601</v>
      </c>
      <c r="AA43" s="58">
        <f t="shared" si="6"/>
        <v>8.5451866673618984</v>
      </c>
      <c r="AB43" s="58">
        <f t="shared" si="13"/>
        <v>17.777082749480378</v>
      </c>
      <c r="AC43" s="58">
        <f t="shared" si="7"/>
        <v>9.1410382111942532</v>
      </c>
      <c r="AD43" s="6"/>
      <c r="AE43" s="135"/>
      <c r="AF43" s="51" t="s">
        <v>37</v>
      </c>
      <c r="AG43" s="51">
        <f>AVERAGE(Y10:Y11)</f>
        <v>18.9210509912796</v>
      </c>
      <c r="AH43" s="58">
        <f t="shared" si="8"/>
        <v>9.8855979125831617</v>
      </c>
      <c r="AI43" s="58">
        <f t="shared" si="14"/>
        <v>19.446914041251222</v>
      </c>
      <c r="AJ43" s="58">
        <f t="shared" si="9"/>
        <v>6.7967739216721865</v>
      </c>
      <c r="AK43" s="6"/>
      <c r="AL43" s="135"/>
      <c r="AM43" s="51" t="s">
        <v>37</v>
      </c>
      <c r="AN43" s="51">
        <f>AVERAGE(P13:P14)</f>
        <v>18.142925354310002</v>
      </c>
      <c r="AO43" s="58">
        <f t="shared" si="10"/>
        <v>9.204934525891149</v>
      </c>
      <c r="AP43" s="51">
        <f t="shared" si="15"/>
        <v>16.8064174055176</v>
      </c>
      <c r="AQ43" s="58">
        <f t="shared" si="11"/>
        <v>21.712604112463197</v>
      </c>
      <c r="AR43" s="43"/>
      <c r="AS43" s="43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7"/>
      <c r="C44" s="133"/>
      <c r="D44" s="52" t="s">
        <v>38</v>
      </c>
      <c r="E44" s="52">
        <f>AVERAGE(K4:K5)</f>
        <v>19.671103599441402</v>
      </c>
      <c r="F44" s="59">
        <f t="shared" si="0"/>
        <v>16.334923924389589</v>
      </c>
      <c r="G44" s="59">
        <f>SUM(E44*(LOG(E37)/LOG(2)))</f>
        <v>19.598114058250403</v>
      </c>
      <c r="H44" s="59">
        <f t="shared" si="1"/>
        <v>17.179385701160026</v>
      </c>
      <c r="I44" s="6"/>
      <c r="J44" s="135"/>
      <c r="K44" s="52" t="s">
        <v>38</v>
      </c>
      <c r="L44" s="52">
        <f>AVERAGE(C7:C8)</f>
        <v>18.251859751345101</v>
      </c>
      <c r="M44" s="59">
        <f t="shared" si="2"/>
        <v>9.6872394264393851</v>
      </c>
      <c r="N44" s="59">
        <f t="shared" si="12"/>
        <v>10.843876324278282</v>
      </c>
      <c r="O44" s="59">
        <f t="shared" si="3"/>
        <v>204.69751169051591</v>
      </c>
      <c r="P44" s="6"/>
      <c r="Q44" s="135"/>
      <c r="R44" s="52" t="s">
        <v>38</v>
      </c>
      <c r="S44" s="52">
        <f>AVERAGE(Q7:Q8)</f>
        <v>23.294093778940152</v>
      </c>
      <c r="T44" s="59">
        <f t="shared" si="4"/>
        <v>4.396378142459084</v>
      </c>
      <c r="U44" s="59">
        <f t="shared" si="16"/>
        <v>237.07507527329113</v>
      </c>
      <c r="V44" s="59">
        <f t="shared" si="5"/>
        <v>0</v>
      </c>
      <c r="W44" s="6"/>
      <c r="X44" s="135"/>
      <c r="Y44" s="52" t="s">
        <v>38</v>
      </c>
      <c r="Z44" s="52">
        <f>AVERAGE(K10:K11)</f>
        <v>17.767075981028</v>
      </c>
      <c r="AA44" s="59">
        <f t="shared" si="6"/>
        <v>9.2043130988468977</v>
      </c>
      <c r="AB44" s="59">
        <f t="shared" si="13"/>
        <v>17.66988469713651</v>
      </c>
      <c r="AC44" s="59">
        <f t="shared" si="7"/>
        <v>9.8421238981447789</v>
      </c>
      <c r="AD44" s="6"/>
      <c r="AE44" s="135"/>
      <c r="AF44" s="52" t="s">
        <v>38</v>
      </c>
      <c r="AG44" s="52">
        <f>AVERAGE(C13:C14)</f>
        <v>18.887568519124997</v>
      </c>
      <c r="AH44" s="59">
        <f t="shared" si="8"/>
        <v>10.124236863628681</v>
      </c>
      <c r="AI44" s="59">
        <f t="shared" si="14"/>
        <v>19.412501007948833</v>
      </c>
      <c r="AJ44" s="59">
        <f t="shared" si="9"/>
        <v>6.9654646404105414</v>
      </c>
      <c r="AK44" s="6"/>
      <c r="AL44" s="135"/>
      <c r="AM44" s="52" t="s">
        <v>38</v>
      </c>
      <c r="AN44" s="52">
        <f>AVERAGE(Q13:Q14)</f>
        <v>17.857975279119749</v>
      </c>
      <c r="AO44" s="59">
        <f t="shared" si="10"/>
        <v>11.053003428993359</v>
      </c>
      <c r="AP44" s="52">
        <f t="shared" si="15"/>
        <v>16.54245832450626</v>
      </c>
      <c r="AQ44" s="59">
        <f t="shared" si="11"/>
        <v>25.722790608638487</v>
      </c>
      <c r="AR44" s="43"/>
      <c r="AS44" s="43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7"/>
      <c r="C45" s="133"/>
      <c r="D45" s="52" t="s">
        <v>39</v>
      </c>
      <c r="E45" s="52">
        <f>AVERAGE(L4:L5)</f>
        <v>20.480084466097949</v>
      </c>
      <c r="F45" s="59">
        <f t="shared" si="0"/>
        <v>9.3431477590518135</v>
      </c>
      <c r="G45" s="59">
        <f>SUM(E45*(LOG(E37)/LOG(2)))</f>
        <v>20.404093205049644</v>
      </c>
      <c r="H45" s="59">
        <f t="shared" si="1"/>
        <v>9.8465476323671979</v>
      </c>
      <c r="I45" s="6"/>
      <c r="J45" s="135"/>
      <c r="K45" s="52" t="s">
        <v>39</v>
      </c>
      <c r="L45" s="52">
        <f>AVERAGE(D7:D8)</f>
        <v>19.85469245196785</v>
      </c>
      <c r="M45" s="59">
        <f t="shared" si="2"/>
        <v>5.0065038368099026</v>
      </c>
      <c r="N45" s="59">
        <f t="shared" si="12"/>
        <v>11.796158437490396</v>
      </c>
      <c r="O45" s="59">
        <f t="shared" si="3"/>
        <v>138.29216942244784</v>
      </c>
      <c r="P45" s="6"/>
      <c r="Q45" s="135"/>
      <c r="R45" s="52" t="s">
        <v>39</v>
      </c>
      <c r="S45" s="52">
        <f>AVERAGE(R7:R8)</f>
        <v>24.033950407592997</v>
      </c>
      <c r="T45" s="59">
        <f t="shared" si="4"/>
        <v>2.3789067999354249E-2</v>
      </c>
      <c r="U45" s="59">
        <f t="shared" si="16"/>
        <v>244.6049481927474</v>
      </c>
      <c r="V45" s="59">
        <f t="shared" si="5"/>
        <v>0</v>
      </c>
      <c r="W45" s="6"/>
      <c r="X45" s="135"/>
      <c r="Y45" s="52" t="s">
        <v>39</v>
      </c>
      <c r="Z45" s="52">
        <f>AVERAGE(L10:L11)</f>
        <v>18.549453209291499</v>
      </c>
      <c r="AA45" s="59">
        <f t="shared" si="6"/>
        <v>5.3673600594493642</v>
      </c>
      <c r="AB45" s="59">
        <f t="shared" si="13"/>
        <v>18.447982085127837</v>
      </c>
      <c r="AC45" s="59">
        <f t="shared" si="7"/>
        <v>5.7562478737164309</v>
      </c>
      <c r="AD45" s="6"/>
      <c r="AE45" s="135"/>
      <c r="AF45" s="52" t="s">
        <v>39</v>
      </c>
      <c r="AG45" s="52">
        <f>AVERAGE(D13:D14)</f>
        <v>19.6760479559217</v>
      </c>
      <c r="AH45" s="59">
        <f t="shared" si="8"/>
        <v>5.7731072207819221</v>
      </c>
      <c r="AI45" s="59">
        <f t="shared" si="14"/>
        <v>20.222894248670322</v>
      </c>
      <c r="AJ45" s="59">
        <f t="shared" si="9"/>
        <v>3.9103656281994046</v>
      </c>
      <c r="AK45" s="6"/>
      <c r="AL45" s="135"/>
      <c r="AM45" s="52" t="s">
        <v>39</v>
      </c>
      <c r="AN45" s="52">
        <f>AVERAGE(R13:R14)</f>
        <v>18.790004821703999</v>
      </c>
      <c r="AO45" s="59">
        <f t="shared" si="10"/>
        <v>6.0754675349264664</v>
      </c>
      <c r="AP45" s="52">
        <f t="shared" si="15"/>
        <v>17.405829430380507</v>
      </c>
      <c r="AQ45" s="59">
        <f t="shared" si="11"/>
        <v>14.776214736373003</v>
      </c>
      <c r="AR45" s="43"/>
      <c r="AS45" s="43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7"/>
      <c r="C46" s="133"/>
      <c r="D46" s="52" t="s">
        <v>40</v>
      </c>
      <c r="E46" s="52">
        <f>AVERAGE(M4:M5)</f>
        <v>20.649072646659999</v>
      </c>
      <c r="F46" s="59">
        <f t="shared" si="0"/>
        <v>8.3140275766918599</v>
      </c>
      <c r="G46" s="59">
        <f>SUM(E46*(LOG(E37)/LOG(2)))</f>
        <v>20.572454355729835</v>
      </c>
      <c r="H46" s="59">
        <f t="shared" si="1"/>
        <v>8.7657742958376339</v>
      </c>
      <c r="I46" s="6"/>
      <c r="J46" s="135"/>
      <c r="K46" s="52" t="s">
        <v>40</v>
      </c>
      <c r="L46" s="52">
        <f>AVERAGE(E7:E8)</f>
        <v>20.086547643977148</v>
      </c>
      <c r="M46" s="59">
        <f t="shared" si="2"/>
        <v>4.5505869634395948</v>
      </c>
      <c r="N46" s="59">
        <f t="shared" si="12"/>
        <v>11.933909278311171</v>
      </c>
      <c r="O46" s="59">
        <f t="shared" si="3"/>
        <v>130.66550472220814</v>
      </c>
      <c r="P46" s="6"/>
      <c r="Q46" s="135"/>
      <c r="R46" s="52" t="s">
        <v>40</v>
      </c>
      <c r="S46" s="52">
        <f>AVERAGE(S7:S8)</f>
        <v>24.10730064876325</v>
      </c>
      <c r="T46" s="59">
        <f t="shared" si="4"/>
        <v>1.4179222716432804E-2</v>
      </c>
      <c r="U46" s="59">
        <f t="shared" si="16"/>
        <v>245.35146849578121</v>
      </c>
      <c r="V46" s="59">
        <f t="shared" si="5"/>
        <v>0</v>
      </c>
      <c r="W46" s="6"/>
      <c r="X46" s="135"/>
      <c r="Y46" s="52" t="s">
        <v>40</v>
      </c>
      <c r="Z46" s="52">
        <f>AVERAGE(M10:M11)</f>
        <v>18.233584079289052</v>
      </c>
      <c r="AA46" s="59">
        <f t="shared" si="6"/>
        <v>6.6730850994465083</v>
      </c>
      <c r="AB46" s="59">
        <f t="shared" si="13"/>
        <v>18.133840854883314</v>
      </c>
      <c r="AC46" s="59">
        <f t="shared" si="7"/>
        <v>7.1480587943570857</v>
      </c>
      <c r="AD46" s="6"/>
      <c r="AE46" s="135"/>
      <c r="AF46" s="52" t="s">
        <v>40</v>
      </c>
      <c r="AG46" s="52">
        <f>AVERAGE(E13:E14)</f>
        <v>19.6122237053604</v>
      </c>
      <c r="AH46" s="59">
        <f t="shared" si="8"/>
        <v>6.0416646392046225</v>
      </c>
      <c r="AI46" s="59">
        <f t="shared" si="14"/>
        <v>20.157296163501325</v>
      </c>
      <c r="AJ46" s="59">
        <f t="shared" si="9"/>
        <v>4.0974454090961192</v>
      </c>
      <c r="AK46" s="6"/>
      <c r="AL46" s="135"/>
      <c r="AM46" s="52" t="s">
        <v>40</v>
      </c>
      <c r="AN46" s="52">
        <f>AVERAGE(S13:S14)</f>
        <v>18.672973052730597</v>
      </c>
      <c r="AO46" s="59">
        <f t="shared" si="10"/>
        <v>6.549596358545501</v>
      </c>
      <c r="AP46" s="52">
        <f t="shared" si="15"/>
        <v>17.297418866997692</v>
      </c>
      <c r="AQ46" s="59">
        <f t="shared" si="11"/>
        <v>15.841414716954278</v>
      </c>
      <c r="AR46" s="43"/>
      <c r="AS46" s="43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7"/>
      <c r="C47" s="133"/>
      <c r="D47" s="53" t="s">
        <v>41</v>
      </c>
      <c r="E47" s="53">
        <f>AVERAGE(N4:N5)</f>
        <v>19.8537473758958</v>
      </c>
      <c r="F47" s="60">
        <f t="shared" si="0"/>
        <v>14.399249889507066</v>
      </c>
      <c r="G47" s="60">
        <f>SUM(E47*(LOG(E37)/LOG(2)))</f>
        <v>19.78008013579597</v>
      </c>
      <c r="H47" s="60">
        <f t="shared" si="1"/>
        <v>15.150732608503528</v>
      </c>
      <c r="I47" s="6"/>
      <c r="J47" s="135"/>
      <c r="K47" s="53" t="s">
        <v>41</v>
      </c>
      <c r="L47" s="53">
        <f>AVERAGE(F7:F8)</f>
        <v>17.657839862922501</v>
      </c>
      <c r="M47" s="60">
        <f t="shared" si="2"/>
        <v>12.372004386026152</v>
      </c>
      <c r="N47" s="60">
        <f t="shared" si="12"/>
        <v>10.490954578660467</v>
      </c>
      <c r="O47" s="60">
        <f t="shared" si="3"/>
        <v>236.718589724499</v>
      </c>
      <c r="P47" s="6"/>
      <c r="Q47" s="135"/>
      <c r="R47" s="53" t="s">
        <v>41</v>
      </c>
      <c r="S47" s="53">
        <f>AVERAGE(T7:T8)</f>
        <v>23.520432158761299</v>
      </c>
      <c r="T47" s="60">
        <f t="shared" si="4"/>
        <v>0.89054603905603635</v>
      </c>
      <c r="U47" s="60">
        <f t="shared" si="16"/>
        <v>239.3786286522101</v>
      </c>
      <c r="V47" s="60">
        <f t="shared" si="5"/>
        <v>0</v>
      </c>
      <c r="W47" s="6"/>
      <c r="X47" s="135"/>
      <c r="Y47" s="53" t="s">
        <v>41</v>
      </c>
      <c r="Z47" s="53">
        <f>AVERAGE(N10:N11)</f>
        <v>17.730064882331298</v>
      </c>
      <c r="AA47" s="60">
        <f t="shared" si="6"/>
        <v>9.4421715624155507</v>
      </c>
      <c r="AB47" s="60">
        <f t="shared" si="13"/>
        <v>17.633076060353318</v>
      </c>
      <c r="AC47" s="60">
        <f t="shared" si="7"/>
        <v>10.095055662952024</v>
      </c>
      <c r="AD47" s="6"/>
      <c r="AE47" s="135"/>
      <c r="AF47" s="53" t="s">
        <v>41</v>
      </c>
      <c r="AG47" s="53">
        <f>AVERAGE(F13:F14)</f>
        <v>19.067622815924651</v>
      </c>
      <c r="AH47" s="60">
        <f t="shared" si="8"/>
        <v>8.9054147753802333</v>
      </c>
      <c r="AI47" s="60">
        <f t="shared" si="14"/>
        <v>19.59755946132093</v>
      </c>
      <c r="AJ47" s="60">
        <f t="shared" si="9"/>
        <v>6.1051126046834767</v>
      </c>
      <c r="AK47" s="6"/>
      <c r="AL47" s="135"/>
      <c r="AM47" s="53" t="s">
        <v>41</v>
      </c>
      <c r="AN47" s="53">
        <f>AVERAGE(T13:T14)</f>
        <v>18.21554082527215</v>
      </c>
      <c r="AO47" s="60">
        <f t="shared" si="10"/>
        <v>8.7856026098001561</v>
      </c>
      <c r="AP47" s="53">
        <f t="shared" si="15"/>
        <v>16.87368362037849</v>
      </c>
      <c r="AQ47" s="60">
        <f t="shared" si="11"/>
        <v>20.794784760633945</v>
      </c>
      <c r="AR47" s="43"/>
      <c r="AS47" s="43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7"/>
      <c r="C48" s="133"/>
      <c r="D48" s="54" t="s">
        <v>42</v>
      </c>
      <c r="E48" s="54">
        <f>AVERAGE(O4:O5)</f>
        <v>21.323609221564702</v>
      </c>
      <c r="F48" s="61">
        <f t="shared" si="0"/>
        <v>5.2180610493440778</v>
      </c>
      <c r="G48" s="61">
        <f>SUM(E48*(LOG(E37)/LOG(2)))</f>
        <v>21.244488065715448</v>
      </c>
      <c r="H48" s="61">
        <f t="shared" si="1"/>
        <v>5.5111041829196754</v>
      </c>
      <c r="I48" s="6"/>
      <c r="J48" s="135"/>
      <c r="K48" s="54" t="s">
        <v>42</v>
      </c>
      <c r="L48" s="54">
        <f>AVERAGE(G7:G8)</f>
        <v>19.671266457102099</v>
      </c>
      <c r="M48" s="61">
        <f t="shared" si="2"/>
        <v>5.3993335970824843</v>
      </c>
      <c r="N48" s="61">
        <f t="shared" si="12"/>
        <v>11.687180567285399</v>
      </c>
      <c r="O48" s="61">
        <f t="shared" si="3"/>
        <v>144.63993021206619</v>
      </c>
      <c r="P48" s="6"/>
      <c r="Q48" s="135"/>
      <c r="R48" s="54" t="s">
        <v>42</v>
      </c>
      <c r="S48" s="54">
        <f>AVERAGE(U7:U8)</f>
        <v>24.50906292093525</v>
      </c>
      <c r="T48" s="61">
        <f t="shared" si="4"/>
        <v>8.3322656916295934E-4</v>
      </c>
      <c r="U48" s="61">
        <f t="shared" si="16"/>
        <v>249.44039429049306</v>
      </c>
      <c r="V48" s="61">
        <f t="shared" si="5"/>
        <v>0</v>
      </c>
      <c r="W48" s="6"/>
      <c r="X48" s="135"/>
      <c r="Y48" s="54" t="s">
        <v>42</v>
      </c>
      <c r="Z48" s="54">
        <f>AVERAGE(O10:O11)</f>
        <v>18.72722445111355</v>
      </c>
      <c r="AA48" s="61">
        <f t="shared" si="6"/>
        <v>4.7483092304232501</v>
      </c>
      <c r="AB48" s="61">
        <f t="shared" si="13"/>
        <v>18.624780864443949</v>
      </c>
      <c r="AC48" s="61">
        <f t="shared" si="7"/>
        <v>5.0957591192464742</v>
      </c>
      <c r="AD48" s="6"/>
      <c r="AE48" s="135"/>
      <c r="AF48" s="54" t="s">
        <v>42</v>
      </c>
      <c r="AG48" s="54">
        <f>AVERAGE(G13:G14)</f>
        <v>20.064741154524601</v>
      </c>
      <c r="AH48" s="61">
        <f t="shared" si="8"/>
        <v>4.3767260075502437</v>
      </c>
      <c r="AI48" s="61">
        <f t="shared" si="14"/>
        <v>20.622390197660334</v>
      </c>
      <c r="AJ48" s="61">
        <f t="shared" si="9"/>
        <v>2.941811025486988</v>
      </c>
      <c r="AK48" s="6"/>
      <c r="AL48" s="135"/>
      <c r="AM48" s="54" t="s">
        <v>42</v>
      </c>
      <c r="AN48" s="54">
        <f>AVERAGE(U13:U14)</f>
        <v>19.312012679767498</v>
      </c>
      <c r="AO48" s="61">
        <f t="shared" si="10"/>
        <v>4.3452571420339581</v>
      </c>
      <c r="AP48" s="54">
        <f t="shared" si="15"/>
        <v>17.889383310487897</v>
      </c>
      <c r="AQ48" s="61">
        <f t="shared" si="11"/>
        <v>10.832333813633509</v>
      </c>
      <c r="AR48" s="43"/>
      <c r="AS48" s="43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4"/>
      <c r="C49" s="134"/>
      <c r="D49" s="55" t="s">
        <v>43</v>
      </c>
      <c r="E49" s="55">
        <f>AVERAGE(P4:P5)</f>
        <v>19.921698850663748</v>
      </c>
      <c r="F49" s="62">
        <f t="shared" si="0"/>
        <v>13.739164908128918</v>
      </c>
      <c r="G49" s="62">
        <f>SUM(E49*(LOG(E37)/LOG(2)))</f>
        <v>19.847779476923247</v>
      </c>
      <c r="H49" s="62">
        <f t="shared" si="1"/>
        <v>14.458715732546729</v>
      </c>
      <c r="I49" s="6"/>
      <c r="J49" s="136"/>
      <c r="K49" s="55" t="s">
        <v>43</v>
      </c>
      <c r="L49" s="55">
        <f>AVERAGE(H7:H8)</f>
        <v>17.752627037346798</v>
      </c>
      <c r="M49" s="62">
        <f t="shared" si="2"/>
        <v>11.898369373175564</v>
      </c>
      <c r="N49" s="62">
        <f>SUM(L49*(LOG($J$37)/LOG(2)))</f>
        <v>10.547269957508867</v>
      </c>
      <c r="O49" s="62">
        <f t="shared" si="3"/>
        <v>231.29188715922342</v>
      </c>
      <c r="P49" s="6"/>
      <c r="Q49" s="136"/>
      <c r="R49" s="55" t="s">
        <v>43</v>
      </c>
      <c r="S49" s="55">
        <f>AVERAGE(V7:V8)</f>
        <v>23.714471375913448</v>
      </c>
      <c r="T49" s="62">
        <f t="shared" si="4"/>
        <v>0.22655491094661417</v>
      </c>
      <c r="U49" s="62">
        <f t="shared" si="16"/>
        <v>241.35345808532185</v>
      </c>
      <c r="V49" s="62">
        <f t="shared" si="5"/>
        <v>0</v>
      </c>
      <c r="W49" s="6"/>
      <c r="X49" s="136"/>
      <c r="Y49" s="55" t="s">
        <v>43</v>
      </c>
      <c r="Z49" s="55">
        <f>AVERAGE(P10:P11)</f>
        <v>17.6505502111151</v>
      </c>
      <c r="AA49" s="62">
        <f t="shared" si="6"/>
        <v>9.9741811033327981</v>
      </c>
      <c r="AB49" s="62">
        <f t="shared" si="13"/>
        <v>17.553996358458573</v>
      </c>
      <c r="AC49" s="62">
        <f t="shared" si="7"/>
        <v>10.660654233421543</v>
      </c>
      <c r="AD49" s="6"/>
      <c r="AE49" s="136"/>
      <c r="AF49" s="55" t="s">
        <v>43</v>
      </c>
      <c r="AG49" s="55">
        <f>AVERAGE(H13:H14)</f>
        <v>19.056960073290199</v>
      </c>
      <c r="AH49" s="62">
        <f t="shared" si="8"/>
        <v>8.9733202093728899</v>
      </c>
      <c r="AI49" s="62">
        <f t="shared" si="14"/>
        <v>19.586600374558163</v>
      </c>
      <c r="AJ49" s="62">
        <f t="shared" si="9"/>
        <v>6.1529640871681615</v>
      </c>
      <c r="AK49" s="6"/>
      <c r="AL49" s="136"/>
      <c r="AM49" s="55" t="s">
        <v>43</v>
      </c>
      <c r="AN49" s="55">
        <f>AVERAGE(V13:V14)</f>
        <v>18.305970398734402</v>
      </c>
      <c r="AO49" s="62">
        <f t="shared" si="10"/>
        <v>8.2900063835324769</v>
      </c>
      <c r="AP49" s="55">
        <f t="shared" si="15"/>
        <v>16.957451652695752</v>
      </c>
      <c r="AQ49" s="62">
        <f t="shared" si="11"/>
        <v>19.705857575391185</v>
      </c>
      <c r="AR49" s="43"/>
      <c r="AS49" s="43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29" t="s">
        <v>34</v>
      </c>
      <c r="D50" s="130"/>
      <c r="E50" s="64">
        <f>AVERAGE(Q4:Q5)</f>
        <v>36.799357740483103</v>
      </c>
      <c r="F50" s="63">
        <f t="shared" si="0"/>
        <v>1.1916002892968308E-4</v>
      </c>
      <c r="G50" s="63">
        <f>SUM(E50*(LOG(E37)/LOG(2)))</f>
        <v>36.662813889548495</v>
      </c>
      <c r="H50" s="63">
        <f t="shared" si="1"/>
        <v>1.3094287719184791E-4</v>
      </c>
      <c r="I50" s="6"/>
      <c r="J50" s="129" t="s">
        <v>34</v>
      </c>
      <c r="K50" s="130"/>
      <c r="L50" s="64">
        <f>AVERAGE(Z4:Z5)</f>
        <v>36.808349658252098</v>
      </c>
      <c r="M50" s="63">
        <f t="shared" si="2"/>
        <v>4.6492736159485706E-3</v>
      </c>
      <c r="N50" s="63">
        <f>SUM(L50*(LOG($J$37)/LOG(2)))</f>
        <v>21.868740875321535</v>
      </c>
      <c r="O50" s="63">
        <f t="shared" si="3"/>
        <v>2.1843560784795302</v>
      </c>
      <c r="P50" s="6"/>
      <c r="Q50" s="129" t="s">
        <v>34</v>
      </c>
      <c r="R50" s="130"/>
      <c r="S50" s="64">
        <f>AVERAGE(W7:W8)</f>
        <v>31.306253781104349</v>
      </c>
      <c r="T50" s="63">
        <f t="shared" si="4"/>
        <v>1.2474875207573481E-24</v>
      </c>
      <c r="U50" s="63">
        <f t="shared" si="16"/>
        <v>318.61863964805229</v>
      </c>
      <c r="V50" s="63">
        <f t="shared" si="5"/>
        <v>0</v>
      </c>
      <c r="W50" s="6"/>
      <c r="X50" s="129" t="s">
        <v>34</v>
      </c>
      <c r="Y50" s="130"/>
      <c r="Z50" s="64" t="e">
        <f>AVERAGE(Q10:Q11)</f>
        <v>#DIV/0!</v>
      </c>
      <c r="AA50" s="63" t="e">
        <f t="shared" si="6"/>
        <v>#DIV/0!</v>
      </c>
      <c r="AB50" s="63" t="e">
        <f t="shared" si="13"/>
        <v>#DIV/0!</v>
      </c>
      <c r="AC50" s="63" t="e">
        <f t="shared" si="7"/>
        <v>#DIV/0!</v>
      </c>
      <c r="AD50" s="6"/>
      <c r="AE50" s="131" t="s">
        <v>34</v>
      </c>
      <c r="AF50" s="132"/>
      <c r="AG50" s="64">
        <f>AVERAGE(Z10:Z11)</f>
        <v>39.334296498518654</v>
      </c>
      <c r="AH50" s="63">
        <f t="shared" si="8"/>
        <v>4.7777005847675131E-6</v>
      </c>
      <c r="AI50" s="63">
        <f t="shared" si="14"/>
        <v>40.427494394065384</v>
      </c>
      <c r="AJ50" s="63">
        <f t="shared" si="9"/>
        <v>2.1927416772691689E-6</v>
      </c>
      <c r="AK50" s="6"/>
      <c r="AL50" s="131" t="s">
        <v>34</v>
      </c>
      <c r="AM50" s="132"/>
      <c r="AN50" s="64">
        <f>AVERAGE(W13:W14)</f>
        <v>34.854492722654953</v>
      </c>
      <c r="AO50" s="63">
        <f t="shared" si="10"/>
        <v>2.0133788940483472E-4</v>
      </c>
      <c r="AP50" s="64">
        <f t="shared" si="15"/>
        <v>32.286918548962561</v>
      </c>
      <c r="AQ50" s="63">
        <f t="shared" si="11"/>
        <v>1.0468996061030642E-3</v>
      </c>
      <c r="AR50" s="43"/>
      <c r="AS50" s="43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38" t="s">
        <v>73</v>
      </c>
      <c r="D51" s="139"/>
      <c r="E51" s="87">
        <f>AVERAGE(E41:E49)</f>
        <v>20.360285836186947</v>
      </c>
      <c r="F51" s="87">
        <f>AVERAGE(F41:F49)</f>
        <v>11.060304655640529</v>
      </c>
      <c r="G51" s="87">
        <f>AVERAGE(G41:G49)</f>
        <v>20.284739087414643</v>
      </c>
      <c r="H51" s="87">
        <f>AVERAGE(H41:H49)</f>
        <v>11.645474063218943</v>
      </c>
      <c r="I51" s="6"/>
      <c r="J51" s="138" t="s">
        <v>73</v>
      </c>
      <c r="K51" s="139"/>
      <c r="L51" s="87">
        <f>AVERAGE(L41:L49)</f>
        <v>19.048845209560799</v>
      </c>
      <c r="M51" s="87">
        <f>AVERAGE(M41:M49)</f>
        <v>7.7806590790347467</v>
      </c>
      <c r="N51" s="87">
        <f>AVERAGE(N41:N49)</f>
        <v>11.317384879509339</v>
      </c>
      <c r="O51" s="87">
        <f>AVERAGE(O41:O49)</f>
        <v>175.10018078124702</v>
      </c>
      <c r="P51" s="6"/>
      <c r="Q51" s="138" t="s">
        <v>73</v>
      </c>
      <c r="R51" s="139"/>
      <c r="S51" s="87">
        <f>AVERAGE(S41:S49)</f>
        <v>23.915641111599118</v>
      </c>
      <c r="T51" s="87">
        <f>AVERAGE(T41:T49)</f>
        <v>1.4770198915094104</v>
      </c>
      <c r="U51" s="87">
        <f>AVERAGE(U41:U49)</f>
        <v>243.40085819811378</v>
      </c>
      <c r="V51" s="87">
        <f>AVERAGE(V41:V49)</f>
        <v>0</v>
      </c>
      <c r="W51" s="6"/>
      <c r="X51" s="138" t="s">
        <v>73</v>
      </c>
      <c r="Y51" s="139"/>
      <c r="Z51" s="87">
        <f>AVERAGE(Z41:Z49)</f>
        <v>18.282873227328167</v>
      </c>
      <c r="AA51" s="87">
        <f>AVERAGE(AA41:AA49)</f>
        <v>6.9416096771964302</v>
      </c>
      <c r="AB51" s="87">
        <f>AVERAGE(AB41:AB49)</f>
        <v>18.182860376362321</v>
      </c>
      <c r="AC51" s="87">
        <f>AVERAGE(AC41:AC49)</f>
        <v>7.4315245864956303</v>
      </c>
      <c r="AD51" s="6"/>
      <c r="AE51" s="138" t="s">
        <v>73</v>
      </c>
      <c r="AF51" s="139"/>
      <c r="AG51" s="87">
        <f>AVERAGE(AG41:AG49)</f>
        <v>19.443121218478609</v>
      </c>
      <c r="AH51" s="87">
        <f>AVERAGE(AH41:AH49)</f>
        <v>7.2076790188953845</v>
      </c>
      <c r="AI51" s="87">
        <f>AVERAGE(AI41:AI49)</f>
        <v>19.983493898073917</v>
      </c>
      <c r="AJ51" s="87">
        <f>AVERAGE(AJ41:AJ49)</f>
        <v>4.9194915257678877</v>
      </c>
      <c r="AK51" s="6"/>
      <c r="AL51" s="138" t="s">
        <v>73</v>
      </c>
      <c r="AM51" s="139"/>
      <c r="AN51" s="87">
        <f>AVERAGE(AN41:AN49)</f>
        <v>18.680555396670091</v>
      </c>
      <c r="AO51" s="87">
        <f>AVERAGE(AO41:AO49)</f>
        <v>6.9835877709654115</v>
      </c>
      <c r="AP51" s="87">
        <f>AVERAGE(AP41:AP49)</f>
        <v>17.304442653662232</v>
      </c>
      <c r="AQ51" s="87">
        <f>AVERAGE(AQ41:AQ49)</f>
        <v>16.739259430353087</v>
      </c>
      <c r="AR51" s="43"/>
      <c r="AS51" s="43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38" t="s">
        <v>74</v>
      </c>
      <c r="D52" s="139"/>
      <c r="E52" s="87">
        <f>(E53/SQRT(9))</f>
        <v>0.20530441566852994</v>
      </c>
      <c r="F52" s="87">
        <f>(F53/SQRT(9))</f>
        <v>1.4602938693628256</v>
      </c>
      <c r="G52" s="87">
        <f>(G53/SQRT(9))</f>
        <v>0.20454263456009436</v>
      </c>
      <c r="H52" s="87">
        <f>(H53/SQRT(9))</f>
        <v>1.5323679448333591</v>
      </c>
      <c r="I52" s="6"/>
      <c r="J52" s="138" t="s">
        <v>74</v>
      </c>
      <c r="K52" s="139"/>
      <c r="L52" s="87">
        <f>(L53/SQRT(9))</f>
        <v>0.37830420912485069</v>
      </c>
      <c r="M52" s="87">
        <f>(M53/SQRT(9))</f>
        <v>1.1950101899764711</v>
      </c>
      <c r="N52" s="87">
        <f>(N53/SQRT(9))</f>
        <v>0.22475978407633032</v>
      </c>
      <c r="O52" s="87">
        <f>(O53/SQRT(9))</f>
        <v>16.308425969620888</v>
      </c>
      <c r="P52" s="6"/>
      <c r="Q52" s="138" t="s">
        <v>74</v>
      </c>
      <c r="R52" s="139"/>
      <c r="S52" s="87">
        <f>(S53/SQRT(9))</f>
        <v>0.16566407258197596</v>
      </c>
      <c r="T52" s="87">
        <f>(T53/SQRT(9))</f>
        <v>0.86211334570806708</v>
      </c>
      <c r="U52" s="87">
        <f>(U53/SQRT(9))</f>
        <v>1.6860420864691328</v>
      </c>
      <c r="V52" s="87">
        <f>(V53/SQRT(9))</f>
        <v>0</v>
      </c>
      <c r="W52" s="6"/>
      <c r="X52" s="138" t="s">
        <v>74</v>
      </c>
      <c r="Y52" s="139"/>
      <c r="Z52" s="87">
        <f>(Z53/SQRT(9))</f>
        <v>0.19824250237441662</v>
      </c>
      <c r="AA52" s="87">
        <f>(AA53/SQRT(9))</f>
        <v>0.78956979886446621</v>
      </c>
      <c r="AB52" s="87">
        <f>(AB53/SQRT(9))</f>
        <v>0.19715805587639967</v>
      </c>
      <c r="AC52" s="87">
        <f>(AC53/SQRT(9))</f>
        <v>0.84144474981866679</v>
      </c>
      <c r="AD52" s="6"/>
      <c r="AE52" s="138" t="s">
        <v>74</v>
      </c>
      <c r="AF52" s="139"/>
      <c r="AG52" s="87">
        <f>(AG53/SQRT(9))</f>
        <v>0.16212838814071176</v>
      </c>
      <c r="AH52" s="87">
        <f>(AH53/SQRT(9))</f>
        <v>0.75302591930230534</v>
      </c>
      <c r="AI52" s="87">
        <f>(AI53/SQRT(9))</f>
        <v>0.16663433914279688</v>
      </c>
      <c r="AJ52" s="87">
        <f>(AJ53/SQRT(9))</f>
        <v>0.52663562762453753</v>
      </c>
      <c r="AK52" s="6"/>
      <c r="AL52" s="138" t="s">
        <v>74</v>
      </c>
      <c r="AM52" s="139"/>
      <c r="AN52" s="87">
        <f>(AN53/SQRT(9))</f>
        <v>0.20154407028474311</v>
      </c>
      <c r="AO52" s="87">
        <f>(AO53/SQRT(9))</f>
        <v>0.8051222929874724</v>
      </c>
      <c r="AP52" s="87">
        <f>(AP53/SQRT(9))</f>
        <v>0.18669722245248077</v>
      </c>
      <c r="AQ52" s="87">
        <f>(AQ53/SQRT(9))</f>
        <v>1.8020121885060674</v>
      </c>
      <c r="AR52" s="43"/>
      <c r="AS52" s="43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38" t="s">
        <v>75</v>
      </c>
      <c r="D53" s="139"/>
      <c r="E53" s="87">
        <f>_xlfn.STDEV.P(E41:E49)</f>
        <v>0.6159132470055898</v>
      </c>
      <c r="F53" s="87">
        <f>_xlfn.STDEV.P(F41:F49)</f>
        <v>4.3808816080884769</v>
      </c>
      <c r="G53" s="87">
        <f>_xlfn.STDEV.P(G41:G49)</f>
        <v>0.61362790368028308</v>
      </c>
      <c r="H53" s="87">
        <f>_xlfn.STDEV.P(H41:H49)</f>
        <v>4.5971038345000776</v>
      </c>
      <c r="I53" s="6"/>
      <c r="J53" s="138" t="s">
        <v>75</v>
      </c>
      <c r="K53" s="139"/>
      <c r="L53" s="87">
        <f>_xlfn.STDEV.P(L41:L49)</f>
        <v>1.134912627374552</v>
      </c>
      <c r="M53" s="87">
        <f>_xlfn.STDEV.P(M41:M49)</f>
        <v>3.5850305699294132</v>
      </c>
      <c r="N53" s="87">
        <f>_xlfn.STDEV.P(N41:N49)</f>
        <v>0.67427935222899094</v>
      </c>
      <c r="O53" s="87">
        <f>_xlfn.STDEV.P(O41:O49)</f>
        <v>48.925277908862661</v>
      </c>
      <c r="P53" s="6"/>
      <c r="Q53" s="138" t="s">
        <v>75</v>
      </c>
      <c r="R53" s="139"/>
      <c r="S53" s="87">
        <f>_xlfn.STDEV.P(S41:S49)</f>
        <v>0.49699221774592789</v>
      </c>
      <c r="T53" s="87">
        <f>_xlfn.STDEV.P(T41:T49)</f>
        <v>2.5863400371242014</v>
      </c>
      <c r="U53" s="87">
        <f>_xlfn.STDEV.P(U41:U49)</f>
        <v>5.0581262594073984</v>
      </c>
      <c r="V53" s="87">
        <f>_xlfn.STDEV.P(V41:V49)</f>
        <v>0</v>
      </c>
      <c r="W53" s="6"/>
      <c r="X53" s="138" t="s">
        <v>75</v>
      </c>
      <c r="Y53" s="139"/>
      <c r="Z53" s="87">
        <f>_xlfn.STDEV.P(Z41:Z49)</f>
        <v>0.59472750712324984</v>
      </c>
      <c r="AA53" s="87">
        <f>_xlfn.STDEV.P(AA41:AA49)</f>
        <v>2.3687093965933985</v>
      </c>
      <c r="AB53" s="87">
        <f>_xlfn.STDEV.P(AB41:AB49)</f>
        <v>0.59147416762919902</v>
      </c>
      <c r="AC53" s="87">
        <f>_xlfn.STDEV.P(AC41:AC49)</f>
        <v>2.5243342494560004</v>
      </c>
      <c r="AD53" s="6"/>
      <c r="AE53" s="138" t="s">
        <v>75</v>
      </c>
      <c r="AF53" s="139"/>
      <c r="AG53" s="87">
        <f>_xlfn.STDEV.P(AG41:AG49)</f>
        <v>0.48638516442213531</v>
      </c>
      <c r="AH53" s="87">
        <f>_xlfn.STDEV.P(AH41:AH49)</f>
        <v>2.2590777579069159</v>
      </c>
      <c r="AI53" s="87">
        <f>_xlfn.STDEV.P(AI41:AI49)</f>
        <v>0.49990301742839061</v>
      </c>
      <c r="AJ53" s="87">
        <f>_xlfn.STDEV.P(AJ41:AJ49)</f>
        <v>1.5799068828736127</v>
      </c>
      <c r="AK53" s="6"/>
      <c r="AL53" s="138" t="s">
        <v>75</v>
      </c>
      <c r="AM53" s="139"/>
      <c r="AN53" s="87">
        <f>_xlfn.STDEV.P(AN41:AN49)</f>
        <v>0.60463221085422936</v>
      </c>
      <c r="AO53" s="87">
        <f>_xlfn.STDEV.P(AO41:AO49)</f>
        <v>2.4153668789624172</v>
      </c>
      <c r="AP53" s="87">
        <f>_xlfn.STDEV.P(AP41:AP49)</f>
        <v>0.56009166735744231</v>
      </c>
      <c r="AQ53" s="87">
        <f>_xlfn.STDEV.P(AQ41:AQ49)</f>
        <v>5.4060365655182023</v>
      </c>
      <c r="AR53" s="43"/>
      <c r="AS53" s="43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38" t="s">
        <v>76</v>
      </c>
      <c r="D54" s="139"/>
      <c r="E54" s="87">
        <f>SUM(E53/E51)</f>
        <v>3.0250717104909633E-2</v>
      </c>
      <c r="F54" s="87">
        <f>SUM(F53/F51)</f>
        <v>0.39609050062236006</v>
      </c>
      <c r="G54" s="87">
        <f>SUM(G53/G51)</f>
        <v>3.0250717104909629E-2</v>
      </c>
      <c r="H54" s="87">
        <f>SUM(H53/H51)</f>
        <v>0.39475454666285908</v>
      </c>
      <c r="I54" s="6"/>
      <c r="J54" s="138" t="s">
        <v>76</v>
      </c>
      <c r="K54" s="139"/>
      <c r="L54" s="87">
        <f>SUM(L53/L51)</f>
        <v>5.9579077623294896E-2</v>
      </c>
      <c r="M54" s="87">
        <f>SUM(M53/M51)</f>
        <v>0.46076181124416582</v>
      </c>
      <c r="N54" s="87">
        <f>SUM(N53/N51)</f>
        <v>5.9579077623294903E-2</v>
      </c>
      <c r="O54" s="87">
        <f>SUM(O53/O51)</f>
        <v>0.27941306337076316</v>
      </c>
      <c r="P54" s="6"/>
      <c r="Q54" s="138" t="s">
        <v>76</v>
      </c>
      <c r="R54" s="139"/>
      <c r="S54" s="87">
        <f>SUM(S53/S51)</f>
        <v>2.0781053513338012E-2</v>
      </c>
      <c r="T54" s="87">
        <f>SUM(T53/T51)</f>
        <v>1.7510529492471112</v>
      </c>
      <c r="U54" s="87">
        <f>SUM(U53/U51)</f>
        <v>2.0781053513338008E-2</v>
      </c>
      <c r="V54" s="87" t="e">
        <f>SUM(V53/V51)</f>
        <v>#DIV/0!</v>
      </c>
      <c r="W54" s="6"/>
      <c r="X54" s="138" t="s">
        <v>76</v>
      </c>
      <c r="Y54" s="139"/>
      <c r="Z54" s="87">
        <f>SUM(Z53/Z51)</f>
        <v>3.2529214622255657E-2</v>
      </c>
      <c r="AA54" s="87">
        <f>SUM(AA53/AA51)</f>
        <v>0.34123344681489931</v>
      </c>
      <c r="AB54" s="87">
        <f>SUM(AB53/AB51)</f>
        <v>3.2529214622255699E-2</v>
      </c>
      <c r="AC54" s="87">
        <f>SUM(AC53/AC51)</f>
        <v>0.33967918965687793</v>
      </c>
      <c r="AD54" s="6"/>
      <c r="AE54" s="138" t="s">
        <v>76</v>
      </c>
      <c r="AF54" s="139"/>
      <c r="AG54" s="87">
        <f>SUM(AG53/AG51)</f>
        <v>2.5015796535788615E-2</v>
      </c>
      <c r="AH54" s="87">
        <f>SUM(AH53/AH51)</f>
        <v>0.31342652079602895</v>
      </c>
      <c r="AI54" s="87">
        <f>SUM(AI53/AI51)</f>
        <v>2.5015796535788625E-2</v>
      </c>
      <c r="AJ54" s="87">
        <f>SUM(AJ53/AJ51)</f>
        <v>0.32115247573823263</v>
      </c>
      <c r="AK54" s="6"/>
      <c r="AL54" s="138" t="s">
        <v>76</v>
      </c>
      <c r="AM54" s="139"/>
      <c r="AN54" s="87">
        <f>SUM(AN53/AN51)</f>
        <v>3.2366929034776358E-2</v>
      </c>
      <c r="AO54" s="87">
        <f>SUM(AO53/AO51)</f>
        <v>0.34586332386404828</v>
      </c>
      <c r="AP54" s="87">
        <f>SUM(AP53/AP51)</f>
        <v>3.2366929034776344E-2</v>
      </c>
      <c r="AQ54" s="87">
        <f>SUM(AQ53/AQ51)</f>
        <v>0.32295553982008934</v>
      </c>
      <c r="AR54" s="43"/>
      <c r="AS54" s="43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12" t="s">
        <v>48</v>
      </c>
      <c r="D56" s="112"/>
      <c r="E56" s="112"/>
      <c r="F56" s="6"/>
      <c r="G56" s="6"/>
      <c r="H56" s="112" t="s">
        <v>23</v>
      </c>
      <c r="I56" s="112"/>
      <c r="J56" s="112"/>
      <c r="K56" s="6"/>
      <c r="L56" s="6"/>
      <c r="M56" s="112" t="s">
        <v>27</v>
      </c>
      <c r="N56" s="112"/>
      <c r="O56" s="112"/>
      <c r="P56" s="6"/>
      <c r="Q56" s="6"/>
      <c r="R56" s="112" t="s">
        <v>24</v>
      </c>
      <c r="S56" s="112"/>
      <c r="T56" s="112"/>
      <c r="U56" s="6"/>
      <c r="V56" s="6"/>
      <c r="W56" s="112"/>
      <c r="X56" s="112"/>
      <c r="Y56" s="112"/>
      <c r="Z56" s="6"/>
      <c r="AA56" s="6"/>
      <c r="AB56" s="112" t="s">
        <v>25</v>
      </c>
      <c r="AC56" s="112"/>
      <c r="AD56" s="112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x14ac:dyDescent="0.25">
      <c r="A57" s="6"/>
      <c r="B57" s="6"/>
      <c r="C57" s="118" t="s">
        <v>47</v>
      </c>
      <c r="D57" s="119"/>
      <c r="E57" s="120"/>
      <c r="F57" s="6"/>
      <c r="G57" s="6"/>
      <c r="H57" s="121" t="s">
        <v>47</v>
      </c>
      <c r="I57" s="122"/>
      <c r="J57" s="123"/>
      <c r="K57" s="6"/>
      <c r="L57" s="6"/>
      <c r="M57" s="121" t="s">
        <v>47</v>
      </c>
      <c r="N57" s="122"/>
      <c r="O57" s="123"/>
      <c r="P57" s="6"/>
      <c r="Q57" s="6"/>
      <c r="R57" s="121" t="s">
        <v>47</v>
      </c>
      <c r="S57" s="124"/>
      <c r="T57" s="125"/>
      <c r="U57" s="6"/>
      <c r="V57" s="6"/>
      <c r="W57" s="121"/>
      <c r="X57" s="122"/>
      <c r="Y57" s="123"/>
      <c r="Z57" s="6"/>
      <c r="AA57" s="6"/>
      <c r="AB57" s="121" t="s">
        <v>47</v>
      </c>
      <c r="AC57" s="122"/>
      <c r="AD57" s="123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5" t="s">
        <v>33</v>
      </c>
      <c r="D58" s="36" t="s">
        <v>45</v>
      </c>
      <c r="E58" s="71" t="s">
        <v>44</v>
      </c>
      <c r="F58" s="6"/>
      <c r="G58" s="6"/>
      <c r="H58" s="35" t="s">
        <v>33</v>
      </c>
      <c r="I58" s="36" t="s">
        <v>45</v>
      </c>
      <c r="J58" s="71" t="s">
        <v>44</v>
      </c>
      <c r="K58" s="6"/>
      <c r="L58" s="6"/>
      <c r="M58" s="35" t="s">
        <v>33</v>
      </c>
      <c r="N58" s="36" t="s">
        <v>45</v>
      </c>
      <c r="O58" s="71" t="s">
        <v>44</v>
      </c>
      <c r="P58" s="6"/>
      <c r="Q58" s="6"/>
      <c r="R58" s="35" t="s">
        <v>33</v>
      </c>
      <c r="S58" s="36" t="s">
        <v>45</v>
      </c>
      <c r="T58" s="71" t="s">
        <v>44</v>
      </c>
      <c r="U58" s="6"/>
      <c r="V58" s="6"/>
      <c r="W58" s="35"/>
      <c r="X58" s="36"/>
      <c r="Y58" s="71"/>
      <c r="Z58" s="6"/>
      <c r="AA58" s="6"/>
      <c r="AB58" s="35" t="s">
        <v>33</v>
      </c>
      <c r="AC58" s="36" t="s">
        <v>45</v>
      </c>
      <c r="AD58" s="71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5">
        <v>3.2000000000000001E-2</v>
      </c>
      <c r="D59" s="66">
        <f>LOG(C59)</f>
        <v>-1.494850021680094</v>
      </c>
      <c r="E59" s="67">
        <f>AVERAGE(C16:C17)</f>
        <v>29.595208255040248</v>
      </c>
      <c r="F59" s="6"/>
      <c r="G59" s="6"/>
      <c r="H59" s="65">
        <v>3.2000000000000001E-2</v>
      </c>
      <c r="I59" s="66">
        <f>LOG(H59)</f>
        <v>-1.494850021680094</v>
      </c>
      <c r="J59" s="67">
        <f>AVERAGE(R16:R17)</f>
        <v>30.550144706628501</v>
      </c>
      <c r="K59" s="6"/>
      <c r="L59" s="6"/>
      <c r="M59" s="65">
        <v>3.2000000000000001E-2</v>
      </c>
      <c r="N59" s="66">
        <f>LOG(M59)</f>
        <v>-1.494850021680094</v>
      </c>
      <c r="O59" s="67">
        <f>AVERAGE(I19:I20)</f>
        <v>27.061548346036147</v>
      </c>
      <c r="P59" s="6"/>
      <c r="Q59" s="6"/>
      <c r="R59" s="65">
        <v>3.2000000000000001E-2</v>
      </c>
      <c r="S59" s="66">
        <f>LOG(R59)</f>
        <v>-1.494850021680094</v>
      </c>
      <c r="T59" s="67">
        <f>AVERAGE(C22:C23)</f>
        <v>27.284618050441601</v>
      </c>
      <c r="U59" s="6"/>
      <c r="V59" s="6"/>
      <c r="W59" s="65"/>
      <c r="X59" s="66"/>
      <c r="Y59" s="67"/>
      <c r="Z59" s="6"/>
      <c r="AA59" s="6"/>
      <c r="AB59" s="65">
        <v>3.2000000000000001E-2</v>
      </c>
      <c r="AC59" s="66">
        <f>LOG(AB59)</f>
        <v>-1.494850021680094</v>
      </c>
      <c r="AD59" s="67">
        <f>AVERAGE(I25:I26)</f>
        <v>30.27493615784125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5">
        <v>0.16</v>
      </c>
      <c r="D60" s="66">
        <f>LOG(C60)</f>
        <v>-0.79588001734407521</v>
      </c>
      <c r="E60" s="67">
        <f>AVERAGE(D16:D17)</f>
        <v>28.1650282927897</v>
      </c>
      <c r="F60" s="6"/>
      <c r="G60" s="6"/>
      <c r="H60" s="65">
        <v>0.16</v>
      </c>
      <c r="I60" s="66">
        <f>LOG(H60)</f>
        <v>-0.79588001734407521</v>
      </c>
      <c r="J60" s="67">
        <f>AVERAGE(S16:S17)</f>
        <v>28.052281480249398</v>
      </c>
      <c r="K60" s="6"/>
      <c r="L60" s="6"/>
      <c r="M60" s="65">
        <v>0.16</v>
      </c>
      <c r="N60" s="66">
        <f>LOG(M60)</f>
        <v>-0.79588001734407521</v>
      </c>
      <c r="O60" s="67">
        <f>AVERAGE(J19:J20)</f>
        <v>25.508554256181199</v>
      </c>
      <c r="P60" s="6"/>
      <c r="Q60" s="6"/>
      <c r="R60" s="65">
        <v>0.16</v>
      </c>
      <c r="S60" s="66">
        <f>LOG(R60)</f>
        <v>-0.79588001734407521</v>
      </c>
      <c r="T60" s="67">
        <f>AVERAGE(D22:D23)</f>
        <v>24.830457301471149</v>
      </c>
      <c r="U60" s="6"/>
      <c r="V60" s="6"/>
      <c r="W60" s="65"/>
      <c r="X60" s="66"/>
      <c r="Y60" s="67"/>
      <c r="Z60" s="6"/>
      <c r="AA60" s="6"/>
      <c r="AB60" s="65">
        <v>0.16</v>
      </c>
      <c r="AC60" s="66">
        <f>LOG(AB60)</f>
        <v>-0.79588001734407521</v>
      </c>
      <c r="AD60" s="67">
        <f>AVERAGE(J25:J26)</f>
        <v>28.553166460355399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5">
        <v>0.8</v>
      </c>
      <c r="D61" s="66">
        <f>LOG(C61)</f>
        <v>-9.6910013008056392E-2</v>
      </c>
      <c r="E61" s="67">
        <f>AVERAGE(E16:E17)</f>
        <v>26.52076482619065</v>
      </c>
      <c r="F61" s="6"/>
      <c r="G61" s="6"/>
      <c r="H61" s="65">
        <v>0.8</v>
      </c>
      <c r="I61" s="66">
        <f>LOG(H61)</f>
        <v>-9.6910013008056392E-2</v>
      </c>
      <c r="J61" s="67">
        <f>AVERAGE(T16:T17)</f>
        <v>27.074641670509251</v>
      </c>
      <c r="K61" s="6"/>
      <c r="L61" s="6"/>
      <c r="M61" s="65">
        <v>0.8</v>
      </c>
      <c r="N61" s="66">
        <f>LOG(M61)</f>
        <v>-9.6910013008056392E-2</v>
      </c>
      <c r="O61" s="67">
        <f>AVERAGE(K19:K20)</f>
        <v>23.470903462207048</v>
      </c>
      <c r="P61" s="6"/>
      <c r="Q61" s="6"/>
      <c r="R61" s="65">
        <v>0.8</v>
      </c>
      <c r="S61" s="66">
        <f>LOG(R61)</f>
        <v>-9.6910013008056392E-2</v>
      </c>
      <c r="T61" s="67">
        <f>AVERAGE(E22:E23)</f>
        <v>22.2680144973822</v>
      </c>
      <c r="U61" s="6"/>
      <c r="V61" s="6"/>
      <c r="W61" s="65"/>
      <c r="X61" s="66"/>
      <c r="Y61" s="67"/>
      <c r="Z61" s="6"/>
      <c r="AA61" s="6"/>
      <c r="AB61" s="65">
        <v>0.8</v>
      </c>
      <c r="AC61" s="66">
        <f>LOG(AB61)</f>
        <v>-9.6910013008056392E-2</v>
      </c>
      <c r="AD61" s="67">
        <f>AVERAGE(K25:K26)</f>
        <v>28.647849442101602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5">
        <v>4</v>
      </c>
      <c r="D62" s="66">
        <f>LOG(C62)</f>
        <v>0.6020599913279624</v>
      </c>
      <c r="E62" s="67">
        <f>AVERAGE(F16:F17)</f>
        <v>24.4399617293052</v>
      </c>
      <c r="F62" s="6"/>
      <c r="G62" s="6"/>
      <c r="H62" s="65">
        <v>4</v>
      </c>
      <c r="I62" s="66">
        <f>LOG(H62)</f>
        <v>0.6020599913279624</v>
      </c>
      <c r="J62" s="67">
        <f>AVERAGE(U16:U17)</f>
        <v>25.292452105684351</v>
      </c>
      <c r="L62" s="6"/>
      <c r="M62" s="65">
        <v>4</v>
      </c>
      <c r="N62" s="66">
        <f>LOG(M62)</f>
        <v>0.6020599913279624</v>
      </c>
      <c r="O62" s="67">
        <f>AVERAGE(L19:L20)</f>
        <v>21.2329016049747</v>
      </c>
      <c r="P62" s="6"/>
      <c r="Q62" s="6"/>
      <c r="R62" s="65">
        <v>4</v>
      </c>
      <c r="S62" s="66">
        <f>LOG(R62)</f>
        <v>0.6020599913279624</v>
      </c>
      <c r="T62" s="67">
        <f>AVERAGE(F22:F23)</f>
        <v>20.01152425234455</v>
      </c>
      <c r="U62" s="6"/>
      <c r="V62" s="6"/>
      <c r="W62" s="65"/>
      <c r="X62" s="66"/>
      <c r="Y62" s="67"/>
      <c r="AA62" s="6"/>
      <c r="AB62" s="65">
        <v>4</v>
      </c>
      <c r="AC62" s="66">
        <f>LOG(AB62)</f>
        <v>0.6020599913279624</v>
      </c>
      <c r="AD62" s="67">
        <f>AVERAGE(L25:L26)</f>
        <v>27.281368984163301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8">
        <v>20</v>
      </c>
      <c r="D63" s="69">
        <f>LOG(C63)</f>
        <v>1.3010299956639813</v>
      </c>
      <c r="E63" s="70">
        <f>AVERAGE(G16:G17)</f>
        <v>22.203491990907199</v>
      </c>
      <c r="F63" s="6"/>
      <c r="G63" s="6"/>
      <c r="H63" s="68">
        <v>20</v>
      </c>
      <c r="I63" s="69">
        <f>LOG(H63)</f>
        <v>1.3010299956639813</v>
      </c>
      <c r="J63" s="70">
        <f>AVERAGE(V16:V17)</f>
        <v>23.146360048224651</v>
      </c>
      <c r="K63" s="6"/>
      <c r="L63" s="6"/>
      <c r="M63" s="68">
        <v>20</v>
      </c>
      <c r="N63" s="69">
        <f>LOG(M63)</f>
        <v>1.3010299956639813</v>
      </c>
      <c r="O63" s="70">
        <f>AVERAGE(M19:M20)</f>
        <v>19.03516969163455</v>
      </c>
      <c r="P63" s="6"/>
      <c r="Q63" s="6"/>
      <c r="R63" s="68">
        <v>20</v>
      </c>
      <c r="S63" s="69">
        <f>LOG(R63)</f>
        <v>1.3010299956639813</v>
      </c>
      <c r="T63" s="70">
        <f>AVERAGE(G22:G23)</f>
        <v>17.751573329889251</v>
      </c>
      <c r="U63" s="6"/>
      <c r="V63" s="6"/>
      <c r="W63" s="68"/>
      <c r="X63" s="69"/>
      <c r="Y63" s="70"/>
      <c r="Z63" s="6"/>
      <c r="AA63" s="6"/>
      <c r="AB63" s="68">
        <v>20</v>
      </c>
      <c r="AC63" s="69">
        <f>LOG(AB63)</f>
        <v>1.3010299956639813</v>
      </c>
      <c r="AD63" s="70">
        <f>AVERAGE(M25:M26)</f>
        <v>25.689650895470599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16" t="s">
        <v>46</v>
      </c>
      <c r="D64" s="117"/>
      <c r="E64" s="37">
        <f>(10^(-1/-2.648)-1)*100</f>
        <v>138.58520256442733</v>
      </c>
      <c r="F64" s="6"/>
      <c r="G64" s="6"/>
      <c r="H64" s="116" t="s">
        <v>46</v>
      </c>
      <c r="I64" s="117"/>
      <c r="J64" s="37">
        <f>(10^(-1/-2.5133)-1)*100</f>
        <v>149.96733557766836</v>
      </c>
      <c r="K64" s="6"/>
      <c r="L64" s="6"/>
      <c r="M64" s="116" t="s">
        <v>46</v>
      </c>
      <c r="N64" s="117"/>
      <c r="O64" s="37">
        <f>(10^(-1/-2.9083)-1)*100</f>
        <v>120.72091225622978</v>
      </c>
      <c r="P64" s="6"/>
      <c r="Q64" s="6"/>
      <c r="R64" s="116" t="s">
        <v>46</v>
      </c>
      <c r="S64" s="117"/>
      <c r="T64" s="37">
        <f>(10^(-1/-3.4172)-1)*100</f>
        <v>96.172102569502442</v>
      </c>
      <c r="U64" s="6"/>
      <c r="V64" s="6"/>
      <c r="W64" s="116"/>
      <c r="X64" s="117"/>
      <c r="Y64" s="37"/>
      <c r="Z64" s="6"/>
      <c r="AA64" s="6"/>
      <c r="AB64" s="150" t="s">
        <v>46</v>
      </c>
      <c r="AC64" s="151"/>
      <c r="AD64" s="37">
        <f>(10^(-1/-1.494)-1)*100</f>
        <v>367.02920870099024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16" t="s">
        <v>50</v>
      </c>
      <c r="D65" s="117"/>
      <c r="E65" s="37">
        <f>SUM(E64/100)+1</f>
        <v>2.3858520256442732</v>
      </c>
      <c r="F65" s="6"/>
      <c r="G65" s="6"/>
      <c r="H65" s="116" t="s">
        <v>50</v>
      </c>
      <c r="I65" s="117"/>
      <c r="J65" s="37">
        <f>SUM(J64/100)+1</f>
        <v>2.4996733557766837</v>
      </c>
      <c r="K65" s="6"/>
      <c r="L65" s="6"/>
      <c r="M65" s="116" t="s">
        <v>50</v>
      </c>
      <c r="N65" s="117"/>
      <c r="O65" s="37">
        <f>SUM(O64/100)+1</f>
        <v>2.2072091225622978</v>
      </c>
      <c r="P65" s="6"/>
      <c r="Q65" s="6"/>
      <c r="R65" s="116" t="s">
        <v>50</v>
      </c>
      <c r="S65" s="117"/>
      <c r="T65" s="37">
        <f>SUM(T64/100)+1</f>
        <v>1.9617210256950244</v>
      </c>
      <c r="U65" s="6"/>
      <c r="V65" s="6"/>
      <c r="W65" s="116"/>
      <c r="X65" s="117"/>
      <c r="Y65" s="37"/>
      <c r="Z65" s="6"/>
      <c r="AA65" s="6"/>
      <c r="AB65" s="116" t="s">
        <v>50</v>
      </c>
      <c r="AC65" s="117"/>
      <c r="AD65" s="37">
        <f>SUM(AD64/100)+1</f>
        <v>4.6702920870099023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5"/>
      <c r="D66" s="45"/>
      <c r="E66" s="45"/>
      <c r="F66" s="6"/>
      <c r="G66" s="6"/>
      <c r="H66" s="45"/>
      <c r="I66" s="45"/>
      <c r="J66" s="45"/>
      <c r="K66" s="6"/>
      <c r="L66" s="6"/>
      <c r="M66" s="45"/>
      <c r="N66" s="45"/>
      <c r="O66" s="45"/>
      <c r="P66" s="6"/>
      <c r="Q66" s="6"/>
      <c r="R66" s="45"/>
      <c r="S66" s="45"/>
      <c r="T66" s="45"/>
      <c r="U66" s="6"/>
      <c r="V66" s="6"/>
      <c r="W66" s="45"/>
      <c r="X66" s="45"/>
      <c r="Y66" s="45"/>
      <c r="Z66" s="6"/>
      <c r="AA66" s="6"/>
      <c r="AB66" s="45"/>
      <c r="AC66" s="45"/>
      <c r="AD66" s="45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26" t="s">
        <v>111</v>
      </c>
      <c r="D67" s="127"/>
      <c r="E67" s="127"/>
      <c r="F67" s="127"/>
      <c r="G67" s="127"/>
      <c r="H67" s="128"/>
      <c r="I67" s="6"/>
      <c r="J67" s="126" t="s">
        <v>112</v>
      </c>
      <c r="K67" s="127"/>
      <c r="L67" s="127"/>
      <c r="M67" s="127"/>
      <c r="N67" s="127"/>
      <c r="O67" s="128"/>
      <c r="P67" s="6"/>
      <c r="Q67" s="126" t="s">
        <v>113</v>
      </c>
      <c r="R67" s="127"/>
      <c r="S67" s="127"/>
      <c r="T67" s="127"/>
      <c r="U67" s="127"/>
      <c r="V67" s="128"/>
      <c r="W67" s="6"/>
      <c r="X67" s="126" t="s">
        <v>114</v>
      </c>
      <c r="Y67" s="127"/>
      <c r="Z67" s="127"/>
      <c r="AA67" s="127"/>
      <c r="AB67" s="127"/>
      <c r="AC67" s="128"/>
      <c r="AD67" s="6"/>
      <c r="AE67" s="126"/>
      <c r="AF67" s="127"/>
      <c r="AG67" s="127"/>
      <c r="AH67" s="127"/>
      <c r="AI67" s="127"/>
      <c r="AJ67" s="128"/>
      <c r="AK67" s="6"/>
      <c r="AL67" s="126" t="s">
        <v>115</v>
      </c>
      <c r="AM67" s="127"/>
      <c r="AN67" s="127"/>
      <c r="AO67" s="127"/>
      <c r="AP67" s="127"/>
      <c r="AQ67" s="128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37" t="s">
        <v>48</v>
      </c>
      <c r="D68" s="83" t="s">
        <v>51</v>
      </c>
      <c r="E68" s="83" t="s">
        <v>53</v>
      </c>
      <c r="F68" s="83" t="s">
        <v>55</v>
      </c>
      <c r="G68" s="84" t="s">
        <v>57</v>
      </c>
      <c r="H68" s="82" t="s">
        <v>59</v>
      </c>
      <c r="I68" s="6"/>
      <c r="J68" s="137" t="s">
        <v>23</v>
      </c>
      <c r="K68" s="83" t="s">
        <v>51</v>
      </c>
      <c r="L68" s="83" t="s">
        <v>53</v>
      </c>
      <c r="M68" s="83" t="s">
        <v>55</v>
      </c>
      <c r="N68" s="84" t="s">
        <v>57</v>
      </c>
      <c r="O68" s="82" t="s">
        <v>59</v>
      </c>
      <c r="P68" s="6"/>
      <c r="Q68" s="137" t="s">
        <v>27</v>
      </c>
      <c r="R68" s="83" t="s">
        <v>51</v>
      </c>
      <c r="S68" s="83" t="s">
        <v>53</v>
      </c>
      <c r="T68" s="83" t="s">
        <v>55</v>
      </c>
      <c r="U68" s="84" t="s">
        <v>57</v>
      </c>
      <c r="V68" s="82" t="s">
        <v>59</v>
      </c>
      <c r="W68" s="6"/>
      <c r="X68" s="137" t="s">
        <v>24</v>
      </c>
      <c r="Y68" s="83" t="s">
        <v>51</v>
      </c>
      <c r="Z68" s="83" t="s">
        <v>53</v>
      </c>
      <c r="AA68" s="83" t="s">
        <v>55</v>
      </c>
      <c r="AB68" s="84" t="s">
        <v>57</v>
      </c>
      <c r="AC68" s="82" t="s">
        <v>59</v>
      </c>
      <c r="AD68" s="6"/>
      <c r="AE68" s="137"/>
      <c r="AF68" s="83"/>
      <c r="AG68" s="83"/>
      <c r="AH68" s="83"/>
      <c r="AI68" s="84"/>
      <c r="AJ68" s="82"/>
      <c r="AK68" s="6"/>
      <c r="AL68" s="137" t="s">
        <v>25</v>
      </c>
      <c r="AM68" s="83" t="s">
        <v>51</v>
      </c>
      <c r="AN68" s="83" t="s">
        <v>53</v>
      </c>
      <c r="AO68" s="83" t="s">
        <v>55</v>
      </c>
      <c r="AP68" s="84" t="s">
        <v>57</v>
      </c>
      <c r="AQ68" s="82" t="s">
        <v>59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35"/>
      <c r="D69" s="49" t="s">
        <v>35</v>
      </c>
      <c r="E69" s="49">
        <f>AVERAGE(H16:H17)</f>
        <v>23.42621554490055</v>
      </c>
      <c r="F69" s="56">
        <f t="shared" ref="F69:F78" si="17">10^((E69-25.928)/-2.648)</f>
        <v>8.8060804594625335</v>
      </c>
      <c r="G69" s="57">
        <f>SUM(E69*(LOG(E65)/LOG(2)))</f>
        <v>29.388294401620925</v>
      </c>
      <c r="H69" s="56">
        <f t="shared" ref="H69:H78" si="18">10^((G69-25.928)/-2.648)</f>
        <v>4.9344902530403564E-2</v>
      </c>
      <c r="I69" s="6"/>
      <c r="J69" s="135"/>
      <c r="K69" s="49" t="s">
        <v>35</v>
      </c>
      <c r="L69" s="49">
        <f>AVERAGE(W16:W17)</f>
        <v>24.3106715075652</v>
      </c>
      <c r="M69" s="56">
        <f t="shared" ref="M69:M78" si="19">10^((L69- 26.58)/-2.5133)</f>
        <v>7.9970133490595829</v>
      </c>
      <c r="N69" s="57">
        <f>SUM(L69*(LOG($J$65)/LOG(2)))</f>
        <v>32.132376829888415</v>
      </c>
      <c r="O69" s="56">
        <f t="shared" ref="O69:O78" si="20">10^((N69- 26.58)/-2.5133)</f>
        <v>6.1773498831776685E-3</v>
      </c>
      <c r="P69" s="6"/>
      <c r="Q69" s="135"/>
      <c r="R69" s="49" t="s">
        <v>35</v>
      </c>
      <c r="S69" s="49">
        <f>AVERAGE(N19:N20)</f>
        <v>20.138721119962</v>
      </c>
      <c r="T69" s="56">
        <f t="shared" ref="T69:T78" si="21">10^((S69-22.98)/-2.9083)</f>
        <v>9.4832068743691327</v>
      </c>
      <c r="U69" s="57">
        <f>SUM(S69*(LOG($O$65)/LOG(2)))</f>
        <v>23.002916990511043</v>
      </c>
      <c r="V69" s="56">
        <f t="shared" ref="V69:V78" si="22">10^((U69-22.98)/-2.9083)</f>
        <v>0.98201956896661702</v>
      </c>
      <c r="W69" s="6"/>
      <c r="X69" s="135"/>
      <c r="Y69" s="49" t="s">
        <v>35</v>
      </c>
      <c r="Z69" s="49">
        <f>AVERAGE(H22:H23)</f>
        <v>21.146990160136902</v>
      </c>
      <c r="AA69" s="56">
        <f t="shared" ref="AA69:AA78" si="23">10^((Z69-22.098)/-3.4172)</f>
        <v>1.8980205107956651</v>
      </c>
      <c r="AB69" s="57">
        <f>SUM(Z69*(LOG($T$65)/LOG(2)))</f>
        <v>20.557409790256752</v>
      </c>
      <c r="AC69" s="56">
        <f t="shared" ref="AC69:AC78" si="24">10^((AB69-22.098)/-3.4172)</f>
        <v>2.8238009339613348</v>
      </c>
      <c r="AD69" s="6"/>
      <c r="AE69" s="135"/>
      <c r="AF69" s="49"/>
      <c r="AG69" s="49"/>
      <c r="AH69" s="56"/>
      <c r="AI69" s="57"/>
      <c r="AJ69" s="56"/>
      <c r="AK69" s="6"/>
      <c r="AL69" s="135"/>
      <c r="AM69" s="49" t="s">
        <v>35</v>
      </c>
      <c r="AN69" s="49">
        <f>AVERAGE(N25:N26)</f>
        <v>25.703781306066549</v>
      </c>
      <c r="AO69" s="56">
        <f t="shared" ref="AO69:AO78" si="25">10^((AN69-27.945)/-1.494)</f>
        <v>31.633437038977846</v>
      </c>
      <c r="AP69" s="57">
        <f>SUM(AN69*(LOG($AD$65)/LOG(2)))</f>
        <v>57.152686255330025</v>
      </c>
      <c r="AQ69" s="56">
        <f t="shared" ref="AQ69:AQ78" si="26">10^((AP69-27.945)/-1.494)</f>
        <v>2.8184426353440427E-20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35"/>
      <c r="D70" s="50" t="s">
        <v>36</v>
      </c>
      <c r="E70" s="50">
        <f>AVERAGE(I16:I17)</f>
        <v>24.1860621237971</v>
      </c>
      <c r="F70" s="57">
        <f t="shared" si="17"/>
        <v>4.5481159097204742</v>
      </c>
      <c r="G70" s="57">
        <f>SUM(E70*(LOG(E65)/LOG(2)))</f>
        <v>30.341525405488181</v>
      </c>
      <c r="H70" s="57">
        <f t="shared" si="18"/>
        <v>2.1540748916688633E-2</v>
      </c>
      <c r="I70" s="6"/>
      <c r="J70" s="135"/>
      <c r="K70" s="50" t="s">
        <v>36</v>
      </c>
      <c r="L70" s="50">
        <f>AVERAGE(X16:X17)</f>
        <v>25.060412446703552</v>
      </c>
      <c r="M70" s="57">
        <f t="shared" si="19"/>
        <v>4.0236338318121971</v>
      </c>
      <c r="N70" s="57">
        <f t="shared" ref="N70:N78" si="27">SUM(L70*(LOG($J$65)/LOG(2)))</f>
        <v>33.123339106421632</v>
      </c>
      <c r="O70" s="57">
        <f t="shared" si="20"/>
        <v>2.4918098496083192E-3</v>
      </c>
      <c r="P70" s="6"/>
      <c r="Q70" s="135"/>
      <c r="R70" s="50" t="s">
        <v>36</v>
      </c>
      <c r="S70" s="50">
        <f>AVERAGE(O19:O20)</f>
        <v>20.989311618147099</v>
      </c>
      <c r="T70" s="57">
        <f t="shared" si="21"/>
        <v>4.8359881241479661</v>
      </c>
      <c r="U70" s="57">
        <f t="shared" ref="U70:U78" si="28">SUM(S70*(LOG($O$65)/LOG(2)))</f>
        <v>23.974481297207504</v>
      </c>
      <c r="V70" s="57">
        <f t="shared" si="22"/>
        <v>0.45504472842101884</v>
      </c>
      <c r="W70" s="6"/>
      <c r="X70" s="135"/>
      <c r="Y70" s="50" t="s">
        <v>36</v>
      </c>
      <c r="Z70" s="50">
        <f>AVERAGE(I22:I23)</f>
        <v>22.099104274358048</v>
      </c>
      <c r="AA70" s="57">
        <f t="shared" si="23"/>
        <v>0.99925619222654183</v>
      </c>
      <c r="AB70" s="57">
        <f t="shared" ref="AB70:AB78" si="29">SUM(Z70*(LOG($T$65)/LOG(2)))</f>
        <v>21.482978860129755</v>
      </c>
      <c r="AC70" s="57">
        <f t="shared" si="24"/>
        <v>1.5134849026778889</v>
      </c>
      <c r="AD70" s="6"/>
      <c r="AE70" s="135"/>
      <c r="AF70" s="50"/>
      <c r="AG70" s="50"/>
      <c r="AH70" s="57"/>
      <c r="AI70" s="57"/>
      <c r="AJ70" s="57"/>
      <c r="AK70" s="6"/>
      <c r="AL70" s="135"/>
      <c r="AM70" s="50" t="s">
        <v>36</v>
      </c>
      <c r="AN70" s="50">
        <f>AVERAGE(O25:O26)</f>
        <v>26.433501106055147</v>
      </c>
      <c r="AO70" s="57">
        <f t="shared" si="25"/>
        <v>10.273366468572258</v>
      </c>
      <c r="AP70" s="57">
        <f t="shared" ref="AP70:AP78" si="30">SUM(AN70*(LOG($AD$65)/LOG(2)))</f>
        <v>58.775227557189268</v>
      </c>
      <c r="AQ70" s="57">
        <f t="shared" si="26"/>
        <v>2.3119095835127671E-21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35"/>
      <c r="D71" s="51" t="s">
        <v>37</v>
      </c>
      <c r="E71" s="51">
        <f>AVERAGE(J16:J17)</f>
        <v>22.290825552323298</v>
      </c>
      <c r="F71" s="58">
        <f t="shared" si="17"/>
        <v>23.634983585087078</v>
      </c>
      <c r="G71" s="58">
        <f>SUM(E71*(LOG(E65)/LOG(2)))</f>
        <v>27.963942469975784</v>
      </c>
      <c r="H71" s="58">
        <f t="shared" si="18"/>
        <v>0.17027055460421758</v>
      </c>
      <c r="I71" s="6"/>
      <c r="J71" s="135"/>
      <c r="K71" s="51" t="s">
        <v>37</v>
      </c>
      <c r="L71" s="51">
        <f>AVERAGE(Y16:Y17)</f>
        <v>23.304511976400647</v>
      </c>
      <c r="M71" s="58">
        <f t="shared" si="19"/>
        <v>20.103045534795687</v>
      </c>
      <c r="N71" s="58">
        <f t="shared" si="27"/>
        <v>30.802495950361806</v>
      </c>
      <c r="O71" s="58">
        <f t="shared" si="20"/>
        <v>2.0890052984005428E-2</v>
      </c>
      <c r="P71" s="6"/>
      <c r="Q71" s="135"/>
      <c r="R71" s="51" t="s">
        <v>37</v>
      </c>
      <c r="S71" s="51">
        <f>AVERAGE(P19:P20)</f>
        <v>19.170838702231151</v>
      </c>
      <c r="T71" s="58">
        <f t="shared" si="21"/>
        <v>20.405878000254319</v>
      </c>
      <c r="U71" s="58">
        <f t="shared" si="28"/>
        <v>21.897379117524206</v>
      </c>
      <c r="V71" s="58">
        <f t="shared" si="22"/>
        <v>2.3564169304165667</v>
      </c>
      <c r="W71" s="6"/>
      <c r="X71" s="135"/>
      <c r="Y71" s="51" t="s">
        <v>37</v>
      </c>
      <c r="Z71" s="51">
        <f>AVERAGE(J22:J23)</f>
        <v>19.581056952695398</v>
      </c>
      <c r="AA71" s="58">
        <f t="shared" si="23"/>
        <v>5.4519427143571617</v>
      </c>
      <c r="AB71" s="58">
        <f t="shared" si="29"/>
        <v>19.035134969784725</v>
      </c>
      <c r="AC71" s="58">
        <f t="shared" si="24"/>
        <v>7.8760486478404941</v>
      </c>
      <c r="AD71" s="6"/>
      <c r="AE71" s="135"/>
      <c r="AF71" s="51"/>
      <c r="AG71" s="51"/>
      <c r="AH71" s="58"/>
      <c r="AI71" s="58"/>
      <c r="AJ71" s="58"/>
      <c r="AK71" s="6"/>
      <c r="AL71" s="135"/>
      <c r="AM71" s="51" t="s">
        <v>37</v>
      </c>
      <c r="AN71" s="51">
        <f>AVERAGE(P25:P26)</f>
        <v>24.233110665269649</v>
      </c>
      <c r="AO71" s="58">
        <f t="shared" si="25"/>
        <v>305.16239441975546</v>
      </c>
      <c r="AP71" s="58">
        <f t="shared" si="30"/>
        <v>53.88263128880444</v>
      </c>
      <c r="AQ71" s="58">
        <f t="shared" si="26"/>
        <v>4.3531237310895673E-18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35"/>
      <c r="D72" s="52" t="s">
        <v>38</v>
      </c>
      <c r="E72" s="52">
        <f>AVERAGE(K16:K17)</f>
        <v>22.674193739479797</v>
      </c>
      <c r="F72" s="59">
        <f t="shared" si="17"/>
        <v>16.934750372535632</v>
      </c>
      <c r="G72" s="59">
        <f>SUM(E72*(LOG(E65)/LOG(2)))</f>
        <v>28.444879611819143</v>
      </c>
      <c r="H72" s="59">
        <f t="shared" si="18"/>
        <v>0.1120770684833889</v>
      </c>
      <c r="I72" s="6"/>
      <c r="J72" s="135"/>
      <c r="K72" s="52" t="s">
        <v>38</v>
      </c>
      <c r="L72" s="52">
        <f>AVERAGE(C19:C20)</f>
        <v>23.627345982460902</v>
      </c>
      <c r="M72" s="59">
        <f t="shared" si="19"/>
        <v>14.955867511823955</v>
      </c>
      <c r="N72" s="59">
        <f t="shared" si="27"/>
        <v>31.22919843503001</v>
      </c>
      <c r="O72" s="59">
        <f t="shared" si="20"/>
        <v>1.4130637826152327E-2</v>
      </c>
      <c r="P72" s="6"/>
      <c r="Q72" s="135"/>
      <c r="R72" s="52" t="s">
        <v>38</v>
      </c>
      <c r="S72" s="52">
        <f>AVERAGE(Q19:Q20)</f>
        <v>19.197736919948802</v>
      </c>
      <c r="T72" s="59">
        <f t="shared" si="21"/>
        <v>19.975907070455069</v>
      </c>
      <c r="U72" s="59">
        <f t="shared" si="28"/>
        <v>21.928102889191045</v>
      </c>
      <c r="V72" s="59">
        <f t="shared" si="22"/>
        <v>2.299788858952442</v>
      </c>
      <c r="W72" s="6"/>
      <c r="X72" s="135"/>
      <c r="Y72" s="52" t="s">
        <v>38</v>
      </c>
      <c r="Z72" s="52">
        <f>AVERAGE(K22:K23)</f>
        <v>17.997738053149149</v>
      </c>
      <c r="AA72" s="59">
        <f t="shared" si="23"/>
        <v>15.844895072531962</v>
      </c>
      <c r="AB72" s="59">
        <f t="shared" si="29"/>
        <v>17.495959172181767</v>
      </c>
      <c r="AC72" s="59">
        <f t="shared" si="24"/>
        <v>22.219207145846916</v>
      </c>
      <c r="AD72" s="6"/>
      <c r="AE72" s="135"/>
      <c r="AF72" s="52"/>
      <c r="AG72" s="52"/>
      <c r="AH72" s="59"/>
      <c r="AI72" s="59"/>
      <c r="AJ72" s="59"/>
      <c r="AK72" s="6"/>
      <c r="AL72" s="135"/>
      <c r="AM72" s="52" t="s">
        <v>38</v>
      </c>
      <c r="AN72" s="52">
        <f>AVERAGE(Q25:Q26)</f>
        <v>24.6389449584739</v>
      </c>
      <c r="AO72" s="59">
        <f t="shared" si="25"/>
        <v>163.26317850132054</v>
      </c>
      <c r="AP72" s="59">
        <f t="shared" si="30"/>
        <v>54.785009026732126</v>
      </c>
      <c r="AQ72" s="59">
        <f t="shared" si="26"/>
        <v>1.083427483552343E-18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35"/>
      <c r="D73" s="52" t="s">
        <v>39</v>
      </c>
      <c r="E73" s="52">
        <f>AVERAGE(L16:L17)</f>
        <v>23.5380196120067</v>
      </c>
      <c r="F73" s="59">
        <f t="shared" si="17"/>
        <v>7.990253710814458</v>
      </c>
      <c r="G73" s="59">
        <f>SUM(E73*(LOG(E65)/LOG(2)))</f>
        <v>29.528553114476885</v>
      </c>
      <c r="H73" s="59">
        <f t="shared" si="18"/>
        <v>4.3679182709528079E-2</v>
      </c>
      <c r="I73" s="6"/>
      <c r="J73" s="135"/>
      <c r="K73" s="52" t="s">
        <v>39</v>
      </c>
      <c r="L73" s="52">
        <f>AVERAGE(D19:D20)</f>
        <v>24.344846117213848</v>
      </c>
      <c r="M73" s="59">
        <f t="shared" si="19"/>
        <v>7.7505106226438159</v>
      </c>
      <c r="N73" s="59">
        <f t="shared" si="27"/>
        <v>32.1775467642073</v>
      </c>
      <c r="O73" s="59">
        <f t="shared" si="20"/>
        <v>5.926930566849088E-3</v>
      </c>
      <c r="P73" s="6"/>
      <c r="Q73" s="135"/>
      <c r="R73" s="52" t="s">
        <v>39</v>
      </c>
      <c r="S73" s="52">
        <f>AVERAGE(R19:R20)</f>
        <v>20.001081311937149</v>
      </c>
      <c r="T73" s="59">
        <f t="shared" si="21"/>
        <v>10.575034079655666</v>
      </c>
      <c r="U73" s="59">
        <f t="shared" si="28"/>
        <v>22.845701591393805</v>
      </c>
      <c r="V73" s="59">
        <f t="shared" si="22"/>
        <v>1.112186534073345</v>
      </c>
      <c r="W73" s="6"/>
      <c r="X73" s="135"/>
      <c r="Y73" s="52" t="s">
        <v>39</v>
      </c>
      <c r="Z73" s="52">
        <f>AVERAGE(L22:L23)</f>
        <v>19.187580240151</v>
      </c>
      <c r="AA73" s="59">
        <f t="shared" si="23"/>
        <v>7.1071785437453423</v>
      </c>
      <c r="AB73" s="59">
        <f t="shared" si="29"/>
        <v>18.652628430487887</v>
      </c>
      <c r="AC73" s="59">
        <f t="shared" si="24"/>
        <v>10.191639434292618</v>
      </c>
      <c r="AD73" s="6"/>
      <c r="AE73" s="135"/>
      <c r="AF73" s="52"/>
      <c r="AG73" s="52"/>
      <c r="AH73" s="59"/>
      <c r="AI73" s="59"/>
      <c r="AJ73" s="59"/>
      <c r="AK73" s="6"/>
      <c r="AL73" s="135"/>
      <c r="AM73" s="52" t="s">
        <v>39</v>
      </c>
      <c r="AN73" s="52">
        <f>AVERAGE(R25:R26)</f>
        <v>25.697084946338851</v>
      </c>
      <c r="AO73" s="59">
        <f t="shared" si="25"/>
        <v>31.961602794727586</v>
      </c>
      <c r="AP73" s="59">
        <f t="shared" si="30"/>
        <v>57.13779681388899</v>
      </c>
      <c r="AQ73" s="59">
        <f t="shared" si="26"/>
        <v>2.8838678725468607E-20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35"/>
      <c r="D74" s="52" t="s">
        <v>40</v>
      </c>
      <c r="E74" s="52">
        <f>AVERAGE(M16:M17)</f>
        <v>23.588318270544448</v>
      </c>
      <c r="F74" s="59">
        <f t="shared" si="17"/>
        <v>7.6483122088556623</v>
      </c>
      <c r="G74" s="59">
        <f>SUM(E74*(LOG(E65)/LOG(2)))</f>
        <v>29.591653011354413</v>
      </c>
      <c r="H74" s="59">
        <f t="shared" si="18"/>
        <v>4.1347117419045301E-2</v>
      </c>
      <c r="I74" s="6"/>
      <c r="J74" s="135"/>
      <c r="K74" s="52" t="s">
        <v>40</v>
      </c>
      <c r="L74" s="52">
        <f>AVERAGE(E19:E20)</f>
        <v>24.39425124652195</v>
      </c>
      <c r="M74" s="59">
        <f t="shared" si="19"/>
        <v>7.4075201559216337</v>
      </c>
      <c r="N74" s="59">
        <f t="shared" si="27"/>
        <v>32.242847479235401</v>
      </c>
      <c r="O74" s="59">
        <f t="shared" si="20"/>
        <v>5.5827448310250037E-3</v>
      </c>
      <c r="P74" s="6"/>
      <c r="Q74" s="135"/>
      <c r="R74" s="52" t="s">
        <v>40</v>
      </c>
      <c r="S74" s="52">
        <f>AVERAGE(S19:S20)</f>
        <v>19.959453340494399</v>
      </c>
      <c r="T74" s="59">
        <f t="shared" si="21"/>
        <v>10.929373865380189</v>
      </c>
      <c r="U74" s="59">
        <f t="shared" si="28"/>
        <v>22.798153151456784</v>
      </c>
      <c r="V74" s="59">
        <f t="shared" si="22"/>
        <v>1.1548533903835956</v>
      </c>
      <c r="W74" s="6"/>
      <c r="X74" s="135"/>
      <c r="Y74" s="52" t="s">
        <v>40</v>
      </c>
      <c r="Z74" s="52">
        <f>AVERAGE(M22:M23)</f>
        <v>19.435392158854849</v>
      </c>
      <c r="AA74" s="59">
        <f t="shared" si="23"/>
        <v>6.0142050105146279</v>
      </c>
      <c r="AB74" s="59">
        <f t="shared" si="29"/>
        <v>18.893531326130596</v>
      </c>
      <c r="AC74" s="59">
        <f t="shared" si="24"/>
        <v>8.6645675204129606</v>
      </c>
      <c r="AD74" s="6"/>
      <c r="AE74" s="135"/>
      <c r="AF74" s="52"/>
      <c r="AG74" s="52"/>
      <c r="AH74" s="59"/>
      <c r="AI74" s="59"/>
      <c r="AJ74" s="59"/>
      <c r="AK74" s="6"/>
      <c r="AL74" s="135"/>
      <c r="AM74" s="52" t="s">
        <v>40</v>
      </c>
      <c r="AN74" s="52">
        <f>AVERAGE(S25:S26)</f>
        <v>26.203287664305101</v>
      </c>
      <c r="AO74" s="59">
        <f t="shared" si="25"/>
        <v>14.648891969180429</v>
      </c>
      <c r="AP74" s="59">
        <f t="shared" si="30"/>
        <v>58.263345027088739</v>
      </c>
      <c r="AQ74" s="59">
        <f t="shared" si="26"/>
        <v>5.0885771967600329E-21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35"/>
      <c r="D75" s="53" t="s">
        <v>41</v>
      </c>
      <c r="E75" s="53">
        <f>AVERAGE(N16:N17)</f>
        <v>22.550734414455597</v>
      </c>
      <c r="F75" s="60">
        <f t="shared" si="17"/>
        <v>18.853952624124979</v>
      </c>
      <c r="G75" s="60">
        <f>SUM(E75*(LOG(E65)/LOG(2)))</f>
        <v>28.289999324668944</v>
      </c>
      <c r="H75" s="60">
        <f t="shared" si="18"/>
        <v>0.12823491767628323</v>
      </c>
      <c r="I75" s="6"/>
      <c r="J75" s="135"/>
      <c r="K75" s="53" t="s">
        <v>41</v>
      </c>
      <c r="L75" s="53">
        <f>AVERAGE(F19:F20)</f>
        <v>23.632074460172902</v>
      </c>
      <c r="M75" s="60">
        <f t="shared" si="19"/>
        <v>14.891218191773921</v>
      </c>
      <c r="N75" s="60">
        <f t="shared" si="27"/>
        <v>31.235448251191052</v>
      </c>
      <c r="O75" s="60">
        <f t="shared" si="20"/>
        <v>1.4049959364207623E-2</v>
      </c>
      <c r="P75" s="6"/>
      <c r="Q75" s="135"/>
      <c r="R75" s="53" t="s">
        <v>41</v>
      </c>
      <c r="S75" s="53">
        <f>AVERAGE(T19:T20)</f>
        <v>19.1082935668157</v>
      </c>
      <c r="T75" s="60">
        <f t="shared" si="21"/>
        <v>21.441789247714894</v>
      </c>
      <c r="U75" s="60">
        <f t="shared" si="28"/>
        <v>21.82593860501342</v>
      </c>
      <c r="V75" s="60">
        <f t="shared" si="22"/>
        <v>2.4935408594333555</v>
      </c>
      <c r="W75" s="6"/>
      <c r="X75" s="135"/>
      <c r="Y75" s="53" t="s">
        <v>41</v>
      </c>
      <c r="Z75" s="53">
        <f>AVERAGE(N22:N23)</f>
        <v>17.5141898168613</v>
      </c>
      <c r="AA75" s="60">
        <f t="shared" si="23"/>
        <v>21.947931301881052</v>
      </c>
      <c r="AB75" s="60">
        <f t="shared" si="29"/>
        <v>17.025892312952621</v>
      </c>
      <c r="AC75" s="60">
        <f t="shared" si="24"/>
        <v>30.499142518747206</v>
      </c>
      <c r="AD75" s="6"/>
      <c r="AE75" s="135"/>
      <c r="AF75" s="53"/>
      <c r="AG75" s="53"/>
      <c r="AH75" s="60"/>
      <c r="AI75" s="60"/>
      <c r="AJ75" s="60"/>
      <c r="AK75" s="6"/>
      <c r="AL75" s="135"/>
      <c r="AM75" s="53" t="s">
        <v>41</v>
      </c>
      <c r="AN75" s="53">
        <f>AVERAGE(T25:T26)</f>
        <v>25.041990851382899</v>
      </c>
      <c r="AO75" s="60">
        <f t="shared" si="25"/>
        <v>87.722677711356397</v>
      </c>
      <c r="AP75" s="60">
        <f t="shared" si="30"/>
        <v>55.681186720964632</v>
      </c>
      <c r="AQ75" s="60">
        <f t="shared" si="26"/>
        <v>2.7223793839930244E-19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35"/>
      <c r="D76" s="54" t="s">
        <v>42</v>
      </c>
      <c r="E76" s="54">
        <f>AVERAGE(O16:O17)</f>
        <v>23.747613559868498</v>
      </c>
      <c r="F76" s="61">
        <f t="shared" si="17"/>
        <v>6.6589963445140947</v>
      </c>
      <c r="G76" s="61">
        <f>SUM(E76*(LOG(E65)/LOG(2)))</f>
        <v>29.791489679401533</v>
      </c>
      <c r="H76" s="61">
        <f t="shared" si="18"/>
        <v>3.475187310348235E-2</v>
      </c>
      <c r="I76" s="6"/>
      <c r="J76" s="135"/>
      <c r="K76" s="54" t="s">
        <v>42</v>
      </c>
      <c r="L76" s="54">
        <f>AVERAGE(G19:G20)</f>
        <v>24.725000363443947</v>
      </c>
      <c r="M76" s="61">
        <f t="shared" si="19"/>
        <v>5.4710830160694801</v>
      </c>
      <c r="N76" s="61">
        <f t="shared" si="27"/>
        <v>32.680011679236344</v>
      </c>
      <c r="O76" s="61">
        <f t="shared" si="20"/>
        <v>3.7403088135183823E-3</v>
      </c>
      <c r="P76" s="6"/>
      <c r="Q76" s="135"/>
      <c r="R76" s="54" t="s">
        <v>42</v>
      </c>
      <c r="S76" s="54">
        <f>AVERAGE(U19:U20)</f>
        <v>20.328919854740597</v>
      </c>
      <c r="T76" s="61">
        <f t="shared" si="21"/>
        <v>8.1574914898680255</v>
      </c>
      <c r="U76" s="61">
        <f t="shared" si="28"/>
        <v>23.220166421681505</v>
      </c>
      <c r="V76" s="61">
        <f t="shared" si="22"/>
        <v>0.82683783510325781</v>
      </c>
      <c r="W76" s="6"/>
      <c r="X76" s="135"/>
      <c r="Y76" s="54" t="s">
        <v>42</v>
      </c>
      <c r="Z76" s="54">
        <f>AVERAGE(O22:O23)</f>
        <v>19.04844937968355</v>
      </c>
      <c r="AA76" s="61">
        <f t="shared" si="23"/>
        <v>7.8057043475014556</v>
      </c>
      <c r="AB76" s="61">
        <f t="shared" si="29"/>
        <v>18.517376553438645</v>
      </c>
      <c r="AC76" s="61">
        <f t="shared" si="24"/>
        <v>11.164101787693943</v>
      </c>
      <c r="AD76" s="6"/>
      <c r="AE76" s="135"/>
      <c r="AF76" s="54"/>
      <c r="AG76" s="54"/>
      <c r="AH76" s="61"/>
      <c r="AI76" s="61"/>
      <c r="AJ76" s="61"/>
      <c r="AK76" s="6"/>
      <c r="AL76" s="135"/>
      <c r="AM76" s="54" t="s">
        <v>42</v>
      </c>
      <c r="AN76" s="54">
        <f>AVERAGE(U25:U26)</f>
        <v>26.614327386496498</v>
      </c>
      <c r="AO76" s="61">
        <f t="shared" si="25"/>
        <v>7.7745952169707042</v>
      </c>
      <c r="AP76" s="61">
        <f t="shared" si="30"/>
        <v>59.177297102900184</v>
      </c>
      <c r="AQ76" s="61">
        <f t="shared" si="26"/>
        <v>1.2440790880957458E-21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36"/>
      <c r="D77" s="55" t="s">
        <v>43</v>
      </c>
      <c r="E77" s="55">
        <f>AVERAGE(P16:P17)</f>
        <v>22.69867072782985</v>
      </c>
      <c r="F77" s="62">
        <f t="shared" si="17"/>
        <v>16.578117888905496</v>
      </c>
      <c r="G77" s="62">
        <f>SUM(E77*(LOG(E65)/LOG(2)))</f>
        <v>28.475586105504288</v>
      </c>
      <c r="H77" s="62">
        <f t="shared" si="18"/>
        <v>0.10912409500790334</v>
      </c>
      <c r="I77" s="6"/>
      <c r="J77" s="136"/>
      <c r="K77" s="55" t="s">
        <v>43</v>
      </c>
      <c r="L77" s="55">
        <f>AVERAGE(H19:H20)</f>
        <v>23.681585376226352</v>
      </c>
      <c r="M77" s="62">
        <f t="shared" si="19"/>
        <v>14.230844147084561</v>
      </c>
      <c r="N77" s="62">
        <f t="shared" si="27"/>
        <v>31.300888788747873</v>
      </c>
      <c r="O77" s="62">
        <f t="shared" si="20"/>
        <v>1.3232362007104813E-2</v>
      </c>
      <c r="P77" s="6"/>
      <c r="Q77" s="136"/>
      <c r="R77" s="55" t="s">
        <v>43</v>
      </c>
      <c r="S77" s="55">
        <f>AVERAGE(V19:V20)</f>
        <v>19.4113935382303</v>
      </c>
      <c r="T77" s="62">
        <f t="shared" si="21"/>
        <v>16.867164220851869</v>
      </c>
      <c r="U77" s="62">
        <f t="shared" si="28"/>
        <v>22.172146462043891</v>
      </c>
      <c r="V77" s="62">
        <f t="shared" si="22"/>
        <v>1.8957242858265333</v>
      </c>
      <c r="W77" s="6"/>
      <c r="X77" s="136"/>
      <c r="Y77" s="55" t="s">
        <v>43</v>
      </c>
      <c r="Z77" s="55">
        <f>AVERAGE(P22:P23)</f>
        <v>17.440946808539948</v>
      </c>
      <c r="AA77" s="62">
        <f t="shared" si="23"/>
        <v>23.058296771768735</v>
      </c>
      <c r="AB77" s="62">
        <f t="shared" si="29"/>
        <v>16.954691327614693</v>
      </c>
      <c r="AC77" s="62">
        <f t="shared" si="24"/>
        <v>31.998063040285949</v>
      </c>
      <c r="AD77" s="6"/>
      <c r="AE77" s="136"/>
      <c r="AF77" s="55"/>
      <c r="AG77" s="55"/>
      <c r="AH77" s="62"/>
      <c r="AI77" s="62"/>
      <c r="AJ77" s="62"/>
      <c r="AK77" s="6"/>
      <c r="AL77" s="136"/>
      <c r="AM77" s="55" t="s">
        <v>43</v>
      </c>
      <c r="AN77" s="55">
        <f>AVERAGE(V25:V26)</f>
        <v>25.128344442994351</v>
      </c>
      <c r="AO77" s="62">
        <f t="shared" si="25"/>
        <v>76.791228916410219</v>
      </c>
      <c r="AP77" s="62">
        <f t="shared" si="30"/>
        <v>55.873195035602187</v>
      </c>
      <c r="AQ77" s="62">
        <f t="shared" si="26"/>
        <v>2.0250186424020742E-19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31" t="s">
        <v>34</v>
      </c>
      <c r="D78" s="132"/>
      <c r="E78" s="64">
        <f>AVERAGE(Q16:Q17)</f>
        <v>30.653683327328999</v>
      </c>
      <c r="F78" s="63">
        <f t="shared" si="17"/>
        <v>1.6420122279662951E-2</v>
      </c>
      <c r="G78" s="63">
        <f>SUM(E78*(LOG(E65)/LOG(2)))</f>
        <v>38.455185746538717</v>
      </c>
      <c r="H78" s="63">
        <f t="shared" si="18"/>
        <v>1.8586160054729993E-5</v>
      </c>
      <c r="I78" s="6"/>
      <c r="J78" s="131" t="s">
        <v>34</v>
      </c>
      <c r="K78" s="132"/>
      <c r="L78" s="64">
        <f>AVERAGE(Z16:Z17)</f>
        <v>35.6995515424479</v>
      </c>
      <c r="M78" s="63">
        <f t="shared" si="19"/>
        <v>2.3522479188681775E-4</v>
      </c>
      <c r="N78" s="63">
        <f t="shared" si="27"/>
        <v>47.185510382261235</v>
      </c>
      <c r="O78" s="63">
        <f t="shared" si="20"/>
        <v>6.330125691371903E-9</v>
      </c>
      <c r="P78" s="6"/>
      <c r="Q78" s="131" t="s">
        <v>34</v>
      </c>
      <c r="R78" s="132"/>
      <c r="S78" s="64">
        <f>AVERAGE(W19:W20)</f>
        <v>32.214544069648547</v>
      </c>
      <c r="T78" s="63">
        <f t="shared" si="21"/>
        <v>6.6797807560469097E-4</v>
      </c>
      <c r="U78" s="63">
        <f t="shared" si="28"/>
        <v>36.796203627188596</v>
      </c>
      <c r="V78" s="63">
        <f t="shared" si="22"/>
        <v>1.775777016192702E-5</v>
      </c>
      <c r="W78" s="6"/>
      <c r="X78" s="131" t="s">
        <v>34</v>
      </c>
      <c r="Y78" s="132"/>
      <c r="Z78" s="64">
        <f>AVERAGE(Q22:Q23)</f>
        <v>34.564623306795198</v>
      </c>
      <c r="AA78" s="63">
        <f t="shared" si="23"/>
        <v>2.2480278008379221E-4</v>
      </c>
      <c r="AB78" s="63">
        <f t="shared" si="29"/>
        <v>33.600957875465731</v>
      </c>
      <c r="AC78" s="63">
        <f t="shared" si="24"/>
        <v>4.3033441233207234E-4</v>
      </c>
      <c r="AD78" s="6"/>
      <c r="AE78" s="131"/>
      <c r="AF78" s="132"/>
      <c r="AG78" s="64"/>
      <c r="AH78" s="63"/>
      <c r="AI78" s="63"/>
      <c r="AJ78" s="63"/>
      <c r="AK78" s="6"/>
      <c r="AL78" s="131" t="s">
        <v>34</v>
      </c>
      <c r="AM78" s="132"/>
      <c r="AN78" s="64">
        <f>AVERAGE(W25:W26)</f>
        <v>35.989669447036903</v>
      </c>
      <c r="AO78" s="63">
        <f t="shared" si="25"/>
        <v>4.1242827243873059E-6</v>
      </c>
      <c r="AP78" s="63">
        <f t="shared" si="30"/>
        <v>80.023490001219031</v>
      </c>
      <c r="AQ78" s="63">
        <f t="shared" si="26"/>
        <v>1.3853929002997214E-35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38" t="s">
        <v>73</v>
      </c>
      <c r="D79" s="139"/>
      <c r="E79" s="87">
        <f>AVERAGE(E69:E77)</f>
        <v>23.188961505022874</v>
      </c>
      <c r="F79" s="87">
        <f>AVERAGE(F69:F77)</f>
        <v>12.405951456002267</v>
      </c>
      <c r="G79" s="87">
        <f>AVERAGE(G69:G77)</f>
        <v>29.090658124923348</v>
      </c>
      <c r="H79" s="87">
        <f>AVERAGE(H69:H77)</f>
        <v>7.8930051161215667E-2</v>
      </c>
      <c r="I79" s="6"/>
      <c r="J79" s="138" t="s">
        <v>73</v>
      </c>
      <c r="K79" s="139"/>
      <c r="L79" s="87">
        <f>AVERAGE(L69:L77)</f>
        <v>24.120077719634367</v>
      </c>
      <c r="M79" s="87">
        <f>AVERAGE(M69:M77)</f>
        <v>10.758970706776093</v>
      </c>
      <c r="N79" s="87">
        <f>AVERAGE(N69:N77)</f>
        <v>31.880461476035538</v>
      </c>
      <c r="O79" s="87">
        <f>AVERAGE(O69:O77)</f>
        <v>9.5802395695165164E-3</v>
      </c>
      <c r="P79" s="6"/>
      <c r="Q79" s="138" t="s">
        <v>73</v>
      </c>
      <c r="R79" s="139"/>
      <c r="S79" s="87">
        <f>AVERAGE(S69:S77)</f>
        <v>19.811749996945245</v>
      </c>
      <c r="T79" s="87">
        <f>AVERAGE(T69:T77)</f>
        <v>13.630203663633015</v>
      </c>
      <c r="U79" s="87">
        <f>AVERAGE(U69:U77)</f>
        <v>22.62944294733591</v>
      </c>
      <c r="V79" s="87">
        <f>AVERAGE(V69:V77)</f>
        <v>1.5084903323974146</v>
      </c>
      <c r="W79" s="6"/>
      <c r="X79" s="138" t="s">
        <v>73</v>
      </c>
      <c r="Y79" s="139"/>
      <c r="Z79" s="87">
        <f>AVERAGE(Z69:Z77)</f>
        <v>19.272383093825567</v>
      </c>
      <c r="AA79" s="87">
        <f>AVERAGE(AA69:AA77)</f>
        <v>10.014158940591393</v>
      </c>
      <c r="AB79" s="87">
        <f>AVERAGE(AB69:AB77)</f>
        <v>18.735066971441938</v>
      </c>
      <c r="AC79" s="87">
        <f>AVERAGE(AC69:AC77)</f>
        <v>14.105561770195477</v>
      </c>
      <c r="AD79" s="6"/>
      <c r="AE79" s="138"/>
      <c r="AF79" s="139"/>
      <c r="AG79" s="87"/>
      <c r="AH79" s="87"/>
      <c r="AI79" s="87"/>
      <c r="AJ79" s="87"/>
      <c r="AK79" s="6"/>
      <c r="AL79" s="138" t="s">
        <v>73</v>
      </c>
      <c r="AM79" s="139"/>
      <c r="AN79" s="87">
        <f>AVERAGE(AN69:AN77)</f>
        <v>25.52159703637588</v>
      </c>
      <c r="AO79" s="87">
        <f>AVERAGE(AO69:AO77)</f>
        <v>81.025708115252371</v>
      </c>
      <c r="AP79" s="87">
        <f>AVERAGE(AP69:AP77)</f>
        <v>56.747597203166734</v>
      </c>
      <c r="AQ79" s="87">
        <f>AVERAGE(AQ69:AQ77)</f>
        <v>6.6410652091429967E-19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38" t="s">
        <v>74</v>
      </c>
      <c r="D80" s="139"/>
      <c r="E80" s="87">
        <f>(E81/SQRT(9))</f>
        <v>0.20376916064746442</v>
      </c>
      <c r="F80" s="87">
        <f>(F81/SQRT(9))</f>
        <v>2.0948217623310974</v>
      </c>
      <c r="G80" s="87">
        <f>(G81/SQRT(9))</f>
        <v>0.25562934275922528</v>
      </c>
      <c r="H80" s="87">
        <f>(H81/SQRT(9))</f>
        <v>1.631483743230663E-2</v>
      </c>
      <c r="I80" s="6"/>
      <c r="J80" s="138" t="s">
        <v>74</v>
      </c>
      <c r="K80" s="139"/>
      <c r="L80" s="87">
        <f>(L81/SQRT(9))</f>
        <v>0.18427480532714444</v>
      </c>
      <c r="M80" s="87">
        <f>(M81/SQRT(9))</f>
        <v>1.7043627099550089</v>
      </c>
      <c r="N80" s="87">
        <f>(N81/SQRT(9))</f>
        <v>0.24356330441894769</v>
      </c>
      <c r="O80" s="87">
        <f>(O81/SQRT(9))</f>
        <v>1.9474304479134702E-3</v>
      </c>
      <c r="P80" s="6"/>
      <c r="Q80" s="138" t="s">
        <v>74</v>
      </c>
      <c r="R80" s="139"/>
      <c r="S80" s="87">
        <f>(S81/SQRT(9))</f>
        <v>0.20066569345459564</v>
      </c>
      <c r="T80" s="87">
        <f>(T81/SQRT(9))</f>
        <v>1.9206204889793836</v>
      </c>
      <c r="U80" s="87">
        <f>(U81/SQRT(9))</f>
        <v>0.22920503550764246</v>
      </c>
      <c r="V80" s="87">
        <f>(V81/SQRT(9))</f>
        <v>0.23828327806230534</v>
      </c>
      <c r="W80" s="6"/>
      <c r="X80" s="138" t="s">
        <v>74</v>
      </c>
      <c r="Y80" s="139"/>
      <c r="Z80" s="87">
        <f>(Z81/SQRT(9))</f>
        <v>0.49383628104058386</v>
      </c>
      <c r="AA80" s="87">
        <f>(AA81/SQRT(9))</f>
        <v>2.591161062981612</v>
      </c>
      <c r="AB80" s="87">
        <f>(AB81/SQRT(9))</f>
        <v>0.48006807218290043</v>
      </c>
      <c r="AC80" s="87">
        <f>(AC81/SQRT(9))</f>
        <v>3.5710479963873314</v>
      </c>
      <c r="AD80" s="6"/>
      <c r="AE80" s="138"/>
      <c r="AF80" s="139"/>
      <c r="AG80" s="87"/>
      <c r="AH80" s="87"/>
      <c r="AI80" s="87"/>
      <c r="AJ80" s="87"/>
      <c r="AK80" s="6"/>
      <c r="AL80" s="138" t="s">
        <v>74</v>
      </c>
      <c r="AM80" s="139"/>
      <c r="AN80" s="87">
        <f>(AN81/SQRT(9))</f>
        <v>0.25767860619361888</v>
      </c>
      <c r="AO80" s="87">
        <f>(AO81/SQRT(9))</f>
        <v>30.769437274012336</v>
      </c>
      <c r="AP80" s="87">
        <f>(AP81/SQRT(9))</f>
        <v>0.5729516742744305</v>
      </c>
      <c r="AQ80" s="87">
        <f>(AQ81/SQRT(9))</f>
        <v>4.4819174974756387E-19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38" t="s">
        <v>75</v>
      </c>
      <c r="D81" s="139"/>
      <c r="E81" s="87">
        <f>_xlfn.STDEV.P(E69:E77)</f>
        <v>0.61130748194239326</v>
      </c>
      <c r="F81" s="87">
        <f>_xlfn.STDEV.P(F69:F77)</f>
        <v>6.2844652869932922</v>
      </c>
      <c r="G81" s="87">
        <f>_xlfn.STDEV.P(G69:G77)</f>
        <v>0.76688802827767588</v>
      </c>
      <c r="H81" s="87">
        <f>_xlfn.STDEV.P(H69:H77)</f>
        <v>4.8944512296919894E-2</v>
      </c>
      <c r="I81" s="6"/>
      <c r="J81" s="138" t="s">
        <v>75</v>
      </c>
      <c r="K81" s="139"/>
      <c r="L81" s="87">
        <f>_xlfn.STDEV.P(L69:L77)</f>
        <v>0.55282441598143328</v>
      </c>
      <c r="M81" s="87">
        <f>_xlfn.STDEV.P(M69:M77)</f>
        <v>5.1130881298650266</v>
      </c>
      <c r="N81" s="87">
        <f>_xlfn.STDEV.P(N69:N77)</f>
        <v>0.73068991325684307</v>
      </c>
      <c r="O81" s="87">
        <f>_xlfn.STDEV.P(O69:O77)</f>
        <v>5.8422913437404106E-3</v>
      </c>
      <c r="P81" s="6"/>
      <c r="Q81" s="138" t="s">
        <v>75</v>
      </c>
      <c r="R81" s="139"/>
      <c r="S81" s="87">
        <f>_xlfn.STDEV.P(S69:S77)</f>
        <v>0.60199708036378696</v>
      </c>
      <c r="T81" s="87">
        <f>_xlfn.STDEV.P(T69:T77)</f>
        <v>5.7618614669381509</v>
      </c>
      <c r="U81" s="87">
        <f>_xlfn.STDEV.P(U69:U77)</f>
        <v>0.68761510652292734</v>
      </c>
      <c r="V81" s="87">
        <f>_xlfn.STDEV.P(V69:V77)</f>
        <v>0.71484983418691606</v>
      </c>
      <c r="W81" s="6"/>
      <c r="X81" s="138" t="s">
        <v>75</v>
      </c>
      <c r="Y81" s="139"/>
      <c r="Z81" s="87">
        <f>_xlfn.STDEV.P(Z69:Z77)</f>
        <v>1.4815088431217516</v>
      </c>
      <c r="AA81" s="87">
        <f>_xlfn.STDEV.P(AA69:AA77)</f>
        <v>7.7734831889448364</v>
      </c>
      <c r="AB81" s="87">
        <f>_xlfn.STDEV.P(AB69:AB77)</f>
        <v>1.4402042165487012</v>
      </c>
      <c r="AC81" s="87">
        <f>_xlfn.STDEV.P(AC69:AC77)</f>
        <v>10.713143989161994</v>
      </c>
      <c r="AD81" s="6"/>
      <c r="AE81" s="138"/>
      <c r="AF81" s="139"/>
      <c r="AG81" s="87"/>
      <c r="AH81" s="87"/>
      <c r="AI81" s="87"/>
      <c r="AJ81" s="87"/>
      <c r="AK81" s="6"/>
      <c r="AL81" s="138" t="s">
        <v>75</v>
      </c>
      <c r="AM81" s="139"/>
      <c r="AN81" s="87">
        <f>_xlfn.STDEV.P(AN69:AN77)</f>
        <v>0.77303581858085657</v>
      </c>
      <c r="AO81" s="87">
        <f>_xlfn.STDEV.P(AO69:AO77)</f>
        <v>92.308311822037012</v>
      </c>
      <c r="AP81" s="87">
        <f>_xlfn.STDEV.P(AP69:AP77)</f>
        <v>1.7188550228232915</v>
      </c>
      <c r="AQ81" s="87">
        <f>_xlfn.STDEV.P(AQ69:AQ77)</f>
        <v>1.3445752492426915E-18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38" t="s">
        <v>76</v>
      </c>
      <c r="D82" s="139"/>
      <c r="E82" s="87">
        <f>SUM(E81/E79)</f>
        <v>2.6362003395882141E-2</v>
      </c>
      <c r="F82" s="87">
        <f>SUM(F81/F79)</f>
        <v>0.5065685859952912</v>
      </c>
      <c r="G82" s="87">
        <f>SUM(G81/G79)</f>
        <v>2.6362003395882148E-2</v>
      </c>
      <c r="H82" s="87">
        <f>SUM(H81/H79)</f>
        <v>0.62009984254222872</v>
      </c>
      <c r="I82" s="6"/>
      <c r="J82" s="138" t="s">
        <v>76</v>
      </c>
      <c r="K82" s="139"/>
      <c r="L82" s="87">
        <f>SUM(L81/L79)</f>
        <v>2.2919678054412734E-2</v>
      </c>
      <c r="M82" s="87">
        <f>SUM(M81/M79)</f>
        <v>0.47523952515687762</v>
      </c>
      <c r="N82" s="87">
        <f>SUM(N81/N79)</f>
        <v>2.2919678054412758E-2</v>
      </c>
      <c r="O82" s="87">
        <f>SUM(O81/O79)</f>
        <v>0.60982727011650839</v>
      </c>
      <c r="P82" s="6"/>
      <c r="Q82" s="138" t="s">
        <v>76</v>
      </c>
      <c r="R82" s="139"/>
      <c r="S82" s="87">
        <f>SUM(S81/S79)</f>
        <v>3.0385860938917982E-2</v>
      </c>
      <c r="T82" s="87">
        <f>SUM(T81/T79)</f>
        <v>0.42272746681779044</v>
      </c>
      <c r="U82" s="87">
        <f>SUM(U81/U79)</f>
        <v>3.0385860938917986E-2</v>
      </c>
      <c r="V82" s="87">
        <f>SUM(V81/V79)</f>
        <v>0.47388426616617357</v>
      </c>
      <c r="W82" s="6"/>
      <c r="X82" s="138" t="s">
        <v>76</v>
      </c>
      <c r="Y82" s="139"/>
      <c r="Z82" s="87">
        <f>SUM(Z81/Z79)</f>
        <v>7.687211466839268E-2</v>
      </c>
      <c r="AA82" s="87">
        <f>SUM(AA81/AA79)</f>
        <v>0.77624923221817443</v>
      </c>
      <c r="AB82" s="87">
        <f>SUM(AB81/AB79)</f>
        <v>7.6872114668392694E-2</v>
      </c>
      <c r="AC82" s="87">
        <f>SUM(AC81/AC79)</f>
        <v>0.75949786075152748</v>
      </c>
      <c r="AD82" s="6"/>
      <c r="AE82" s="138"/>
      <c r="AF82" s="139"/>
      <c r="AG82" s="87"/>
      <c r="AH82" s="87"/>
      <c r="AI82" s="87"/>
      <c r="AJ82" s="87"/>
      <c r="AK82" s="6"/>
      <c r="AL82" s="138" t="s">
        <v>76</v>
      </c>
      <c r="AM82" s="139"/>
      <c r="AN82" s="87">
        <f>SUM(AN81/AN79)</f>
        <v>3.0289476692193291E-2</v>
      </c>
      <c r="AO82" s="87">
        <f>SUM(AO81/AO79)</f>
        <v>1.1392472089319612</v>
      </c>
      <c r="AP82" s="87">
        <f>SUM(AP81/AP79)</f>
        <v>3.0289476692193281E-2</v>
      </c>
      <c r="AQ82" s="87">
        <f>SUM(AQ81/AQ79)</f>
        <v>2.0246379261440857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</sheetData>
  <mergeCells count="159">
    <mergeCell ref="C3:Q3"/>
    <mergeCell ref="R3:Z3"/>
    <mergeCell ref="C6:H6"/>
    <mergeCell ref="I6:W6"/>
    <mergeCell ref="X6:Z8"/>
    <mergeCell ref="C9:Q9"/>
    <mergeCell ref="R9:Z9"/>
    <mergeCell ref="AH2:AL3"/>
    <mergeCell ref="AK4:AL4"/>
    <mergeCell ref="AK5:AL5"/>
    <mergeCell ref="AK6:AL6"/>
    <mergeCell ref="AK7:AL7"/>
    <mergeCell ref="AK8:AL8"/>
    <mergeCell ref="C21:Q21"/>
    <mergeCell ref="AG23:AK25"/>
    <mergeCell ref="I24:W24"/>
    <mergeCell ref="X24:Z26"/>
    <mergeCell ref="C12:H12"/>
    <mergeCell ref="I12:W12"/>
    <mergeCell ref="X12:Z14"/>
    <mergeCell ref="C15:Q15"/>
    <mergeCell ref="R15:Z15"/>
    <mergeCell ref="C18:H18"/>
    <mergeCell ref="I18:W18"/>
    <mergeCell ref="X18:Z20"/>
    <mergeCell ref="C24:H26"/>
    <mergeCell ref="R21:Z23"/>
    <mergeCell ref="C29:E29"/>
    <mergeCell ref="H29:J29"/>
    <mergeCell ref="M29:O29"/>
    <mergeCell ref="R29:T29"/>
    <mergeCell ref="W29:Y29"/>
    <mergeCell ref="AB29:AD29"/>
    <mergeCell ref="C28:E28"/>
    <mergeCell ref="H28:J28"/>
    <mergeCell ref="M28:O28"/>
    <mergeCell ref="R28:T28"/>
    <mergeCell ref="W28:Y28"/>
    <mergeCell ref="AB28:AD28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M468 (R1)</vt:lpstr>
      <vt:lpstr>M468 (R2)</vt:lpstr>
      <vt:lpstr>M468 (R3)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Malcolm</dc:creator>
  <cp:lastModifiedBy>Jodie Malcolm</cp:lastModifiedBy>
  <dcterms:created xsi:type="dcterms:W3CDTF">2023-07-11T07:42:53Z</dcterms:created>
  <dcterms:modified xsi:type="dcterms:W3CDTF">2024-08-02T03:48:41Z</dcterms:modified>
</cp:coreProperties>
</file>